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rola\Downloads\"/>
    </mc:Choice>
  </mc:AlternateContent>
  <xr:revisionPtr revIDLastSave="0" documentId="8_{C33BCF79-FF56-43DD-B3AA-08388460D91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Provinces Summary" sheetId="1" r:id="rId1"/>
    <sheet name="Duchies Summary" sheetId="2" r:id="rId2"/>
    <sheet name="Knights Breakdown" sheetId="3" r:id="rId3"/>
    <sheet name="Character Index" sheetId="4" r:id="rId4"/>
    <sheet name="Characters" sheetId="5" r:id="rId5"/>
    <sheet name="NPCs" sheetId="6" r:id="rId6"/>
    <sheet name="Secret Sheet" sheetId="7" r:id="rId7"/>
    <sheet name="Lesser House Dominions" sheetId="8" state="hidden" r:id="rId8"/>
    <sheet name="Economics" sheetId="9" state="hidden" r:id="rId9"/>
    <sheet name="Retinue Breakdown" sheetId="10" state="hidden" r:id="rId10"/>
    <sheet name="New Retinues Summary" sheetId="11" r:id="rId11"/>
    <sheet name="Provincial Economics" sheetId="13" r:id="rId12"/>
    <sheet name="New Retinues Breakdown" sheetId="12" r:id="rId13"/>
    <sheet name="The Crown" sheetId="14" r:id="rId14"/>
    <sheet name="Ducal Economics" sheetId="15" r:id="rId15"/>
    <sheet name="Provinces" sheetId="16" state="hidden" r:id="rId16"/>
    <sheet name="Duchies Secret Sheet" sheetId="17" r:id="rId17"/>
    <sheet name="Provincial Secret Sheet" sheetId="18" r:id="rId18"/>
    <sheet name="Household Guard Breakdown" sheetId="19" r:id="rId19"/>
    <sheet name="New Cities" sheetId="20" r:id="rId20"/>
    <sheet name="Cities" sheetId="21" r:id="rId21"/>
    <sheet name="Duchies Import" sheetId="22" r:id="rId22"/>
    <sheet name="New Cities Filter" sheetId="23" r:id="rId23"/>
    <sheet name="New Cities Import" sheetId="24" r:id="rId24"/>
    <sheet name="CityFilter(Ignore)" sheetId="25" r:id="rId25"/>
    <sheet name="Price Sheet (Ignore)" sheetId="26" r:id="rId26"/>
    <sheet name="Cities Import (Ignore)" sheetId="27" r:id="rId27"/>
    <sheet name="Province Import (Ignore)" sheetId="28" r:id="rId28"/>
    <sheet name="Sheet21" sheetId="29" r:id="rId29"/>
  </sheets>
  <definedNames>
    <definedName name="TAXRATE">_xludf.LAMBDA(g, i, h, j, k, l, m, IF(g="capital",0.1)+IF(h="port",0.1)+IF(i="citadel",0.05)+IF(j="walls",-0.07)+IF(k="plaza",0.05)+IF(l="temple",0.01)+IF(m="shanty town",0.05))</definedName>
    <definedName name="Z_1D15EA2E_9342_4DBA_97D9_116A23B5C1DC_.wvu.FilterData" localSheetId="24" hidden="1">'CityFilter(Ignore)'!$A$1:$U$507</definedName>
  </definedNames>
  <calcPr calcId="191029"/>
  <customWorkbookViews>
    <customWorkbookView name="Important Cities" guid="{1D15EA2E-9342-4DBA-97D9-116A23B5C1DC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7" l="1" a="1"/>
  <c r="O4" i="17" a="1"/>
  <c r="O5" i="17" a="1"/>
  <c r="O6" i="17" a="1"/>
  <c r="O7" i="17" a="1"/>
  <c r="O8" i="17" a="1"/>
  <c r="O9" i="17" a="1"/>
  <c r="O10" i="17" a="1"/>
  <c r="O11" i="17" a="1"/>
  <c r="O12" i="17" a="1"/>
  <c r="O13" i="17" a="1"/>
  <c r="O14" i="17" a="1"/>
  <c r="O15" i="17" a="1"/>
  <c r="O16" i="17" a="1"/>
  <c r="O17" i="17" a="1"/>
  <c r="O18" i="17" a="1"/>
  <c r="O19" i="17" a="1"/>
  <c r="O20" i="17" a="1"/>
  <c r="O21" i="17" a="1"/>
  <c r="O22" i="17" a="1"/>
  <c r="O23" i="17" a="1"/>
  <c r="O24" i="17" a="1"/>
  <c r="O25" i="17" a="1"/>
  <c r="O26" i="17" a="1"/>
  <c r="O27" i="17" a="1"/>
  <c r="O28" i="17" a="1"/>
  <c r="O29" i="17" a="1"/>
  <c r="O30" i="17" a="1"/>
  <c r="O31" i="17" a="1"/>
  <c r="O32" i="17" a="1"/>
  <c r="O33" i="17" a="1"/>
  <c r="O34" i="17" a="1"/>
  <c r="O35" i="17" a="1"/>
  <c r="O36" i="17" a="1"/>
  <c r="O37" i="17" a="1"/>
  <c r="O38" i="17" a="1"/>
  <c r="O39" i="17" a="1"/>
  <c r="O40" i="17" a="1"/>
  <c r="O41" i="17" a="1"/>
  <c r="O42" i="17" a="1"/>
  <c r="O43" i="17" a="1"/>
  <c r="O44" i="17" a="1"/>
  <c r="O45" i="17" a="1"/>
  <c r="O2" i="17" a="1"/>
  <c r="C3" i="20" a="1"/>
  <c r="C4" i="20" a="1"/>
  <c r="C5" i="20" a="1"/>
  <c r="C6" i="20" a="1"/>
  <c r="C7" i="20" a="1"/>
  <c r="C8" i="20" a="1"/>
  <c r="C9" i="20" a="1"/>
  <c r="C10" i="20" a="1"/>
  <c r="C11" i="20" a="1"/>
  <c r="C12" i="20" a="1"/>
  <c r="C13" i="20" a="1"/>
  <c r="C14" i="20" a="1"/>
  <c r="C15" i="20" a="1"/>
  <c r="C16" i="20" a="1"/>
  <c r="C17" i="20" a="1"/>
  <c r="C18" i="20" a="1"/>
  <c r="C19" i="20" a="1"/>
  <c r="C20" i="20" a="1"/>
  <c r="C21" i="20" a="1"/>
  <c r="C22" i="20" a="1"/>
  <c r="C23" i="20" a="1"/>
  <c r="C24" i="20" a="1"/>
  <c r="C25" i="20" a="1"/>
  <c r="C26" i="20" a="1"/>
  <c r="C27" i="20" a="1"/>
  <c r="C28" i="20" a="1"/>
  <c r="C29" i="20" a="1"/>
  <c r="C30" i="20" a="1"/>
  <c r="C31" i="20" a="1"/>
  <c r="C32" i="20" a="1"/>
  <c r="C33" i="20" a="1"/>
  <c r="C34" i="20" a="1"/>
  <c r="C35" i="20" a="1"/>
  <c r="C36" i="20" a="1"/>
  <c r="C37" i="20" a="1"/>
  <c r="C38" i="20" a="1"/>
  <c r="C39" i="20" a="1"/>
  <c r="C40" i="20" a="1"/>
  <c r="C41" i="20" a="1"/>
  <c r="C42" i="20" a="1"/>
  <c r="C43" i="20" a="1"/>
  <c r="C44" i="20" a="1"/>
  <c r="C45" i="20" a="1"/>
  <c r="C46" i="20" a="1"/>
  <c r="C47" i="20" a="1"/>
  <c r="C48" i="20" a="1"/>
  <c r="C49" i="20" a="1"/>
  <c r="C50" i="20" a="1"/>
  <c r="C51" i="20" a="1"/>
  <c r="C52" i="20" a="1"/>
  <c r="C53" i="20" a="1"/>
  <c r="C54" i="20" a="1"/>
  <c r="C55" i="20" a="1"/>
  <c r="C56" i="20" a="1"/>
  <c r="C57" i="20" a="1"/>
  <c r="C58" i="20" a="1"/>
  <c r="C59" i="20" a="1"/>
  <c r="C60" i="20" a="1"/>
  <c r="C61" i="20" a="1"/>
  <c r="C62" i="20" a="1"/>
  <c r="C63" i="20" a="1"/>
  <c r="C64" i="20" a="1"/>
  <c r="C65" i="20" a="1"/>
  <c r="C66" i="20" a="1"/>
  <c r="C67" i="20" a="1"/>
  <c r="C68" i="20" a="1"/>
  <c r="C69" i="20" a="1"/>
  <c r="C70" i="20" a="1"/>
  <c r="C71" i="20" a="1"/>
  <c r="C72" i="20" a="1"/>
  <c r="C73" i="20" a="1"/>
  <c r="C74" i="20" a="1"/>
  <c r="C75" i="20" a="1"/>
  <c r="C76" i="20" a="1"/>
  <c r="C77" i="20" a="1"/>
  <c r="C78" i="20" a="1"/>
  <c r="C79" i="20" a="1"/>
  <c r="C80" i="20" a="1"/>
  <c r="C81" i="20" a="1"/>
  <c r="C82" i="20" a="1"/>
  <c r="C83" i="20" a="1"/>
  <c r="C84" i="20" a="1"/>
  <c r="C85" i="20" a="1"/>
  <c r="C86" i="20" a="1"/>
  <c r="C87" i="20" a="1"/>
  <c r="C88" i="20" a="1"/>
  <c r="C89" i="20" a="1"/>
  <c r="C90" i="20" a="1"/>
  <c r="C91" i="20" a="1"/>
  <c r="C92" i="20" a="1"/>
  <c r="C93" i="20" a="1"/>
  <c r="C94" i="20" a="1"/>
  <c r="C95" i="20" a="1"/>
  <c r="C96" i="20" a="1"/>
  <c r="C97" i="20" a="1"/>
  <c r="C98" i="20" a="1"/>
  <c r="C99" i="20" a="1"/>
  <c r="C100" i="20" a="1"/>
  <c r="C101" i="20" a="1"/>
  <c r="C102" i="20" a="1"/>
  <c r="C103" i="20" a="1"/>
  <c r="C104" i="20" a="1"/>
  <c r="C105" i="20" a="1"/>
  <c r="C106" i="20" a="1"/>
  <c r="C107" i="20" a="1"/>
  <c r="C108" i="20" a="1"/>
  <c r="C109" i="20" a="1"/>
  <c r="C110" i="20" a="1"/>
  <c r="C111" i="20" a="1"/>
  <c r="C112" i="20" a="1"/>
  <c r="C113" i="20" a="1"/>
  <c r="C114" i="20" a="1"/>
  <c r="C115" i="20" a="1"/>
  <c r="C116" i="20" a="1"/>
  <c r="C117" i="20" a="1"/>
  <c r="C118" i="20" a="1"/>
  <c r="C119" i="20" a="1"/>
  <c r="C120" i="20" a="1"/>
  <c r="C121" i="20" a="1"/>
  <c r="C122" i="20" a="1"/>
  <c r="C123" i="20" a="1"/>
  <c r="C124" i="20" a="1"/>
  <c r="C125" i="20" a="1"/>
  <c r="C126" i="20" a="1"/>
  <c r="C127" i="20" a="1"/>
  <c r="C128" i="20" a="1"/>
  <c r="C129" i="20" a="1"/>
  <c r="C130" i="20" a="1"/>
  <c r="C131" i="20" a="1"/>
  <c r="C132" i="20" a="1"/>
  <c r="C133" i="20" a="1"/>
  <c r="C134" i="20" a="1"/>
  <c r="C135" i="20" a="1"/>
  <c r="C136" i="20" a="1"/>
  <c r="C137" i="20" a="1"/>
  <c r="C138" i="20" a="1"/>
  <c r="C139" i="20" a="1"/>
  <c r="C140" i="20" a="1"/>
  <c r="C141" i="20" a="1"/>
  <c r="C142" i="20" a="1"/>
  <c r="C143" i="20" a="1"/>
  <c r="C144" i="20" a="1"/>
  <c r="C145" i="20" a="1"/>
  <c r="C146" i="20" a="1"/>
  <c r="C147" i="20" a="1"/>
  <c r="C148" i="20" a="1"/>
  <c r="C149" i="20" a="1"/>
  <c r="C150" i="20" a="1"/>
  <c r="C151" i="20" a="1"/>
  <c r="C152" i="20" a="1"/>
  <c r="C153" i="20" a="1"/>
  <c r="C154" i="20" a="1"/>
  <c r="C155" i="20" a="1"/>
  <c r="C156" i="20" a="1"/>
  <c r="C157" i="20" a="1"/>
  <c r="C158" i="20" a="1"/>
  <c r="C159" i="20" a="1"/>
  <c r="C160" i="20" a="1"/>
  <c r="C161" i="20" a="1"/>
  <c r="C162" i="20" a="1"/>
  <c r="C163" i="20" a="1"/>
  <c r="C164" i="20" a="1"/>
  <c r="C165" i="20" a="1"/>
  <c r="C166" i="20" a="1"/>
  <c r="C2" i="20" a="1"/>
  <c r="J30" i="29"/>
  <c r="J29" i="29"/>
  <c r="J28" i="29"/>
  <c r="R27" i="29"/>
  <c r="P27" i="29"/>
  <c r="N27" i="29"/>
  <c r="M27" i="29"/>
  <c r="K27" i="29"/>
  <c r="G27" i="29"/>
  <c r="J25" i="29"/>
  <c r="J24" i="29"/>
  <c r="J23" i="29"/>
  <c r="R22" i="29"/>
  <c r="P22" i="29"/>
  <c r="N22" i="29"/>
  <c r="M22" i="29"/>
  <c r="K22" i="29"/>
  <c r="G22" i="29"/>
  <c r="C18" i="29"/>
  <c r="R17" i="29"/>
  <c r="P17" i="29"/>
  <c r="N17" i="29"/>
  <c r="I18" i="29" s="1"/>
  <c r="M17" i="29"/>
  <c r="H18" i="29" s="1"/>
  <c r="G18" i="29" s="1"/>
  <c r="G17" i="29"/>
  <c r="R12" i="29"/>
  <c r="P12" i="29"/>
  <c r="N12" i="29"/>
  <c r="I13" i="29" s="1"/>
  <c r="M12" i="29"/>
  <c r="H13" i="29" s="1"/>
  <c r="G13" i="29" s="1"/>
  <c r="G12" i="29"/>
  <c r="B9" i="29"/>
  <c r="B8" i="29"/>
  <c r="R7" i="29"/>
  <c r="P7" i="29"/>
  <c r="N7" i="29"/>
  <c r="I8" i="29" s="1"/>
  <c r="M7" i="29"/>
  <c r="H8" i="29" s="1"/>
  <c r="G8" i="29" s="1"/>
  <c r="G7" i="29"/>
  <c r="B7" i="29"/>
  <c r="B6" i="29"/>
  <c r="J5" i="29"/>
  <c r="B5" i="29"/>
  <c r="J4" i="29"/>
  <c r="B4" i="29"/>
  <c r="J3" i="29"/>
  <c r="D3" i="29"/>
  <c r="R2" i="29"/>
  <c r="P2" i="29"/>
  <c r="O2" i="29"/>
  <c r="J2" i="29"/>
  <c r="G2" i="29"/>
  <c r="D2" i="29"/>
  <c r="Y166" i="25"/>
  <c r="X166" i="25"/>
  <c r="W166" i="25"/>
  <c r="V166" i="25"/>
  <c r="U166" i="25"/>
  <c r="T166" i="25"/>
  <c r="S166" i="25"/>
  <c r="R166" i="25"/>
  <c r="Q166" i="25"/>
  <c r="P166" i="25"/>
  <c r="O166" i="25"/>
  <c r="N166" i="25"/>
  <c r="M166" i="25"/>
  <c r="L166" i="25"/>
  <c r="K166" i="25"/>
  <c r="J166" i="25"/>
  <c r="I166" i="25"/>
  <c r="H166" i="25"/>
  <c r="G166" i="25"/>
  <c r="F166" i="25"/>
  <c r="E166" i="25"/>
  <c r="D166" i="25"/>
  <c r="C166" i="25"/>
  <c r="B166" i="25"/>
  <c r="A166" i="25"/>
  <c r="Y165" i="25"/>
  <c r="X165" i="25"/>
  <c r="W165" i="25"/>
  <c r="V165" i="25"/>
  <c r="U165" i="25"/>
  <c r="T165" i="25"/>
  <c r="S165" i="25"/>
  <c r="R165" i="25"/>
  <c r="Q165" i="25"/>
  <c r="P165" i="25"/>
  <c r="O165" i="25"/>
  <c r="N165" i="25"/>
  <c r="M165" i="25"/>
  <c r="L165" i="25"/>
  <c r="K165" i="25"/>
  <c r="J165" i="25"/>
  <c r="I165" i="25"/>
  <c r="H165" i="25"/>
  <c r="G165" i="25"/>
  <c r="F165" i="25"/>
  <c r="E165" i="25"/>
  <c r="D165" i="25"/>
  <c r="C165" i="25"/>
  <c r="B165" i="25"/>
  <c r="A165" i="25"/>
  <c r="Y164" i="25"/>
  <c r="X164" i="25"/>
  <c r="W164" i="25"/>
  <c r="V164" i="25"/>
  <c r="U164" i="25"/>
  <c r="T164" i="25"/>
  <c r="S164" i="25"/>
  <c r="R164" i="25"/>
  <c r="Q164" i="25"/>
  <c r="P164" i="25"/>
  <c r="O164" i="25"/>
  <c r="N164" i="25"/>
  <c r="M164" i="25"/>
  <c r="L164" i="25"/>
  <c r="K164" i="25"/>
  <c r="J164" i="25"/>
  <c r="I164" i="25"/>
  <c r="H164" i="25"/>
  <c r="G164" i="25"/>
  <c r="F164" i="25"/>
  <c r="E164" i="25"/>
  <c r="D164" i="25"/>
  <c r="C164" i="25"/>
  <c r="B164" i="25"/>
  <c r="A164" i="25"/>
  <c r="Y163" i="25"/>
  <c r="X163" i="25"/>
  <c r="W163" i="25"/>
  <c r="V163" i="25"/>
  <c r="U163" i="25"/>
  <c r="T163" i="25"/>
  <c r="S163" i="25"/>
  <c r="R163" i="25"/>
  <c r="Q163" i="25"/>
  <c r="P163" i="25"/>
  <c r="O163" i="25"/>
  <c r="N163" i="25"/>
  <c r="M163" i="25"/>
  <c r="L163" i="25"/>
  <c r="K163" i="25"/>
  <c r="J163" i="25"/>
  <c r="I163" i="25"/>
  <c r="H163" i="25"/>
  <c r="G163" i="25"/>
  <c r="F163" i="25"/>
  <c r="E163" i="25"/>
  <c r="D163" i="25"/>
  <c r="C163" i="25"/>
  <c r="B163" i="25"/>
  <c r="A163" i="25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A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A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A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A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A158" i="25"/>
  <c r="Y157" i="25"/>
  <c r="X157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A157" i="25"/>
  <c r="Y156" i="25"/>
  <c r="X156" i="25"/>
  <c r="W156" i="25"/>
  <c r="V156" i="25"/>
  <c r="U156" i="25"/>
  <c r="T156" i="25"/>
  <c r="S156" i="25"/>
  <c r="R156" i="25"/>
  <c r="Q156" i="25"/>
  <c r="P156" i="25"/>
  <c r="O156" i="25"/>
  <c r="N156" i="25"/>
  <c r="M156" i="25"/>
  <c r="L156" i="25"/>
  <c r="K156" i="25"/>
  <c r="J156" i="25"/>
  <c r="I156" i="25"/>
  <c r="H156" i="25"/>
  <c r="G156" i="25"/>
  <c r="F156" i="25"/>
  <c r="E156" i="25"/>
  <c r="D156" i="25"/>
  <c r="C156" i="25"/>
  <c r="B156" i="25"/>
  <c r="A156" i="25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A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A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A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A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A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A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A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A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A147" i="25"/>
  <c r="Y146" i="25"/>
  <c r="X146" i="25"/>
  <c r="W146" i="25"/>
  <c r="V146" i="25"/>
  <c r="U146" i="25"/>
  <c r="T146" i="25"/>
  <c r="S146" i="25"/>
  <c r="R146" i="25"/>
  <c r="Q146" i="25"/>
  <c r="P146" i="25"/>
  <c r="O146" i="25"/>
  <c r="N146" i="25"/>
  <c r="M146" i="25"/>
  <c r="L146" i="25"/>
  <c r="K146" i="25"/>
  <c r="J146" i="25"/>
  <c r="I146" i="25"/>
  <c r="H146" i="25"/>
  <c r="G146" i="25"/>
  <c r="F146" i="25"/>
  <c r="E146" i="25"/>
  <c r="D146" i="25"/>
  <c r="C146" i="25"/>
  <c r="B146" i="25"/>
  <c r="A146" i="25"/>
  <c r="Y145" i="25"/>
  <c r="X145" i="25"/>
  <c r="W145" i="25"/>
  <c r="V145" i="25"/>
  <c r="U145" i="25"/>
  <c r="T145" i="25"/>
  <c r="S145" i="25"/>
  <c r="R145" i="25"/>
  <c r="Q145" i="25"/>
  <c r="P145" i="25"/>
  <c r="O145" i="25"/>
  <c r="N145" i="25"/>
  <c r="M145" i="25"/>
  <c r="L145" i="25"/>
  <c r="K145" i="25"/>
  <c r="J145" i="25"/>
  <c r="I145" i="25"/>
  <c r="H145" i="25"/>
  <c r="G145" i="25"/>
  <c r="F145" i="25"/>
  <c r="E145" i="25"/>
  <c r="D145" i="25"/>
  <c r="C145" i="25"/>
  <c r="B145" i="25"/>
  <c r="A145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A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A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A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A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A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A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A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A137" i="25"/>
  <c r="Y136" i="25"/>
  <c r="X136" i="25"/>
  <c r="W136" i="25"/>
  <c r="V136" i="25"/>
  <c r="U136" i="25"/>
  <c r="T136" i="25"/>
  <c r="S136" i="25"/>
  <c r="R136" i="25"/>
  <c r="Q136" i="25"/>
  <c r="P136" i="25"/>
  <c r="O136" i="25"/>
  <c r="N136" i="25"/>
  <c r="M136" i="25"/>
  <c r="L136" i="25"/>
  <c r="K136" i="25"/>
  <c r="J136" i="25"/>
  <c r="I136" i="25"/>
  <c r="H136" i="25"/>
  <c r="G136" i="25"/>
  <c r="F136" i="25"/>
  <c r="E136" i="25"/>
  <c r="D136" i="25"/>
  <c r="C136" i="25"/>
  <c r="B136" i="25"/>
  <c r="A136" i="25"/>
  <c r="Y135" i="25"/>
  <c r="X135" i="25"/>
  <c r="W135" i="25"/>
  <c r="V135" i="25"/>
  <c r="U135" i="25"/>
  <c r="T135" i="25"/>
  <c r="S135" i="25"/>
  <c r="R135" i="25"/>
  <c r="Q135" i="25"/>
  <c r="P135" i="25"/>
  <c r="O135" i="25"/>
  <c r="N135" i="25"/>
  <c r="M135" i="25"/>
  <c r="L135" i="25"/>
  <c r="K135" i="25"/>
  <c r="J135" i="25"/>
  <c r="I135" i="25"/>
  <c r="H135" i="25"/>
  <c r="G135" i="25"/>
  <c r="F135" i="25"/>
  <c r="E135" i="25"/>
  <c r="D135" i="25"/>
  <c r="C135" i="25"/>
  <c r="B135" i="25"/>
  <c r="A135" i="25"/>
  <c r="Y134" i="25"/>
  <c r="X134" i="25"/>
  <c r="W134" i="25"/>
  <c r="V134" i="25"/>
  <c r="U134" i="25"/>
  <c r="T134" i="25"/>
  <c r="S134" i="25"/>
  <c r="R134" i="25"/>
  <c r="Q134" i="25"/>
  <c r="P134" i="25"/>
  <c r="O134" i="25"/>
  <c r="N134" i="25"/>
  <c r="M134" i="25"/>
  <c r="L134" i="25"/>
  <c r="K134" i="25"/>
  <c r="J134" i="25"/>
  <c r="I134" i="25"/>
  <c r="H134" i="25"/>
  <c r="G134" i="25"/>
  <c r="F134" i="25"/>
  <c r="E134" i="25"/>
  <c r="D134" i="25"/>
  <c r="C134" i="25"/>
  <c r="B134" i="25"/>
  <c r="A134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A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A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A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A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A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A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A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A126" i="25"/>
  <c r="Y125" i="25"/>
  <c r="X125" i="25"/>
  <c r="W125" i="25"/>
  <c r="V125" i="25"/>
  <c r="U125" i="25"/>
  <c r="T125" i="25"/>
  <c r="S125" i="25"/>
  <c r="R125" i="25"/>
  <c r="Q125" i="25"/>
  <c r="P125" i="25"/>
  <c r="O125" i="25"/>
  <c r="N125" i="25"/>
  <c r="M125" i="25"/>
  <c r="L125" i="25"/>
  <c r="K125" i="25"/>
  <c r="J125" i="25"/>
  <c r="I125" i="25"/>
  <c r="H125" i="25"/>
  <c r="G125" i="25"/>
  <c r="F125" i="25"/>
  <c r="E125" i="25"/>
  <c r="D125" i="25"/>
  <c r="C125" i="25"/>
  <c r="B125" i="25"/>
  <c r="A125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A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A123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A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A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A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A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A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A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A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A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A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A113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A112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A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A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A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A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A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A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A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A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A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A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A101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A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A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A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A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A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A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A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A93" i="25"/>
  <c r="Y92" i="25"/>
  <c r="X92" i="25"/>
  <c r="W92" i="25"/>
  <c r="V92" i="25"/>
  <c r="U92" i="25"/>
  <c r="T92" i="25"/>
  <c r="S92" i="25"/>
  <c r="R92" i="25"/>
  <c r="Q92" i="25"/>
  <c r="P92" i="25"/>
  <c r="O92" i="25"/>
  <c r="N92" i="25"/>
  <c r="M92" i="25"/>
  <c r="L92" i="25"/>
  <c r="K92" i="25"/>
  <c r="J92" i="25"/>
  <c r="I92" i="25"/>
  <c r="H92" i="25"/>
  <c r="G92" i="25"/>
  <c r="F92" i="25"/>
  <c r="E92" i="25"/>
  <c r="D92" i="25"/>
  <c r="C92" i="25"/>
  <c r="B92" i="25"/>
  <c r="A92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B91" i="25"/>
  <c r="A91" i="25"/>
  <c r="Y90" i="25"/>
  <c r="X90" i="25"/>
  <c r="W90" i="25"/>
  <c r="V90" i="25"/>
  <c r="U90" i="25"/>
  <c r="T90" i="25"/>
  <c r="S90" i="25"/>
  <c r="R90" i="25"/>
  <c r="Q90" i="25"/>
  <c r="P90" i="25"/>
  <c r="O90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B90" i="25"/>
  <c r="A90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A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A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A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A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A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A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A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A82" i="25"/>
  <c r="Y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B81" i="25"/>
  <c r="A81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A80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B79" i="25"/>
  <c r="A79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A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A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A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A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A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A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A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A71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B70" i="25"/>
  <c r="A70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B69" i="25"/>
  <c r="A69" i="25"/>
  <c r="Y68" i="25"/>
  <c r="X68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B68" i="25"/>
  <c r="A68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A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A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A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A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A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A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A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A60" i="25"/>
  <c r="Y59" i="25"/>
  <c r="X59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J59" i="25"/>
  <c r="I59" i="25"/>
  <c r="H59" i="25"/>
  <c r="G59" i="25"/>
  <c r="F59" i="25"/>
  <c r="E59" i="25"/>
  <c r="D59" i="25"/>
  <c r="C59" i="25"/>
  <c r="B59" i="25"/>
  <c r="A59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B58" i="25"/>
  <c r="A58" i="25"/>
  <c r="Y57" i="25"/>
  <c r="X57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B57" i="25"/>
  <c r="A57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A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A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A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A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A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A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A49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A48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B47" i="25"/>
  <c r="A47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B46" i="25"/>
  <c r="A46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A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A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A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A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A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A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A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A38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A37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A36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A35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A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A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A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A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A15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A10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9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A8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A7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B6" i="25"/>
  <c r="A6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B5" i="25"/>
  <c r="A5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A4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A3" i="25"/>
  <c r="Y2" i="25"/>
  <c r="X2" i="25"/>
  <c r="W2" i="25"/>
  <c r="V2" i="25"/>
  <c r="U2" i="25"/>
  <c r="T2" i="25"/>
  <c r="S2" i="25"/>
  <c r="R2" i="25"/>
  <c r="Q2" i="25"/>
  <c r="G2" i="21" s="1" a="1"/>
  <c r="P2" i="25"/>
  <c r="O2" i="25"/>
  <c r="N2" i="25"/>
  <c r="F1" i="21" s="1" a="1"/>
  <c r="M2" i="25"/>
  <c r="L2" i="25"/>
  <c r="K2" i="25"/>
  <c r="J2" i="25"/>
  <c r="I2" i="25"/>
  <c r="E1" i="21" s="1" a="1"/>
  <c r="H2" i="25"/>
  <c r="D1" i="21" s="1" a="1"/>
  <c r="G2" i="25"/>
  <c r="F2" i="25"/>
  <c r="E2" i="25"/>
  <c r="B1" i="21" s="1" a="1"/>
  <c r="D2" i="25"/>
  <c r="C2" i="25"/>
  <c r="B2" i="25"/>
  <c r="A2" i="25"/>
  <c r="C1" i="21" a="1"/>
  <c r="A1" i="21" a="1"/>
  <c r="P166" i="20"/>
  <c r="Q166" i="20" s="1"/>
  <c r="D166" i="20"/>
  <c r="A166" i="20"/>
  <c r="P165" i="20"/>
  <c r="Q165" i="20" s="1"/>
  <c r="D165" i="20"/>
  <c r="A165" i="20"/>
  <c r="P164" i="20"/>
  <c r="Q164" i="20" s="1"/>
  <c r="D164" i="20"/>
  <c r="A164" i="20"/>
  <c r="P163" i="20"/>
  <c r="Q163" i="20" s="1"/>
  <c r="D163" i="20"/>
  <c r="A163" i="20"/>
  <c r="P162" i="20"/>
  <c r="Q162" i="20" s="1"/>
  <c r="D162" i="20"/>
  <c r="A162" i="20"/>
  <c r="P161" i="20"/>
  <c r="Q161" i="20" s="1"/>
  <c r="D161" i="20"/>
  <c r="A161" i="20"/>
  <c r="P160" i="20"/>
  <c r="Q160" i="20" s="1"/>
  <c r="D160" i="20"/>
  <c r="A160" i="20"/>
  <c r="P159" i="20"/>
  <c r="Q159" i="20" s="1"/>
  <c r="D159" i="20"/>
  <c r="A159" i="20"/>
  <c r="P158" i="20"/>
  <c r="Q158" i="20" s="1"/>
  <c r="D158" i="20"/>
  <c r="A158" i="20"/>
  <c r="P157" i="20"/>
  <c r="Q157" i="20" s="1"/>
  <c r="D157" i="20"/>
  <c r="A157" i="20"/>
  <c r="P156" i="20"/>
  <c r="Q156" i="20" s="1"/>
  <c r="D156" i="20"/>
  <c r="A156" i="20"/>
  <c r="D155" i="20"/>
  <c r="A155" i="20"/>
  <c r="D154" i="20"/>
  <c r="A154" i="20"/>
  <c r="D153" i="20"/>
  <c r="A153" i="20"/>
  <c r="D152" i="20"/>
  <c r="A152" i="20"/>
  <c r="D151" i="20"/>
  <c r="A151" i="20"/>
  <c r="D150" i="20"/>
  <c r="A150" i="20"/>
  <c r="D149" i="20"/>
  <c r="A149" i="20"/>
  <c r="D148" i="20"/>
  <c r="A148" i="20"/>
  <c r="D147" i="20"/>
  <c r="A147" i="20"/>
  <c r="D146" i="20"/>
  <c r="A146" i="20"/>
  <c r="D145" i="20"/>
  <c r="A145" i="20"/>
  <c r="D144" i="20"/>
  <c r="A144" i="20"/>
  <c r="D143" i="20"/>
  <c r="A143" i="20"/>
  <c r="D142" i="20"/>
  <c r="A142" i="20"/>
  <c r="D141" i="20"/>
  <c r="A141" i="20"/>
  <c r="D140" i="20"/>
  <c r="A140" i="20"/>
  <c r="D139" i="20"/>
  <c r="A139" i="20"/>
  <c r="D138" i="20"/>
  <c r="A138" i="20"/>
  <c r="D137" i="20"/>
  <c r="A137" i="20"/>
  <c r="D136" i="20"/>
  <c r="A136" i="20"/>
  <c r="D135" i="20"/>
  <c r="A135" i="20"/>
  <c r="D134" i="20"/>
  <c r="A134" i="20"/>
  <c r="D133" i="20"/>
  <c r="A133" i="20"/>
  <c r="D132" i="20"/>
  <c r="A132" i="20"/>
  <c r="D131" i="20"/>
  <c r="A131" i="20"/>
  <c r="D130" i="20"/>
  <c r="A130" i="20"/>
  <c r="D129" i="20"/>
  <c r="A129" i="20"/>
  <c r="D128" i="20"/>
  <c r="A128" i="20"/>
  <c r="D127" i="20"/>
  <c r="A127" i="20"/>
  <c r="D126" i="20"/>
  <c r="A126" i="20"/>
  <c r="D125" i="20"/>
  <c r="A125" i="20"/>
  <c r="D124" i="20"/>
  <c r="A124" i="20"/>
  <c r="D123" i="20"/>
  <c r="A123" i="20"/>
  <c r="D122" i="20"/>
  <c r="A122" i="20"/>
  <c r="D121" i="20"/>
  <c r="A121" i="20"/>
  <c r="D120" i="20"/>
  <c r="A120" i="20"/>
  <c r="D119" i="20"/>
  <c r="A119" i="20"/>
  <c r="D118" i="20"/>
  <c r="A118" i="20"/>
  <c r="D117" i="20"/>
  <c r="A117" i="20"/>
  <c r="D116" i="20"/>
  <c r="A116" i="20"/>
  <c r="D115" i="20"/>
  <c r="A115" i="20"/>
  <c r="D114" i="20"/>
  <c r="A114" i="20"/>
  <c r="D113" i="20"/>
  <c r="A113" i="20"/>
  <c r="D112" i="20"/>
  <c r="A112" i="20"/>
  <c r="D111" i="20"/>
  <c r="A111" i="20"/>
  <c r="D110" i="20"/>
  <c r="A110" i="20"/>
  <c r="D109" i="20"/>
  <c r="A109" i="20"/>
  <c r="D108" i="20"/>
  <c r="A108" i="20"/>
  <c r="D107" i="20"/>
  <c r="A107" i="20"/>
  <c r="D106" i="20"/>
  <c r="A106" i="20"/>
  <c r="D105" i="20"/>
  <c r="A105" i="20"/>
  <c r="D104" i="20"/>
  <c r="A104" i="20"/>
  <c r="D103" i="20"/>
  <c r="A103" i="20"/>
  <c r="D102" i="20"/>
  <c r="A102" i="20"/>
  <c r="D101" i="20"/>
  <c r="A101" i="20"/>
  <c r="D100" i="20"/>
  <c r="A100" i="20"/>
  <c r="D99" i="20"/>
  <c r="A99" i="20"/>
  <c r="D98" i="20"/>
  <c r="A98" i="20"/>
  <c r="D97" i="20"/>
  <c r="A97" i="20"/>
  <c r="D96" i="20"/>
  <c r="A96" i="20"/>
  <c r="D95" i="20"/>
  <c r="A95" i="20"/>
  <c r="D94" i="20"/>
  <c r="A94" i="20"/>
  <c r="D93" i="20"/>
  <c r="A93" i="20"/>
  <c r="D92" i="20"/>
  <c r="A92" i="20"/>
  <c r="D91" i="20"/>
  <c r="A91" i="20"/>
  <c r="D90" i="20"/>
  <c r="A90" i="20"/>
  <c r="D89" i="20"/>
  <c r="A89" i="20"/>
  <c r="D88" i="20"/>
  <c r="A88" i="20"/>
  <c r="D87" i="20"/>
  <c r="A87" i="20"/>
  <c r="D86" i="20"/>
  <c r="A86" i="20"/>
  <c r="D85" i="20"/>
  <c r="A85" i="20"/>
  <c r="D84" i="20"/>
  <c r="A84" i="20"/>
  <c r="D83" i="20"/>
  <c r="A83" i="20"/>
  <c r="D82" i="20"/>
  <c r="A82" i="20"/>
  <c r="D81" i="20"/>
  <c r="A81" i="20"/>
  <c r="D80" i="20"/>
  <c r="A80" i="20"/>
  <c r="D79" i="20"/>
  <c r="A79" i="20"/>
  <c r="D78" i="20"/>
  <c r="A78" i="20"/>
  <c r="D77" i="20"/>
  <c r="A77" i="20"/>
  <c r="D76" i="20"/>
  <c r="A76" i="20"/>
  <c r="D75" i="20"/>
  <c r="A75" i="20"/>
  <c r="D74" i="20"/>
  <c r="A74" i="20"/>
  <c r="D73" i="20"/>
  <c r="A73" i="20"/>
  <c r="D72" i="20"/>
  <c r="A72" i="20"/>
  <c r="D71" i="20"/>
  <c r="A71" i="20"/>
  <c r="D70" i="20"/>
  <c r="A70" i="20"/>
  <c r="D69" i="20"/>
  <c r="A69" i="20"/>
  <c r="D68" i="20"/>
  <c r="A68" i="20"/>
  <c r="D67" i="20"/>
  <c r="A67" i="20"/>
  <c r="D66" i="20"/>
  <c r="A66" i="20"/>
  <c r="D65" i="20"/>
  <c r="A65" i="20"/>
  <c r="D64" i="20"/>
  <c r="A64" i="20"/>
  <c r="D63" i="20"/>
  <c r="A63" i="20"/>
  <c r="D62" i="20"/>
  <c r="A62" i="20"/>
  <c r="D61" i="20"/>
  <c r="A61" i="20"/>
  <c r="D60" i="20"/>
  <c r="A60" i="20"/>
  <c r="D59" i="20"/>
  <c r="A59" i="20"/>
  <c r="D58" i="20"/>
  <c r="A58" i="20"/>
  <c r="D57" i="20"/>
  <c r="A57" i="20"/>
  <c r="D56" i="20"/>
  <c r="A56" i="20"/>
  <c r="D55" i="20"/>
  <c r="A55" i="20"/>
  <c r="D54" i="20"/>
  <c r="A54" i="20"/>
  <c r="D53" i="20"/>
  <c r="A53" i="20"/>
  <c r="D52" i="20"/>
  <c r="A52" i="20"/>
  <c r="D51" i="20"/>
  <c r="A51" i="20"/>
  <c r="D50" i="20"/>
  <c r="A50" i="20"/>
  <c r="D49" i="20"/>
  <c r="A49" i="20"/>
  <c r="D48" i="20"/>
  <c r="A48" i="20"/>
  <c r="D47" i="20"/>
  <c r="A47" i="20"/>
  <c r="D46" i="20"/>
  <c r="A46" i="20"/>
  <c r="D45" i="20"/>
  <c r="A45" i="20"/>
  <c r="D44" i="20"/>
  <c r="A44" i="20"/>
  <c r="D43" i="20"/>
  <c r="A43" i="20"/>
  <c r="D42" i="20"/>
  <c r="A42" i="20"/>
  <c r="D41" i="20"/>
  <c r="A41" i="20"/>
  <c r="D40" i="20"/>
  <c r="A40" i="20"/>
  <c r="D39" i="20"/>
  <c r="A39" i="20"/>
  <c r="D38" i="20"/>
  <c r="A38" i="20"/>
  <c r="D37" i="20"/>
  <c r="A37" i="20"/>
  <c r="D36" i="20"/>
  <c r="A36" i="20"/>
  <c r="D35" i="20"/>
  <c r="A35" i="20"/>
  <c r="D34" i="20"/>
  <c r="A34" i="20"/>
  <c r="D33" i="20"/>
  <c r="A33" i="20"/>
  <c r="D32" i="20"/>
  <c r="A32" i="20"/>
  <c r="D31" i="20"/>
  <c r="A31" i="20"/>
  <c r="D30" i="20"/>
  <c r="A30" i="20"/>
  <c r="D29" i="20"/>
  <c r="A29" i="20"/>
  <c r="D28" i="20"/>
  <c r="A28" i="20"/>
  <c r="D27" i="20"/>
  <c r="A27" i="20"/>
  <c r="D26" i="20"/>
  <c r="A26" i="20"/>
  <c r="D25" i="20"/>
  <c r="A25" i="20"/>
  <c r="D24" i="20"/>
  <c r="A24" i="20"/>
  <c r="D23" i="20"/>
  <c r="A23" i="20"/>
  <c r="D22" i="20"/>
  <c r="A22" i="20"/>
  <c r="D21" i="20"/>
  <c r="A21" i="20"/>
  <c r="D20" i="20"/>
  <c r="A20" i="20"/>
  <c r="D19" i="20"/>
  <c r="A19" i="20"/>
  <c r="D18" i="20"/>
  <c r="A18" i="20"/>
  <c r="D17" i="20"/>
  <c r="A17" i="20"/>
  <c r="D16" i="20"/>
  <c r="A16" i="20"/>
  <c r="D15" i="20"/>
  <c r="A15" i="20"/>
  <c r="D14" i="20"/>
  <c r="A14" i="20"/>
  <c r="D13" i="20"/>
  <c r="A13" i="20"/>
  <c r="D12" i="20"/>
  <c r="A12" i="20"/>
  <c r="D11" i="20"/>
  <c r="A11" i="20"/>
  <c r="D10" i="20"/>
  <c r="A10" i="20"/>
  <c r="D9" i="20"/>
  <c r="A9" i="20"/>
  <c r="D8" i="20"/>
  <c r="A8" i="20"/>
  <c r="D7" i="20"/>
  <c r="A7" i="20"/>
  <c r="D6" i="20"/>
  <c r="A6" i="20"/>
  <c r="D5" i="20"/>
  <c r="A5" i="20"/>
  <c r="D4" i="20"/>
  <c r="A4" i="20"/>
  <c r="D3" i="20"/>
  <c r="A3" i="20"/>
  <c r="G2" i="20" a="1"/>
  <c r="G2" i="20"/>
  <c r="R2" i="20" s="1"/>
  <c r="F2" i="20" a="1"/>
  <c r="F2" i="20"/>
  <c r="E2" i="20" a="1"/>
  <c r="E2" i="20"/>
  <c r="D2" i="20"/>
  <c r="A2" i="20"/>
  <c r="N166" i="20"/>
  <c r="M166" i="20"/>
  <c r="L166" i="20"/>
  <c r="K166" i="20"/>
  <c r="J166" i="20"/>
  <c r="I166" i="20"/>
  <c r="H166" i="20"/>
  <c r="N165" i="20"/>
  <c r="M165" i="20"/>
  <c r="L165" i="20"/>
  <c r="K165" i="20"/>
  <c r="J165" i="20"/>
  <c r="I165" i="20"/>
  <c r="H165" i="20"/>
  <c r="N164" i="20"/>
  <c r="M164" i="20"/>
  <c r="L164" i="20"/>
  <c r="K164" i="20"/>
  <c r="J164" i="20"/>
  <c r="I164" i="20"/>
  <c r="H164" i="20"/>
  <c r="N163" i="20"/>
  <c r="M163" i="20"/>
  <c r="L163" i="20"/>
  <c r="K163" i="20"/>
  <c r="J163" i="20"/>
  <c r="I163" i="20"/>
  <c r="H163" i="20"/>
  <c r="N162" i="20"/>
  <c r="M162" i="20"/>
  <c r="L162" i="20"/>
  <c r="K162" i="20"/>
  <c r="J162" i="20"/>
  <c r="I162" i="20"/>
  <c r="H162" i="20"/>
  <c r="N161" i="20"/>
  <c r="M161" i="20"/>
  <c r="L161" i="20"/>
  <c r="K161" i="20"/>
  <c r="J161" i="20"/>
  <c r="I161" i="20"/>
  <c r="H161" i="20"/>
  <c r="N160" i="20"/>
  <c r="M160" i="20"/>
  <c r="L160" i="20"/>
  <c r="K160" i="20"/>
  <c r="J160" i="20"/>
  <c r="I160" i="20"/>
  <c r="H160" i="20"/>
  <c r="N159" i="20"/>
  <c r="M159" i="20"/>
  <c r="L159" i="20"/>
  <c r="K159" i="20"/>
  <c r="J159" i="20"/>
  <c r="I159" i="20"/>
  <c r="H159" i="20"/>
  <c r="N158" i="20"/>
  <c r="M158" i="20"/>
  <c r="L158" i="20"/>
  <c r="K158" i="20"/>
  <c r="J158" i="20"/>
  <c r="I158" i="20"/>
  <c r="H158" i="20"/>
  <c r="N157" i="20"/>
  <c r="M157" i="20"/>
  <c r="L157" i="20"/>
  <c r="K157" i="20"/>
  <c r="J157" i="20"/>
  <c r="I157" i="20"/>
  <c r="H157" i="20"/>
  <c r="N156" i="20"/>
  <c r="M156" i="20"/>
  <c r="L156" i="20"/>
  <c r="K156" i="20"/>
  <c r="J156" i="20"/>
  <c r="I156" i="20"/>
  <c r="H156" i="20"/>
  <c r="N155" i="20"/>
  <c r="M155" i="20"/>
  <c r="L155" i="20"/>
  <c r="K155" i="20"/>
  <c r="J155" i="20"/>
  <c r="I155" i="20"/>
  <c r="H155" i="20"/>
  <c r="P155" i="20" s="1"/>
  <c r="Q155" i="20" s="1"/>
  <c r="N154" i="20"/>
  <c r="M154" i="20"/>
  <c r="L154" i="20"/>
  <c r="K154" i="20"/>
  <c r="J154" i="20"/>
  <c r="I154" i="20"/>
  <c r="H154" i="20"/>
  <c r="P154" i="20" s="1"/>
  <c r="Q154" i="20" s="1"/>
  <c r="N153" i="20"/>
  <c r="M153" i="20"/>
  <c r="L153" i="20"/>
  <c r="K153" i="20"/>
  <c r="J153" i="20"/>
  <c r="I153" i="20"/>
  <c r="H153" i="20"/>
  <c r="P153" i="20" s="1"/>
  <c r="Q153" i="20" s="1"/>
  <c r="N152" i="20"/>
  <c r="M152" i="20"/>
  <c r="L152" i="20"/>
  <c r="K152" i="20"/>
  <c r="J152" i="20"/>
  <c r="I152" i="20"/>
  <c r="H152" i="20"/>
  <c r="P152" i="20" s="1"/>
  <c r="Q152" i="20" s="1"/>
  <c r="N151" i="20"/>
  <c r="M151" i="20"/>
  <c r="L151" i="20"/>
  <c r="K151" i="20"/>
  <c r="J151" i="20"/>
  <c r="I151" i="20"/>
  <c r="H151" i="20"/>
  <c r="P151" i="20" s="1"/>
  <c r="Q151" i="20" s="1"/>
  <c r="N150" i="20"/>
  <c r="M150" i="20"/>
  <c r="L150" i="20"/>
  <c r="K150" i="20"/>
  <c r="J150" i="20"/>
  <c r="I150" i="20"/>
  <c r="H150" i="20"/>
  <c r="P150" i="20" s="1"/>
  <c r="Q150" i="20" s="1"/>
  <c r="N149" i="20"/>
  <c r="M149" i="20"/>
  <c r="L149" i="20"/>
  <c r="K149" i="20"/>
  <c r="J149" i="20"/>
  <c r="I149" i="20"/>
  <c r="H149" i="20"/>
  <c r="P149" i="20" s="1"/>
  <c r="Q149" i="20" s="1"/>
  <c r="N148" i="20"/>
  <c r="M148" i="20"/>
  <c r="L148" i="20"/>
  <c r="K148" i="20"/>
  <c r="J148" i="20"/>
  <c r="I148" i="20"/>
  <c r="H148" i="20"/>
  <c r="P148" i="20" s="1"/>
  <c r="Q148" i="20" s="1"/>
  <c r="N147" i="20"/>
  <c r="M147" i="20"/>
  <c r="L147" i="20"/>
  <c r="K147" i="20"/>
  <c r="J147" i="20"/>
  <c r="I147" i="20"/>
  <c r="H147" i="20"/>
  <c r="P147" i="20" s="1"/>
  <c r="Q147" i="20" s="1"/>
  <c r="N146" i="20"/>
  <c r="M146" i="20"/>
  <c r="L146" i="20"/>
  <c r="K146" i="20"/>
  <c r="J146" i="20"/>
  <c r="I146" i="20"/>
  <c r="H146" i="20"/>
  <c r="P146" i="20" s="1"/>
  <c r="Q146" i="20" s="1"/>
  <c r="N145" i="20"/>
  <c r="M145" i="20"/>
  <c r="L145" i="20"/>
  <c r="K145" i="20"/>
  <c r="J145" i="20"/>
  <c r="I145" i="20"/>
  <c r="H145" i="20"/>
  <c r="P145" i="20" s="1"/>
  <c r="Q145" i="20" s="1"/>
  <c r="N144" i="20"/>
  <c r="M144" i="20"/>
  <c r="L144" i="20"/>
  <c r="K144" i="20"/>
  <c r="J144" i="20"/>
  <c r="I144" i="20"/>
  <c r="H144" i="20"/>
  <c r="P144" i="20" s="1"/>
  <c r="Q144" i="20" s="1"/>
  <c r="N143" i="20"/>
  <c r="M143" i="20"/>
  <c r="L143" i="20"/>
  <c r="K143" i="20"/>
  <c r="J143" i="20"/>
  <c r="I143" i="20"/>
  <c r="H143" i="20"/>
  <c r="P143" i="20" s="1"/>
  <c r="Q143" i="20" s="1"/>
  <c r="N142" i="20"/>
  <c r="M142" i="20"/>
  <c r="L142" i="20"/>
  <c r="K142" i="20"/>
  <c r="J142" i="20"/>
  <c r="I142" i="20"/>
  <c r="H142" i="20"/>
  <c r="P142" i="20" s="1"/>
  <c r="Q142" i="20" s="1"/>
  <c r="N141" i="20"/>
  <c r="M141" i="20"/>
  <c r="L141" i="20"/>
  <c r="K141" i="20"/>
  <c r="J141" i="20"/>
  <c r="I141" i="20"/>
  <c r="H141" i="20"/>
  <c r="P141" i="20" s="1"/>
  <c r="Q141" i="20" s="1"/>
  <c r="N140" i="20"/>
  <c r="M140" i="20"/>
  <c r="L140" i="20"/>
  <c r="K140" i="20"/>
  <c r="J140" i="20"/>
  <c r="I140" i="20"/>
  <c r="H140" i="20"/>
  <c r="P140" i="20" s="1"/>
  <c r="Q140" i="20" s="1"/>
  <c r="N139" i="20"/>
  <c r="M139" i="20"/>
  <c r="L139" i="20"/>
  <c r="K139" i="20"/>
  <c r="J139" i="20"/>
  <c r="I139" i="20"/>
  <c r="H139" i="20"/>
  <c r="P139" i="20" s="1"/>
  <c r="Q139" i="20" s="1"/>
  <c r="N138" i="20"/>
  <c r="M138" i="20"/>
  <c r="L138" i="20"/>
  <c r="K138" i="20"/>
  <c r="J138" i="20"/>
  <c r="I138" i="20"/>
  <c r="H138" i="20"/>
  <c r="P138" i="20" s="1"/>
  <c r="Q138" i="20" s="1"/>
  <c r="N137" i="20"/>
  <c r="M137" i="20"/>
  <c r="L137" i="20"/>
  <c r="K137" i="20"/>
  <c r="J137" i="20"/>
  <c r="I137" i="20"/>
  <c r="H137" i="20"/>
  <c r="P137" i="20" s="1"/>
  <c r="Q137" i="20" s="1"/>
  <c r="N136" i="20"/>
  <c r="M136" i="20"/>
  <c r="L136" i="20"/>
  <c r="K136" i="20"/>
  <c r="J136" i="20"/>
  <c r="I136" i="20"/>
  <c r="H136" i="20"/>
  <c r="P136" i="20" s="1"/>
  <c r="Q136" i="20" s="1"/>
  <c r="N135" i="20"/>
  <c r="M135" i="20"/>
  <c r="L135" i="20"/>
  <c r="K135" i="20"/>
  <c r="J135" i="20"/>
  <c r="I135" i="20"/>
  <c r="H135" i="20"/>
  <c r="P135" i="20" s="1"/>
  <c r="Q135" i="20" s="1"/>
  <c r="N134" i="20"/>
  <c r="M134" i="20"/>
  <c r="L134" i="20"/>
  <c r="K134" i="20"/>
  <c r="J134" i="20"/>
  <c r="I134" i="20"/>
  <c r="H134" i="20"/>
  <c r="P134" i="20" s="1"/>
  <c r="Q134" i="20" s="1"/>
  <c r="N133" i="20"/>
  <c r="M133" i="20"/>
  <c r="L133" i="20"/>
  <c r="K133" i="20"/>
  <c r="J133" i="20"/>
  <c r="I133" i="20"/>
  <c r="H133" i="20"/>
  <c r="P133" i="20" s="1"/>
  <c r="Q133" i="20" s="1"/>
  <c r="N132" i="20"/>
  <c r="M132" i="20"/>
  <c r="L132" i="20"/>
  <c r="K132" i="20"/>
  <c r="J132" i="20"/>
  <c r="I132" i="20"/>
  <c r="H132" i="20"/>
  <c r="P132" i="20" s="1"/>
  <c r="Q132" i="20" s="1"/>
  <c r="N131" i="20"/>
  <c r="M131" i="20"/>
  <c r="L131" i="20"/>
  <c r="K131" i="20"/>
  <c r="J131" i="20"/>
  <c r="I131" i="20"/>
  <c r="H131" i="20"/>
  <c r="P131" i="20" s="1"/>
  <c r="Q131" i="20" s="1"/>
  <c r="N130" i="20"/>
  <c r="M130" i="20"/>
  <c r="L130" i="20"/>
  <c r="K130" i="20"/>
  <c r="J130" i="20"/>
  <c r="I130" i="20"/>
  <c r="H130" i="20"/>
  <c r="P130" i="20" s="1"/>
  <c r="Q130" i="20" s="1"/>
  <c r="N129" i="20"/>
  <c r="M129" i="20"/>
  <c r="L129" i="20"/>
  <c r="K129" i="20"/>
  <c r="J129" i="20"/>
  <c r="I129" i="20"/>
  <c r="H129" i="20"/>
  <c r="P129" i="20" s="1"/>
  <c r="Q129" i="20" s="1"/>
  <c r="N128" i="20"/>
  <c r="M128" i="20"/>
  <c r="L128" i="20"/>
  <c r="K128" i="20"/>
  <c r="J128" i="20"/>
  <c r="I128" i="20"/>
  <c r="H128" i="20"/>
  <c r="P128" i="20" s="1"/>
  <c r="Q128" i="20" s="1"/>
  <c r="N127" i="20"/>
  <c r="M127" i="20"/>
  <c r="L127" i="20"/>
  <c r="K127" i="20"/>
  <c r="J127" i="20"/>
  <c r="I127" i="20"/>
  <c r="H127" i="20"/>
  <c r="P127" i="20" s="1"/>
  <c r="Q127" i="20" s="1"/>
  <c r="N126" i="20"/>
  <c r="M126" i="20"/>
  <c r="L126" i="20"/>
  <c r="K126" i="20"/>
  <c r="J126" i="20"/>
  <c r="I126" i="20"/>
  <c r="H126" i="20"/>
  <c r="P126" i="20" s="1"/>
  <c r="Q126" i="20" s="1"/>
  <c r="N125" i="20"/>
  <c r="M125" i="20"/>
  <c r="L125" i="20"/>
  <c r="K125" i="20"/>
  <c r="J125" i="20"/>
  <c r="I125" i="20"/>
  <c r="H125" i="20"/>
  <c r="P125" i="20" s="1"/>
  <c r="Q125" i="20" s="1"/>
  <c r="N124" i="20"/>
  <c r="M124" i="20"/>
  <c r="L124" i="20"/>
  <c r="K124" i="20"/>
  <c r="J124" i="20"/>
  <c r="I124" i="20"/>
  <c r="H124" i="20"/>
  <c r="P124" i="20" s="1"/>
  <c r="Q124" i="20" s="1"/>
  <c r="N123" i="20"/>
  <c r="M123" i="20"/>
  <c r="L123" i="20"/>
  <c r="K123" i="20"/>
  <c r="J123" i="20"/>
  <c r="I123" i="20"/>
  <c r="H123" i="20"/>
  <c r="P123" i="20" s="1"/>
  <c r="Q123" i="20" s="1"/>
  <c r="N122" i="20"/>
  <c r="M122" i="20"/>
  <c r="L122" i="20"/>
  <c r="K122" i="20"/>
  <c r="J122" i="20"/>
  <c r="I122" i="20"/>
  <c r="H122" i="20"/>
  <c r="P122" i="20" s="1"/>
  <c r="Q122" i="20" s="1"/>
  <c r="N121" i="20"/>
  <c r="M121" i="20"/>
  <c r="L121" i="20"/>
  <c r="K121" i="20"/>
  <c r="J121" i="20"/>
  <c r="I121" i="20"/>
  <c r="H121" i="20"/>
  <c r="P121" i="20" s="1"/>
  <c r="Q121" i="20" s="1"/>
  <c r="N120" i="20"/>
  <c r="M120" i="20"/>
  <c r="L120" i="20"/>
  <c r="K120" i="20"/>
  <c r="J120" i="20"/>
  <c r="I120" i="20"/>
  <c r="H120" i="20"/>
  <c r="P120" i="20" s="1"/>
  <c r="Q120" i="20" s="1"/>
  <c r="N119" i="20"/>
  <c r="M119" i="20"/>
  <c r="L119" i="20"/>
  <c r="K119" i="20"/>
  <c r="J119" i="20"/>
  <c r="I119" i="20"/>
  <c r="H119" i="20"/>
  <c r="P119" i="20" s="1"/>
  <c r="Q119" i="20" s="1"/>
  <c r="N118" i="20"/>
  <c r="M118" i="20"/>
  <c r="L118" i="20"/>
  <c r="K118" i="20"/>
  <c r="J118" i="20"/>
  <c r="I118" i="20"/>
  <c r="H118" i="20"/>
  <c r="P118" i="20" s="1"/>
  <c r="Q118" i="20" s="1"/>
  <c r="N117" i="20"/>
  <c r="M117" i="20"/>
  <c r="L117" i="20"/>
  <c r="K117" i="20"/>
  <c r="J117" i="20"/>
  <c r="I117" i="20"/>
  <c r="H117" i="20"/>
  <c r="P117" i="20" s="1"/>
  <c r="Q117" i="20" s="1"/>
  <c r="N116" i="20"/>
  <c r="M116" i="20"/>
  <c r="L116" i="20"/>
  <c r="K116" i="20"/>
  <c r="J116" i="20"/>
  <c r="I116" i="20"/>
  <c r="H116" i="20"/>
  <c r="P116" i="20" s="1"/>
  <c r="Q116" i="20" s="1"/>
  <c r="N115" i="20"/>
  <c r="M115" i="20"/>
  <c r="L115" i="20"/>
  <c r="K115" i="20"/>
  <c r="J115" i="20"/>
  <c r="I115" i="20"/>
  <c r="H115" i="20"/>
  <c r="P115" i="20" s="1"/>
  <c r="Q115" i="20" s="1"/>
  <c r="N114" i="20"/>
  <c r="M114" i="20"/>
  <c r="L114" i="20"/>
  <c r="K114" i="20"/>
  <c r="J114" i="20"/>
  <c r="I114" i="20"/>
  <c r="H114" i="20"/>
  <c r="P114" i="20" s="1"/>
  <c r="Q114" i="20" s="1"/>
  <c r="N113" i="20"/>
  <c r="M113" i="20"/>
  <c r="L113" i="20"/>
  <c r="K113" i="20"/>
  <c r="J113" i="20"/>
  <c r="I113" i="20"/>
  <c r="H113" i="20"/>
  <c r="P113" i="20" s="1"/>
  <c r="Q113" i="20" s="1"/>
  <c r="N112" i="20"/>
  <c r="M112" i="20"/>
  <c r="L112" i="20"/>
  <c r="K112" i="20"/>
  <c r="J112" i="20"/>
  <c r="I112" i="20"/>
  <c r="H112" i="20"/>
  <c r="P112" i="20" s="1"/>
  <c r="Q112" i="20" s="1"/>
  <c r="N111" i="20"/>
  <c r="M111" i="20"/>
  <c r="L111" i="20"/>
  <c r="K111" i="20"/>
  <c r="J111" i="20"/>
  <c r="I111" i="20"/>
  <c r="H111" i="20"/>
  <c r="P111" i="20" s="1"/>
  <c r="Q111" i="20" s="1"/>
  <c r="N110" i="20"/>
  <c r="M110" i="20"/>
  <c r="L110" i="20"/>
  <c r="K110" i="20"/>
  <c r="J110" i="20"/>
  <c r="I110" i="20"/>
  <c r="H110" i="20"/>
  <c r="P110" i="20" s="1"/>
  <c r="Q110" i="20" s="1"/>
  <c r="N109" i="20"/>
  <c r="M109" i="20"/>
  <c r="L109" i="20"/>
  <c r="K109" i="20"/>
  <c r="J109" i="20"/>
  <c r="I109" i="20"/>
  <c r="H109" i="20"/>
  <c r="P109" i="20" s="1"/>
  <c r="Q109" i="20" s="1"/>
  <c r="N108" i="20"/>
  <c r="M108" i="20"/>
  <c r="L108" i="20"/>
  <c r="K108" i="20"/>
  <c r="J108" i="20"/>
  <c r="I108" i="20"/>
  <c r="H108" i="20"/>
  <c r="P108" i="20" s="1"/>
  <c r="Q108" i="20" s="1"/>
  <c r="N107" i="20"/>
  <c r="M107" i="20"/>
  <c r="L107" i="20"/>
  <c r="K107" i="20"/>
  <c r="J107" i="20"/>
  <c r="I107" i="20"/>
  <c r="H107" i="20"/>
  <c r="P107" i="20" s="1"/>
  <c r="Q107" i="20" s="1"/>
  <c r="N106" i="20"/>
  <c r="M106" i="20"/>
  <c r="L106" i="20"/>
  <c r="K106" i="20"/>
  <c r="J106" i="20"/>
  <c r="I106" i="20"/>
  <c r="H106" i="20"/>
  <c r="P106" i="20" s="1"/>
  <c r="Q106" i="20" s="1"/>
  <c r="N105" i="20"/>
  <c r="M105" i="20"/>
  <c r="L105" i="20"/>
  <c r="K105" i="20"/>
  <c r="J105" i="20"/>
  <c r="I105" i="20"/>
  <c r="H105" i="20"/>
  <c r="P105" i="20" s="1"/>
  <c r="Q105" i="20" s="1"/>
  <c r="N104" i="20"/>
  <c r="M104" i="20"/>
  <c r="L104" i="20"/>
  <c r="K104" i="20"/>
  <c r="J104" i="20"/>
  <c r="I104" i="20"/>
  <c r="H1" i="20" a="1"/>
  <c r="H1" i="20"/>
  <c r="G6" i="19"/>
  <c r="E6" i="19"/>
  <c r="C6" i="19"/>
  <c r="G5" i="19"/>
  <c r="E5" i="19"/>
  <c r="C5" i="19"/>
  <c r="G4" i="19"/>
  <c r="E4" i="19"/>
  <c r="C4" i="19"/>
  <c r="G3" i="19"/>
  <c r="E3" i="19"/>
  <c r="C3" i="19"/>
  <c r="G2" i="19"/>
  <c r="E2" i="19"/>
  <c r="C2" i="19"/>
  <c r="H6" i="18"/>
  <c r="G6" i="18"/>
  <c r="H5" i="18"/>
  <c r="G5" i="18"/>
  <c r="H4" i="18"/>
  <c r="G4" i="18"/>
  <c r="H3" i="18"/>
  <c r="G3" i="18"/>
  <c r="H2" i="18"/>
  <c r="G2" i="18"/>
  <c r="H1" i="18"/>
  <c r="G1" i="18"/>
  <c r="M45" i="17"/>
  <c r="N45" i="17" s="1"/>
  <c r="J45" i="17"/>
  <c r="G45" i="17"/>
  <c r="C45" i="17"/>
  <c r="B45" i="17"/>
  <c r="M44" i="17"/>
  <c r="N44" i="17" s="1"/>
  <c r="J44" i="17"/>
  <c r="G44" i="17"/>
  <c r="C44" i="17"/>
  <c r="B44" i="17"/>
  <c r="M43" i="17"/>
  <c r="N43" i="17" s="1"/>
  <c r="J43" i="17"/>
  <c r="G43" i="17"/>
  <c r="C43" i="17"/>
  <c r="B43" i="17"/>
  <c r="M42" i="17"/>
  <c r="N42" i="17" s="1"/>
  <c r="J42" i="17"/>
  <c r="G42" i="17"/>
  <c r="C42" i="17"/>
  <c r="B42" i="17"/>
  <c r="M41" i="17"/>
  <c r="N41" i="17" s="1"/>
  <c r="J41" i="17"/>
  <c r="I3" i="18" s="1"/>
  <c r="F3" i="18" s="1"/>
  <c r="G41" i="17"/>
  <c r="C41" i="17"/>
  <c r="C3" i="18" s="1"/>
  <c r="D3" i="18" s="1"/>
  <c r="B41" i="17"/>
  <c r="M40" i="17"/>
  <c r="N40" i="17" s="1"/>
  <c r="J40" i="17"/>
  <c r="G40" i="17"/>
  <c r="C40" i="17"/>
  <c r="B40" i="17"/>
  <c r="M39" i="17"/>
  <c r="N39" i="17" s="1"/>
  <c r="J39" i="17"/>
  <c r="G39" i="17"/>
  <c r="C39" i="17"/>
  <c r="B39" i="17"/>
  <c r="M38" i="17"/>
  <c r="N38" i="17" s="1"/>
  <c r="J38" i="17"/>
  <c r="G38" i="17"/>
  <c r="C38" i="17"/>
  <c r="B38" i="17"/>
  <c r="M37" i="17"/>
  <c r="N37" i="17" s="1"/>
  <c r="J37" i="17"/>
  <c r="G37" i="17"/>
  <c r="C37" i="17"/>
  <c r="B37" i="17"/>
  <c r="M36" i="17"/>
  <c r="N36" i="17" s="1"/>
  <c r="J36" i="17"/>
  <c r="G36" i="17"/>
  <c r="C36" i="17"/>
  <c r="B36" i="17"/>
  <c r="M35" i="17"/>
  <c r="N35" i="17" s="1"/>
  <c r="J35" i="17"/>
  <c r="G35" i="17"/>
  <c r="C35" i="17"/>
  <c r="B35" i="17"/>
  <c r="M34" i="17"/>
  <c r="N34" i="17" s="1"/>
  <c r="J34" i="17"/>
  <c r="G34" i="17"/>
  <c r="C34" i="17"/>
  <c r="B34" i="17"/>
  <c r="M33" i="17"/>
  <c r="N33" i="17" s="1"/>
  <c r="J33" i="17"/>
  <c r="G33" i="17"/>
  <c r="C33" i="17"/>
  <c r="B33" i="17"/>
  <c r="M32" i="17"/>
  <c r="N32" i="17" s="1"/>
  <c r="J32" i="17"/>
  <c r="G32" i="17"/>
  <c r="C32" i="17"/>
  <c r="B32" i="17"/>
  <c r="M31" i="17"/>
  <c r="N31" i="17" s="1"/>
  <c r="J31" i="17"/>
  <c r="G31" i="17"/>
  <c r="C31" i="17"/>
  <c r="B31" i="17"/>
  <c r="M30" i="17"/>
  <c r="N30" i="17" s="1"/>
  <c r="J30" i="17"/>
  <c r="G30" i="17"/>
  <c r="C30" i="17"/>
  <c r="B30" i="17"/>
  <c r="M29" i="17"/>
  <c r="N29" i="17" s="1"/>
  <c r="J29" i="17"/>
  <c r="G29" i="17"/>
  <c r="C29" i="17"/>
  <c r="B29" i="17"/>
  <c r="M28" i="17"/>
  <c r="N28" i="17" s="1"/>
  <c r="J28" i="17"/>
  <c r="G28" i="17"/>
  <c r="C28" i="17"/>
  <c r="B28" i="17"/>
  <c r="M27" i="17"/>
  <c r="N27" i="17" s="1"/>
  <c r="J27" i="17"/>
  <c r="G27" i="17"/>
  <c r="C27" i="17"/>
  <c r="B27" i="17"/>
  <c r="M26" i="17"/>
  <c r="N26" i="17" s="1"/>
  <c r="J26" i="17"/>
  <c r="G26" i="17"/>
  <c r="C26" i="17"/>
  <c r="B26" i="17"/>
  <c r="M25" i="17"/>
  <c r="N25" i="17" s="1"/>
  <c r="J25" i="17"/>
  <c r="G25" i="17"/>
  <c r="C25" i="17"/>
  <c r="B25" i="17"/>
  <c r="M24" i="17"/>
  <c r="N24" i="17" s="1"/>
  <c r="J24" i="17"/>
  <c r="G24" i="17"/>
  <c r="C24" i="17"/>
  <c r="B24" i="17"/>
  <c r="M23" i="17"/>
  <c r="N23" i="17" s="1"/>
  <c r="J23" i="17"/>
  <c r="G23" i="17"/>
  <c r="C23" i="17"/>
  <c r="B23" i="17"/>
  <c r="M22" i="17"/>
  <c r="N22" i="17" s="1"/>
  <c r="J22" i="17"/>
  <c r="G22" i="17"/>
  <c r="C22" i="17"/>
  <c r="B22" i="17"/>
  <c r="M21" i="17"/>
  <c r="N21" i="17" s="1"/>
  <c r="J21" i="17"/>
  <c r="G21" i="17"/>
  <c r="C21" i="17"/>
  <c r="B21" i="17"/>
  <c r="M20" i="17"/>
  <c r="N20" i="17" s="1"/>
  <c r="J20" i="17"/>
  <c r="G20" i="17"/>
  <c r="C20" i="17"/>
  <c r="B20" i="17"/>
  <c r="M19" i="17"/>
  <c r="N19" i="17" s="1"/>
  <c r="J19" i="17"/>
  <c r="G19" i="17"/>
  <c r="C19" i="17"/>
  <c r="B19" i="17"/>
  <c r="M18" i="17"/>
  <c r="N18" i="17" s="1"/>
  <c r="J18" i="17"/>
  <c r="G18" i="17"/>
  <c r="C18" i="17"/>
  <c r="B18" i="17"/>
  <c r="M17" i="17"/>
  <c r="N17" i="17" s="1"/>
  <c r="J17" i="17"/>
  <c r="G17" i="17"/>
  <c r="C17" i="17"/>
  <c r="B17" i="17"/>
  <c r="M16" i="17"/>
  <c r="N16" i="17" s="1"/>
  <c r="J16" i="17"/>
  <c r="I1" i="18" s="1"/>
  <c r="F1" i="18" s="1"/>
  <c r="G16" i="17"/>
  <c r="C16" i="17"/>
  <c r="C1" i="18" s="1"/>
  <c r="D1" i="18" s="1"/>
  <c r="B16" i="17"/>
  <c r="M15" i="17"/>
  <c r="N15" i="17" s="1"/>
  <c r="J15" i="17"/>
  <c r="G15" i="17"/>
  <c r="C15" i="17"/>
  <c r="B15" i="17"/>
  <c r="M14" i="17"/>
  <c r="N14" i="17" s="1"/>
  <c r="J14" i="17"/>
  <c r="G14" i="17"/>
  <c r="C14" i="17"/>
  <c r="B14" i="17"/>
  <c r="M13" i="17"/>
  <c r="N13" i="17" s="1"/>
  <c r="J13" i="17"/>
  <c r="G13" i="17"/>
  <c r="C13" i="17"/>
  <c r="B13" i="17"/>
  <c r="M12" i="17"/>
  <c r="N12" i="17" s="1"/>
  <c r="J12" i="17"/>
  <c r="G12" i="17"/>
  <c r="C12" i="17"/>
  <c r="B12" i="17"/>
  <c r="M11" i="17"/>
  <c r="N11" i="17" s="1"/>
  <c r="J11" i="17"/>
  <c r="G11" i="17"/>
  <c r="C11" i="17"/>
  <c r="B11" i="17"/>
  <c r="M10" i="17"/>
  <c r="N10" i="17" s="1"/>
  <c r="J10" i="17"/>
  <c r="G10" i="17"/>
  <c r="C10" i="17"/>
  <c r="B10" i="17"/>
  <c r="M9" i="17"/>
  <c r="N9" i="17" s="1"/>
  <c r="J9" i="17"/>
  <c r="G9" i="17"/>
  <c r="C9" i="17"/>
  <c r="B9" i="17"/>
  <c r="M8" i="17"/>
  <c r="N8" i="17" s="1"/>
  <c r="J8" i="17"/>
  <c r="G8" i="17"/>
  <c r="C8" i="17"/>
  <c r="B8" i="17"/>
  <c r="M7" i="17"/>
  <c r="N7" i="17" s="1"/>
  <c r="J7" i="17"/>
  <c r="G7" i="17"/>
  <c r="C7" i="17"/>
  <c r="B7" i="17"/>
  <c r="M6" i="17"/>
  <c r="N6" i="17" s="1"/>
  <c r="J6" i="17"/>
  <c r="I4" i="18" s="1"/>
  <c r="F4" i="18" s="1"/>
  <c r="G6" i="17"/>
  <c r="C6" i="17"/>
  <c r="C4" i="18" s="1"/>
  <c r="D4" i="18" s="1"/>
  <c r="B6" i="17"/>
  <c r="M5" i="17"/>
  <c r="N5" i="17" s="1"/>
  <c r="J5" i="17"/>
  <c r="I5" i="18" s="1"/>
  <c r="F5" i="18" s="1"/>
  <c r="G5" i="17"/>
  <c r="C5" i="17"/>
  <c r="C5" i="18" s="1"/>
  <c r="D5" i="18" s="1"/>
  <c r="B5" i="17"/>
  <c r="M4" i="17"/>
  <c r="N4" i="17" s="1"/>
  <c r="J4" i="17"/>
  <c r="I2" i="18" s="1"/>
  <c r="F2" i="18" s="1"/>
  <c r="G4" i="17"/>
  <c r="C4" i="17"/>
  <c r="C2" i="18" s="1"/>
  <c r="D2" i="18" s="1"/>
  <c r="B4" i="17"/>
  <c r="M3" i="17"/>
  <c r="N3" i="17" s="1"/>
  <c r="J3" i="17"/>
  <c r="G3" i="17"/>
  <c r="C3" i="17"/>
  <c r="B3" i="17"/>
  <c r="M2" i="17"/>
  <c r="N2" i="17" s="1"/>
  <c r="J2" i="17"/>
  <c r="I6" i="18" s="1"/>
  <c r="F6" i="18" s="1"/>
  <c r="G2" i="17"/>
  <c r="C2" i="17"/>
  <c r="C6" i="18" s="1"/>
  <c r="D6" i="18" s="1"/>
  <c r="B2" i="17"/>
  <c r="B10" i="16"/>
  <c r="I8" i="16"/>
  <c r="C8" i="16"/>
  <c r="I7" i="16"/>
  <c r="C7" i="16"/>
  <c r="I6" i="16"/>
  <c r="C6" i="16"/>
  <c r="I5" i="16"/>
  <c r="C5" i="16"/>
  <c r="I4" i="16"/>
  <c r="C4" i="16"/>
  <c r="I3" i="16"/>
  <c r="C3" i="16"/>
  <c r="I2" i="16"/>
  <c r="C2" i="16"/>
  <c r="J47" i="15"/>
  <c r="J46" i="15"/>
  <c r="L12" i="15"/>
  <c r="L11" i="15"/>
  <c r="N9" i="13"/>
  <c r="H9" i="13"/>
  <c r="N8" i="13"/>
  <c r="H8" i="13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S31" i="12" s="1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S26" i="12" s="1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S21" i="12" s="1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S16" i="12" s="1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S11" i="12" s="1"/>
  <c r="S10" i="11" s="1"/>
  <c r="K3" i="13" s="1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S6" i="12" s="1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S14" i="11" s="1"/>
  <c r="K7" i="13" s="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S13" i="11" s="1"/>
  <c r="K6" i="13" s="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S12" i="11" s="1"/>
  <c r="K5" i="13" s="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S11" i="11" s="1"/>
  <c r="K4" i="13" s="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S9" i="11" s="1"/>
  <c r="K2" i="13" s="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S8" i="11" s="1"/>
  <c r="G7" i="1" s="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S7" i="11" s="1"/>
  <c r="G6" i="1" s="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S6" i="11" s="1"/>
  <c r="G5" i="1" s="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S5" i="11" s="1"/>
  <c r="G4" i="1" s="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S4" i="11" s="1"/>
  <c r="G3" i="1" s="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S3" i="11" s="1"/>
  <c r="G2" i="1" s="1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R19" i="10" s="1"/>
  <c r="J9" i="9" s="1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R18" i="10" s="1"/>
  <c r="J8" i="9" s="1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R17" i="10" s="1"/>
  <c r="J7" i="9" s="1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R16" i="10" s="1"/>
  <c r="J6" i="9" s="1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R15" i="10" s="1"/>
  <c r="J5" i="9" s="1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R14" i="10" s="1"/>
  <c r="J4" i="9" s="1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R13" i="10" s="1"/>
  <c r="J3" i="9" s="1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R12" i="10" s="1"/>
  <c r="J2" i="9" s="1"/>
  <c r="R10" i="10"/>
  <c r="R9" i="10"/>
  <c r="G8" i="16" s="1"/>
  <c r="R8" i="10"/>
  <c r="G7" i="16" s="1"/>
  <c r="R7" i="10"/>
  <c r="G6" i="16" s="1"/>
  <c r="R6" i="10"/>
  <c r="G5" i="16" s="1"/>
  <c r="R5" i="10"/>
  <c r="G4" i="16" s="1"/>
  <c r="R4" i="10"/>
  <c r="G3" i="16" s="1"/>
  <c r="R3" i="10"/>
  <c r="G2" i="16" s="1"/>
  <c r="L12" i="9"/>
  <c r="H12" i="9"/>
  <c r="L11" i="9"/>
  <c r="H11" i="9"/>
  <c r="H10" i="9"/>
  <c r="G9" i="9"/>
  <c r="E10" i="8"/>
  <c r="B10" i="8"/>
  <c r="E9" i="8"/>
  <c r="B9" i="8"/>
  <c r="M8" i="8"/>
  <c r="L8" i="8"/>
  <c r="K8" i="8"/>
  <c r="J8" i="8"/>
  <c r="M7" i="8"/>
  <c r="L7" i="8"/>
  <c r="K7" i="8"/>
  <c r="J7" i="8"/>
  <c r="M6" i="8"/>
  <c r="L6" i="8"/>
  <c r="K6" i="8"/>
  <c r="J6" i="8"/>
  <c r="M5" i="8"/>
  <c r="L5" i="8"/>
  <c r="K5" i="8"/>
  <c r="J5" i="8"/>
  <c r="M4" i="8"/>
  <c r="L4" i="8"/>
  <c r="K4" i="8"/>
  <c r="J4" i="8"/>
  <c r="M3" i="8"/>
  <c r="L3" i="8"/>
  <c r="K3" i="8"/>
  <c r="J3" i="8"/>
  <c r="G2" i="8"/>
  <c r="K7" i="7"/>
  <c r="I7" i="7"/>
  <c r="F7" i="7"/>
  <c r="E7" i="7"/>
  <c r="D7" i="7"/>
  <c r="H8" i="16" s="1"/>
  <c r="K8" i="9" s="1"/>
  <c r="K6" i="7"/>
  <c r="I6" i="7"/>
  <c r="F6" i="7"/>
  <c r="E6" i="7"/>
  <c r="D6" i="7"/>
  <c r="H7" i="16" s="1"/>
  <c r="K7" i="9" s="1"/>
  <c r="K5" i="7"/>
  <c r="I5" i="7"/>
  <c r="F5" i="7"/>
  <c r="E5" i="7"/>
  <c r="D5" i="7"/>
  <c r="H6" i="16" s="1"/>
  <c r="K6" i="9" s="1"/>
  <c r="K4" i="7"/>
  <c r="I4" i="7"/>
  <c r="F4" i="7"/>
  <c r="E4" i="7"/>
  <c r="D4" i="7"/>
  <c r="H5" i="16" s="1"/>
  <c r="K5" i="9" s="1"/>
  <c r="K3" i="7"/>
  <c r="I3" i="7"/>
  <c r="F3" i="7"/>
  <c r="E3" i="7"/>
  <c r="D3" i="7"/>
  <c r="H4" i="16" s="1"/>
  <c r="K4" i="9" s="1"/>
  <c r="K2" i="7"/>
  <c r="I2" i="7"/>
  <c r="F2" i="7"/>
  <c r="E2" i="7"/>
  <c r="D2" i="7"/>
  <c r="H3" i="16" s="1"/>
  <c r="K3" i="9" s="1"/>
  <c r="K1" i="7"/>
  <c r="I1" i="7"/>
  <c r="F1" i="7"/>
  <c r="E1" i="7"/>
  <c r="D1" i="7"/>
  <c r="H2" i="16" s="1"/>
  <c r="K2" i="9" s="1"/>
  <c r="J10" i="6"/>
  <c r="I10" i="6"/>
  <c r="H10" i="6"/>
  <c r="G10" i="6"/>
  <c r="F10" i="6"/>
  <c r="E10" i="6"/>
  <c r="D10" i="6"/>
  <c r="C10" i="6"/>
  <c r="B10" i="6"/>
  <c r="J9" i="6"/>
  <c r="I9" i="6"/>
  <c r="H9" i="6"/>
  <c r="G9" i="6"/>
  <c r="F9" i="6"/>
  <c r="E9" i="6"/>
  <c r="D9" i="6"/>
  <c r="C9" i="6"/>
  <c r="B9" i="6"/>
  <c r="M8" i="6"/>
  <c r="L8" i="6"/>
  <c r="M7" i="6"/>
  <c r="L7" i="6"/>
  <c r="M6" i="6"/>
  <c r="L6" i="6"/>
  <c r="M5" i="6"/>
  <c r="L5" i="6"/>
  <c r="M3" i="6"/>
  <c r="L3" i="6"/>
  <c r="X14" i="5"/>
  <c r="W14" i="5"/>
  <c r="V14" i="5"/>
  <c r="U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A10" i="5"/>
  <c r="Z10" i="5"/>
  <c r="AA9" i="5"/>
  <c r="Z9" i="5"/>
  <c r="AA8" i="5"/>
  <c r="Z8" i="5"/>
  <c r="AA7" i="5"/>
  <c r="Z7" i="5"/>
  <c r="AA4" i="5"/>
  <c r="Z4" i="5"/>
  <c r="L51" i="4"/>
  <c r="K51" i="4"/>
  <c r="J51" i="4"/>
  <c r="I51" i="4"/>
  <c r="L50" i="4"/>
  <c r="K50" i="4"/>
  <c r="J50" i="4"/>
  <c r="I50" i="4"/>
  <c r="P37" i="4"/>
  <c r="N37" i="4"/>
  <c r="P36" i="4"/>
  <c r="N36" i="4"/>
  <c r="P35" i="4"/>
  <c r="N35" i="4"/>
  <c r="P34" i="4"/>
  <c r="N34" i="4"/>
  <c r="P33" i="4"/>
  <c r="N33" i="4"/>
  <c r="P32" i="4"/>
  <c r="N32" i="4"/>
  <c r="P31" i="4"/>
  <c r="N31" i="4"/>
  <c r="P30" i="4"/>
  <c r="N30" i="4"/>
  <c r="P29" i="4"/>
  <c r="N29" i="4"/>
  <c r="P28" i="4"/>
  <c r="N28" i="4"/>
  <c r="P27" i="4"/>
  <c r="N27" i="4"/>
  <c r="H27" i="4"/>
  <c r="P26" i="4"/>
  <c r="N26" i="4"/>
  <c r="H26" i="4"/>
  <c r="P25" i="4"/>
  <c r="N25" i="4"/>
  <c r="H25" i="4"/>
  <c r="P24" i="4"/>
  <c r="N24" i="4"/>
  <c r="M24" i="4"/>
  <c r="H24" i="4"/>
  <c r="C24" i="4"/>
  <c r="P23" i="4"/>
  <c r="N23" i="4"/>
  <c r="M23" i="4"/>
  <c r="H23" i="4"/>
  <c r="C23" i="4"/>
  <c r="N22" i="4"/>
  <c r="P22" i="4" s="1"/>
  <c r="M22" i="4"/>
  <c r="H22" i="4"/>
  <c r="C22" i="4"/>
  <c r="P21" i="4"/>
  <c r="N21" i="4"/>
  <c r="M21" i="4"/>
  <c r="H21" i="4"/>
  <c r="C21" i="4"/>
  <c r="P20" i="4"/>
  <c r="N20" i="4"/>
  <c r="M20" i="4"/>
  <c r="H20" i="4"/>
  <c r="C20" i="4"/>
  <c r="P19" i="4"/>
  <c r="N19" i="4"/>
  <c r="M19" i="4"/>
  <c r="H19" i="4"/>
  <c r="C19" i="4"/>
  <c r="P18" i="4"/>
  <c r="N18" i="4"/>
  <c r="M18" i="4"/>
  <c r="H18" i="4"/>
  <c r="C18" i="4"/>
  <c r="P17" i="4"/>
  <c r="N17" i="4"/>
  <c r="M17" i="4"/>
  <c r="H17" i="4"/>
  <c r="C17" i="4"/>
  <c r="P16" i="4"/>
  <c r="N16" i="4"/>
  <c r="M16" i="4"/>
  <c r="H16" i="4"/>
  <c r="C16" i="4"/>
  <c r="P15" i="4"/>
  <c r="N15" i="4"/>
  <c r="M15" i="4"/>
  <c r="H15" i="4"/>
  <c r="C15" i="4"/>
  <c r="P14" i="4"/>
  <c r="N14" i="4"/>
  <c r="M14" i="4"/>
  <c r="H14" i="4"/>
  <c r="C14" i="4"/>
  <c r="P13" i="4"/>
  <c r="N13" i="4"/>
  <c r="M13" i="4"/>
  <c r="H13" i="4"/>
  <c r="C13" i="4"/>
  <c r="P12" i="4"/>
  <c r="N12" i="4"/>
  <c r="M12" i="4"/>
  <c r="H12" i="4"/>
  <c r="C12" i="4"/>
  <c r="P11" i="4"/>
  <c r="N11" i="4"/>
  <c r="M11" i="4"/>
  <c r="H11" i="4"/>
  <c r="C11" i="4"/>
  <c r="P10" i="4"/>
  <c r="N10" i="4"/>
  <c r="M10" i="4"/>
  <c r="H10" i="4"/>
  <c r="C10" i="4"/>
  <c r="P9" i="4"/>
  <c r="N9" i="4"/>
  <c r="M9" i="4"/>
  <c r="H9" i="4"/>
  <c r="C9" i="4"/>
  <c r="P8" i="4"/>
  <c r="N8" i="4"/>
  <c r="M8" i="4"/>
  <c r="H8" i="4"/>
  <c r="C8" i="4"/>
  <c r="P7" i="4"/>
  <c r="N7" i="4"/>
  <c r="M7" i="4"/>
  <c r="H7" i="4"/>
  <c r="C7" i="4"/>
  <c r="P6" i="4"/>
  <c r="N6" i="4"/>
  <c r="M6" i="4"/>
  <c r="H6" i="4"/>
  <c r="C6" i="4"/>
  <c r="P5" i="4"/>
  <c r="N5" i="4"/>
  <c r="M5" i="4"/>
  <c r="H5" i="4"/>
  <c r="C5" i="4"/>
  <c r="N4" i="4"/>
  <c r="P4" i="4" s="1"/>
  <c r="M4" i="4"/>
  <c r="H4" i="4"/>
  <c r="C4" i="4"/>
  <c r="N3" i="4"/>
  <c r="P3" i="4" s="1"/>
  <c r="M3" i="4"/>
  <c r="H3" i="4"/>
  <c r="C3" i="4"/>
  <c r="N2" i="4"/>
  <c r="P2" i="4" s="1"/>
  <c r="M2" i="4"/>
  <c r="H2" i="4"/>
  <c r="C2" i="4"/>
  <c r="F3" i="3"/>
  <c r="E47" i="2"/>
  <c r="E46" i="2"/>
  <c r="L45" i="2"/>
  <c r="K45" i="2"/>
  <c r="J45" i="2"/>
  <c r="I45" i="2"/>
  <c r="H45" i="15" s="1"/>
  <c r="H45" i="2"/>
  <c r="G45" i="2"/>
  <c r="F45" i="2"/>
  <c r="C45" i="2"/>
  <c r="B45" i="2"/>
  <c r="A45" i="2"/>
  <c r="L44" i="2"/>
  <c r="K44" i="2"/>
  <c r="J44" i="2"/>
  <c r="I44" i="2"/>
  <c r="H44" i="15" s="1"/>
  <c r="H44" i="2"/>
  <c r="G44" i="2"/>
  <c r="F44" i="2"/>
  <c r="C44" i="2"/>
  <c r="B44" i="2"/>
  <c r="A44" i="2"/>
  <c r="L43" i="2"/>
  <c r="K43" i="2"/>
  <c r="J43" i="2"/>
  <c r="I43" i="2"/>
  <c r="H43" i="15" s="1"/>
  <c r="H43" i="2"/>
  <c r="G43" i="2"/>
  <c r="F43" i="2"/>
  <c r="C43" i="2"/>
  <c r="B43" i="2"/>
  <c r="A43" i="2"/>
  <c r="L42" i="2"/>
  <c r="K42" i="2"/>
  <c r="J42" i="2"/>
  <c r="I42" i="2"/>
  <c r="H42" i="15" s="1"/>
  <c r="H42" i="2"/>
  <c r="G42" i="2"/>
  <c r="F42" i="2"/>
  <c r="C42" i="2"/>
  <c r="B42" i="2"/>
  <c r="A42" i="2"/>
  <c r="L41" i="2"/>
  <c r="K41" i="2"/>
  <c r="J41" i="2"/>
  <c r="I41" i="2"/>
  <c r="H41" i="15" s="1"/>
  <c r="H41" i="2"/>
  <c r="G41" i="2"/>
  <c r="F41" i="2"/>
  <c r="C41" i="2"/>
  <c r="B41" i="2"/>
  <c r="A41" i="2"/>
  <c r="L40" i="2"/>
  <c r="K40" i="2"/>
  <c r="J40" i="2"/>
  <c r="I40" i="2"/>
  <c r="H40" i="15" s="1"/>
  <c r="H40" i="2"/>
  <c r="G40" i="2"/>
  <c r="F40" i="2"/>
  <c r="C40" i="2"/>
  <c r="B40" i="2"/>
  <c r="A40" i="2"/>
  <c r="L39" i="2"/>
  <c r="K39" i="2"/>
  <c r="J39" i="2"/>
  <c r="I39" i="2"/>
  <c r="H39" i="15" s="1"/>
  <c r="H39" i="2"/>
  <c r="G39" i="2"/>
  <c r="F39" i="2"/>
  <c r="C39" i="2"/>
  <c r="B39" i="2"/>
  <c r="A39" i="2"/>
  <c r="L38" i="2"/>
  <c r="K38" i="2"/>
  <c r="J38" i="2"/>
  <c r="I38" i="2"/>
  <c r="H38" i="15" s="1"/>
  <c r="H38" i="2"/>
  <c r="G38" i="2"/>
  <c r="F38" i="2"/>
  <c r="C38" i="2"/>
  <c r="B38" i="2"/>
  <c r="A38" i="2"/>
  <c r="L37" i="2"/>
  <c r="K37" i="2"/>
  <c r="J37" i="2"/>
  <c r="I37" i="2"/>
  <c r="H37" i="15" s="1"/>
  <c r="H37" i="2"/>
  <c r="G37" i="2"/>
  <c r="F37" i="2"/>
  <c r="C37" i="2"/>
  <c r="B37" i="2"/>
  <c r="A37" i="2"/>
  <c r="L36" i="2"/>
  <c r="K36" i="2"/>
  <c r="J36" i="2"/>
  <c r="I36" i="2"/>
  <c r="H36" i="15" s="1"/>
  <c r="H36" i="2"/>
  <c r="G36" i="2"/>
  <c r="F36" i="2"/>
  <c r="C36" i="2"/>
  <c r="B36" i="2"/>
  <c r="A36" i="2"/>
  <c r="L35" i="2"/>
  <c r="K35" i="2"/>
  <c r="J35" i="2"/>
  <c r="I35" i="2"/>
  <c r="H35" i="15" s="1"/>
  <c r="H35" i="2"/>
  <c r="G35" i="2"/>
  <c r="F35" i="2"/>
  <c r="C35" i="2"/>
  <c r="B35" i="2"/>
  <c r="A35" i="2"/>
  <c r="L34" i="2"/>
  <c r="K34" i="2"/>
  <c r="J34" i="2"/>
  <c r="I34" i="2"/>
  <c r="H34" i="15" s="1"/>
  <c r="H34" i="2"/>
  <c r="G34" i="2"/>
  <c r="F34" i="2"/>
  <c r="C34" i="2"/>
  <c r="B34" i="2"/>
  <c r="A34" i="2"/>
  <c r="L33" i="2"/>
  <c r="K33" i="2"/>
  <c r="J33" i="2"/>
  <c r="I33" i="2"/>
  <c r="H33" i="15" s="1"/>
  <c r="H33" i="2"/>
  <c r="G33" i="2"/>
  <c r="F33" i="2"/>
  <c r="C33" i="2"/>
  <c r="B33" i="2"/>
  <c r="A33" i="2"/>
  <c r="L32" i="2"/>
  <c r="K32" i="2"/>
  <c r="J32" i="2"/>
  <c r="I32" i="2"/>
  <c r="H32" i="15" s="1"/>
  <c r="H32" i="2"/>
  <c r="G32" i="2"/>
  <c r="F32" i="2"/>
  <c r="C32" i="2"/>
  <c r="B32" i="2"/>
  <c r="A32" i="2"/>
  <c r="L31" i="2"/>
  <c r="K31" i="2"/>
  <c r="J31" i="2"/>
  <c r="I31" i="2"/>
  <c r="H31" i="15" s="1"/>
  <c r="H31" i="2"/>
  <c r="G31" i="2"/>
  <c r="F31" i="2"/>
  <c r="C31" i="2"/>
  <c r="B31" i="2"/>
  <c r="A31" i="2"/>
  <c r="L30" i="2"/>
  <c r="K30" i="2"/>
  <c r="J30" i="2"/>
  <c r="I30" i="2"/>
  <c r="H30" i="15" s="1"/>
  <c r="H30" i="2"/>
  <c r="G30" i="2"/>
  <c r="F30" i="2"/>
  <c r="C30" i="2"/>
  <c r="B30" i="2"/>
  <c r="A30" i="2"/>
  <c r="L29" i="2"/>
  <c r="K29" i="2"/>
  <c r="J29" i="2"/>
  <c r="I29" i="2"/>
  <c r="H29" i="15" s="1"/>
  <c r="H29" i="2"/>
  <c r="G29" i="2"/>
  <c r="F29" i="2"/>
  <c r="C29" i="2"/>
  <c r="B29" i="2"/>
  <c r="A29" i="2"/>
  <c r="L28" i="2"/>
  <c r="K28" i="2"/>
  <c r="J28" i="2"/>
  <c r="I28" i="2"/>
  <c r="H28" i="15" s="1"/>
  <c r="H28" i="2"/>
  <c r="G28" i="2"/>
  <c r="F28" i="2"/>
  <c r="C28" i="2"/>
  <c r="B28" i="2"/>
  <c r="A28" i="2"/>
  <c r="L27" i="2"/>
  <c r="K27" i="2"/>
  <c r="J27" i="2"/>
  <c r="I27" i="2"/>
  <c r="H27" i="15" s="1"/>
  <c r="H27" i="2"/>
  <c r="G27" i="2"/>
  <c r="F27" i="2"/>
  <c r="C27" i="2"/>
  <c r="B27" i="2"/>
  <c r="A27" i="2"/>
  <c r="L26" i="2"/>
  <c r="K26" i="2"/>
  <c r="J26" i="2"/>
  <c r="I26" i="2"/>
  <c r="H26" i="15" s="1"/>
  <c r="H26" i="2"/>
  <c r="G26" i="2"/>
  <c r="F26" i="2"/>
  <c r="C26" i="2"/>
  <c r="B26" i="2"/>
  <c r="A26" i="2"/>
  <c r="L25" i="2"/>
  <c r="K25" i="2"/>
  <c r="J25" i="2"/>
  <c r="I25" i="2"/>
  <c r="H25" i="15" s="1"/>
  <c r="H25" i="2"/>
  <c r="G25" i="2"/>
  <c r="F25" i="2"/>
  <c r="C25" i="2"/>
  <c r="B25" i="2"/>
  <c r="A25" i="2"/>
  <c r="L24" i="2"/>
  <c r="K24" i="2"/>
  <c r="J24" i="2"/>
  <c r="I24" i="2"/>
  <c r="H24" i="15" s="1"/>
  <c r="H24" i="2"/>
  <c r="G24" i="2"/>
  <c r="F24" i="2"/>
  <c r="C24" i="2"/>
  <c r="B24" i="2"/>
  <c r="A24" i="2"/>
  <c r="L23" i="2"/>
  <c r="K23" i="2"/>
  <c r="J23" i="2"/>
  <c r="I23" i="2"/>
  <c r="H23" i="15" s="1"/>
  <c r="H23" i="2"/>
  <c r="G23" i="2"/>
  <c r="F23" i="2"/>
  <c r="C23" i="2"/>
  <c r="B23" i="2"/>
  <c r="A23" i="2"/>
  <c r="L22" i="2"/>
  <c r="K22" i="2"/>
  <c r="J22" i="2"/>
  <c r="I22" i="2"/>
  <c r="H22" i="15" s="1"/>
  <c r="H22" i="2"/>
  <c r="G22" i="2"/>
  <c r="F22" i="2"/>
  <c r="C22" i="2"/>
  <c r="B22" i="2"/>
  <c r="A22" i="2"/>
  <c r="L21" i="2"/>
  <c r="K21" i="2"/>
  <c r="J21" i="2"/>
  <c r="I21" i="2"/>
  <c r="H21" i="15" s="1"/>
  <c r="H21" i="2"/>
  <c r="G21" i="2"/>
  <c r="F21" i="2"/>
  <c r="C21" i="2"/>
  <c r="B21" i="2"/>
  <c r="A21" i="2"/>
  <c r="L20" i="2"/>
  <c r="K20" i="2"/>
  <c r="J20" i="2"/>
  <c r="I20" i="2"/>
  <c r="H20" i="15" s="1"/>
  <c r="H20" i="2"/>
  <c r="G20" i="2"/>
  <c r="F20" i="2"/>
  <c r="C20" i="2"/>
  <c r="B20" i="2"/>
  <c r="A20" i="2"/>
  <c r="L19" i="2"/>
  <c r="K19" i="2"/>
  <c r="J19" i="2"/>
  <c r="I19" i="2"/>
  <c r="H19" i="15" s="1"/>
  <c r="H19" i="2"/>
  <c r="G19" i="2"/>
  <c r="F19" i="2"/>
  <c r="C19" i="2"/>
  <c r="B19" i="2"/>
  <c r="A19" i="2"/>
  <c r="L18" i="2"/>
  <c r="K18" i="2"/>
  <c r="J18" i="2"/>
  <c r="I18" i="2"/>
  <c r="H18" i="15" s="1"/>
  <c r="H18" i="2"/>
  <c r="G18" i="2"/>
  <c r="F18" i="2"/>
  <c r="C18" i="2"/>
  <c r="B18" i="2"/>
  <c r="A18" i="2"/>
  <c r="L17" i="2"/>
  <c r="K17" i="2"/>
  <c r="J17" i="2"/>
  <c r="I17" i="2"/>
  <c r="H17" i="15" s="1"/>
  <c r="H17" i="2"/>
  <c r="G17" i="2"/>
  <c r="F17" i="2"/>
  <c r="C17" i="2"/>
  <c r="B17" i="2"/>
  <c r="A17" i="2"/>
  <c r="L16" i="2"/>
  <c r="K16" i="2"/>
  <c r="J16" i="2"/>
  <c r="I16" i="2"/>
  <c r="H16" i="15" s="1"/>
  <c r="H16" i="2"/>
  <c r="G16" i="2"/>
  <c r="F16" i="2"/>
  <c r="C16" i="2"/>
  <c r="B16" i="2"/>
  <c r="A16" i="2"/>
  <c r="L15" i="2"/>
  <c r="K15" i="2"/>
  <c r="J15" i="2"/>
  <c r="I15" i="2"/>
  <c r="H15" i="15" s="1"/>
  <c r="H15" i="2"/>
  <c r="G15" i="2"/>
  <c r="F15" i="2"/>
  <c r="C15" i="2"/>
  <c r="B15" i="2"/>
  <c r="A15" i="2"/>
  <c r="L14" i="2"/>
  <c r="K14" i="2"/>
  <c r="J14" i="2"/>
  <c r="I14" i="2"/>
  <c r="H14" i="15" s="1"/>
  <c r="H14" i="2"/>
  <c r="G14" i="2"/>
  <c r="F14" i="2"/>
  <c r="C14" i="2"/>
  <c r="B14" i="2"/>
  <c r="A14" i="2"/>
  <c r="L13" i="2"/>
  <c r="K13" i="2"/>
  <c r="J13" i="2"/>
  <c r="I13" i="2"/>
  <c r="H13" i="15" s="1"/>
  <c r="H13" i="2"/>
  <c r="G13" i="2"/>
  <c r="F13" i="2"/>
  <c r="C13" i="2"/>
  <c r="B13" i="2"/>
  <c r="A13" i="2"/>
  <c r="L12" i="2"/>
  <c r="K12" i="2"/>
  <c r="J12" i="2"/>
  <c r="I12" i="2"/>
  <c r="H12" i="15" s="1"/>
  <c r="H12" i="2"/>
  <c r="G12" i="2"/>
  <c r="F12" i="2"/>
  <c r="C12" i="2"/>
  <c r="B12" i="2"/>
  <c r="A12" i="2"/>
  <c r="L11" i="2"/>
  <c r="K11" i="2"/>
  <c r="J11" i="2"/>
  <c r="I11" i="2"/>
  <c r="H11" i="15" s="1"/>
  <c r="H11" i="2"/>
  <c r="G11" i="2"/>
  <c r="F11" i="2"/>
  <c r="C11" i="2"/>
  <c r="B11" i="2"/>
  <c r="A11" i="2"/>
  <c r="L10" i="2"/>
  <c r="K10" i="2"/>
  <c r="J10" i="2"/>
  <c r="I10" i="2"/>
  <c r="H10" i="15" s="1"/>
  <c r="H10" i="2"/>
  <c r="G10" i="2"/>
  <c r="F10" i="2"/>
  <c r="C10" i="2"/>
  <c r="B10" i="2"/>
  <c r="A10" i="2"/>
  <c r="L9" i="2"/>
  <c r="K9" i="2"/>
  <c r="J9" i="2"/>
  <c r="I9" i="2"/>
  <c r="H9" i="15" s="1"/>
  <c r="H9" i="2"/>
  <c r="G9" i="2"/>
  <c r="F9" i="2"/>
  <c r="C9" i="2"/>
  <c r="B9" i="2"/>
  <c r="A9" i="2"/>
  <c r="L8" i="2"/>
  <c r="K8" i="2"/>
  <c r="J8" i="2"/>
  <c r="I8" i="2"/>
  <c r="H8" i="15" s="1"/>
  <c r="H8" i="2"/>
  <c r="G8" i="2"/>
  <c r="F8" i="2"/>
  <c r="C8" i="2"/>
  <c r="B8" i="2"/>
  <c r="A8" i="2"/>
  <c r="T7" i="2"/>
  <c r="L7" i="2"/>
  <c r="K7" i="2"/>
  <c r="J7" i="2"/>
  <c r="I7" i="2"/>
  <c r="H7" i="15" s="1"/>
  <c r="H7" i="2"/>
  <c r="G7" i="2"/>
  <c r="F7" i="2"/>
  <c r="C7" i="2"/>
  <c r="B7" i="2"/>
  <c r="A7" i="2"/>
  <c r="T6" i="2"/>
  <c r="L6" i="2"/>
  <c r="K6" i="2"/>
  <c r="J6" i="2"/>
  <c r="I6" i="2"/>
  <c r="H6" i="15" s="1"/>
  <c r="H6" i="2"/>
  <c r="G6" i="2"/>
  <c r="F6" i="2"/>
  <c r="C6" i="2"/>
  <c r="B6" i="2"/>
  <c r="A6" i="2"/>
  <c r="L5" i="2"/>
  <c r="K5" i="2"/>
  <c r="J5" i="2"/>
  <c r="I5" i="2"/>
  <c r="H5" i="15" s="1"/>
  <c r="H5" i="2"/>
  <c r="G5" i="2"/>
  <c r="F5" i="2"/>
  <c r="C5" i="2"/>
  <c r="B5" i="2"/>
  <c r="A5" i="2"/>
  <c r="T4" i="2"/>
  <c r="L4" i="2"/>
  <c r="K4" i="2"/>
  <c r="J4" i="2"/>
  <c r="I4" i="2"/>
  <c r="H4" i="15" s="1"/>
  <c r="H4" i="2"/>
  <c r="G4" i="2"/>
  <c r="C4" i="2"/>
  <c r="B4" i="2"/>
  <c r="A4" i="2"/>
  <c r="T3" i="2"/>
  <c r="L3" i="2"/>
  <c r="K3" i="2"/>
  <c r="J3" i="2"/>
  <c r="I3" i="2"/>
  <c r="H3" i="15" s="1"/>
  <c r="H3" i="2"/>
  <c r="G3" i="2"/>
  <c r="F3" i="2"/>
  <c r="C3" i="2"/>
  <c r="B3" i="2"/>
  <c r="A3" i="2"/>
  <c r="T2" i="2"/>
  <c r="L2" i="2"/>
  <c r="K2" i="2"/>
  <c r="J2" i="2"/>
  <c r="I2" i="2"/>
  <c r="H2" i="2"/>
  <c r="G2" i="2"/>
  <c r="F2" i="2"/>
  <c r="C2" i="2"/>
  <c r="B2" i="2"/>
  <c r="A2" i="2"/>
  <c r="B9" i="1"/>
  <c r="B8" i="1"/>
  <c r="J7" i="1"/>
  <c r="I7" i="1"/>
  <c r="C7" i="1"/>
  <c r="J6" i="1"/>
  <c r="I6" i="1"/>
  <c r="C6" i="1"/>
  <c r="J5" i="1"/>
  <c r="I5" i="1"/>
  <c r="C5" i="1"/>
  <c r="J4" i="1"/>
  <c r="I4" i="1"/>
  <c r="C4" i="1"/>
  <c r="J3" i="1"/>
  <c r="I3" i="1"/>
  <c r="C3" i="1"/>
  <c r="J2" i="1"/>
  <c r="I2" i="1"/>
  <c r="C2" i="1"/>
  <c r="I30" i="29" l="1"/>
  <c r="I29" i="29"/>
  <c r="I28" i="29"/>
  <c r="H30" i="29"/>
  <c r="G30" i="29" s="1"/>
  <c r="H29" i="29"/>
  <c r="G29" i="29" s="1"/>
  <c r="H28" i="29"/>
  <c r="G28" i="29" s="1"/>
  <c r="I25" i="29"/>
  <c r="I24" i="29"/>
  <c r="I23" i="29"/>
  <c r="H25" i="29"/>
  <c r="G25" i="29" s="1"/>
  <c r="H24" i="29"/>
  <c r="G24" i="29" s="1"/>
  <c r="H23" i="29"/>
  <c r="G23" i="29" s="1"/>
  <c r="N2" i="29"/>
  <c r="M2" i="29"/>
  <c r="H2" i="21"/>
  <c r="I2" i="21"/>
  <c r="J2" i="21"/>
  <c r="K2" i="21"/>
  <c r="G3" i="21"/>
  <c r="H3" i="21"/>
  <c r="I3" i="21"/>
  <c r="J3" i="21"/>
  <c r="K3" i="21"/>
  <c r="G4" i="21"/>
  <c r="H4" i="21"/>
  <c r="I4" i="21"/>
  <c r="J4" i="21"/>
  <c r="K4" i="21"/>
  <c r="G5" i="21"/>
  <c r="H5" i="21"/>
  <c r="I5" i="21"/>
  <c r="J5" i="21"/>
  <c r="K5" i="21"/>
  <c r="G6" i="21"/>
  <c r="H6" i="21"/>
  <c r="I6" i="21"/>
  <c r="J6" i="21"/>
  <c r="K6" i="21"/>
  <c r="G7" i="21"/>
  <c r="H7" i="21"/>
  <c r="I7" i="21"/>
  <c r="J7" i="21"/>
  <c r="K7" i="21"/>
  <c r="G8" i="21"/>
  <c r="H8" i="21"/>
  <c r="I8" i="21"/>
  <c r="J8" i="21"/>
  <c r="K8" i="21"/>
  <c r="G9" i="21"/>
  <c r="H9" i="21"/>
  <c r="I9" i="21"/>
  <c r="J9" i="21"/>
  <c r="K9" i="21"/>
  <c r="G10" i="21"/>
  <c r="H10" i="21"/>
  <c r="I10" i="21"/>
  <c r="J10" i="21"/>
  <c r="K10" i="21"/>
  <c r="G11" i="21"/>
  <c r="H11" i="21"/>
  <c r="I11" i="21"/>
  <c r="J11" i="21"/>
  <c r="K11" i="21"/>
  <c r="G12" i="21"/>
  <c r="H12" i="21"/>
  <c r="I12" i="21"/>
  <c r="J12" i="21"/>
  <c r="K12" i="21"/>
  <c r="G13" i="21"/>
  <c r="H13" i="21"/>
  <c r="I13" i="21"/>
  <c r="J13" i="21"/>
  <c r="K13" i="21"/>
  <c r="G14" i="21"/>
  <c r="H14" i="21"/>
  <c r="I14" i="21"/>
  <c r="J14" i="21"/>
  <c r="K14" i="21"/>
  <c r="G15" i="21"/>
  <c r="H15" i="21"/>
  <c r="I15" i="21"/>
  <c r="J15" i="21"/>
  <c r="K15" i="21"/>
  <c r="G16" i="21"/>
  <c r="H16" i="21"/>
  <c r="I16" i="21"/>
  <c r="J16" i="21"/>
  <c r="K16" i="21"/>
  <c r="G17" i="21"/>
  <c r="H17" i="21"/>
  <c r="I17" i="21"/>
  <c r="J17" i="21"/>
  <c r="K17" i="21"/>
  <c r="G18" i="21"/>
  <c r="H18" i="21"/>
  <c r="I18" i="21"/>
  <c r="J18" i="21"/>
  <c r="K18" i="21"/>
  <c r="G19" i="21"/>
  <c r="H19" i="21"/>
  <c r="I19" i="21"/>
  <c r="J19" i="21"/>
  <c r="K19" i="21"/>
  <c r="G20" i="21"/>
  <c r="H20" i="21"/>
  <c r="I20" i="21"/>
  <c r="J20" i="21"/>
  <c r="K20" i="21"/>
  <c r="G21" i="21"/>
  <c r="H21" i="21"/>
  <c r="I21" i="21"/>
  <c r="J21" i="21"/>
  <c r="K21" i="21"/>
  <c r="G22" i="21"/>
  <c r="H22" i="21"/>
  <c r="I22" i="21"/>
  <c r="J22" i="21"/>
  <c r="K22" i="21"/>
  <c r="G23" i="21"/>
  <c r="H23" i="21"/>
  <c r="I23" i="21"/>
  <c r="J23" i="21"/>
  <c r="K23" i="21"/>
  <c r="G24" i="21"/>
  <c r="H24" i="21"/>
  <c r="I24" i="21"/>
  <c r="J24" i="21"/>
  <c r="K24" i="21"/>
  <c r="G25" i="21"/>
  <c r="H25" i="21"/>
  <c r="I25" i="21"/>
  <c r="J25" i="21"/>
  <c r="K25" i="21"/>
  <c r="G26" i="21"/>
  <c r="H26" i="21"/>
  <c r="I26" i="21"/>
  <c r="J26" i="21"/>
  <c r="K26" i="21"/>
  <c r="G27" i="21"/>
  <c r="H27" i="21"/>
  <c r="I27" i="21"/>
  <c r="J27" i="21"/>
  <c r="K27" i="21"/>
  <c r="G28" i="21"/>
  <c r="H28" i="21"/>
  <c r="I28" i="21"/>
  <c r="J28" i="21"/>
  <c r="K28" i="21"/>
  <c r="G29" i="21"/>
  <c r="H29" i="21"/>
  <c r="I29" i="21"/>
  <c r="J29" i="21"/>
  <c r="K29" i="21"/>
  <c r="G30" i="21"/>
  <c r="H30" i="21"/>
  <c r="I30" i="21"/>
  <c r="J30" i="21"/>
  <c r="K30" i="21"/>
  <c r="G31" i="21"/>
  <c r="H31" i="21"/>
  <c r="I31" i="21"/>
  <c r="J31" i="21"/>
  <c r="K31" i="21"/>
  <c r="G32" i="21"/>
  <c r="H32" i="21"/>
  <c r="I32" i="21"/>
  <c r="J32" i="21"/>
  <c r="K32" i="21"/>
  <c r="G33" i="21"/>
  <c r="H33" i="21"/>
  <c r="I33" i="21"/>
  <c r="J33" i="21"/>
  <c r="K33" i="21"/>
  <c r="G34" i="21"/>
  <c r="H34" i="21"/>
  <c r="I34" i="21"/>
  <c r="J34" i="21"/>
  <c r="K34" i="21"/>
  <c r="G35" i="21"/>
  <c r="H35" i="21"/>
  <c r="I35" i="21"/>
  <c r="J35" i="21"/>
  <c r="K35" i="21"/>
  <c r="G36" i="21"/>
  <c r="H36" i="21"/>
  <c r="I36" i="21"/>
  <c r="J36" i="21"/>
  <c r="K36" i="21"/>
  <c r="G37" i="21"/>
  <c r="H37" i="21"/>
  <c r="I37" i="21"/>
  <c r="J37" i="21"/>
  <c r="K37" i="21"/>
  <c r="G38" i="21"/>
  <c r="H38" i="21"/>
  <c r="I38" i="21"/>
  <c r="J38" i="21"/>
  <c r="K38" i="21"/>
  <c r="G39" i="21"/>
  <c r="H39" i="21"/>
  <c r="I39" i="21"/>
  <c r="J39" i="21"/>
  <c r="K39" i="21"/>
  <c r="G40" i="21"/>
  <c r="H40" i="21"/>
  <c r="I40" i="21"/>
  <c r="J40" i="21"/>
  <c r="K40" i="21"/>
  <c r="G41" i="21"/>
  <c r="H41" i="21"/>
  <c r="I41" i="21"/>
  <c r="J41" i="21"/>
  <c r="K41" i="21"/>
  <c r="G42" i="21"/>
  <c r="H42" i="21"/>
  <c r="I42" i="21"/>
  <c r="J42" i="21"/>
  <c r="K42" i="21"/>
  <c r="G43" i="21"/>
  <c r="H43" i="21"/>
  <c r="I43" i="21"/>
  <c r="J43" i="21"/>
  <c r="K43" i="21"/>
  <c r="G44" i="21"/>
  <c r="H44" i="21"/>
  <c r="I44" i="21"/>
  <c r="J44" i="21"/>
  <c r="K44" i="21"/>
  <c r="G45" i="21"/>
  <c r="H45" i="21"/>
  <c r="I45" i="21"/>
  <c r="J45" i="21"/>
  <c r="K45" i="21"/>
  <c r="G46" i="21"/>
  <c r="H46" i="21"/>
  <c r="I46" i="21"/>
  <c r="J46" i="21"/>
  <c r="K46" i="21"/>
  <c r="G47" i="21"/>
  <c r="H47" i="21"/>
  <c r="I47" i="21"/>
  <c r="J47" i="21"/>
  <c r="K47" i="21"/>
  <c r="G48" i="21"/>
  <c r="H48" i="21"/>
  <c r="I48" i="21"/>
  <c r="J48" i="21"/>
  <c r="K48" i="21"/>
  <c r="G49" i="21"/>
  <c r="H49" i="21"/>
  <c r="I49" i="21"/>
  <c r="J49" i="21"/>
  <c r="K49" i="21"/>
  <c r="G50" i="21"/>
  <c r="H50" i="21"/>
  <c r="I50" i="21"/>
  <c r="J50" i="21"/>
  <c r="K50" i="21"/>
  <c r="G51" i="21"/>
  <c r="H51" i="21"/>
  <c r="I51" i="21"/>
  <c r="J51" i="21"/>
  <c r="K51" i="21"/>
  <c r="G52" i="21"/>
  <c r="H52" i="21"/>
  <c r="I52" i="21"/>
  <c r="J52" i="21"/>
  <c r="K52" i="21"/>
  <c r="G53" i="21"/>
  <c r="H53" i="21"/>
  <c r="I53" i="21"/>
  <c r="J53" i="21"/>
  <c r="K53" i="21"/>
  <c r="G54" i="21"/>
  <c r="H54" i="21"/>
  <c r="I54" i="21"/>
  <c r="J54" i="21"/>
  <c r="K54" i="21"/>
  <c r="G55" i="21"/>
  <c r="H55" i="21"/>
  <c r="I55" i="21"/>
  <c r="J55" i="21"/>
  <c r="K55" i="21"/>
  <c r="G56" i="21"/>
  <c r="H56" i="21"/>
  <c r="I56" i="21"/>
  <c r="J56" i="21"/>
  <c r="K56" i="21"/>
  <c r="G57" i="21"/>
  <c r="H57" i="21"/>
  <c r="I57" i="21"/>
  <c r="J57" i="21"/>
  <c r="K57" i="21"/>
  <c r="G58" i="21"/>
  <c r="H58" i="21"/>
  <c r="I58" i="21"/>
  <c r="J58" i="21"/>
  <c r="K58" i="21"/>
  <c r="G59" i="21"/>
  <c r="H59" i="21"/>
  <c r="I59" i="21"/>
  <c r="J59" i="21"/>
  <c r="K59" i="21"/>
  <c r="G60" i="21"/>
  <c r="H60" i="21"/>
  <c r="I60" i="21"/>
  <c r="J60" i="21"/>
  <c r="K60" i="21"/>
  <c r="G61" i="21"/>
  <c r="H61" i="21"/>
  <c r="I61" i="21"/>
  <c r="J61" i="21"/>
  <c r="K61" i="21"/>
  <c r="G62" i="21"/>
  <c r="H62" i="21"/>
  <c r="I62" i="21"/>
  <c r="J62" i="21"/>
  <c r="K62" i="21"/>
  <c r="G63" i="21"/>
  <c r="H63" i="21"/>
  <c r="I63" i="21"/>
  <c r="J63" i="21"/>
  <c r="K63" i="21"/>
  <c r="G64" i="21"/>
  <c r="H64" i="21"/>
  <c r="I64" i="21"/>
  <c r="J64" i="21"/>
  <c r="K64" i="21"/>
  <c r="G65" i="21"/>
  <c r="H65" i="21"/>
  <c r="I65" i="21"/>
  <c r="J65" i="21"/>
  <c r="K65" i="21"/>
  <c r="G66" i="21"/>
  <c r="H66" i="21"/>
  <c r="I66" i="21"/>
  <c r="J66" i="21"/>
  <c r="K66" i="21"/>
  <c r="G67" i="21"/>
  <c r="H67" i="21"/>
  <c r="I67" i="21"/>
  <c r="J67" i="21"/>
  <c r="K67" i="21"/>
  <c r="G68" i="21"/>
  <c r="H68" i="21"/>
  <c r="I68" i="21"/>
  <c r="J68" i="21"/>
  <c r="K68" i="21"/>
  <c r="G69" i="21"/>
  <c r="H69" i="21"/>
  <c r="I69" i="21"/>
  <c r="J69" i="21"/>
  <c r="K69" i="21"/>
  <c r="G70" i="21"/>
  <c r="H70" i="21"/>
  <c r="I70" i="21"/>
  <c r="J70" i="21"/>
  <c r="K70" i="21"/>
  <c r="G71" i="21"/>
  <c r="H71" i="21"/>
  <c r="I71" i="21"/>
  <c r="J71" i="21"/>
  <c r="K71" i="21"/>
  <c r="G72" i="21"/>
  <c r="H72" i="21"/>
  <c r="I72" i="21"/>
  <c r="J72" i="21"/>
  <c r="K72" i="21"/>
  <c r="G73" i="21"/>
  <c r="H73" i="21"/>
  <c r="I73" i="21"/>
  <c r="J73" i="21"/>
  <c r="K73" i="21"/>
  <c r="G74" i="21"/>
  <c r="H74" i="21"/>
  <c r="I74" i="21"/>
  <c r="J74" i="21"/>
  <c r="K74" i="21"/>
  <c r="G75" i="21"/>
  <c r="H75" i="21"/>
  <c r="I75" i="21"/>
  <c r="J75" i="21"/>
  <c r="K75" i="21"/>
  <c r="G76" i="21"/>
  <c r="H76" i="21"/>
  <c r="I76" i="21"/>
  <c r="J76" i="21"/>
  <c r="K76" i="21"/>
  <c r="G77" i="21"/>
  <c r="H77" i="21"/>
  <c r="I77" i="21"/>
  <c r="J77" i="21"/>
  <c r="K77" i="21"/>
  <c r="G78" i="21"/>
  <c r="H78" i="21"/>
  <c r="I78" i="21"/>
  <c r="J78" i="21"/>
  <c r="K78" i="21"/>
  <c r="G79" i="21"/>
  <c r="H79" i="21"/>
  <c r="I79" i="21"/>
  <c r="J79" i="21"/>
  <c r="K79" i="21"/>
  <c r="G80" i="21"/>
  <c r="H80" i="21"/>
  <c r="I80" i="21"/>
  <c r="J80" i="21"/>
  <c r="K80" i="21"/>
  <c r="G81" i="21"/>
  <c r="H81" i="21"/>
  <c r="I81" i="21"/>
  <c r="J81" i="21"/>
  <c r="K81" i="21"/>
  <c r="G82" i="21"/>
  <c r="H82" i="21"/>
  <c r="I82" i="21"/>
  <c r="J82" i="21"/>
  <c r="K82" i="21"/>
  <c r="G83" i="21"/>
  <c r="H83" i="21"/>
  <c r="I83" i="21"/>
  <c r="J83" i="21"/>
  <c r="K83" i="21"/>
  <c r="G84" i="21"/>
  <c r="H84" i="21"/>
  <c r="I84" i="21"/>
  <c r="J84" i="21"/>
  <c r="K84" i="21"/>
  <c r="G85" i="21"/>
  <c r="H85" i="21"/>
  <c r="I85" i="21"/>
  <c r="J85" i="21"/>
  <c r="K85" i="21"/>
  <c r="G86" i="21"/>
  <c r="H86" i="21"/>
  <c r="I86" i="21"/>
  <c r="J86" i="21"/>
  <c r="K86" i="21"/>
  <c r="G87" i="21"/>
  <c r="H87" i="21"/>
  <c r="I87" i="21"/>
  <c r="J87" i="21"/>
  <c r="K87" i="21"/>
  <c r="G88" i="21"/>
  <c r="H88" i="21"/>
  <c r="I88" i="21"/>
  <c r="J88" i="21"/>
  <c r="K88" i="21"/>
  <c r="G89" i="21"/>
  <c r="H89" i="21"/>
  <c r="I89" i="21"/>
  <c r="J89" i="21"/>
  <c r="K89" i="21"/>
  <c r="G90" i="21"/>
  <c r="H90" i="21"/>
  <c r="I90" i="21"/>
  <c r="J90" i="21"/>
  <c r="K90" i="21"/>
  <c r="G91" i="21"/>
  <c r="H91" i="21"/>
  <c r="I91" i="21"/>
  <c r="J91" i="21"/>
  <c r="K91" i="21"/>
  <c r="G92" i="21"/>
  <c r="H92" i="21"/>
  <c r="I92" i="21"/>
  <c r="J92" i="21"/>
  <c r="K92" i="21"/>
  <c r="G93" i="21"/>
  <c r="H93" i="21"/>
  <c r="I93" i="21"/>
  <c r="J93" i="21"/>
  <c r="K93" i="21"/>
  <c r="G94" i="21"/>
  <c r="H94" i="21"/>
  <c r="I94" i="21"/>
  <c r="J94" i="21"/>
  <c r="K94" i="21"/>
  <c r="G95" i="21"/>
  <c r="H95" i="21"/>
  <c r="I95" i="21"/>
  <c r="J95" i="21"/>
  <c r="K95" i="21"/>
  <c r="G96" i="21"/>
  <c r="H96" i="21"/>
  <c r="I96" i="21"/>
  <c r="J96" i="21"/>
  <c r="K96" i="21"/>
  <c r="G97" i="21"/>
  <c r="H97" i="21"/>
  <c r="I97" i="21"/>
  <c r="J97" i="21"/>
  <c r="K97" i="21"/>
  <c r="G98" i="21"/>
  <c r="H98" i="21"/>
  <c r="I98" i="21"/>
  <c r="J98" i="21"/>
  <c r="K98" i="21"/>
  <c r="G99" i="21"/>
  <c r="H99" i="21"/>
  <c r="I99" i="21"/>
  <c r="J99" i="21"/>
  <c r="K99" i="21"/>
  <c r="G100" i="21"/>
  <c r="H100" i="21"/>
  <c r="I100" i="21"/>
  <c r="J100" i="21"/>
  <c r="K100" i="21"/>
  <c r="G101" i="21"/>
  <c r="H101" i="21"/>
  <c r="I101" i="21"/>
  <c r="J101" i="21"/>
  <c r="K101" i="21"/>
  <c r="G102" i="21"/>
  <c r="H102" i="21"/>
  <c r="I102" i="21"/>
  <c r="J102" i="21"/>
  <c r="K102" i="21"/>
  <c r="G103" i="21"/>
  <c r="H103" i="21"/>
  <c r="I103" i="21"/>
  <c r="J103" i="21"/>
  <c r="K103" i="21"/>
  <c r="G104" i="21"/>
  <c r="H104" i="21"/>
  <c r="I104" i="21"/>
  <c r="J104" i="21"/>
  <c r="K104" i="21"/>
  <c r="G105" i="21"/>
  <c r="H105" i="21"/>
  <c r="I105" i="21"/>
  <c r="J105" i="21"/>
  <c r="K105" i="21"/>
  <c r="G106" i="21"/>
  <c r="H106" i="21"/>
  <c r="I106" i="21"/>
  <c r="J106" i="21"/>
  <c r="K106" i="21"/>
  <c r="G107" i="21"/>
  <c r="H107" i="21"/>
  <c r="I107" i="21"/>
  <c r="J107" i="21"/>
  <c r="K107" i="21"/>
  <c r="G108" i="21"/>
  <c r="H108" i="21"/>
  <c r="I108" i="21"/>
  <c r="J108" i="21"/>
  <c r="K108" i="21"/>
  <c r="G109" i="21"/>
  <c r="H109" i="21"/>
  <c r="I109" i="21"/>
  <c r="J109" i="21"/>
  <c r="K109" i="21"/>
  <c r="G110" i="21"/>
  <c r="H110" i="21"/>
  <c r="I110" i="21"/>
  <c r="J110" i="21"/>
  <c r="K110" i="21"/>
  <c r="G111" i="21"/>
  <c r="H111" i="21"/>
  <c r="I111" i="21"/>
  <c r="J111" i="21"/>
  <c r="K111" i="21"/>
  <c r="G112" i="21"/>
  <c r="H112" i="21"/>
  <c r="I112" i="21"/>
  <c r="J112" i="21"/>
  <c r="K112" i="21"/>
  <c r="G113" i="21"/>
  <c r="H113" i="21"/>
  <c r="I113" i="21"/>
  <c r="J113" i="21"/>
  <c r="K113" i="21"/>
  <c r="G114" i="21"/>
  <c r="H114" i="21"/>
  <c r="I114" i="21"/>
  <c r="J114" i="21"/>
  <c r="K114" i="21"/>
  <c r="G115" i="21"/>
  <c r="H115" i="21"/>
  <c r="I115" i="21"/>
  <c r="J115" i="21"/>
  <c r="K115" i="21"/>
  <c r="G116" i="21"/>
  <c r="H116" i="21"/>
  <c r="I116" i="21"/>
  <c r="J116" i="21"/>
  <c r="K116" i="21"/>
  <c r="G117" i="21"/>
  <c r="H117" i="21"/>
  <c r="I117" i="21"/>
  <c r="J117" i="21"/>
  <c r="K117" i="21"/>
  <c r="G118" i="21"/>
  <c r="H118" i="21"/>
  <c r="I118" i="21"/>
  <c r="J118" i="21"/>
  <c r="K118" i="21"/>
  <c r="G119" i="21"/>
  <c r="H119" i="21"/>
  <c r="I119" i="21"/>
  <c r="J119" i="21"/>
  <c r="K119" i="21"/>
  <c r="G120" i="21"/>
  <c r="H120" i="21"/>
  <c r="I120" i="21"/>
  <c r="J120" i="21"/>
  <c r="K120" i="21"/>
  <c r="G121" i="21"/>
  <c r="H121" i="21"/>
  <c r="I121" i="21"/>
  <c r="J121" i="21"/>
  <c r="K121" i="21"/>
  <c r="G122" i="21"/>
  <c r="H122" i="21"/>
  <c r="I122" i="21"/>
  <c r="J122" i="21"/>
  <c r="K122" i="21"/>
  <c r="G123" i="21"/>
  <c r="H123" i="21"/>
  <c r="I123" i="21"/>
  <c r="J123" i="21"/>
  <c r="K123" i="21"/>
  <c r="G124" i="21"/>
  <c r="H124" i="21"/>
  <c r="I124" i="21"/>
  <c r="J124" i="21"/>
  <c r="K124" i="21"/>
  <c r="G125" i="21"/>
  <c r="H125" i="21"/>
  <c r="I125" i="21"/>
  <c r="J125" i="21"/>
  <c r="K125" i="21"/>
  <c r="G126" i="21"/>
  <c r="H126" i="21"/>
  <c r="I126" i="21"/>
  <c r="J126" i="21"/>
  <c r="K126" i="21"/>
  <c r="G127" i="21"/>
  <c r="H127" i="21"/>
  <c r="I127" i="21"/>
  <c r="J127" i="21"/>
  <c r="K127" i="21"/>
  <c r="G128" i="21"/>
  <c r="H128" i="21"/>
  <c r="I128" i="21"/>
  <c r="J128" i="21"/>
  <c r="K128" i="21"/>
  <c r="G129" i="21"/>
  <c r="H129" i="21"/>
  <c r="I129" i="21"/>
  <c r="J129" i="21"/>
  <c r="K129" i="21"/>
  <c r="G130" i="21"/>
  <c r="H130" i="21"/>
  <c r="I130" i="21"/>
  <c r="J130" i="21"/>
  <c r="K130" i="21"/>
  <c r="G131" i="21"/>
  <c r="H131" i="21"/>
  <c r="I131" i="21"/>
  <c r="J131" i="21"/>
  <c r="K131" i="21"/>
  <c r="G132" i="21"/>
  <c r="H132" i="21"/>
  <c r="I132" i="21"/>
  <c r="J132" i="21"/>
  <c r="K132" i="21"/>
  <c r="G133" i="21"/>
  <c r="H133" i="21"/>
  <c r="I133" i="21"/>
  <c r="J133" i="21"/>
  <c r="K133" i="21"/>
  <c r="G134" i="21"/>
  <c r="H134" i="21"/>
  <c r="I134" i="21"/>
  <c r="J134" i="21"/>
  <c r="K134" i="21"/>
  <c r="G135" i="21"/>
  <c r="H135" i="21"/>
  <c r="I135" i="21"/>
  <c r="J135" i="21"/>
  <c r="K135" i="21"/>
  <c r="G136" i="21"/>
  <c r="H136" i="21"/>
  <c r="I136" i="21"/>
  <c r="J136" i="21"/>
  <c r="K136" i="21"/>
  <c r="G137" i="21"/>
  <c r="H137" i="21"/>
  <c r="I137" i="21"/>
  <c r="J137" i="21"/>
  <c r="K137" i="21"/>
  <c r="G138" i="21"/>
  <c r="H138" i="21"/>
  <c r="I138" i="21"/>
  <c r="J138" i="21"/>
  <c r="K138" i="21"/>
  <c r="G139" i="21"/>
  <c r="H139" i="21"/>
  <c r="I139" i="21"/>
  <c r="J139" i="21"/>
  <c r="K139" i="21"/>
  <c r="G140" i="21"/>
  <c r="H140" i="21"/>
  <c r="I140" i="21"/>
  <c r="J140" i="21"/>
  <c r="K140" i="21"/>
  <c r="G141" i="21"/>
  <c r="H141" i="21"/>
  <c r="I141" i="21"/>
  <c r="J141" i="21"/>
  <c r="K141" i="21"/>
  <c r="G142" i="21"/>
  <c r="H142" i="21"/>
  <c r="I142" i="21"/>
  <c r="J142" i="21"/>
  <c r="K142" i="21"/>
  <c r="G143" i="21"/>
  <c r="H143" i="21"/>
  <c r="I143" i="21"/>
  <c r="J143" i="21"/>
  <c r="K143" i="21"/>
  <c r="G144" i="21"/>
  <c r="H144" i="21"/>
  <c r="I144" i="21"/>
  <c r="J144" i="21"/>
  <c r="K144" i="21"/>
  <c r="G145" i="21"/>
  <c r="H145" i="21"/>
  <c r="I145" i="21"/>
  <c r="J145" i="21"/>
  <c r="K145" i="21"/>
  <c r="G146" i="21"/>
  <c r="H146" i="21"/>
  <c r="I146" i="21"/>
  <c r="J146" i="21"/>
  <c r="K146" i="21"/>
  <c r="G147" i="21"/>
  <c r="H147" i="21"/>
  <c r="I147" i="21"/>
  <c r="J147" i="21"/>
  <c r="K147" i="21"/>
  <c r="G148" i="21"/>
  <c r="H148" i="21"/>
  <c r="I148" i="21"/>
  <c r="J148" i="21"/>
  <c r="K148" i="21"/>
  <c r="G149" i="21"/>
  <c r="H149" i="21"/>
  <c r="I149" i="21"/>
  <c r="J149" i="21"/>
  <c r="K149" i="21"/>
  <c r="G150" i="21"/>
  <c r="H150" i="21"/>
  <c r="I150" i="21"/>
  <c r="J150" i="21"/>
  <c r="K150" i="21"/>
  <c r="G151" i="21"/>
  <c r="H151" i="21"/>
  <c r="I151" i="21"/>
  <c r="J151" i="21"/>
  <c r="K151" i="21"/>
  <c r="G152" i="21"/>
  <c r="H152" i="21"/>
  <c r="I152" i="21"/>
  <c r="J152" i="21"/>
  <c r="K152" i="21"/>
  <c r="G153" i="21"/>
  <c r="H153" i="21"/>
  <c r="I153" i="21"/>
  <c r="J153" i="21"/>
  <c r="K153" i="21"/>
  <c r="G154" i="21"/>
  <c r="H154" i="21"/>
  <c r="I154" i="21"/>
  <c r="J154" i="21"/>
  <c r="K154" i="21"/>
  <c r="G155" i="21"/>
  <c r="H155" i="21"/>
  <c r="I155" i="21"/>
  <c r="J155" i="21"/>
  <c r="K155" i="21"/>
  <c r="G156" i="21"/>
  <c r="H156" i="21"/>
  <c r="I156" i="21"/>
  <c r="J156" i="21"/>
  <c r="K156" i="21"/>
  <c r="G157" i="21"/>
  <c r="H157" i="21"/>
  <c r="I157" i="21"/>
  <c r="J157" i="21"/>
  <c r="K157" i="21"/>
  <c r="G158" i="21"/>
  <c r="H158" i="21"/>
  <c r="I158" i="21"/>
  <c r="J158" i="21"/>
  <c r="K158" i="21"/>
  <c r="G159" i="21"/>
  <c r="H159" i="21"/>
  <c r="I159" i="21"/>
  <c r="J159" i="21"/>
  <c r="K159" i="21"/>
  <c r="G160" i="21"/>
  <c r="H160" i="21"/>
  <c r="I160" i="21"/>
  <c r="J160" i="21"/>
  <c r="K160" i="21"/>
  <c r="G161" i="21"/>
  <c r="H161" i="21"/>
  <c r="I161" i="21"/>
  <c r="J161" i="21"/>
  <c r="K161" i="21"/>
  <c r="G162" i="21"/>
  <c r="H162" i="21"/>
  <c r="I162" i="21"/>
  <c r="J162" i="21"/>
  <c r="K162" i="21"/>
  <c r="G163" i="21"/>
  <c r="H163" i="21"/>
  <c r="I163" i="21"/>
  <c r="J163" i="21"/>
  <c r="K163" i="21"/>
  <c r="G164" i="21"/>
  <c r="H164" i="21"/>
  <c r="I164" i="21"/>
  <c r="J164" i="21"/>
  <c r="K164" i="21"/>
  <c r="G165" i="21"/>
  <c r="H165" i="21"/>
  <c r="I165" i="21"/>
  <c r="J165" i="21"/>
  <c r="K165" i="21"/>
  <c r="G166" i="21"/>
  <c r="H166" i="21"/>
  <c r="I166" i="21"/>
  <c r="J166" i="21"/>
  <c r="K166" i="21"/>
  <c r="G167" i="21"/>
  <c r="H167" i="21"/>
  <c r="I167" i="21"/>
  <c r="J167" i="21"/>
  <c r="K167" i="21"/>
  <c r="G168" i="21"/>
  <c r="H168" i="21"/>
  <c r="I168" i="21"/>
  <c r="J168" i="21"/>
  <c r="K168" i="21"/>
  <c r="G169" i="21"/>
  <c r="H169" i="21"/>
  <c r="I169" i="21"/>
  <c r="J169" i="21"/>
  <c r="K169" i="21"/>
  <c r="G170" i="21"/>
  <c r="H170" i="21"/>
  <c r="I170" i="21"/>
  <c r="J170" i="21"/>
  <c r="K170" i="21"/>
  <c r="G171" i="21"/>
  <c r="H171" i="21"/>
  <c r="I171" i="21"/>
  <c r="J171" i="21"/>
  <c r="K171" i="21"/>
  <c r="G172" i="21"/>
  <c r="H172" i="21"/>
  <c r="I172" i="21"/>
  <c r="J172" i="21"/>
  <c r="K172" i="21"/>
  <c r="G173" i="21"/>
  <c r="H173" i="21"/>
  <c r="I173" i="21"/>
  <c r="J173" i="21"/>
  <c r="K173" i="21"/>
  <c r="G174" i="21"/>
  <c r="H174" i="21"/>
  <c r="I174" i="21"/>
  <c r="J174" i="21"/>
  <c r="K174" i="21"/>
  <c r="G175" i="21"/>
  <c r="H175" i="21"/>
  <c r="I175" i="21"/>
  <c r="J175" i="21"/>
  <c r="K175" i="21"/>
  <c r="G176" i="21"/>
  <c r="H176" i="21"/>
  <c r="I176" i="21"/>
  <c r="J176" i="21"/>
  <c r="K176" i="21"/>
  <c r="G177" i="21"/>
  <c r="H177" i="21"/>
  <c r="I177" i="21"/>
  <c r="J177" i="21"/>
  <c r="K177" i="21"/>
  <c r="G178" i="21"/>
  <c r="H178" i="21"/>
  <c r="I178" i="21"/>
  <c r="J178" i="21"/>
  <c r="K178" i="21"/>
  <c r="G179" i="21"/>
  <c r="H179" i="21"/>
  <c r="I179" i="21"/>
  <c r="J179" i="21"/>
  <c r="K179" i="21"/>
  <c r="G180" i="21"/>
  <c r="H180" i="21"/>
  <c r="I180" i="21"/>
  <c r="J180" i="21"/>
  <c r="K180" i="21"/>
  <c r="G181" i="21"/>
  <c r="H181" i="21"/>
  <c r="I181" i="21"/>
  <c r="J181" i="21"/>
  <c r="K181" i="21"/>
  <c r="G182" i="21"/>
  <c r="H182" i="21"/>
  <c r="I182" i="21"/>
  <c r="J182" i="21"/>
  <c r="K182" i="21"/>
  <c r="G183" i="21"/>
  <c r="H183" i="21"/>
  <c r="I183" i="21"/>
  <c r="J183" i="21"/>
  <c r="K183" i="21"/>
  <c r="G184" i="21"/>
  <c r="H184" i="21"/>
  <c r="I184" i="21"/>
  <c r="J184" i="21"/>
  <c r="K184" i="21"/>
  <c r="G185" i="21"/>
  <c r="H185" i="21"/>
  <c r="I185" i="21"/>
  <c r="J185" i="21"/>
  <c r="K185" i="21"/>
  <c r="G186" i="21"/>
  <c r="H186" i="21"/>
  <c r="I186" i="21"/>
  <c r="J186" i="21"/>
  <c r="K186" i="21"/>
  <c r="G187" i="21"/>
  <c r="H187" i="21"/>
  <c r="I187" i="21"/>
  <c r="J187" i="21"/>
  <c r="K187" i="21"/>
  <c r="G188" i="21"/>
  <c r="H188" i="21"/>
  <c r="I188" i="21"/>
  <c r="J188" i="21"/>
  <c r="K188" i="21"/>
  <c r="G189" i="21"/>
  <c r="H189" i="21"/>
  <c r="I189" i="21"/>
  <c r="J189" i="21"/>
  <c r="K189" i="21"/>
  <c r="G190" i="21"/>
  <c r="H190" i="21"/>
  <c r="I190" i="21"/>
  <c r="J190" i="21"/>
  <c r="K190" i="21"/>
  <c r="G191" i="21"/>
  <c r="H191" i="21"/>
  <c r="I191" i="21"/>
  <c r="J191" i="21"/>
  <c r="K191" i="21"/>
  <c r="G192" i="21"/>
  <c r="H192" i="21"/>
  <c r="I192" i="21"/>
  <c r="J192" i="21"/>
  <c r="K192" i="21"/>
  <c r="G193" i="21"/>
  <c r="H193" i="21"/>
  <c r="I193" i="21"/>
  <c r="J193" i="21"/>
  <c r="K193" i="21"/>
  <c r="G194" i="21"/>
  <c r="H194" i="21"/>
  <c r="I194" i="21"/>
  <c r="J194" i="21"/>
  <c r="K194" i="21"/>
  <c r="G195" i="21"/>
  <c r="H195" i="21"/>
  <c r="I195" i="21"/>
  <c r="J195" i="21"/>
  <c r="K195" i="21"/>
  <c r="G196" i="21"/>
  <c r="H196" i="21"/>
  <c r="I196" i="21"/>
  <c r="J196" i="21"/>
  <c r="K196" i="21"/>
  <c r="G197" i="21"/>
  <c r="H197" i="21"/>
  <c r="I197" i="21"/>
  <c r="J197" i="21"/>
  <c r="K197" i="21"/>
  <c r="G198" i="21"/>
  <c r="H198" i="21"/>
  <c r="I198" i="21"/>
  <c r="J198" i="21"/>
  <c r="K198" i="21"/>
  <c r="G199" i="21"/>
  <c r="H199" i="21"/>
  <c r="I199" i="21"/>
  <c r="J199" i="21"/>
  <c r="K199" i="21"/>
  <c r="G200" i="21"/>
  <c r="H200" i="21"/>
  <c r="I200" i="21"/>
  <c r="J200" i="21"/>
  <c r="K200" i="21"/>
  <c r="G201" i="21"/>
  <c r="H201" i="21"/>
  <c r="I201" i="21"/>
  <c r="J201" i="21"/>
  <c r="K201" i="21"/>
  <c r="G202" i="21"/>
  <c r="H202" i="21"/>
  <c r="I202" i="21"/>
  <c r="J202" i="21"/>
  <c r="K202" i="21"/>
  <c r="G203" i="21"/>
  <c r="H203" i="21"/>
  <c r="I203" i="21"/>
  <c r="J203" i="21"/>
  <c r="K203" i="21"/>
  <c r="G204" i="21"/>
  <c r="H204" i="21"/>
  <c r="I204" i="21"/>
  <c r="J204" i="21"/>
  <c r="K204" i="21"/>
  <c r="G205" i="21"/>
  <c r="H205" i="21"/>
  <c r="I205" i="21"/>
  <c r="J205" i="21"/>
  <c r="K205" i="21"/>
  <c r="G206" i="21"/>
  <c r="H206" i="21"/>
  <c r="I206" i="21"/>
  <c r="J206" i="21"/>
  <c r="K206" i="21"/>
  <c r="G207" i="21"/>
  <c r="H207" i="21"/>
  <c r="I207" i="21"/>
  <c r="J207" i="21"/>
  <c r="K207" i="21"/>
  <c r="G208" i="21"/>
  <c r="H208" i="21"/>
  <c r="I208" i="21"/>
  <c r="J208" i="21"/>
  <c r="K208" i="21"/>
  <c r="G209" i="21"/>
  <c r="H209" i="21"/>
  <c r="I209" i="21"/>
  <c r="J209" i="21"/>
  <c r="K209" i="21"/>
  <c r="G210" i="21"/>
  <c r="H210" i="21"/>
  <c r="I210" i="21"/>
  <c r="J210" i="21"/>
  <c r="K210" i="21"/>
  <c r="G211" i="21"/>
  <c r="H211" i="21"/>
  <c r="I211" i="21"/>
  <c r="J211" i="21"/>
  <c r="K211" i="21"/>
  <c r="G212" i="21"/>
  <c r="H212" i="21"/>
  <c r="I212" i="21"/>
  <c r="J212" i="21"/>
  <c r="K212" i="21"/>
  <c r="G213" i="21"/>
  <c r="H213" i="21"/>
  <c r="I213" i="21"/>
  <c r="J213" i="21"/>
  <c r="K213" i="21"/>
  <c r="G214" i="21"/>
  <c r="H214" i="21"/>
  <c r="I214" i="21"/>
  <c r="J214" i="21"/>
  <c r="K214" i="21"/>
  <c r="G215" i="21"/>
  <c r="H215" i="21"/>
  <c r="I215" i="21"/>
  <c r="J215" i="21"/>
  <c r="K215" i="21"/>
  <c r="G216" i="21"/>
  <c r="H216" i="21"/>
  <c r="I216" i="21"/>
  <c r="J216" i="21"/>
  <c r="K216" i="21"/>
  <c r="G217" i="21"/>
  <c r="H217" i="21"/>
  <c r="I217" i="21"/>
  <c r="J217" i="21"/>
  <c r="K217" i="21"/>
  <c r="G218" i="21"/>
  <c r="H218" i="21"/>
  <c r="I218" i="21"/>
  <c r="J218" i="21"/>
  <c r="K218" i="21"/>
  <c r="G219" i="21"/>
  <c r="H219" i="21"/>
  <c r="I219" i="21"/>
  <c r="J219" i="21"/>
  <c r="K219" i="21"/>
  <c r="G220" i="21"/>
  <c r="H220" i="21"/>
  <c r="I220" i="21"/>
  <c r="J220" i="21"/>
  <c r="K220" i="21"/>
  <c r="G221" i="21"/>
  <c r="H221" i="21"/>
  <c r="I221" i="21"/>
  <c r="J221" i="21"/>
  <c r="K221" i="21"/>
  <c r="G222" i="21"/>
  <c r="H222" i="21"/>
  <c r="I222" i="21"/>
  <c r="J222" i="21"/>
  <c r="K222" i="21"/>
  <c r="G223" i="21"/>
  <c r="H223" i="21"/>
  <c r="I223" i="21"/>
  <c r="J223" i="21"/>
  <c r="K223" i="21"/>
  <c r="G224" i="21"/>
  <c r="H224" i="21"/>
  <c r="I224" i="21"/>
  <c r="J224" i="21"/>
  <c r="K224" i="21"/>
  <c r="G225" i="21"/>
  <c r="H225" i="21"/>
  <c r="I225" i="21"/>
  <c r="J225" i="21"/>
  <c r="K225" i="21"/>
  <c r="G226" i="21"/>
  <c r="H226" i="21"/>
  <c r="I226" i="21"/>
  <c r="J226" i="21"/>
  <c r="K226" i="21"/>
  <c r="G227" i="21"/>
  <c r="H227" i="21"/>
  <c r="I227" i="21"/>
  <c r="J227" i="21"/>
  <c r="K227" i="21"/>
  <c r="G228" i="21"/>
  <c r="H228" i="21"/>
  <c r="I228" i="21"/>
  <c r="J228" i="21"/>
  <c r="K228" i="21"/>
  <c r="G229" i="21"/>
  <c r="H229" i="21"/>
  <c r="I229" i="21"/>
  <c r="J229" i="21"/>
  <c r="K229" i="21"/>
  <c r="G230" i="21"/>
  <c r="H230" i="21"/>
  <c r="I230" i="21"/>
  <c r="J230" i="21"/>
  <c r="K230" i="21"/>
  <c r="G231" i="21"/>
  <c r="H231" i="21"/>
  <c r="I231" i="21"/>
  <c r="J231" i="21"/>
  <c r="K231" i="21"/>
  <c r="G232" i="21"/>
  <c r="H232" i="21"/>
  <c r="I232" i="21"/>
  <c r="J232" i="21"/>
  <c r="K232" i="21"/>
  <c r="G233" i="21"/>
  <c r="H233" i="21"/>
  <c r="I233" i="21"/>
  <c r="J233" i="21"/>
  <c r="K233" i="21"/>
  <c r="G234" i="21"/>
  <c r="H234" i="21"/>
  <c r="I234" i="21"/>
  <c r="J234" i="21"/>
  <c r="K234" i="21"/>
  <c r="G235" i="21"/>
  <c r="H235" i="21"/>
  <c r="I235" i="21"/>
  <c r="J235" i="21"/>
  <c r="K235" i="21"/>
  <c r="G236" i="21"/>
  <c r="H236" i="21"/>
  <c r="I236" i="21"/>
  <c r="J236" i="21"/>
  <c r="K236" i="21"/>
  <c r="G237" i="21"/>
  <c r="H237" i="21"/>
  <c r="I237" i="21"/>
  <c r="J237" i="21"/>
  <c r="K237" i="21"/>
  <c r="G238" i="21"/>
  <c r="H238" i="21"/>
  <c r="I238" i="21"/>
  <c r="J238" i="21"/>
  <c r="K238" i="21"/>
  <c r="G239" i="21"/>
  <c r="H239" i="21"/>
  <c r="I239" i="21"/>
  <c r="J239" i="21"/>
  <c r="K239" i="21"/>
  <c r="G240" i="21"/>
  <c r="H240" i="21"/>
  <c r="I240" i="21"/>
  <c r="J240" i="21"/>
  <c r="K240" i="21"/>
  <c r="G241" i="21"/>
  <c r="H241" i="21"/>
  <c r="I241" i="21"/>
  <c r="J241" i="21"/>
  <c r="K241" i="21"/>
  <c r="G242" i="21"/>
  <c r="H242" i="21"/>
  <c r="I242" i="21"/>
  <c r="J242" i="21"/>
  <c r="K242" i="21"/>
  <c r="G243" i="21"/>
  <c r="H243" i="21"/>
  <c r="I243" i="21"/>
  <c r="J243" i="21"/>
  <c r="K243" i="21"/>
  <c r="G244" i="21"/>
  <c r="H244" i="21"/>
  <c r="I244" i="21"/>
  <c r="J244" i="21"/>
  <c r="K244" i="21"/>
  <c r="G245" i="21"/>
  <c r="H245" i="21"/>
  <c r="I245" i="21"/>
  <c r="J245" i="21"/>
  <c r="K245" i="21"/>
  <c r="G246" i="21"/>
  <c r="H246" i="21"/>
  <c r="I246" i="21"/>
  <c r="J246" i="21"/>
  <c r="K246" i="21"/>
  <c r="G247" i="21"/>
  <c r="H247" i="21"/>
  <c r="I247" i="21"/>
  <c r="J247" i="21"/>
  <c r="K247" i="21"/>
  <c r="G248" i="21"/>
  <c r="H248" i="21"/>
  <c r="I248" i="21"/>
  <c r="J248" i="21"/>
  <c r="K248" i="21"/>
  <c r="G249" i="21"/>
  <c r="H249" i="21"/>
  <c r="I249" i="21"/>
  <c r="J249" i="21"/>
  <c r="K249" i="21"/>
  <c r="G250" i="21"/>
  <c r="H250" i="21"/>
  <c r="I250" i="21"/>
  <c r="J250" i="21"/>
  <c r="K250" i="21"/>
  <c r="G251" i="21"/>
  <c r="H251" i="21"/>
  <c r="I251" i="21"/>
  <c r="J251" i="21"/>
  <c r="K251" i="21"/>
  <c r="G252" i="21"/>
  <c r="H252" i="21"/>
  <c r="I252" i="21"/>
  <c r="J252" i="21"/>
  <c r="K252" i="21"/>
  <c r="G253" i="21"/>
  <c r="H253" i="21"/>
  <c r="I253" i="21"/>
  <c r="J253" i="21"/>
  <c r="K253" i="21"/>
  <c r="G254" i="21"/>
  <c r="H254" i="21"/>
  <c r="I254" i="21"/>
  <c r="J254" i="21"/>
  <c r="K254" i="21"/>
  <c r="G255" i="21"/>
  <c r="H255" i="21"/>
  <c r="I255" i="21"/>
  <c r="J255" i="21"/>
  <c r="K255" i="21"/>
  <c r="G256" i="21"/>
  <c r="H256" i="21"/>
  <c r="I256" i="21"/>
  <c r="J256" i="21"/>
  <c r="K256" i="21"/>
  <c r="G257" i="21"/>
  <c r="H257" i="21"/>
  <c r="I257" i="21"/>
  <c r="J257" i="21"/>
  <c r="K257" i="21"/>
  <c r="G258" i="21"/>
  <c r="H258" i="21"/>
  <c r="I258" i="21"/>
  <c r="J258" i="21"/>
  <c r="K258" i="21"/>
  <c r="G259" i="21"/>
  <c r="H259" i="21"/>
  <c r="I259" i="21"/>
  <c r="J259" i="21"/>
  <c r="K259" i="21"/>
  <c r="G260" i="21"/>
  <c r="H260" i="21"/>
  <c r="I260" i="21"/>
  <c r="J260" i="21"/>
  <c r="K260" i="21"/>
  <c r="G261" i="21"/>
  <c r="H261" i="21"/>
  <c r="I261" i="21"/>
  <c r="J261" i="21"/>
  <c r="K261" i="21"/>
  <c r="G262" i="21"/>
  <c r="H262" i="21"/>
  <c r="I262" i="21"/>
  <c r="J262" i="21"/>
  <c r="K262" i="21"/>
  <c r="G263" i="21"/>
  <c r="H263" i="21"/>
  <c r="I263" i="21"/>
  <c r="J263" i="21"/>
  <c r="K263" i="21"/>
  <c r="G264" i="21"/>
  <c r="H264" i="21"/>
  <c r="I264" i="21"/>
  <c r="J264" i="21"/>
  <c r="K264" i="21"/>
  <c r="G265" i="21"/>
  <c r="H265" i="21"/>
  <c r="I265" i="21"/>
  <c r="J265" i="21"/>
  <c r="K265" i="21"/>
  <c r="G266" i="21"/>
  <c r="H266" i="21"/>
  <c r="I266" i="21"/>
  <c r="J266" i="21"/>
  <c r="K266" i="21"/>
  <c r="G267" i="21"/>
  <c r="H267" i="21"/>
  <c r="I267" i="21"/>
  <c r="J267" i="21"/>
  <c r="K267" i="21"/>
  <c r="G268" i="21"/>
  <c r="H268" i="21"/>
  <c r="I268" i="21"/>
  <c r="J268" i="21"/>
  <c r="K268" i="21"/>
  <c r="G269" i="21"/>
  <c r="H269" i="21"/>
  <c r="I269" i="21"/>
  <c r="J269" i="21"/>
  <c r="K269" i="21"/>
  <c r="G270" i="21"/>
  <c r="H270" i="21"/>
  <c r="I270" i="21"/>
  <c r="J270" i="21"/>
  <c r="K270" i="21"/>
  <c r="G271" i="21"/>
  <c r="H271" i="21"/>
  <c r="I271" i="21"/>
  <c r="J271" i="21"/>
  <c r="K271" i="21"/>
  <c r="G272" i="21"/>
  <c r="H272" i="21"/>
  <c r="I272" i="21"/>
  <c r="J272" i="21"/>
  <c r="K272" i="21"/>
  <c r="G273" i="21"/>
  <c r="H273" i="21"/>
  <c r="I273" i="21"/>
  <c r="J273" i="21"/>
  <c r="K273" i="21"/>
  <c r="G274" i="21"/>
  <c r="H274" i="21"/>
  <c r="I274" i="21"/>
  <c r="J274" i="21"/>
  <c r="K274" i="21"/>
  <c r="G275" i="21"/>
  <c r="H275" i="21"/>
  <c r="I275" i="21"/>
  <c r="J275" i="21"/>
  <c r="K275" i="21"/>
  <c r="G276" i="21"/>
  <c r="H276" i="21"/>
  <c r="I276" i="21"/>
  <c r="J276" i="21"/>
  <c r="K276" i="21"/>
  <c r="G277" i="21"/>
  <c r="H277" i="21"/>
  <c r="I277" i="21"/>
  <c r="J277" i="21"/>
  <c r="K277" i="21"/>
  <c r="G278" i="21"/>
  <c r="H278" i="21"/>
  <c r="I278" i="21"/>
  <c r="J278" i="21"/>
  <c r="K278" i="21"/>
  <c r="G279" i="21"/>
  <c r="H279" i="21"/>
  <c r="I279" i="21"/>
  <c r="J279" i="21"/>
  <c r="K279" i="21"/>
  <c r="G280" i="21"/>
  <c r="H280" i="21"/>
  <c r="I280" i="21"/>
  <c r="J280" i="21"/>
  <c r="K280" i="21"/>
  <c r="G281" i="21"/>
  <c r="H281" i="21"/>
  <c r="I281" i="21"/>
  <c r="J281" i="21"/>
  <c r="K281" i="21"/>
  <c r="G282" i="21"/>
  <c r="H282" i="21"/>
  <c r="I282" i="21"/>
  <c r="J282" i="21"/>
  <c r="K282" i="21"/>
  <c r="G283" i="21"/>
  <c r="H283" i="21"/>
  <c r="I283" i="21"/>
  <c r="J283" i="21"/>
  <c r="K283" i="21"/>
  <c r="G284" i="21"/>
  <c r="H284" i="21"/>
  <c r="I284" i="21"/>
  <c r="J284" i="21"/>
  <c r="K284" i="21"/>
  <c r="G285" i="21"/>
  <c r="H285" i="21"/>
  <c r="I285" i="21"/>
  <c r="J285" i="21"/>
  <c r="K285" i="21"/>
  <c r="G286" i="21"/>
  <c r="H286" i="21"/>
  <c r="I286" i="21"/>
  <c r="J286" i="21"/>
  <c r="K286" i="21"/>
  <c r="G287" i="21"/>
  <c r="H287" i="21"/>
  <c r="I287" i="21"/>
  <c r="J287" i="21"/>
  <c r="K287" i="21"/>
  <c r="G288" i="21"/>
  <c r="H288" i="21"/>
  <c r="I288" i="21"/>
  <c r="J288" i="21"/>
  <c r="K288" i="21"/>
  <c r="G289" i="21"/>
  <c r="H289" i="21"/>
  <c r="I289" i="21"/>
  <c r="J289" i="21"/>
  <c r="K289" i="21"/>
  <c r="G290" i="21"/>
  <c r="H290" i="21"/>
  <c r="I290" i="21"/>
  <c r="J290" i="21"/>
  <c r="K290" i="21"/>
  <c r="G291" i="21"/>
  <c r="H291" i="21"/>
  <c r="I291" i="21"/>
  <c r="J291" i="21"/>
  <c r="K291" i="21"/>
  <c r="G292" i="21"/>
  <c r="H292" i="21"/>
  <c r="I292" i="21"/>
  <c r="J292" i="21"/>
  <c r="K292" i="21"/>
  <c r="G293" i="21"/>
  <c r="H293" i="21"/>
  <c r="I293" i="21"/>
  <c r="J293" i="21"/>
  <c r="K293" i="21"/>
  <c r="G294" i="21"/>
  <c r="H294" i="21"/>
  <c r="I294" i="21"/>
  <c r="J294" i="21"/>
  <c r="K294" i="21"/>
  <c r="G295" i="21"/>
  <c r="H295" i="21"/>
  <c r="I295" i="21"/>
  <c r="J295" i="21"/>
  <c r="K295" i="21"/>
  <c r="G296" i="21"/>
  <c r="H296" i="21"/>
  <c r="I296" i="21"/>
  <c r="J296" i="21"/>
  <c r="K296" i="21"/>
  <c r="G297" i="21"/>
  <c r="H297" i="21"/>
  <c r="I297" i="21"/>
  <c r="J297" i="21"/>
  <c r="K297" i="21"/>
  <c r="G298" i="21"/>
  <c r="H298" i="21"/>
  <c r="I298" i="21"/>
  <c r="J298" i="21"/>
  <c r="K298" i="21"/>
  <c r="G299" i="21"/>
  <c r="H299" i="21"/>
  <c r="I299" i="21"/>
  <c r="J299" i="21"/>
  <c r="K299" i="21"/>
  <c r="G300" i="21"/>
  <c r="H300" i="21"/>
  <c r="I300" i="21"/>
  <c r="J300" i="21"/>
  <c r="K300" i="21"/>
  <c r="G301" i="21"/>
  <c r="H301" i="21"/>
  <c r="I301" i="21"/>
  <c r="J301" i="21"/>
  <c r="K301" i="21"/>
  <c r="G302" i="21"/>
  <c r="H302" i="21"/>
  <c r="I302" i="21"/>
  <c r="J302" i="21"/>
  <c r="K302" i="21"/>
  <c r="G303" i="21"/>
  <c r="H303" i="21"/>
  <c r="I303" i="21"/>
  <c r="J303" i="21"/>
  <c r="K303" i="21"/>
  <c r="G304" i="21"/>
  <c r="H304" i="21"/>
  <c r="I304" i="21"/>
  <c r="J304" i="21"/>
  <c r="K304" i="21"/>
  <c r="G305" i="21"/>
  <c r="H305" i="21"/>
  <c r="I305" i="21"/>
  <c r="J305" i="21"/>
  <c r="K305" i="21"/>
  <c r="G306" i="21"/>
  <c r="H306" i="21"/>
  <c r="I306" i="21"/>
  <c r="J306" i="21"/>
  <c r="K306" i="21"/>
  <c r="G307" i="21"/>
  <c r="H307" i="21"/>
  <c r="I307" i="21"/>
  <c r="J307" i="21"/>
  <c r="K307" i="21"/>
  <c r="G308" i="21"/>
  <c r="H308" i="21"/>
  <c r="I308" i="21"/>
  <c r="J308" i="21"/>
  <c r="K308" i="21"/>
  <c r="G309" i="21"/>
  <c r="H309" i="21"/>
  <c r="I309" i="21"/>
  <c r="J309" i="21"/>
  <c r="K309" i="21"/>
  <c r="G310" i="21"/>
  <c r="H310" i="21"/>
  <c r="I310" i="21"/>
  <c r="J310" i="21"/>
  <c r="K310" i="21"/>
  <c r="G311" i="21"/>
  <c r="H311" i="21"/>
  <c r="I311" i="21"/>
  <c r="J311" i="21"/>
  <c r="K311" i="21"/>
  <c r="G312" i="21"/>
  <c r="H312" i="21"/>
  <c r="I312" i="21"/>
  <c r="J312" i="21"/>
  <c r="K312" i="21"/>
  <c r="G313" i="21"/>
  <c r="H313" i="21"/>
  <c r="I313" i="21"/>
  <c r="J313" i="21"/>
  <c r="K313" i="21"/>
  <c r="G314" i="21"/>
  <c r="H314" i="21"/>
  <c r="I314" i="21"/>
  <c r="J314" i="21"/>
  <c r="K314" i="21"/>
  <c r="G315" i="21"/>
  <c r="H315" i="21"/>
  <c r="I315" i="21"/>
  <c r="J315" i="21"/>
  <c r="K315" i="21"/>
  <c r="G316" i="21"/>
  <c r="H316" i="21"/>
  <c r="I316" i="21"/>
  <c r="J316" i="21"/>
  <c r="K316" i="21"/>
  <c r="G317" i="21"/>
  <c r="H317" i="21"/>
  <c r="I317" i="21"/>
  <c r="J317" i="21"/>
  <c r="K317" i="21"/>
  <c r="G318" i="21"/>
  <c r="H318" i="21"/>
  <c r="I318" i="21"/>
  <c r="J318" i="21"/>
  <c r="K318" i="21"/>
  <c r="G319" i="21"/>
  <c r="H319" i="21"/>
  <c r="I319" i="21"/>
  <c r="J319" i="21"/>
  <c r="K319" i="21"/>
  <c r="G320" i="21"/>
  <c r="H320" i="21"/>
  <c r="I320" i="21"/>
  <c r="J320" i="21"/>
  <c r="K320" i="21"/>
  <c r="G321" i="21"/>
  <c r="H321" i="21"/>
  <c r="I321" i="21"/>
  <c r="J321" i="21"/>
  <c r="K321" i="21"/>
  <c r="G322" i="21"/>
  <c r="H322" i="21"/>
  <c r="I322" i="21"/>
  <c r="J322" i="21"/>
  <c r="K322" i="21"/>
  <c r="G323" i="21"/>
  <c r="H323" i="21"/>
  <c r="I323" i="21"/>
  <c r="J323" i="21"/>
  <c r="K323" i="21"/>
  <c r="G324" i="21"/>
  <c r="H324" i="21"/>
  <c r="I324" i="21"/>
  <c r="J324" i="21"/>
  <c r="K324" i="21"/>
  <c r="G325" i="21"/>
  <c r="H325" i="21"/>
  <c r="I325" i="21"/>
  <c r="J325" i="21"/>
  <c r="K325" i="21"/>
  <c r="G326" i="21"/>
  <c r="H326" i="21"/>
  <c r="I326" i="21"/>
  <c r="J326" i="21"/>
  <c r="K326" i="21"/>
  <c r="G327" i="21"/>
  <c r="H327" i="21"/>
  <c r="I327" i="21"/>
  <c r="J327" i="21"/>
  <c r="K327" i="21"/>
  <c r="G328" i="21"/>
  <c r="H328" i="21"/>
  <c r="I328" i="21"/>
  <c r="J328" i="21"/>
  <c r="K328" i="21"/>
  <c r="G329" i="21"/>
  <c r="H329" i="21"/>
  <c r="I329" i="21"/>
  <c r="J329" i="21"/>
  <c r="K329" i="21"/>
  <c r="G330" i="21"/>
  <c r="H330" i="21"/>
  <c r="I330" i="21"/>
  <c r="J330" i="21"/>
  <c r="K330" i="21"/>
  <c r="G331" i="21"/>
  <c r="H331" i="21"/>
  <c r="I331" i="21"/>
  <c r="J331" i="21"/>
  <c r="K331" i="21"/>
  <c r="G332" i="21"/>
  <c r="H332" i="21"/>
  <c r="I332" i="21"/>
  <c r="J332" i="21"/>
  <c r="K332" i="21"/>
  <c r="G333" i="21"/>
  <c r="H333" i="21"/>
  <c r="I333" i="21"/>
  <c r="J333" i="21"/>
  <c r="K333" i="21"/>
  <c r="G334" i="21"/>
  <c r="H334" i="21"/>
  <c r="I334" i="21"/>
  <c r="J334" i="21"/>
  <c r="K334" i="21"/>
  <c r="G335" i="21"/>
  <c r="H335" i="21"/>
  <c r="I335" i="21"/>
  <c r="J335" i="21"/>
  <c r="K335" i="21"/>
  <c r="G336" i="21"/>
  <c r="H336" i="21"/>
  <c r="I336" i="21"/>
  <c r="J336" i="21"/>
  <c r="K336" i="21"/>
  <c r="G337" i="21"/>
  <c r="H337" i="21"/>
  <c r="I337" i="21"/>
  <c r="J337" i="21"/>
  <c r="K337" i="21"/>
  <c r="G338" i="21"/>
  <c r="H338" i="21"/>
  <c r="I338" i="21"/>
  <c r="J338" i="21"/>
  <c r="K338" i="21"/>
  <c r="G339" i="21"/>
  <c r="H339" i="21"/>
  <c r="I339" i="21"/>
  <c r="J339" i="21"/>
  <c r="K339" i="21"/>
  <c r="G340" i="21"/>
  <c r="H340" i="21"/>
  <c r="I340" i="21"/>
  <c r="J340" i="21"/>
  <c r="K340" i="21"/>
  <c r="G341" i="21"/>
  <c r="H341" i="21"/>
  <c r="I341" i="21"/>
  <c r="J341" i="21"/>
  <c r="K341" i="21"/>
  <c r="G342" i="21"/>
  <c r="H342" i="21"/>
  <c r="I342" i="21"/>
  <c r="J342" i="21"/>
  <c r="K342" i="21"/>
  <c r="G343" i="21"/>
  <c r="H343" i="21"/>
  <c r="I343" i="21"/>
  <c r="J343" i="21"/>
  <c r="K343" i="21"/>
  <c r="G344" i="21"/>
  <c r="H344" i="21"/>
  <c r="I344" i="21"/>
  <c r="J344" i="21"/>
  <c r="K344" i="21"/>
  <c r="G345" i="21"/>
  <c r="H345" i="21"/>
  <c r="I345" i="21"/>
  <c r="J345" i="21"/>
  <c r="K345" i="21"/>
  <c r="G346" i="21"/>
  <c r="H346" i="21"/>
  <c r="I346" i="21"/>
  <c r="J346" i="21"/>
  <c r="K346" i="21"/>
  <c r="G347" i="21"/>
  <c r="H347" i="21"/>
  <c r="I347" i="21"/>
  <c r="J347" i="21"/>
  <c r="K347" i="21"/>
  <c r="G348" i="21"/>
  <c r="H348" i="21"/>
  <c r="I348" i="21"/>
  <c r="J348" i="21"/>
  <c r="K348" i="21"/>
  <c r="G349" i="21"/>
  <c r="H349" i="21"/>
  <c r="I349" i="21"/>
  <c r="J349" i="21"/>
  <c r="K349" i="21"/>
  <c r="G350" i="21"/>
  <c r="H350" i="21"/>
  <c r="I350" i="21"/>
  <c r="J350" i="21"/>
  <c r="K350" i="21"/>
  <c r="G351" i="21"/>
  <c r="H351" i="21"/>
  <c r="I351" i="21"/>
  <c r="J351" i="21"/>
  <c r="K351" i="21"/>
  <c r="G352" i="21"/>
  <c r="H352" i="21"/>
  <c r="I352" i="21"/>
  <c r="J352" i="21"/>
  <c r="K352" i="21"/>
  <c r="G353" i="21"/>
  <c r="H353" i="21"/>
  <c r="I353" i="21"/>
  <c r="J353" i="21"/>
  <c r="K353" i="21"/>
  <c r="G354" i="21"/>
  <c r="H354" i="21"/>
  <c r="I354" i="21"/>
  <c r="J354" i="21"/>
  <c r="K354" i="21"/>
  <c r="G355" i="21"/>
  <c r="H355" i="21"/>
  <c r="I355" i="21"/>
  <c r="J355" i="21"/>
  <c r="K355" i="21"/>
  <c r="G356" i="21"/>
  <c r="H356" i="21"/>
  <c r="I356" i="21"/>
  <c r="J356" i="21"/>
  <c r="K356" i="21"/>
  <c r="G357" i="21"/>
  <c r="H357" i="21"/>
  <c r="I357" i="21"/>
  <c r="J357" i="21"/>
  <c r="K357" i="21"/>
  <c r="G358" i="21"/>
  <c r="H358" i="21"/>
  <c r="I358" i="21"/>
  <c r="J358" i="21"/>
  <c r="K358" i="21"/>
  <c r="G359" i="21"/>
  <c r="H359" i="21"/>
  <c r="I359" i="21"/>
  <c r="J359" i="21"/>
  <c r="K359" i="21"/>
  <c r="G360" i="21"/>
  <c r="H360" i="21"/>
  <c r="I360" i="21"/>
  <c r="J360" i="21"/>
  <c r="K360" i="21"/>
  <c r="G361" i="21"/>
  <c r="H361" i="21"/>
  <c r="I361" i="21"/>
  <c r="J361" i="21"/>
  <c r="K361" i="21"/>
  <c r="G362" i="21"/>
  <c r="H362" i="21"/>
  <c r="I362" i="21"/>
  <c r="J362" i="21"/>
  <c r="K362" i="21"/>
  <c r="G363" i="21"/>
  <c r="H363" i="21"/>
  <c r="I363" i="21"/>
  <c r="J363" i="21"/>
  <c r="K363" i="21"/>
  <c r="G364" i="21"/>
  <c r="H364" i="21"/>
  <c r="I364" i="21"/>
  <c r="J364" i="21"/>
  <c r="K364" i="21"/>
  <c r="G365" i="21"/>
  <c r="H365" i="21"/>
  <c r="I365" i="21"/>
  <c r="J365" i="21"/>
  <c r="K365" i="21"/>
  <c r="G366" i="21"/>
  <c r="H366" i="21"/>
  <c r="I366" i="21"/>
  <c r="J366" i="21"/>
  <c r="K366" i="21"/>
  <c r="G367" i="21"/>
  <c r="H367" i="21"/>
  <c r="I367" i="21"/>
  <c r="J367" i="21"/>
  <c r="K367" i="21"/>
  <c r="G368" i="21"/>
  <c r="H368" i="21"/>
  <c r="I368" i="21"/>
  <c r="J368" i="21"/>
  <c r="K368" i="21"/>
  <c r="G369" i="21"/>
  <c r="H369" i="21"/>
  <c r="I369" i="21"/>
  <c r="J369" i="21"/>
  <c r="K369" i="21"/>
  <c r="G370" i="21"/>
  <c r="H370" i="21"/>
  <c r="I370" i="21"/>
  <c r="J370" i="21"/>
  <c r="K370" i="21"/>
  <c r="G371" i="21"/>
  <c r="H371" i="21"/>
  <c r="I371" i="21"/>
  <c r="J371" i="21"/>
  <c r="K371" i="21"/>
  <c r="G372" i="21"/>
  <c r="H372" i="21"/>
  <c r="I372" i="21"/>
  <c r="J372" i="21"/>
  <c r="K372" i="21"/>
  <c r="G373" i="21"/>
  <c r="H373" i="21"/>
  <c r="I373" i="21"/>
  <c r="J373" i="21"/>
  <c r="K373" i="21"/>
  <c r="G374" i="21"/>
  <c r="H374" i="21"/>
  <c r="I374" i="21"/>
  <c r="J374" i="21"/>
  <c r="K374" i="21"/>
  <c r="G375" i="21"/>
  <c r="H375" i="21"/>
  <c r="I375" i="21"/>
  <c r="J375" i="21"/>
  <c r="K375" i="21"/>
  <c r="G376" i="21"/>
  <c r="H376" i="21"/>
  <c r="I376" i="21"/>
  <c r="J376" i="21"/>
  <c r="K376" i="21"/>
  <c r="G377" i="21"/>
  <c r="H377" i="21"/>
  <c r="I377" i="21"/>
  <c r="J377" i="21"/>
  <c r="K377" i="21"/>
  <c r="G378" i="21"/>
  <c r="H378" i="21"/>
  <c r="I378" i="21"/>
  <c r="J378" i="21"/>
  <c r="K378" i="21"/>
  <c r="G379" i="21"/>
  <c r="H379" i="21"/>
  <c r="I379" i="21"/>
  <c r="J379" i="21"/>
  <c r="K379" i="21"/>
  <c r="G380" i="21"/>
  <c r="H380" i="21"/>
  <c r="I380" i="21"/>
  <c r="J380" i="21"/>
  <c r="K380" i="21"/>
  <c r="G381" i="21"/>
  <c r="H381" i="21"/>
  <c r="I381" i="21"/>
  <c r="J381" i="21"/>
  <c r="K381" i="21"/>
  <c r="G382" i="21"/>
  <c r="H382" i="21"/>
  <c r="I382" i="21"/>
  <c r="J382" i="21"/>
  <c r="K382" i="21"/>
  <c r="G383" i="21"/>
  <c r="H383" i="21"/>
  <c r="I383" i="21"/>
  <c r="J383" i="21"/>
  <c r="K383" i="21"/>
  <c r="G384" i="21"/>
  <c r="H384" i="21"/>
  <c r="I384" i="21"/>
  <c r="J384" i="21"/>
  <c r="K384" i="21"/>
  <c r="G385" i="21"/>
  <c r="H385" i="21"/>
  <c r="I385" i="21"/>
  <c r="J385" i="21"/>
  <c r="K385" i="21"/>
  <c r="G386" i="21"/>
  <c r="H386" i="21"/>
  <c r="I386" i="21"/>
  <c r="J386" i="21"/>
  <c r="K386" i="21"/>
  <c r="G387" i="21"/>
  <c r="H387" i="21"/>
  <c r="I387" i="21"/>
  <c r="J387" i="21"/>
  <c r="K387" i="21"/>
  <c r="G388" i="21"/>
  <c r="H388" i="21"/>
  <c r="I388" i="21"/>
  <c r="J388" i="21"/>
  <c r="K388" i="21"/>
  <c r="G389" i="21"/>
  <c r="H389" i="21"/>
  <c r="I389" i="21"/>
  <c r="J389" i="21"/>
  <c r="K389" i="21"/>
  <c r="G390" i="21"/>
  <c r="H390" i="21"/>
  <c r="I390" i="21"/>
  <c r="J390" i="21"/>
  <c r="K390" i="21"/>
  <c r="G391" i="21"/>
  <c r="H391" i="21"/>
  <c r="I391" i="21"/>
  <c r="J391" i="21"/>
  <c r="K391" i="21"/>
  <c r="G392" i="21"/>
  <c r="H392" i="21"/>
  <c r="I392" i="21"/>
  <c r="J392" i="21"/>
  <c r="K392" i="21"/>
  <c r="G393" i="21"/>
  <c r="H393" i="21"/>
  <c r="I393" i="21"/>
  <c r="J393" i="21"/>
  <c r="K393" i="21"/>
  <c r="G394" i="21"/>
  <c r="H394" i="21"/>
  <c r="I394" i="21"/>
  <c r="J394" i="21"/>
  <c r="K394" i="21"/>
  <c r="G395" i="21"/>
  <c r="H395" i="21"/>
  <c r="I395" i="21"/>
  <c r="J395" i="21"/>
  <c r="K395" i="21"/>
  <c r="G396" i="21"/>
  <c r="H396" i="21"/>
  <c r="I396" i="21"/>
  <c r="J396" i="21"/>
  <c r="K396" i="21"/>
  <c r="G397" i="21"/>
  <c r="H397" i="21"/>
  <c r="I397" i="21"/>
  <c r="J397" i="21"/>
  <c r="K397" i="21"/>
  <c r="G398" i="21"/>
  <c r="H398" i="21"/>
  <c r="I398" i="21"/>
  <c r="J398" i="21"/>
  <c r="K398" i="21"/>
  <c r="G399" i="21"/>
  <c r="H399" i="21"/>
  <c r="I399" i="21"/>
  <c r="J399" i="21"/>
  <c r="K399" i="21"/>
  <c r="G400" i="21"/>
  <c r="H400" i="21"/>
  <c r="I400" i="21"/>
  <c r="J400" i="21"/>
  <c r="K400" i="21"/>
  <c r="G401" i="21"/>
  <c r="H401" i="21"/>
  <c r="I401" i="21"/>
  <c r="J401" i="21"/>
  <c r="K401" i="21"/>
  <c r="G402" i="21"/>
  <c r="H402" i="21"/>
  <c r="I402" i="21"/>
  <c r="J402" i="21"/>
  <c r="K402" i="21"/>
  <c r="G403" i="21"/>
  <c r="H403" i="21"/>
  <c r="I403" i="21"/>
  <c r="J403" i="21"/>
  <c r="K403" i="21"/>
  <c r="G404" i="21"/>
  <c r="H404" i="21"/>
  <c r="I404" i="21"/>
  <c r="J404" i="21"/>
  <c r="K404" i="21"/>
  <c r="G405" i="21"/>
  <c r="H405" i="21"/>
  <c r="I405" i="21"/>
  <c r="J405" i="21"/>
  <c r="K405" i="21"/>
  <c r="G406" i="21"/>
  <c r="H406" i="21"/>
  <c r="I406" i="21"/>
  <c r="J406" i="21"/>
  <c r="K406" i="21"/>
  <c r="G407" i="21"/>
  <c r="H407" i="21"/>
  <c r="I407" i="21"/>
  <c r="J407" i="21"/>
  <c r="K407" i="21"/>
  <c r="G408" i="21"/>
  <c r="H408" i="21"/>
  <c r="I408" i="21"/>
  <c r="J408" i="21"/>
  <c r="K408" i="21"/>
  <c r="G409" i="21"/>
  <c r="H409" i="21"/>
  <c r="I409" i="21"/>
  <c r="J409" i="21"/>
  <c r="K409" i="21"/>
  <c r="G410" i="21"/>
  <c r="H410" i="21"/>
  <c r="I410" i="21"/>
  <c r="J410" i="21"/>
  <c r="K410" i="21"/>
  <c r="G411" i="21"/>
  <c r="H411" i="21"/>
  <c r="I411" i="21"/>
  <c r="J411" i="21"/>
  <c r="K411" i="21"/>
  <c r="G412" i="21"/>
  <c r="H412" i="21"/>
  <c r="I412" i="21"/>
  <c r="J412" i="21"/>
  <c r="K412" i="21"/>
  <c r="G413" i="21"/>
  <c r="H413" i="21"/>
  <c r="I413" i="21"/>
  <c r="J413" i="21"/>
  <c r="K413" i="21"/>
  <c r="G414" i="21"/>
  <c r="H414" i="21"/>
  <c r="I414" i="21"/>
  <c r="J414" i="21"/>
  <c r="K414" i="21"/>
  <c r="G415" i="21"/>
  <c r="H415" i="21"/>
  <c r="I415" i="21"/>
  <c r="J415" i="21"/>
  <c r="K415" i="21"/>
  <c r="G416" i="21"/>
  <c r="H416" i="21"/>
  <c r="I416" i="21"/>
  <c r="J416" i="21"/>
  <c r="K416" i="21"/>
  <c r="G417" i="21"/>
  <c r="H417" i="21"/>
  <c r="I417" i="21"/>
  <c r="J417" i="21"/>
  <c r="K417" i="21"/>
  <c r="G418" i="21"/>
  <c r="H418" i="21"/>
  <c r="I418" i="21"/>
  <c r="J418" i="21"/>
  <c r="K418" i="21"/>
  <c r="G419" i="21"/>
  <c r="H419" i="21"/>
  <c r="I419" i="21"/>
  <c r="J419" i="21"/>
  <c r="K419" i="21"/>
  <c r="G420" i="21"/>
  <c r="H420" i="21"/>
  <c r="I420" i="21"/>
  <c r="J420" i="21"/>
  <c r="K420" i="21"/>
  <c r="G421" i="21"/>
  <c r="H421" i="21"/>
  <c r="I421" i="21"/>
  <c r="J421" i="21"/>
  <c r="K421" i="21"/>
  <c r="G422" i="21"/>
  <c r="H422" i="21"/>
  <c r="I422" i="21"/>
  <c r="J422" i="21"/>
  <c r="K422" i="21"/>
  <c r="G423" i="21"/>
  <c r="H423" i="21"/>
  <c r="I423" i="21"/>
  <c r="J423" i="21"/>
  <c r="K423" i="21"/>
  <c r="G424" i="21"/>
  <c r="H424" i="21"/>
  <c r="I424" i="21"/>
  <c r="J424" i="21"/>
  <c r="K424" i="21"/>
  <c r="G425" i="21"/>
  <c r="H425" i="21"/>
  <c r="I425" i="21"/>
  <c r="J425" i="21"/>
  <c r="K425" i="21"/>
  <c r="G426" i="21"/>
  <c r="H426" i="21"/>
  <c r="I426" i="21"/>
  <c r="J426" i="21"/>
  <c r="K426" i="21"/>
  <c r="G427" i="21"/>
  <c r="H427" i="21"/>
  <c r="I427" i="21"/>
  <c r="J427" i="21"/>
  <c r="K427" i="21"/>
  <c r="G428" i="21"/>
  <c r="H428" i="21"/>
  <c r="I428" i="21"/>
  <c r="J428" i="21"/>
  <c r="K428" i="21"/>
  <c r="G429" i="21"/>
  <c r="H429" i="21"/>
  <c r="I429" i="21"/>
  <c r="J429" i="21"/>
  <c r="K429" i="21"/>
  <c r="G430" i="21"/>
  <c r="H430" i="21"/>
  <c r="I430" i="21"/>
  <c r="J430" i="21"/>
  <c r="K430" i="21"/>
  <c r="G431" i="21"/>
  <c r="H431" i="21"/>
  <c r="I431" i="21"/>
  <c r="J431" i="21"/>
  <c r="K431" i="21"/>
  <c r="G432" i="21"/>
  <c r="H432" i="21"/>
  <c r="I432" i="21"/>
  <c r="J432" i="21"/>
  <c r="K432" i="21"/>
  <c r="G433" i="21"/>
  <c r="H433" i="21"/>
  <c r="I433" i="21"/>
  <c r="J433" i="21"/>
  <c r="K433" i="21"/>
  <c r="G434" i="21"/>
  <c r="H434" i="21"/>
  <c r="I434" i="21"/>
  <c r="J434" i="21"/>
  <c r="K434" i="21"/>
  <c r="G435" i="21"/>
  <c r="H435" i="21"/>
  <c r="I435" i="21"/>
  <c r="J435" i="21"/>
  <c r="K435" i="21"/>
  <c r="G436" i="21"/>
  <c r="H436" i="21"/>
  <c r="I436" i="21"/>
  <c r="J436" i="21"/>
  <c r="K436" i="21"/>
  <c r="G437" i="21"/>
  <c r="H437" i="21"/>
  <c r="I437" i="21"/>
  <c r="J437" i="21"/>
  <c r="K437" i="21"/>
  <c r="G438" i="21"/>
  <c r="H438" i="21"/>
  <c r="I438" i="21"/>
  <c r="J438" i="21"/>
  <c r="K438" i="21"/>
  <c r="G439" i="21"/>
  <c r="H439" i="21"/>
  <c r="I439" i="21"/>
  <c r="J439" i="21"/>
  <c r="K439" i="21"/>
  <c r="G440" i="21"/>
  <c r="H440" i="21"/>
  <c r="I440" i="21"/>
  <c r="J440" i="21"/>
  <c r="K440" i="21"/>
  <c r="G441" i="21"/>
  <c r="H441" i="21"/>
  <c r="I441" i="21"/>
  <c r="J441" i="21"/>
  <c r="K441" i="21"/>
  <c r="G442" i="21"/>
  <c r="H442" i="21"/>
  <c r="I442" i="21"/>
  <c r="J442" i="21"/>
  <c r="K442" i="21"/>
  <c r="G443" i="21"/>
  <c r="H443" i="21"/>
  <c r="I443" i="21"/>
  <c r="J443" i="21"/>
  <c r="K443" i="21"/>
  <c r="G444" i="21"/>
  <c r="H444" i="21"/>
  <c r="I444" i="21"/>
  <c r="J444" i="21"/>
  <c r="K444" i="21"/>
  <c r="G445" i="21"/>
  <c r="H445" i="21"/>
  <c r="I445" i="21"/>
  <c r="J445" i="21"/>
  <c r="K445" i="21"/>
  <c r="G446" i="21"/>
  <c r="H446" i="21"/>
  <c r="I446" i="21"/>
  <c r="J446" i="21"/>
  <c r="K446" i="21"/>
  <c r="G447" i="21"/>
  <c r="H447" i="21"/>
  <c r="I447" i="21"/>
  <c r="J447" i="21"/>
  <c r="K447" i="21"/>
  <c r="G448" i="21"/>
  <c r="H448" i="21"/>
  <c r="I448" i="21"/>
  <c r="J448" i="21"/>
  <c r="K448" i="21"/>
  <c r="G449" i="21"/>
  <c r="H449" i="21"/>
  <c r="I449" i="21"/>
  <c r="J449" i="21"/>
  <c r="K449" i="21"/>
  <c r="G450" i="21"/>
  <c r="H450" i="21"/>
  <c r="I450" i="21"/>
  <c r="J450" i="21"/>
  <c r="K450" i="21"/>
  <c r="G451" i="21"/>
  <c r="H451" i="21"/>
  <c r="I451" i="21"/>
  <c r="J451" i="21"/>
  <c r="K451" i="21"/>
  <c r="G452" i="21"/>
  <c r="H452" i="21"/>
  <c r="I452" i="21"/>
  <c r="J452" i="21"/>
  <c r="K452" i="21"/>
  <c r="G453" i="21"/>
  <c r="H453" i="21"/>
  <c r="I453" i="21"/>
  <c r="J453" i="21"/>
  <c r="K453" i="21"/>
  <c r="G454" i="21"/>
  <c r="H454" i="21"/>
  <c r="I454" i="21"/>
  <c r="J454" i="21"/>
  <c r="K454" i="21"/>
  <c r="G455" i="21"/>
  <c r="H455" i="21"/>
  <c r="I455" i="21"/>
  <c r="J455" i="21"/>
  <c r="K455" i="21"/>
  <c r="G456" i="21"/>
  <c r="H456" i="21"/>
  <c r="I456" i="21"/>
  <c r="J456" i="21"/>
  <c r="K456" i="21"/>
  <c r="G457" i="21"/>
  <c r="H457" i="21"/>
  <c r="I457" i="21"/>
  <c r="J457" i="21"/>
  <c r="K457" i="21"/>
  <c r="G458" i="21"/>
  <c r="H458" i="21"/>
  <c r="I458" i="21"/>
  <c r="J458" i="21"/>
  <c r="K458" i="21"/>
  <c r="G459" i="21"/>
  <c r="H459" i="21"/>
  <c r="I459" i="21"/>
  <c r="J459" i="21"/>
  <c r="K459" i="21"/>
  <c r="G460" i="21"/>
  <c r="H460" i="21"/>
  <c r="I460" i="21"/>
  <c r="J460" i="21"/>
  <c r="K460" i="21"/>
  <c r="G461" i="21"/>
  <c r="H461" i="21"/>
  <c r="I461" i="21"/>
  <c r="J461" i="21"/>
  <c r="K461" i="21"/>
  <c r="G462" i="21"/>
  <c r="H462" i="21"/>
  <c r="I462" i="21"/>
  <c r="J462" i="21"/>
  <c r="K462" i="21"/>
  <c r="G463" i="21"/>
  <c r="H463" i="21"/>
  <c r="I463" i="21"/>
  <c r="J463" i="21"/>
  <c r="K463" i="21"/>
  <c r="G464" i="21"/>
  <c r="H464" i="21"/>
  <c r="I464" i="21"/>
  <c r="J464" i="21"/>
  <c r="K464" i="21"/>
  <c r="G465" i="21"/>
  <c r="H465" i="21"/>
  <c r="I465" i="21"/>
  <c r="J465" i="21"/>
  <c r="K465" i="21"/>
  <c r="G466" i="21"/>
  <c r="H466" i="21"/>
  <c r="I466" i="21"/>
  <c r="J466" i="21"/>
  <c r="K466" i="21"/>
  <c r="G467" i="21"/>
  <c r="H467" i="21"/>
  <c r="I467" i="21"/>
  <c r="J467" i="21"/>
  <c r="K467" i="21"/>
  <c r="G468" i="21"/>
  <c r="H468" i="21"/>
  <c r="I468" i="21"/>
  <c r="J468" i="21"/>
  <c r="K468" i="21"/>
  <c r="G469" i="21"/>
  <c r="H469" i="21"/>
  <c r="I469" i="21"/>
  <c r="J469" i="21"/>
  <c r="K469" i="21"/>
  <c r="G470" i="21"/>
  <c r="H470" i="21"/>
  <c r="I470" i="21"/>
  <c r="J470" i="21"/>
  <c r="K470" i="21"/>
  <c r="G471" i="21"/>
  <c r="H471" i="21"/>
  <c r="I471" i="21"/>
  <c r="J471" i="21"/>
  <c r="K471" i="21"/>
  <c r="G472" i="21"/>
  <c r="H472" i="21"/>
  <c r="I472" i="21"/>
  <c r="J472" i="21"/>
  <c r="K472" i="21"/>
  <c r="G473" i="21"/>
  <c r="H473" i="21"/>
  <c r="I473" i="21"/>
  <c r="J473" i="21"/>
  <c r="K473" i="21"/>
  <c r="G474" i="21"/>
  <c r="H474" i="21"/>
  <c r="I474" i="21"/>
  <c r="J474" i="21"/>
  <c r="K474" i="21"/>
  <c r="G475" i="21"/>
  <c r="H475" i="21"/>
  <c r="I475" i="21"/>
  <c r="J475" i="21"/>
  <c r="K475" i="21"/>
  <c r="G476" i="21"/>
  <c r="H476" i="21"/>
  <c r="I476" i="21"/>
  <c r="J476" i="21"/>
  <c r="K476" i="21"/>
  <c r="G477" i="21"/>
  <c r="H477" i="21"/>
  <c r="I477" i="21"/>
  <c r="J477" i="21"/>
  <c r="K477" i="21"/>
  <c r="G478" i="21"/>
  <c r="H478" i="21"/>
  <c r="I478" i="21"/>
  <c r="J478" i="21"/>
  <c r="K478" i="21"/>
  <c r="G479" i="21"/>
  <c r="H479" i="21"/>
  <c r="I479" i="21"/>
  <c r="J479" i="21"/>
  <c r="K479" i="21"/>
  <c r="G480" i="21"/>
  <c r="H480" i="21"/>
  <c r="I480" i="21"/>
  <c r="J480" i="21"/>
  <c r="K480" i="21"/>
  <c r="G481" i="21"/>
  <c r="H481" i="21"/>
  <c r="I481" i="21"/>
  <c r="J481" i="21"/>
  <c r="K481" i="21"/>
  <c r="G482" i="21"/>
  <c r="H482" i="21"/>
  <c r="I482" i="21"/>
  <c r="J482" i="21"/>
  <c r="K482" i="21"/>
  <c r="G483" i="21"/>
  <c r="H483" i="21"/>
  <c r="I483" i="21"/>
  <c r="J483" i="21"/>
  <c r="K483" i="21"/>
  <c r="G484" i="21"/>
  <c r="H484" i="21"/>
  <c r="I484" i="21"/>
  <c r="J484" i="21"/>
  <c r="K484" i="21"/>
  <c r="G485" i="21"/>
  <c r="H485" i="21"/>
  <c r="I485" i="21"/>
  <c r="J485" i="21"/>
  <c r="K485" i="21"/>
  <c r="G486" i="21"/>
  <c r="H486" i="21"/>
  <c r="I486" i="21"/>
  <c r="J486" i="21"/>
  <c r="K486" i="21"/>
  <c r="G487" i="21"/>
  <c r="H487" i="21"/>
  <c r="I487" i="21"/>
  <c r="J487" i="21"/>
  <c r="K487" i="21"/>
  <c r="G488" i="21"/>
  <c r="H488" i="21"/>
  <c r="I488" i="21"/>
  <c r="J488" i="21"/>
  <c r="K488" i="21"/>
  <c r="G489" i="21"/>
  <c r="H489" i="21"/>
  <c r="I489" i="21"/>
  <c r="J489" i="21"/>
  <c r="K489" i="21"/>
  <c r="G490" i="21"/>
  <c r="H490" i="21"/>
  <c r="I490" i="21"/>
  <c r="J490" i="21"/>
  <c r="K490" i="21"/>
  <c r="G491" i="21"/>
  <c r="H491" i="21"/>
  <c r="I491" i="21"/>
  <c r="J491" i="21"/>
  <c r="K491" i="21"/>
  <c r="G492" i="21"/>
  <c r="H492" i="21"/>
  <c r="I492" i="21"/>
  <c r="J492" i="21"/>
  <c r="K492" i="21"/>
  <c r="G493" i="21"/>
  <c r="H493" i="21"/>
  <c r="I493" i="21"/>
  <c r="J493" i="21"/>
  <c r="K493" i="21"/>
  <c r="G494" i="21"/>
  <c r="H494" i="21"/>
  <c r="I494" i="21"/>
  <c r="J494" i="21"/>
  <c r="K494" i="21"/>
  <c r="G495" i="21"/>
  <c r="H495" i="21"/>
  <c r="I495" i="21"/>
  <c r="J495" i="21"/>
  <c r="K495" i="21"/>
  <c r="G496" i="21"/>
  <c r="H496" i="21"/>
  <c r="I496" i="21"/>
  <c r="J496" i="21"/>
  <c r="K496" i="21"/>
  <c r="G497" i="21"/>
  <c r="H497" i="21"/>
  <c r="I497" i="21"/>
  <c r="J497" i="21"/>
  <c r="K497" i="21"/>
  <c r="G498" i="21"/>
  <c r="H498" i="21"/>
  <c r="I498" i="21"/>
  <c r="J498" i="21"/>
  <c r="K498" i="21"/>
  <c r="G499" i="21"/>
  <c r="H499" i="21"/>
  <c r="I499" i="21"/>
  <c r="J499" i="21"/>
  <c r="K499" i="21"/>
  <c r="G500" i="21"/>
  <c r="H500" i="21"/>
  <c r="I500" i="21"/>
  <c r="J500" i="21"/>
  <c r="K500" i="21"/>
  <c r="G501" i="21"/>
  <c r="H501" i="21"/>
  <c r="I501" i="21"/>
  <c r="J501" i="21"/>
  <c r="K501" i="21"/>
  <c r="G502" i="21"/>
  <c r="H502" i="21"/>
  <c r="I502" i="21"/>
  <c r="J502" i="21"/>
  <c r="K502" i="21"/>
  <c r="G503" i="21"/>
  <c r="H503" i="21"/>
  <c r="I503" i="21"/>
  <c r="J503" i="21"/>
  <c r="K503" i="21"/>
  <c r="G504" i="21"/>
  <c r="H504" i="21"/>
  <c r="I504" i="21"/>
  <c r="J504" i="21"/>
  <c r="K504" i="21"/>
  <c r="G505" i="21"/>
  <c r="H505" i="21"/>
  <c r="I505" i="21"/>
  <c r="J505" i="21"/>
  <c r="K505" i="21"/>
  <c r="G506" i="21"/>
  <c r="H506" i="21"/>
  <c r="I506" i="21"/>
  <c r="J506" i="21"/>
  <c r="K506" i="21"/>
  <c r="G2" i="21"/>
  <c r="F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21" i="21"/>
  <c r="F422" i="21"/>
  <c r="F423" i="21"/>
  <c r="F424" i="21"/>
  <c r="F425" i="21"/>
  <c r="F426" i="21"/>
  <c r="F427" i="21"/>
  <c r="F428" i="21"/>
  <c r="F429" i="21"/>
  <c r="F430" i="21"/>
  <c r="F431" i="21"/>
  <c r="F432" i="21"/>
  <c r="F433" i="21"/>
  <c r="F434" i="21"/>
  <c r="F435" i="21"/>
  <c r="F436" i="21"/>
  <c r="F437" i="21"/>
  <c r="F438" i="21"/>
  <c r="F439" i="21"/>
  <c r="F440" i="21"/>
  <c r="F441" i="21"/>
  <c r="F442" i="21"/>
  <c r="F443" i="21"/>
  <c r="F444" i="21"/>
  <c r="F445" i="21"/>
  <c r="F446" i="21"/>
  <c r="F447" i="21"/>
  <c r="F448" i="21"/>
  <c r="F449" i="21"/>
  <c r="F450" i="21"/>
  <c r="F451" i="21"/>
  <c r="F452" i="21"/>
  <c r="F453" i="21"/>
  <c r="F454" i="21"/>
  <c r="F455" i="21"/>
  <c r="F456" i="21"/>
  <c r="F457" i="21"/>
  <c r="F458" i="21"/>
  <c r="F459" i="21"/>
  <c r="F460" i="21"/>
  <c r="F461" i="21"/>
  <c r="F462" i="21"/>
  <c r="F463" i="21"/>
  <c r="F464" i="21"/>
  <c r="F465" i="21"/>
  <c r="F466" i="21"/>
  <c r="F467" i="21"/>
  <c r="F468" i="21"/>
  <c r="F469" i="21"/>
  <c r="F470" i="21"/>
  <c r="F471" i="21"/>
  <c r="F472" i="21"/>
  <c r="F473" i="21"/>
  <c r="F474" i="21"/>
  <c r="F475" i="21"/>
  <c r="F476" i="21"/>
  <c r="F477" i="21"/>
  <c r="F478" i="21"/>
  <c r="F479" i="21"/>
  <c r="F480" i="21"/>
  <c r="F481" i="21"/>
  <c r="F482" i="21"/>
  <c r="F483" i="21"/>
  <c r="F484" i="21"/>
  <c r="F485" i="21"/>
  <c r="F486" i="21"/>
  <c r="F487" i="21"/>
  <c r="F488" i="21"/>
  <c r="F489" i="21"/>
  <c r="F490" i="21"/>
  <c r="F491" i="21"/>
  <c r="F492" i="21"/>
  <c r="F493" i="21"/>
  <c r="F494" i="21"/>
  <c r="F495" i="21"/>
  <c r="F496" i="21"/>
  <c r="F497" i="21"/>
  <c r="F498" i="21"/>
  <c r="F499" i="21"/>
  <c r="F500" i="21"/>
  <c r="F501" i="21"/>
  <c r="F502" i="21"/>
  <c r="F503" i="21"/>
  <c r="F504" i="21"/>
  <c r="F505" i="21"/>
  <c r="F506" i="21"/>
  <c r="F507" i="21"/>
  <c r="F508" i="21"/>
  <c r="F509" i="21"/>
  <c r="F510" i="21"/>
  <c r="F511" i="21"/>
  <c r="F512" i="21"/>
  <c r="F513" i="21"/>
  <c r="F514" i="21"/>
  <c r="F515" i="21"/>
  <c r="F516" i="21"/>
  <c r="F517" i="21"/>
  <c r="F518" i="21"/>
  <c r="F519" i="21"/>
  <c r="F520" i="21"/>
  <c r="F521" i="21"/>
  <c r="F522" i="21"/>
  <c r="F523" i="21"/>
  <c r="F524" i="21"/>
  <c r="F525" i="21"/>
  <c r="F526" i="21"/>
  <c r="F527" i="21"/>
  <c r="F528" i="21"/>
  <c r="F529" i="21"/>
  <c r="F530" i="21"/>
  <c r="F531" i="21"/>
  <c r="F532" i="21"/>
  <c r="F533" i="21"/>
  <c r="F534" i="21"/>
  <c r="F535" i="21"/>
  <c r="F536" i="21"/>
  <c r="F537" i="21"/>
  <c r="F538" i="21"/>
  <c r="F539" i="21"/>
  <c r="F540" i="21"/>
  <c r="F541" i="21"/>
  <c r="F542" i="21"/>
  <c r="F543" i="21"/>
  <c r="F544" i="21"/>
  <c r="F545" i="21"/>
  <c r="F546" i="21"/>
  <c r="F547" i="21"/>
  <c r="F548" i="21"/>
  <c r="F549" i="21"/>
  <c r="F550" i="21"/>
  <c r="F551" i="21"/>
  <c r="F552" i="21"/>
  <c r="F553" i="21"/>
  <c r="F554" i="21"/>
  <c r="F555" i="21"/>
  <c r="F556" i="21"/>
  <c r="F557" i="21"/>
  <c r="F558" i="21"/>
  <c r="F559" i="21"/>
  <c r="F560" i="21"/>
  <c r="F561" i="21"/>
  <c r="F562" i="21"/>
  <c r="F563" i="21"/>
  <c r="F564" i="21"/>
  <c r="F565" i="21"/>
  <c r="F566" i="21"/>
  <c r="F567" i="21"/>
  <c r="F568" i="21"/>
  <c r="F569" i="21"/>
  <c r="F570" i="21"/>
  <c r="F571" i="21"/>
  <c r="F572" i="21"/>
  <c r="F573" i="21"/>
  <c r="F574" i="21"/>
  <c r="F575" i="21"/>
  <c r="F576" i="21"/>
  <c r="F577" i="21"/>
  <c r="F578" i="21"/>
  <c r="F579" i="21"/>
  <c r="F580" i="21"/>
  <c r="F581" i="21"/>
  <c r="F582" i="21"/>
  <c r="F583" i="21"/>
  <c r="F584" i="21"/>
  <c r="F585" i="21"/>
  <c r="F586" i="21"/>
  <c r="F587" i="21"/>
  <c r="F588" i="21"/>
  <c r="F589" i="21"/>
  <c r="F590" i="21"/>
  <c r="F591" i="21"/>
  <c r="F592" i="21"/>
  <c r="F593" i="21"/>
  <c r="F594" i="21"/>
  <c r="F595" i="21"/>
  <c r="F596" i="21"/>
  <c r="F597" i="21"/>
  <c r="F598" i="21"/>
  <c r="F599" i="21"/>
  <c r="F600" i="21"/>
  <c r="F601" i="21"/>
  <c r="F602" i="21"/>
  <c r="F603" i="21"/>
  <c r="F604" i="21"/>
  <c r="F605" i="21"/>
  <c r="F606" i="21"/>
  <c r="F607" i="21"/>
  <c r="F608" i="21"/>
  <c r="F609" i="21"/>
  <c r="F610" i="21"/>
  <c r="F611" i="21"/>
  <c r="F612" i="21"/>
  <c r="F613" i="21"/>
  <c r="F614" i="21"/>
  <c r="F615" i="21"/>
  <c r="F616" i="21"/>
  <c r="F617" i="21"/>
  <c r="F618" i="21"/>
  <c r="F619" i="21"/>
  <c r="F620" i="21"/>
  <c r="F621" i="21"/>
  <c r="F622" i="21"/>
  <c r="F623" i="21"/>
  <c r="F624" i="21"/>
  <c r="F625" i="21"/>
  <c r="F626" i="21"/>
  <c r="F627" i="21"/>
  <c r="F628" i="21"/>
  <c r="F629" i="21"/>
  <c r="F630" i="21"/>
  <c r="F631" i="21"/>
  <c r="F632" i="21"/>
  <c r="F633" i="21"/>
  <c r="F634" i="21"/>
  <c r="F635" i="21"/>
  <c r="F636" i="21"/>
  <c r="F637" i="21"/>
  <c r="F638" i="21"/>
  <c r="F639" i="21"/>
  <c r="F640" i="21"/>
  <c r="F641" i="21"/>
  <c r="F642" i="21"/>
  <c r="F643" i="21"/>
  <c r="F644" i="21"/>
  <c r="F645" i="21"/>
  <c r="F646" i="21"/>
  <c r="F647" i="21"/>
  <c r="F648" i="21"/>
  <c r="F649" i="21"/>
  <c r="F650" i="21"/>
  <c r="F651" i="21"/>
  <c r="F652" i="21"/>
  <c r="F653" i="21"/>
  <c r="F654" i="21"/>
  <c r="F655" i="21"/>
  <c r="F656" i="21"/>
  <c r="F657" i="21"/>
  <c r="F658" i="21"/>
  <c r="F659" i="21"/>
  <c r="F660" i="21"/>
  <c r="F661" i="21"/>
  <c r="F662" i="21"/>
  <c r="F663" i="21"/>
  <c r="F664" i="21"/>
  <c r="F665" i="21"/>
  <c r="F666" i="21"/>
  <c r="F667" i="21"/>
  <c r="F668" i="21"/>
  <c r="F669" i="21"/>
  <c r="F670" i="21"/>
  <c r="F671" i="21"/>
  <c r="F672" i="21"/>
  <c r="F673" i="21"/>
  <c r="F674" i="21"/>
  <c r="F675" i="21"/>
  <c r="F676" i="21"/>
  <c r="F677" i="21"/>
  <c r="F678" i="21"/>
  <c r="F679" i="21"/>
  <c r="F680" i="21"/>
  <c r="F681" i="21"/>
  <c r="F682" i="21"/>
  <c r="F683" i="21"/>
  <c r="F684" i="21"/>
  <c r="F685" i="21"/>
  <c r="F686" i="21"/>
  <c r="F687" i="21"/>
  <c r="F688" i="21"/>
  <c r="F689" i="21"/>
  <c r="F690" i="21"/>
  <c r="F691" i="21"/>
  <c r="F692" i="21"/>
  <c r="F693" i="21"/>
  <c r="F694" i="21"/>
  <c r="F695" i="21"/>
  <c r="F696" i="21"/>
  <c r="F697" i="21"/>
  <c r="F698" i="21"/>
  <c r="F699" i="21"/>
  <c r="F700" i="21"/>
  <c r="F701" i="21"/>
  <c r="F702" i="21"/>
  <c r="F703" i="21"/>
  <c r="F704" i="21"/>
  <c r="F705" i="21"/>
  <c r="F706" i="21"/>
  <c r="F707" i="21"/>
  <c r="F708" i="21"/>
  <c r="F709" i="21"/>
  <c r="F710" i="21"/>
  <c r="F711" i="21"/>
  <c r="F712" i="21"/>
  <c r="F713" i="21"/>
  <c r="F714" i="21"/>
  <c r="F715" i="21"/>
  <c r="F716" i="21"/>
  <c r="F717" i="21"/>
  <c r="F718" i="21"/>
  <c r="F719" i="21"/>
  <c r="F720" i="21"/>
  <c r="F721" i="21"/>
  <c r="F722" i="21"/>
  <c r="F723" i="21"/>
  <c r="F724" i="21"/>
  <c r="F725" i="21"/>
  <c r="F726" i="21"/>
  <c r="F727" i="21"/>
  <c r="F728" i="21"/>
  <c r="F729" i="21"/>
  <c r="F730" i="21"/>
  <c r="F731" i="21"/>
  <c r="F732" i="21"/>
  <c r="F733" i="21"/>
  <c r="F734" i="21"/>
  <c r="F735" i="21"/>
  <c r="F736" i="21"/>
  <c r="F737" i="21"/>
  <c r="F738" i="21"/>
  <c r="F739" i="21"/>
  <c r="F740" i="21"/>
  <c r="F741" i="21"/>
  <c r="F742" i="21"/>
  <c r="F743" i="21"/>
  <c r="F744" i="21"/>
  <c r="F745" i="21"/>
  <c r="F746" i="21"/>
  <c r="F747" i="21"/>
  <c r="F748" i="21"/>
  <c r="F749" i="21"/>
  <c r="F750" i="21"/>
  <c r="F751" i="21"/>
  <c r="F752" i="21"/>
  <c r="F753" i="21"/>
  <c r="F754" i="21"/>
  <c r="F755" i="21"/>
  <c r="F756" i="21"/>
  <c r="F757" i="21"/>
  <c r="F758" i="21"/>
  <c r="F759" i="21"/>
  <c r="F760" i="21"/>
  <c r="F761" i="21"/>
  <c r="F762" i="21"/>
  <c r="F763" i="21"/>
  <c r="F764" i="21"/>
  <c r="F765" i="21"/>
  <c r="F766" i="21"/>
  <c r="F767" i="21"/>
  <c r="F768" i="21"/>
  <c r="F769" i="21"/>
  <c r="F770" i="21"/>
  <c r="F771" i="21"/>
  <c r="F772" i="21"/>
  <c r="F773" i="21"/>
  <c r="F774" i="21"/>
  <c r="F775" i="21"/>
  <c r="F776" i="21"/>
  <c r="F777" i="21"/>
  <c r="F778" i="21"/>
  <c r="F779" i="21"/>
  <c r="F780" i="21"/>
  <c r="F781" i="21"/>
  <c r="F782" i="21"/>
  <c r="F783" i="21"/>
  <c r="F784" i="21"/>
  <c r="F785" i="21"/>
  <c r="F786" i="21"/>
  <c r="F787" i="21"/>
  <c r="F788" i="21"/>
  <c r="F789" i="21"/>
  <c r="F790" i="21"/>
  <c r="F791" i="21"/>
  <c r="F792" i="21"/>
  <c r="F793" i="21"/>
  <c r="F794" i="21"/>
  <c r="F795" i="21"/>
  <c r="F796" i="21"/>
  <c r="F797" i="21"/>
  <c r="F798" i="21"/>
  <c r="F799" i="21"/>
  <c r="F800" i="21"/>
  <c r="F801" i="21"/>
  <c r="F802" i="21"/>
  <c r="F803" i="21"/>
  <c r="F804" i="21"/>
  <c r="F805" i="21"/>
  <c r="F806" i="21"/>
  <c r="F807" i="21"/>
  <c r="F808" i="21"/>
  <c r="F809" i="21"/>
  <c r="F810" i="21"/>
  <c r="F811" i="21"/>
  <c r="F812" i="21"/>
  <c r="F813" i="21"/>
  <c r="F814" i="21"/>
  <c r="F815" i="21"/>
  <c r="F816" i="21"/>
  <c r="F817" i="21"/>
  <c r="F818" i="21"/>
  <c r="F819" i="21"/>
  <c r="F820" i="21"/>
  <c r="F821" i="21"/>
  <c r="F822" i="21"/>
  <c r="F823" i="21"/>
  <c r="F824" i="21"/>
  <c r="F825" i="21"/>
  <c r="F826" i="21"/>
  <c r="F827" i="21"/>
  <c r="F828" i="21"/>
  <c r="F829" i="21"/>
  <c r="F830" i="21"/>
  <c r="F831" i="21"/>
  <c r="F832" i="21"/>
  <c r="F833" i="21"/>
  <c r="F834" i="21"/>
  <c r="F835" i="21"/>
  <c r="F836" i="21"/>
  <c r="F837" i="21"/>
  <c r="F838" i="21"/>
  <c r="F839" i="21"/>
  <c r="F840" i="21"/>
  <c r="F841" i="21"/>
  <c r="F842" i="21"/>
  <c r="F843" i="21"/>
  <c r="F844" i="21"/>
  <c r="F845" i="21"/>
  <c r="F846" i="21"/>
  <c r="F847" i="21"/>
  <c r="F848" i="21"/>
  <c r="F849" i="21"/>
  <c r="F850" i="21"/>
  <c r="F851" i="21"/>
  <c r="F852" i="21"/>
  <c r="F853" i="21"/>
  <c r="F854" i="21"/>
  <c r="F855" i="21"/>
  <c r="F856" i="21"/>
  <c r="F857" i="21"/>
  <c r="F858" i="21"/>
  <c r="F859" i="21"/>
  <c r="F860" i="21"/>
  <c r="F861" i="21"/>
  <c r="F862" i="21"/>
  <c r="F863" i="21"/>
  <c r="F864" i="21"/>
  <c r="F865" i="21"/>
  <c r="F866" i="21"/>
  <c r="F867" i="21"/>
  <c r="F868" i="21"/>
  <c r="F869" i="21"/>
  <c r="F870" i="21"/>
  <c r="F871" i="21"/>
  <c r="F872" i="21"/>
  <c r="F873" i="21"/>
  <c r="F874" i="21"/>
  <c r="F875" i="21"/>
  <c r="F876" i="21"/>
  <c r="F877" i="21"/>
  <c r="F878" i="21"/>
  <c r="F879" i="21"/>
  <c r="F880" i="21"/>
  <c r="F881" i="21"/>
  <c r="F882" i="21"/>
  <c r="F883" i="21"/>
  <c r="F884" i="21"/>
  <c r="F885" i="21"/>
  <c r="F886" i="21"/>
  <c r="F887" i="21"/>
  <c r="F888" i="21"/>
  <c r="F889" i="21"/>
  <c r="F890" i="21"/>
  <c r="F891" i="21"/>
  <c r="F892" i="21"/>
  <c r="F893" i="21"/>
  <c r="F894" i="21"/>
  <c r="F895" i="21"/>
  <c r="F896" i="21"/>
  <c r="F897" i="21"/>
  <c r="F898" i="21"/>
  <c r="F899" i="21"/>
  <c r="F900" i="21"/>
  <c r="F901" i="21"/>
  <c r="F902" i="21"/>
  <c r="F903" i="21"/>
  <c r="F904" i="21"/>
  <c r="F905" i="21"/>
  <c r="F906" i="21"/>
  <c r="F907" i="21"/>
  <c r="F908" i="21"/>
  <c r="F909" i="21"/>
  <c r="F910" i="21"/>
  <c r="F911" i="21"/>
  <c r="F912" i="21"/>
  <c r="F913" i="21"/>
  <c r="F914" i="21"/>
  <c r="F915" i="21"/>
  <c r="F916" i="21"/>
  <c r="F917" i="21"/>
  <c r="F918" i="21"/>
  <c r="F919" i="21"/>
  <c r="F920" i="21"/>
  <c r="F921" i="21"/>
  <c r="F922" i="21"/>
  <c r="F923" i="21"/>
  <c r="F924" i="21"/>
  <c r="F925" i="21"/>
  <c r="F926" i="21"/>
  <c r="F927" i="21"/>
  <c r="F928" i="21"/>
  <c r="F929" i="21"/>
  <c r="F930" i="21"/>
  <c r="F931" i="21"/>
  <c r="F932" i="21"/>
  <c r="F933" i="21"/>
  <c r="F934" i="21"/>
  <c r="F935" i="21"/>
  <c r="F936" i="21"/>
  <c r="F937" i="21"/>
  <c r="F938" i="21"/>
  <c r="F939" i="21"/>
  <c r="F940" i="21"/>
  <c r="F941" i="21"/>
  <c r="F942" i="21"/>
  <c r="F943" i="21"/>
  <c r="F944" i="21"/>
  <c r="F945" i="21"/>
  <c r="F946" i="21"/>
  <c r="F947" i="21"/>
  <c r="F948" i="21"/>
  <c r="F949" i="21"/>
  <c r="F950" i="21"/>
  <c r="F951" i="21"/>
  <c r="F952" i="21"/>
  <c r="F953" i="21"/>
  <c r="F954" i="21"/>
  <c r="F955" i="21"/>
  <c r="F956" i="21"/>
  <c r="F957" i="21"/>
  <c r="F958" i="21"/>
  <c r="F959" i="21"/>
  <c r="F960" i="21"/>
  <c r="F961" i="21"/>
  <c r="F962" i="21"/>
  <c r="F963" i="21"/>
  <c r="F964" i="21"/>
  <c r="F965" i="21"/>
  <c r="F966" i="21"/>
  <c r="F967" i="21"/>
  <c r="F968" i="21"/>
  <c r="F969" i="21"/>
  <c r="F970" i="21"/>
  <c r="F971" i="21"/>
  <c r="F972" i="21"/>
  <c r="F973" i="21"/>
  <c r="F974" i="21"/>
  <c r="F975" i="21"/>
  <c r="F976" i="21"/>
  <c r="F977" i="21"/>
  <c r="F978" i="21"/>
  <c r="F979" i="21"/>
  <c r="F980" i="21"/>
  <c r="F981" i="21"/>
  <c r="F982" i="21"/>
  <c r="F983" i="21"/>
  <c r="F984" i="21"/>
  <c r="F985" i="21"/>
  <c r="F986" i="21"/>
  <c r="F987" i="21"/>
  <c r="F988" i="21"/>
  <c r="F989" i="21"/>
  <c r="F990" i="21"/>
  <c r="F991" i="21"/>
  <c r="F992" i="21"/>
  <c r="F993" i="21"/>
  <c r="F994" i="21"/>
  <c r="F995" i="21"/>
  <c r="F996" i="21"/>
  <c r="F997" i="21"/>
  <c r="F998" i="21"/>
  <c r="F999" i="21"/>
  <c r="F1000" i="21"/>
  <c r="F1" i="21"/>
  <c r="E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D2" i="8" s="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E268" i="21"/>
  <c r="E269" i="21"/>
  <c r="E270" i="21"/>
  <c r="E271" i="21"/>
  <c r="E272" i="21"/>
  <c r="E273" i="21"/>
  <c r="E274" i="21"/>
  <c r="E275" i="21"/>
  <c r="E276" i="21"/>
  <c r="E277" i="21"/>
  <c r="E278" i="21"/>
  <c r="E279" i="21"/>
  <c r="E280" i="21"/>
  <c r="E281" i="21"/>
  <c r="E282" i="21"/>
  <c r="E283" i="21"/>
  <c r="E284" i="21"/>
  <c r="E285" i="21"/>
  <c r="E286" i="21"/>
  <c r="E287" i="21"/>
  <c r="E288" i="21"/>
  <c r="E289" i="21"/>
  <c r="E290" i="21"/>
  <c r="E291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E306" i="21"/>
  <c r="E307" i="21"/>
  <c r="E308" i="21"/>
  <c r="E309" i="21"/>
  <c r="E310" i="21"/>
  <c r="E311" i="21"/>
  <c r="E312" i="21"/>
  <c r="E313" i="21"/>
  <c r="E314" i="21"/>
  <c r="E315" i="21"/>
  <c r="E316" i="21"/>
  <c r="E317" i="21"/>
  <c r="E318" i="21"/>
  <c r="E319" i="21"/>
  <c r="E320" i="21"/>
  <c r="E321" i="21"/>
  <c r="E322" i="21"/>
  <c r="E323" i="21"/>
  <c r="E324" i="21"/>
  <c r="E325" i="21"/>
  <c r="E326" i="21"/>
  <c r="E327" i="21"/>
  <c r="E328" i="21"/>
  <c r="E329" i="21"/>
  <c r="E330" i="21"/>
  <c r="E331" i="21"/>
  <c r="E332" i="21"/>
  <c r="E333" i="21"/>
  <c r="E334" i="21"/>
  <c r="E335" i="21"/>
  <c r="E336" i="21"/>
  <c r="E337" i="21"/>
  <c r="E338" i="21"/>
  <c r="E339" i="21"/>
  <c r="E340" i="21"/>
  <c r="E341" i="21"/>
  <c r="E342" i="21"/>
  <c r="E343" i="21"/>
  <c r="E344" i="21"/>
  <c r="E345" i="21"/>
  <c r="E346" i="21"/>
  <c r="E347" i="21"/>
  <c r="E348" i="21"/>
  <c r="E349" i="21"/>
  <c r="E350" i="21"/>
  <c r="E351" i="21"/>
  <c r="E352" i="21"/>
  <c r="E353" i="21"/>
  <c r="E354" i="21"/>
  <c r="E355" i="21"/>
  <c r="E356" i="21"/>
  <c r="E357" i="21"/>
  <c r="E358" i="21"/>
  <c r="E359" i="21"/>
  <c r="E360" i="21"/>
  <c r="E361" i="21"/>
  <c r="E362" i="21"/>
  <c r="E363" i="21"/>
  <c r="E364" i="21"/>
  <c r="E365" i="21"/>
  <c r="E366" i="21"/>
  <c r="E367" i="21"/>
  <c r="E368" i="21"/>
  <c r="E369" i="21"/>
  <c r="E370" i="21"/>
  <c r="E371" i="21"/>
  <c r="E372" i="21"/>
  <c r="E373" i="21"/>
  <c r="E374" i="21"/>
  <c r="E375" i="21"/>
  <c r="E376" i="21"/>
  <c r="E377" i="21"/>
  <c r="E378" i="21"/>
  <c r="E379" i="21"/>
  <c r="E380" i="21"/>
  <c r="E381" i="21"/>
  <c r="E382" i="21"/>
  <c r="E383" i="21"/>
  <c r="E384" i="21"/>
  <c r="E385" i="21"/>
  <c r="E386" i="21"/>
  <c r="E387" i="21"/>
  <c r="E388" i="21"/>
  <c r="E389" i="21"/>
  <c r="E390" i="21"/>
  <c r="E391" i="21"/>
  <c r="E392" i="21"/>
  <c r="E393" i="21"/>
  <c r="E394" i="21"/>
  <c r="E395" i="21"/>
  <c r="E396" i="21"/>
  <c r="E397" i="21"/>
  <c r="E398" i="21"/>
  <c r="E399" i="21"/>
  <c r="E400" i="21"/>
  <c r="E401" i="21"/>
  <c r="E402" i="21"/>
  <c r="E403" i="21"/>
  <c r="E404" i="21"/>
  <c r="E405" i="21"/>
  <c r="E406" i="21"/>
  <c r="E407" i="21"/>
  <c r="E408" i="21"/>
  <c r="E409" i="21"/>
  <c r="E410" i="21"/>
  <c r="E411" i="21"/>
  <c r="E412" i="21"/>
  <c r="E413" i="21"/>
  <c r="E414" i="21"/>
  <c r="E415" i="21"/>
  <c r="E416" i="21"/>
  <c r="E417" i="21"/>
  <c r="E418" i="21"/>
  <c r="E419" i="21"/>
  <c r="E420" i="21"/>
  <c r="E421" i="21"/>
  <c r="E422" i="21"/>
  <c r="E423" i="21"/>
  <c r="E424" i="21"/>
  <c r="E425" i="21"/>
  <c r="E426" i="21"/>
  <c r="E427" i="21"/>
  <c r="E428" i="21"/>
  <c r="E429" i="21"/>
  <c r="E430" i="21"/>
  <c r="E431" i="21"/>
  <c r="E432" i="21"/>
  <c r="E433" i="21"/>
  <c r="E434" i="21"/>
  <c r="E435" i="21"/>
  <c r="E436" i="21"/>
  <c r="E437" i="21"/>
  <c r="E438" i="21"/>
  <c r="E439" i="21"/>
  <c r="E440" i="21"/>
  <c r="E441" i="21"/>
  <c r="E442" i="21"/>
  <c r="E443" i="21"/>
  <c r="E444" i="21"/>
  <c r="E445" i="21"/>
  <c r="E446" i="21"/>
  <c r="E447" i="21"/>
  <c r="E448" i="21"/>
  <c r="E449" i="21"/>
  <c r="E450" i="21"/>
  <c r="E451" i="21"/>
  <c r="E452" i="21"/>
  <c r="E453" i="21"/>
  <c r="E454" i="21"/>
  <c r="E455" i="21"/>
  <c r="E456" i="21"/>
  <c r="E457" i="21"/>
  <c r="E458" i="21"/>
  <c r="E459" i="21"/>
  <c r="E460" i="21"/>
  <c r="E461" i="21"/>
  <c r="E462" i="21"/>
  <c r="E463" i="21"/>
  <c r="E464" i="21"/>
  <c r="E465" i="21"/>
  <c r="E466" i="21"/>
  <c r="E467" i="21"/>
  <c r="E468" i="21"/>
  <c r="E469" i="21"/>
  <c r="E470" i="21"/>
  <c r="E471" i="21"/>
  <c r="E472" i="21"/>
  <c r="E473" i="21"/>
  <c r="E474" i="21"/>
  <c r="E475" i="21"/>
  <c r="E476" i="21"/>
  <c r="E477" i="21"/>
  <c r="E478" i="21"/>
  <c r="E479" i="21"/>
  <c r="E480" i="21"/>
  <c r="E481" i="21"/>
  <c r="E482" i="21"/>
  <c r="E483" i="21"/>
  <c r="E484" i="21"/>
  <c r="E485" i="21"/>
  <c r="E486" i="21"/>
  <c r="E487" i="21"/>
  <c r="E488" i="21"/>
  <c r="E489" i="21"/>
  <c r="E490" i="21"/>
  <c r="E491" i="21"/>
  <c r="E492" i="21"/>
  <c r="E493" i="21"/>
  <c r="E494" i="21"/>
  <c r="E495" i="21"/>
  <c r="E496" i="21"/>
  <c r="E497" i="21"/>
  <c r="E498" i="21"/>
  <c r="E499" i="21"/>
  <c r="E500" i="21"/>
  <c r="E501" i="21"/>
  <c r="E502" i="21"/>
  <c r="E503" i="21"/>
  <c r="E504" i="21"/>
  <c r="E505" i="21"/>
  <c r="E506" i="21"/>
  <c r="E507" i="21"/>
  <c r="E508" i="21"/>
  <c r="E509" i="21"/>
  <c r="E510" i="21"/>
  <c r="E511" i="21"/>
  <c r="E512" i="21"/>
  <c r="E513" i="21"/>
  <c r="E514" i="21"/>
  <c r="E515" i="21"/>
  <c r="E516" i="21"/>
  <c r="E517" i="21"/>
  <c r="E518" i="21"/>
  <c r="E519" i="21"/>
  <c r="E520" i="21"/>
  <c r="E521" i="21"/>
  <c r="E522" i="21"/>
  <c r="E523" i="21"/>
  <c r="E524" i="21"/>
  <c r="E525" i="21"/>
  <c r="E526" i="21"/>
  <c r="E527" i="21"/>
  <c r="E528" i="21"/>
  <c r="E529" i="21"/>
  <c r="E530" i="21"/>
  <c r="E531" i="21"/>
  <c r="E532" i="21"/>
  <c r="E533" i="21"/>
  <c r="E534" i="21"/>
  <c r="E535" i="21"/>
  <c r="E536" i="21"/>
  <c r="E537" i="21"/>
  <c r="E538" i="21"/>
  <c r="E539" i="21"/>
  <c r="E540" i="21"/>
  <c r="E541" i="21"/>
  <c r="E542" i="21"/>
  <c r="E543" i="21"/>
  <c r="E544" i="21"/>
  <c r="E545" i="21"/>
  <c r="E546" i="21"/>
  <c r="E547" i="21"/>
  <c r="E548" i="21"/>
  <c r="E549" i="21"/>
  <c r="E550" i="21"/>
  <c r="E551" i="21"/>
  <c r="E552" i="21"/>
  <c r="E553" i="21"/>
  <c r="E554" i="21"/>
  <c r="E555" i="21"/>
  <c r="E556" i="21"/>
  <c r="E557" i="21"/>
  <c r="E558" i="21"/>
  <c r="E559" i="21"/>
  <c r="E560" i="21"/>
  <c r="E561" i="21"/>
  <c r="E562" i="21"/>
  <c r="E563" i="21"/>
  <c r="E564" i="21"/>
  <c r="E565" i="21"/>
  <c r="E566" i="21"/>
  <c r="E567" i="21"/>
  <c r="E568" i="21"/>
  <c r="E569" i="21"/>
  <c r="E570" i="21"/>
  <c r="E571" i="21"/>
  <c r="E572" i="21"/>
  <c r="E573" i="21"/>
  <c r="E574" i="21"/>
  <c r="E575" i="21"/>
  <c r="E576" i="21"/>
  <c r="E577" i="21"/>
  <c r="E578" i="21"/>
  <c r="E579" i="21"/>
  <c r="E580" i="21"/>
  <c r="E581" i="21"/>
  <c r="E582" i="21"/>
  <c r="E583" i="21"/>
  <c r="E584" i="21"/>
  <c r="E585" i="21"/>
  <c r="E586" i="21"/>
  <c r="E587" i="21"/>
  <c r="E588" i="21"/>
  <c r="E589" i="21"/>
  <c r="E590" i="21"/>
  <c r="E591" i="21"/>
  <c r="E592" i="21"/>
  <c r="E593" i="21"/>
  <c r="E594" i="21"/>
  <c r="E595" i="21"/>
  <c r="E596" i="21"/>
  <c r="E597" i="21"/>
  <c r="E598" i="21"/>
  <c r="E599" i="21"/>
  <c r="E600" i="21"/>
  <c r="E601" i="21"/>
  <c r="E602" i="21"/>
  <c r="E603" i="21"/>
  <c r="E604" i="21"/>
  <c r="E605" i="21"/>
  <c r="E606" i="21"/>
  <c r="E607" i="21"/>
  <c r="E608" i="21"/>
  <c r="E609" i="21"/>
  <c r="E610" i="21"/>
  <c r="E611" i="21"/>
  <c r="E612" i="21"/>
  <c r="E613" i="21"/>
  <c r="E614" i="21"/>
  <c r="E615" i="21"/>
  <c r="E616" i="21"/>
  <c r="E617" i="21"/>
  <c r="E618" i="21"/>
  <c r="E619" i="21"/>
  <c r="E620" i="21"/>
  <c r="E621" i="21"/>
  <c r="E622" i="21"/>
  <c r="E623" i="21"/>
  <c r="E624" i="21"/>
  <c r="E625" i="21"/>
  <c r="E626" i="21"/>
  <c r="E627" i="21"/>
  <c r="E628" i="21"/>
  <c r="E629" i="21"/>
  <c r="E630" i="21"/>
  <c r="E631" i="21"/>
  <c r="E632" i="21"/>
  <c r="E633" i="21"/>
  <c r="E634" i="21"/>
  <c r="E635" i="21"/>
  <c r="E636" i="21"/>
  <c r="E637" i="21"/>
  <c r="E638" i="21"/>
  <c r="E639" i="21"/>
  <c r="E640" i="21"/>
  <c r="E641" i="21"/>
  <c r="E642" i="21"/>
  <c r="E643" i="21"/>
  <c r="E644" i="21"/>
  <c r="E645" i="21"/>
  <c r="E646" i="21"/>
  <c r="E647" i="21"/>
  <c r="E648" i="21"/>
  <c r="E649" i="21"/>
  <c r="E650" i="21"/>
  <c r="E651" i="21"/>
  <c r="E652" i="21"/>
  <c r="E653" i="21"/>
  <c r="E654" i="21"/>
  <c r="E655" i="21"/>
  <c r="E656" i="21"/>
  <c r="E657" i="21"/>
  <c r="E658" i="21"/>
  <c r="E659" i="21"/>
  <c r="E660" i="21"/>
  <c r="E661" i="21"/>
  <c r="E662" i="21"/>
  <c r="E663" i="21"/>
  <c r="E664" i="21"/>
  <c r="E665" i="21"/>
  <c r="E666" i="21"/>
  <c r="E667" i="21"/>
  <c r="E668" i="21"/>
  <c r="E669" i="21"/>
  <c r="E670" i="21"/>
  <c r="E671" i="21"/>
  <c r="E672" i="21"/>
  <c r="E673" i="21"/>
  <c r="E674" i="21"/>
  <c r="E675" i="21"/>
  <c r="E676" i="21"/>
  <c r="E677" i="21"/>
  <c r="E678" i="21"/>
  <c r="E679" i="21"/>
  <c r="E680" i="21"/>
  <c r="E681" i="21"/>
  <c r="E682" i="21"/>
  <c r="E683" i="21"/>
  <c r="E684" i="21"/>
  <c r="E685" i="21"/>
  <c r="E686" i="21"/>
  <c r="E687" i="21"/>
  <c r="E688" i="21"/>
  <c r="E689" i="21"/>
  <c r="E690" i="21"/>
  <c r="E691" i="21"/>
  <c r="E692" i="21"/>
  <c r="E693" i="21"/>
  <c r="E694" i="21"/>
  <c r="E695" i="21"/>
  <c r="E696" i="21"/>
  <c r="E697" i="21"/>
  <c r="E698" i="21"/>
  <c r="E699" i="21"/>
  <c r="E700" i="21"/>
  <c r="E701" i="21"/>
  <c r="E702" i="21"/>
  <c r="E703" i="21"/>
  <c r="E704" i="21"/>
  <c r="E705" i="21"/>
  <c r="E706" i="21"/>
  <c r="E707" i="21"/>
  <c r="E708" i="21"/>
  <c r="E709" i="21"/>
  <c r="E710" i="21"/>
  <c r="E711" i="21"/>
  <c r="E712" i="21"/>
  <c r="E713" i="21"/>
  <c r="E714" i="21"/>
  <c r="E715" i="21"/>
  <c r="E716" i="21"/>
  <c r="E717" i="21"/>
  <c r="E718" i="21"/>
  <c r="E719" i="21"/>
  <c r="E720" i="21"/>
  <c r="E721" i="21"/>
  <c r="E722" i="21"/>
  <c r="E723" i="21"/>
  <c r="E724" i="21"/>
  <c r="E725" i="21"/>
  <c r="E726" i="21"/>
  <c r="E727" i="21"/>
  <c r="E728" i="21"/>
  <c r="E729" i="21"/>
  <c r="E730" i="21"/>
  <c r="E731" i="21"/>
  <c r="E732" i="21"/>
  <c r="E733" i="21"/>
  <c r="E734" i="21"/>
  <c r="E735" i="21"/>
  <c r="E736" i="21"/>
  <c r="E737" i="21"/>
  <c r="E738" i="21"/>
  <c r="E739" i="21"/>
  <c r="E740" i="21"/>
  <c r="E741" i="21"/>
  <c r="E742" i="21"/>
  <c r="E743" i="21"/>
  <c r="E744" i="21"/>
  <c r="E745" i="21"/>
  <c r="E746" i="21"/>
  <c r="E747" i="21"/>
  <c r="E748" i="21"/>
  <c r="E749" i="21"/>
  <c r="E750" i="21"/>
  <c r="E751" i="21"/>
  <c r="E752" i="21"/>
  <c r="E753" i="21"/>
  <c r="E754" i="21"/>
  <c r="E755" i="21"/>
  <c r="E756" i="21"/>
  <c r="E757" i="21"/>
  <c r="E758" i="21"/>
  <c r="E759" i="21"/>
  <c r="E760" i="21"/>
  <c r="E761" i="21"/>
  <c r="E762" i="21"/>
  <c r="E763" i="21"/>
  <c r="E764" i="21"/>
  <c r="E765" i="21"/>
  <c r="E766" i="21"/>
  <c r="E767" i="21"/>
  <c r="E768" i="21"/>
  <c r="E769" i="21"/>
  <c r="E770" i="21"/>
  <c r="E771" i="21"/>
  <c r="E772" i="21"/>
  <c r="E773" i="21"/>
  <c r="E774" i="21"/>
  <c r="E775" i="21"/>
  <c r="E776" i="21"/>
  <c r="E777" i="21"/>
  <c r="E778" i="21"/>
  <c r="E779" i="21"/>
  <c r="E780" i="21"/>
  <c r="E781" i="21"/>
  <c r="E782" i="21"/>
  <c r="E783" i="21"/>
  <c r="E784" i="21"/>
  <c r="E785" i="21"/>
  <c r="E786" i="21"/>
  <c r="E787" i="21"/>
  <c r="E788" i="21"/>
  <c r="E789" i="21"/>
  <c r="E790" i="21"/>
  <c r="E791" i="21"/>
  <c r="E792" i="21"/>
  <c r="E793" i="21"/>
  <c r="E794" i="21"/>
  <c r="E795" i="21"/>
  <c r="E796" i="21"/>
  <c r="E797" i="21"/>
  <c r="E798" i="21"/>
  <c r="E799" i="21"/>
  <c r="E800" i="21"/>
  <c r="E801" i="21"/>
  <c r="E802" i="21"/>
  <c r="E803" i="21"/>
  <c r="E804" i="21"/>
  <c r="E805" i="21"/>
  <c r="E806" i="21"/>
  <c r="E807" i="21"/>
  <c r="E808" i="21"/>
  <c r="E809" i="21"/>
  <c r="E810" i="21"/>
  <c r="E811" i="21"/>
  <c r="E812" i="21"/>
  <c r="E813" i="21"/>
  <c r="E814" i="21"/>
  <c r="E815" i="21"/>
  <c r="E816" i="21"/>
  <c r="E817" i="21"/>
  <c r="E818" i="21"/>
  <c r="E819" i="21"/>
  <c r="E820" i="21"/>
  <c r="E821" i="21"/>
  <c r="E822" i="21"/>
  <c r="E823" i="21"/>
  <c r="E824" i="21"/>
  <c r="E825" i="21"/>
  <c r="E826" i="21"/>
  <c r="E827" i="21"/>
  <c r="E828" i="21"/>
  <c r="E829" i="21"/>
  <c r="E830" i="21"/>
  <c r="E831" i="21"/>
  <c r="E832" i="21"/>
  <c r="E833" i="21"/>
  <c r="E834" i="21"/>
  <c r="E835" i="21"/>
  <c r="E836" i="21"/>
  <c r="E837" i="21"/>
  <c r="E838" i="21"/>
  <c r="E839" i="21"/>
  <c r="E840" i="21"/>
  <c r="E841" i="21"/>
  <c r="E842" i="21"/>
  <c r="E843" i="21"/>
  <c r="E844" i="21"/>
  <c r="E845" i="21"/>
  <c r="E846" i="21"/>
  <c r="E847" i="21"/>
  <c r="E848" i="21"/>
  <c r="E849" i="21"/>
  <c r="E850" i="21"/>
  <c r="E851" i="21"/>
  <c r="E852" i="21"/>
  <c r="E853" i="21"/>
  <c r="E854" i="21"/>
  <c r="E855" i="21"/>
  <c r="E856" i="21"/>
  <c r="E857" i="21"/>
  <c r="E858" i="21"/>
  <c r="E859" i="21"/>
  <c r="E860" i="21"/>
  <c r="E861" i="21"/>
  <c r="E862" i="21"/>
  <c r="E863" i="21"/>
  <c r="E864" i="21"/>
  <c r="E865" i="21"/>
  <c r="E866" i="21"/>
  <c r="E867" i="21"/>
  <c r="E868" i="21"/>
  <c r="E869" i="21"/>
  <c r="E870" i="21"/>
  <c r="E871" i="21"/>
  <c r="E872" i="21"/>
  <c r="E873" i="21"/>
  <c r="E874" i="21"/>
  <c r="E875" i="21"/>
  <c r="E876" i="21"/>
  <c r="E877" i="21"/>
  <c r="E878" i="21"/>
  <c r="E879" i="21"/>
  <c r="E880" i="21"/>
  <c r="E881" i="21"/>
  <c r="E882" i="21"/>
  <c r="E883" i="21"/>
  <c r="E884" i="21"/>
  <c r="E885" i="21"/>
  <c r="E886" i="21"/>
  <c r="E887" i="21"/>
  <c r="E888" i="21"/>
  <c r="E889" i="21"/>
  <c r="E890" i="21"/>
  <c r="E891" i="21"/>
  <c r="E892" i="21"/>
  <c r="E893" i="21"/>
  <c r="E894" i="21"/>
  <c r="E895" i="21"/>
  <c r="E896" i="21"/>
  <c r="E897" i="21"/>
  <c r="E898" i="21"/>
  <c r="E899" i="21"/>
  <c r="E900" i="21"/>
  <c r="E901" i="21"/>
  <c r="E902" i="21"/>
  <c r="E903" i="21"/>
  <c r="E904" i="21"/>
  <c r="E905" i="21"/>
  <c r="E906" i="21"/>
  <c r="E907" i="21"/>
  <c r="E908" i="21"/>
  <c r="E909" i="21"/>
  <c r="E910" i="21"/>
  <c r="E911" i="21"/>
  <c r="E912" i="21"/>
  <c r="E913" i="21"/>
  <c r="E914" i="21"/>
  <c r="E915" i="21"/>
  <c r="E916" i="21"/>
  <c r="E917" i="21"/>
  <c r="E918" i="21"/>
  <c r="E919" i="21"/>
  <c r="E920" i="21"/>
  <c r="E921" i="21"/>
  <c r="E922" i="21"/>
  <c r="E923" i="21"/>
  <c r="E924" i="21"/>
  <c r="E925" i="21"/>
  <c r="E926" i="21"/>
  <c r="E927" i="21"/>
  <c r="E928" i="21"/>
  <c r="E929" i="21"/>
  <c r="E930" i="21"/>
  <c r="E931" i="21"/>
  <c r="E932" i="21"/>
  <c r="E933" i="21"/>
  <c r="E934" i="21"/>
  <c r="E935" i="21"/>
  <c r="E936" i="21"/>
  <c r="E937" i="21"/>
  <c r="E938" i="21"/>
  <c r="E939" i="21"/>
  <c r="E940" i="21"/>
  <c r="E941" i="21"/>
  <c r="E942" i="21"/>
  <c r="E943" i="21"/>
  <c r="E944" i="21"/>
  <c r="E945" i="21"/>
  <c r="E946" i="21"/>
  <c r="E947" i="21"/>
  <c r="E948" i="21"/>
  <c r="E949" i="21"/>
  <c r="E950" i="21"/>
  <c r="E951" i="21"/>
  <c r="E952" i="21"/>
  <c r="E953" i="21"/>
  <c r="E954" i="21"/>
  <c r="E955" i="21"/>
  <c r="E956" i="21"/>
  <c r="E957" i="21"/>
  <c r="E958" i="21"/>
  <c r="E959" i="21"/>
  <c r="E960" i="21"/>
  <c r="E961" i="21"/>
  <c r="E962" i="21"/>
  <c r="E963" i="21"/>
  <c r="E964" i="21"/>
  <c r="E965" i="21"/>
  <c r="E966" i="21"/>
  <c r="E967" i="21"/>
  <c r="E968" i="21"/>
  <c r="E969" i="21"/>
  <c r="E970" i="21"/>
  <c r="E971" i="21"/>
  <c r="E972" i="21"/>
  <c r="E973" i="21"/>
  <c r="E974" i="21"/>
  <c r="E975" i="21"/>
  <c r="E976" i="21"/>
  <c r="E977" i="21"/>
  <c r="E978" i="21"/>
  <c r="E979" i="21"/>
  <c r="E980" i="21"/>
  <c r="E981" i="21"/>
  <c r="E982" i="21"/>
  <c r="E983" i="21"/>
  <c r="E984" i="21"/>
  <c r="E985" i="21"/>
  <c r="E986" i="21"/>
  <c r="E987" i="21"/>
  <c r="E988" i="21"/>
  <c r="E989" i="21"/>
  <c r="E990" i="21"/>
  <c r="E991" i="21"/>
  <c r="E992" i="21"/>
  <c r="E993" i="21"/>
  <c r="E994" i="21"/>
  <c r="E995" i="21"/>
  <c r="E996" i="21"/>
  <c r="E997" i="21"/>
  <c r="E998" i="21"/>
  <c r="E999" i="21"/>
  <c r="E1000" i="21"/>
  <c r="E1" i="21"/>
  <c r="D2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3" i="21"/>
  <c r="D334" i="21"/>
  <c r="D335" i="21"/>
  <c r="D336" i="21"/>
  <c r="D337" i="21"/>
  <c r="D338" i="21"/>
  <c r="D339" i="21"/>
  <c r="D340" i="21"/>
  <c r="D341" i="21"/>
  <c r="D342" i="21"/>
  <c r="D343" i="21"/>
  <c r="D344" i="21"/>
  <c r="D345" i="21"/>
  <c r="D346" i="21"/>
  <c r="D347" i="21"/>
  <c r="D348" i="21"/>
  <c r="D349" i="21"/>
  <c r="D350" i="21"/>
  <c r="D351" i="21"/>
  <c r="D352" i="21"/>
  <c r="D353" i="21"/>
  <c r="D354" i="21"/>
  <c r="D355" i="21"/>
  <c r="D356" i="21"/>
  <c r="D357" i="21"/>
  <c r="D358" i="21"/>
  <c r="D359" i="21"/>
  <c r="D360" i="21"/>
  <c r="D361" i="21"/>
  <c r="D362" i="21"/>
  <c r="D363" i="21"/>
  <c r="D364" i="21"/>
  <c r="D365" i="21"/>
  <c r="D366" i="21"/>
  <c r="D367" i="21"/>
  <c r="D368" i="21"/>
  <c r="D369" i="21"/>
  <c r="D370" i="21"/>
  <c r="D371" i="21"/>
  <c r="D372" i="21"/>
  <c r="D373" i="21"/>
  <c r="D374" i="21"/>
  <c r="D375" i="21"/>
  <c r="D376" i="21"/>
  <c r="D377" i="21"/>
  <c r="D378" i="21"/>
  <c r="D379" i="21"/>
  <c r="D380" i="21"/>
  <c r="D381" i="21"/>
  <c r="D382" i="21"/>
  <c r="D383" i="21"/>
  <c r="D384" i="21"/>
  <c r="D385" i="21"/>
  <c r="D386" i="21"/>
  <c r="D387" i="21"/>
  <c r="D388" i="21"/>
  <c r="D389" i="21"/>
  <c r="D390" i="21"/>
  <c r="D391" i="21"/>
  <c r="D392" i="21"/>
  <c r="D393" i="21"/>
  <c r="D394" i="21"/>
  <c r="D395" i="21"/>
  <c r="D396" i="21"/>
  <c r="D397" i="21"/>
  <c r="D398" i="21"/>
  <c r="D399" i="21"/>
  <c r="D400" i="21"/>
  <c r="D401" i="21"/>
  <c r="D402" i="21"/>
  <c r="D403" i="21"/>
  <c r="D404" i="21"/>
  <c r="D405" i="21"/>
  <c r="D406" i="21"/>
  <c r="D407" i="21"/>
  <c r="D408" i="21"/>
  <c r="D409" i="21"/>
  <c r="D410" i="21"/>
  <c r="D411" i="21"/>
  <c r="D412" i="21"/>
  <c r="D413" i="21"/>
  <c r="D414" i="21"/>
  <c r="D415" i="21"/>
  <c r="D416" i="21"/>
  <c r="D417" i="21"/>
  <c r="D418" i="21"/>
  <c r="D419" i="21"/>
  <c r="D420" i="21"/>
  <c r="D421" i="21"/>
  <c r="D422" i="21"/>
  <c r="D423" i="21"/>
  <c r="D424" i="21"/>
  <c r="D425" i="21"/>
  <c r="D426" i="21"/>
  <c r="D427" i="21"/>
  <c r="D428" i="21"/>
  <c r="D429" i="21"/>
  <c r="D430" i="21"/>
  <c r="D431" i="21"/>
  <c r="D432" i="21"/>
  <c r="D433" i="21"/>
  <c r="D434" i="21"/>
  <c r="D435" i="21"/>
  <c r="D436" i="21"/>
  <c r="D437" i="21"/>
  <c r="D438" i="21"/>
  <c r="D439" i="21"/>
  <c r="D440" i="21"/>
  <c r="D441" i="21"/>
  <c r="D442" i="21"/>
  <c r="D443" i="21"/>
  <c r="D444" i="21"/>
  <c r="D445" i="21"/>
  <c r="D446" i="21"/>
  <c r="D447" i="21"/>
  <c r="D448" i="21"/>
  <c r="D449" i="21"/>
  <c r="D450" i="21"/>
  <c r="D451" i="21"/>
  <c r="D452" i="21"/>
  <c r="D453" i="21"/>
  <c r="D454" i="21"/>
  <c r="D455" i="21"/>
  <c r="D456" i="21"/>
  <c r="D457" i="21"/>
  <c r="D458" i="21"/>
  <c r="D459" i="21"/>
  <c r="D460" i="21"/>
  <c r="D461" i="21"/>
  <c r="D462" i="21"/>
  <c r="D463" i="21"/>
  <c r="D464" i="21"/>
  <c r="D465" i="21"/>
  <c r="D466" i="21"/>
  <c r="D467" i="21"/>
  <c r="D468" i="21"/>
  <c r="D469" i="21"/>
  <c r="D470" i="21"/>
  <c r="D471" i="21"/>
  <c r="D472" i="21"/>
  <c r="D473" i="21"/>
  <c r="D474" i="21"/>
  <c r="D475" i="21"/>
  <c r="D476" i="21"/>
  <c r="D477" i="21"/>
  <c r="D478" i="21"/>
  <c r="D479" i="21"/>
  <c r="D480" i="21"/>
  <c r="D481" i="21"/>
  <c r="D482" i="21"/>
  <c r="D483" i="21"/>
  <c r="D484" i="21"/>
  <c r="D485" i="21"/>
  <c r="D486" i="21"/>
  <c r="D487" i="21"/>
  <c r="D488" i="21"/>
  <c r="D489" i="21"/>
  <c r="D490" i="21"/>
  <c r="D491" i="21"/>
  <c r="D492" i="21"/>
  <c r="D493" i="21"/>
  <c r="D494" i="21"/>
  <c r="D495" i="21"/>
  <c r="D496" i="21"/>
  <c r="D497" i="21"/>
  <c r="D498" i="21"/>
  <c r="D499" i="21"/>
  <c r="D500" i="21"/>
  <c r="D501" i="21"/>
  <c r="D502" i="21"/>
  <c r="D503" i="21"/>
  <c r="D504" i="21"/>
  <c r="D505" i="21"/>
  <c r="D506" i="21"/>
  <c r="D507" i="21"/>
  <c r="D508" i="21"/>
  <c r="D509" i="21"/>
  <c r="D510" i="21"/>
  <c r="D511" i="21"/>
  <c r="D512" i="21"/>
  <c r="D513" i="21"/>
  <c r="D514" i="21"/>
  <c r="D515" i="21"/>
  <c r="D516" i="21"/>
  <c r="D517" i="21"/>
  <c r="D518" i="21"/>
  <c r="D519" i="21"/>
  <c r="D520" i="21"/>
  <c r="D521" i="21"/>
  <c r="D522" i="21"/>
  <c r="D523" i="21"/>
  <c r="D524" i="21"/>
  <c r="D525" i="21"/>
  <c r="D526" i="21"/>
  <c r="D527" i="21"/>
  <c r="D528" i="21"/>
  <c r="D529" i="21"/>
  <c r="D530" i="21"/>
  <c r="D531" i="21"/>
  <c r="D532" i="21"/>
  <c r="D533" i="21"/>
  <c r="D534" i="21"/>
  <c r="D535" i="21"/>
  <c r="D536" i="21"/>
  <c r="D537" i="21"/>
  <c r="D538" i="21"/>
  <c r="D539" i="21"/>
  <c r="D540" i="21"/>
  <c r="D541" i="21"/>
  <c r="D542" i="21"/>
  <c r="D543" i="21"/>
  <c r="D544" i="21"/>
  <c r="D545" i="21"/>
  <c r="D546" i="21"/>
  <c r="D547" i="21"/>
  <c r="D548" i="21"/>
  <c r="D549" i="21"/>
  <c r="D550" i="21"/>
  <c r="D551" i="21"/>
  <c r="D552" i="21"/>
  <c r="D553" i="21"/>
  <c r="D554" i="21"/>
  <c r="D555" i="21"/>
  <c r="D556" i="21"/>
  <c r="D557" i="21"/>
  <c r="D558" i="21"/>
  <c r="D559" i="21"/>
  <c r="D560" i="21"/>
  <c r="D561" i="21"/>
  <c r="D562" i="21"/>
  <c r="D563" i="21"/>
  <c r="D564" i="21"/>
  <c r="D565" i="21"/>
  <c r="D566" i="21"/>
  <c r="D567" i="21"/>
  <c r="D568" i="21"/>
  <c r="D569" i="21"/>
  <c r="D570" i="21"/>
  <c r="D571" i="21"/>
  <c r="D572" i="21"/>
  <c r="D573" i="21"/>
  <c r="D574" i="21"/>
  <c r="D575" i="21"/>
  <c r="D576" i="21"/>
  <c r="D577" i="21"/>
  <c r="D578" i="21"/>
  <c r="D579" i="21"/>
  <c r="D580" i="21"/>
  <c r="D581" i="21"/>
  <c r="D582" i="21"/>
  <c r="D583" i="21"/>
  <c r="D584" i="21"/>
  <c r="D585" i="21"/>
  <c r="D586" i="21"/>
  <c r="D587" i="21"/>
  <c r="D588" i="21"/>
  <c r="D589" i="21"/>
  <c r="D590" i="21"/>
  <c r="D591" i="21"/>
  <c r="D592" i="21"/>
  <c r="D593" i="21"/>
  <c r="D594" i="21"/>
  <c r="D595" i="21"/>
  <c r="D596" i="21"/>
  <c r="D597" i="21"/>
  <c r="D598" i="21"/>
  <c r="D599" i="21"/>
  <c r="D600" i="21"/>
  <c r="D601" i="21"/>
  <c r="D602" i="21"/>
  <c r="D603" i="21"/>
  <c r="D604" i="21"/>
  <c r="D605" i="21"/>
  <c r="D606" i="21"/>
  <c r="D607" i="21"/>
  <c r="D608" i="21"/>
  <c r="D609" i="21"/>
  <c r="D610" i="21"/>
  <c r="D611" i="21"/>
  <c r="D612" i="21"/>
  <c r="D613" i="21"/>
  <c r="D614" i="21"/>
  <c r="D615" i="21"/>
  <c r="D616" i="21"/>
  <c r="D617" i="21"/>
  <c r="D618" i="21"/>
  <c r="D619" i="21"/>
  <c r="D620" i="21"/>
  <c r="D621" i="21"/>
  <c r="D622" i="21"/>
  <c r="D623" i="21"/>
  <c r="D624" i="21"/>
  <c r="D625" i="21"/>
  <c r="D626" i="21"/>
  <c r="D627" i="21"/>
  <c r="D628" i="21"/>
  <c r="D629" i="21"/>
  <c r="D630" i="21"/>
  <c r="D631" i="21"/>
  <c r="D632" i="21"/>
  <c r="D633" i="21"/>
  <c r="D634" i="21"/>
  <c r="D635" i="21"/>
  <c r="D636" i="21"/>
  <c r="D637" i="21"/>
  <c r="D638" i="21"/>
  <c r="D639" i="21"/>
  <c r="D640" i="21"/>
  <c r="D641" i="21"/>
  <c r="D642" i="21"/>
  <c r="D643" i="21"/>
  <c r="D644" i="21"/>
  <c r="D645" i="21"/>
  <c r="D646" i="21"/>
  <c r="D647" i="21"/>
  <c r="D648" i="21"/>
  <c r="D649" i="21"/>
  <c r="D650" i="21"/>
  <c r="D651" i="21"/>
  <c r="D652" i="21"/>
  <c r="D653" i="21"/>
  <c r="D654" i="21"/>
  <c r="D655" i="21"/>
  <c r="D656" i="21"/>
  <c r="D657" i="21"/>
  <c r="D658" i="21"/>
  <c r="D659" i="21"/>
  <c r="D660" i="21"/>
  <c r="D661" i="21"/>
  <c r="D662" i="21"/>
  <c r="D663" i="21"/>
  <c r="D664" i="21"/>
  <c r="D665" i="21"/>
  <c r="D666" i="21"/>
  <c r="D667" i="21"/>
  <c r="D668" i="21"/>
  <c r="D669" i="21"/>
  <c r="D670" i="21"/>
  <c r="D671" i="21"/>
  <c r="D672" i="21"/>
  <c r="D673" i="21"/>
  <c r="D674" i="21"/>
  <c r="D675" i="21"/>
  <c r="D676" i="21"/>
  <c r="D677" i="21"/>
  <c r="D678" i="21"/>
  <c r="D679" i="21"/>
  <c r="D680" i="21"/>
  <c r="D681" i="21"/>
  <c r="D682" i="21"/>
  <c r="D683" i="21"/>
  <c r="D684" i="21"/>
  <c r="D685" i="21"/>
  <c r="D686" i="21"/>
  <c r="D687" i="21"/>
  <c r="D688" i="21"/>
  <c r="D689" i="21"/>
  <c r="D690" i="21"/>
  <c r="D691" i="21"/>
  <c r="D692" i="21"/>
  <c r="D693" i="21"/>
  <c r="D694" i="21"/>
  <c r="D695" i="21"/>
  <c r="D696" i="21"/>
  <c r="D697" i="21"/>
  <c r="D698" i="21"/>
  <c r="D699" i="21"/>
  <c r="D700" i="21"/>
  <c r="D701" i="21"/>
  <c r="D702" i="21"/>
  <c r="D703" i="21"/>
  <c r="D704" i="21"/>
  <c r="D705" i="21"/>
  <c r="D706" i="21"/>
  <c r="D707" i="21"/>
  <c r="D708" i="21"/>
  <c r="D709" i="21"/>
  <c r="D710" i="21"/>
  <c r="D711" i="21"/>
  <c r="D712" i="21"/>
  <c r="D713" i="21"/>
  <c r="D714" i="21"/>
  <c r="D715" i="21"/>
  <c r="D716" i="21"/>
  <c r="D717" i="21"/>
  <c r="D718" i="21"/>
  <c r="D719" i="21"/>
  <c r="D720" i="21"/>
  <c r="D721" i="21"/>
  <c r="D722" i="21"/>
  <c r="D723" i="21"/>
  <c r="D724" i="21"/>
  <c r="D725" i="21"/>
  <c r="D726" i="21"/>
  <c r="D727" i="21"/>
  <c r="D728" i="21"/>
  <c r="D729" i="21"/>
  <c r="D1" i="21"/>
  <c r="D730" i="21"/>
  <c r="D731" i="21"/>
  <c r="D732" i="21"/>
  <c r="D733" i="21"/>
  <c r="D734" i="21"/>
  <c r="D735" i="21"/>
  <c r="D736" i="21"/>
  <c r="D737" i="21"/>
  <c r="D738" i="21"/>
  <c r="D739" i="21"/>
  <c r="D740" i="21"/>
  <c r="D741" i="21"/>
  <c r="D742" i="21"/>
  <c r="D743" i="21"/>
  <c r="D744" i="21"/>
  <c r="D745" i="21"/>
  <c r="D746" i="21"/>
  <c r="D747" i="21"/>
  <c r="D748" i="21"/>
  <c r="D749" i="21"/>
  <c r="D750" i="21"/>
  <c r="D751" i="21"/>
  <c r="D752" i="21"/>
  <c r="D753" i="21"/>
  <c r="D754" i="21"/>
  <c r="D755" i="21"/>
  <c r="D756" i="21"/>
  <c r="D757" i="21"/>
  <c r="D758" i="21"/>
  <c r="D759" i="21"/>
  <c r="D760" i="21"/>
  <c r="D761" i="21"/>
  <c r="D762" i="21"/>
  <c r="D763" i="21"/>
  <c r="D764" i="21"/>
  <c r="D765" i="21"/>
  <c r="D766" i="21"/>
  <c r="D767" i="21"/>
  <c r="D768" i="21"/>
  <c r="D769" i="21"/>
  <c r="D770" i="21"/>
  <c r="D771" i="21"/>
  <c r="D772" i="21"/>
  <c r="D773" i="21"/>
  <c r="D774" i="21"/>
  <c r="D775" i="21"/>
  <c r="D776" i="21"/>
  <c r="D777" i="21"/>
  <c r="D778" i="21"/>
  <c r="D779" i="21"/>
  <c r="D780" i="21"/>
  <c r="D781" i="21"/>
  <c r="D782" i="21"/>
  <c r="D783" i="21"/>
  <c r="D784" i="21"/>
  <c r="D785" i="21"/>
  <c r="D786" i="21"/>
  <c r="D787" i="21"/>
  <c r="D788" i="21"/>
  <c r="D789" i="21"/>
  <c r="D790" i="21"/>
  <c r="D791" i="21"/>
  <c r="D792" i="21"/>
  <c r="D793" i="21"/>
  <c r="D794" i="21"/>
  <c r="D795" i="21"/>
  <c r="D796" i="21"/>
  <c r="D797" i="21"/>
  <c r="D798" i="21"/>
  <c r="D799" i="21"/>
  <c r="D800" i="21"/>
  <c r="D801" i="21"/>
  <c r="D802" i="21"/>
  <c r="D803" i="21"/>
  <c r="D804" i="21"/>
  <c r="D805" i="21"/>
  <c r="D806" i="21"/>
  <c r="D807" i="21"/>
  <c r="D808" i="21"/>
  <c r="D809" i="21"/>
  <c r="D810" i="21"/>
  <c r="D811" i="21"/>
  <c r="D812" i="21"/>
  <c r="D813" i="21"/>
  <c r="D814" i="21"/>
  <c r="D815" i="21"/>
  <c r="D816" i="21"/>
  <c r="D817" i="21"/>
  <c r="D818" i="21"/>
  <c r="D819" i="21"/>
  <c r="D820" i="21"/>
  <c r="D821" i="21"/>
  <c r="D822" i="21"/>
  <c r="D823" i="21"/>
  <c r="D824" i="21"/>
  <c r="D825" i="21"/>
  <c r="D826" i="21"/>
  <c r="D827" i="21"/>
  <c r="D828" i="21"/>
  <c r="D829" i="21"/>
  <c r="D830" i="21"/>
  <c r="D831" i="21"/>
  <c r="D832" i="21"/>
  <c r="D833" i="21"/>
  <c r="D834" i="21"/>
  <c r="D835" i="21"/>
  <c r="D836" i="21"/>
  <c r="D837" i="21"/>
  <c r="D838" i="21"/>
  <c r="D839" i="21"/>
  <c r="D840" i="21"/>
  <c r="D841" i="21"/>
  <c r="D842" i="21"/>
  <c r="D843" i="21"/>
  <c r="D844" i="21"/>
  <c r="D845" i="21"/>
  <c r="D846" i="21"/>
  <c r="D847" i="21"/>
  <c r="D848" i="21"/>
  <c r="D849" i="21"/>
  <c r="D850" i="21"/>
  <c r="D851" i="21"/>
  <c r="D852" i="21"/>
  <c r="D853" i="21"/>
  <c r="D854" i="21"/>
  <c r="D855" i="21"/>
  <c r="D856" i="21"/>
  <c r="D857" i="21"/>
  <c r="D858" i="21"/>
  <c r="D859" i="21"/>
  <c r="D860" i="21"/>
  <c r="D861" i="21"/>
  <c r="D862" i="21"/>
  <c r="D863" i="21"/>
  <c r="D864" i="21"/>
  <c r="D865" i="21"/>
  <c r="D866" i="21"/>
  <c r="D867" i="21"/>
  <c r="D868" i="21"/>
  <c r="D869" i="21"/>
  <c r="D870" i="21"/>
  <c r="D871" i="21"/>
  <c r="D872" i="21"/>
  <c r="D873" i="21"/>
  <c r="D874" i="21"/>
  <c r="D875" i="21"/>
  <c r="D876" i="21"/>
  <c r="D877" i="21"/>
  <c r="D878" i="21"/>
  <c r="D879" i="21"/>
  <c r="D880" i="21"/>
  <c r="D881" i="21"/>
  <c r="D882" i="21"/>
  <c r="D883" i="21"/>
  <c r="D884" i="21"/>
  <c r="D885" i="21"/>
  <c r="D886" i="21"/>
  <c r="D887" i="21"/>
  <c r="D888" i="21"/>
  <c r="D889" i="21"/>
  <c r="D890" i="21"/>
  <c r="D891" i="21"/>
  <c r="D892" i="21"/>
  <c r="D893" i="21"/>
  <c r="D894" i="21"/>
  <c r="D895" i="21"/>
  <c r="D896" i="21"/>
  <c r="D897" i="21"/>
  <c r="D898" i="21"/>
  <c r="D899" i="21"/>
  <c r="D900" i="21"/>
  <c r="D901" i="21"/>
  <c r="D902" i="21"/>
  <c r="D903" i="21"/>
  <c r="D904" i="21"/>
  <c r="D905" i="21"/>
  <c r="D906" i="21"/>
  <c r="D907" i="21"/>
  <c r="D908" i="21"/>
  <c r="D909" i="21"/>
  <c r="D910" i="21"/>
  <c r="D911" i="21"/>
  <c r="D912" i="21"/>
  <c r="D913" i="21"/>
  <c r="D914" i="21"/>
  <c r="D915" i="21"/>
  <c r="D916" i="21"/>
  <c r="D917" i="21"/>
  <c r="D918" i="21"/>
  <c r="D919" i="21"/>
  <c r="D920" i="21"/>
  <c r="D921" i="21"/>
  <c r="D922" i="21"/>
  <c r="D923" i="21"/>
  <c r="D924" i="21"/>
  <c r="D925" i="21"/>
  <c r="D926" i="21"/>
  <c r="D927" i="21"/>
  <c r="D928" i="21"/>
  <c r="D929" i="21"/>
  <c r="D930" i="21"/>
  <c r="D931" i="21"/>
  <c r="D932" i="21"/>
  <c r="D933" i="21"/>
  <c r="D934" i="21"/>
  <c r="D935" i="21"/>
  <c r="D936" i="21"/>
  <c r="D937" i="21"/>
  <c r="D938" i="21"/>
  <c r="D939" i="21"/>
  <c r="D940" i="21"/>
  <c r="D941" i="21"/>
  <c r="D942" i="21"/>
  <c r="D943" i="21"/>
  <c r="D944" i="21"/>
  <c r="D945" i="21"/>
  <c r="D946" i="21"/>
  <c r="D947" i="21"/>
  <c r="D948" i="21"/>
  <c r="D949" i="21"/>
  <c r="D950" i="21"/>
  <c r="D951" i="21"/>
  <c r="D952" i="21"/>
  <c r="D953" i="21"/>
  <c r="D954" i="21"/>
  <c r="D955" i="21"/>
  <c r="D956" i="21"/>
  <c r="D957" i="21"/>
  <c r="D958" i="21"/>
  <c r="D959" i="21"/>
  <c r="D960" i="21"/>
  <c r="D961" i="21"/>
  <c r="D962" i="21"/>
  <c r="D963" i="21"/>
  <c r="D964" i="21"/>
  <c r="D965" i="21"/>
  <c r="D966" i="21"/>
  <c r="D967" i="21"/>
  <c r="D968" i="21"/>
  <c r="D969" i="21"/>
  <c r="D970" i="21"/>
  <c r="D971" i="21"/>
  <c r="D972" i="21"/>
  <c r="D973" i="21"/>
  <c r="D974" i="21"/>
  <c r="D975" i="21"/>
  <c r="D976" i="21"/>
  <c r="D977" i="21"/>
  <c r="D978" i="21"/>
  <c r="D979" i="21"/>
  <c r="D980" i="21"/>
  <c r="D981" i="21"/>
  <c r="D982" i="21"/>
  <c r="D983" i="21"/>
  <c r="D984" i="21"/>
  <c r="D985" i="21"/>
  <c r="D986" i="21"/>
  <c r="D987" i="21"/>
  <c r="D988" i="21"/>
  <c r="D989" i="21"/>
  <c r="D990" i="21"/>
  <c r="D991" i="21"/>
  <c r="D992" i="21"/>
  <c r="D993" i="21"/>
  <c r="D994" i="21"/>
  <c r="D995" i="21"/>
  <c r="D996" i="21"/>
  <c r="D997" i="21"/>
  <c r="D998" i="21"/>
  <c r="D999" i="21"/>
  <c r="D1000" i="2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214" i="21"/>
  <c r="B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29" i="21"/>
  <c r="B230" i="21"/>
  <c r="B231" i="21"/>
  <c r="B232" i="21"/>
  <c r="B233" i="21"/>
  <c r="B234" i="21"/>
  <c r="B235" i="21"/>
  <c r="B236" i="21"/>
  <c r="B237" i="21"/>
  <c r="B238" i="21"/>
  <c r="B239" i="21"/>
  <c r="B240" i="21"/>
  <c r="B241" i="21"/>
  <c r="B242" i="21"/>
  <c r="B243" i="21"/>
  <c r="B244" i="21"/>
  <c r="B245" i="21"/>
  <c r="B246" i="21"/>
  <c r="B247" i="21"/>
  <c r="B248" i="21"/>
  <c r="B249" i="21"/>
  <c r="B250" i="21"/>
  <c r="B251" i="21"/>
  <c r="B252" i="21"/>
  <c r="B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67" i="21"/>
  <c r="B268" i="21"/>
  <c r="B269" i="21"/>
  <c r="B270" i="21"/>
  <c r="B271" i="21"/>
  <c r="B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86" i="21"/>
  <c r="B287" i="21"/>
  <c r="B288" i="21"/>
  <c r="B289" i="21"/>
  <c r="B290" i="21"/>
  <c r="B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305" i="21"/>
  <c r="B306" i="21"/>
  <c r="B307" i="21"/>
  <c r="B308" i="21"/>
  <c r="B309" i="21"/>
  <c r="B310" i="21"/>
  <c r="B311" i="21"/>
  <c r="B312" i="21"/>
  <c r="B313" i="21"/>
  <c r="B314" i="21"/>
  <c r="B315" i="21"/>
  <c r="B316" i="21"/>
  <c r="B317" i="21"/>
  <c r="B318" i="21"/>
  <c r="B319" i="21"/>
  <c r="B320" i="21"/>
  <c r="B321" i="21"/>
  <c r="B322" i="21"/>
  <c r="B323" i="21"/>
  <c r="B324" i="21"/>
  <c r="B325" i="21"/>
  <c r="B326" i="21"/>
  <c r="B327" i="21"/>
  <c r="B328" i="21"/>
  <c r="B329" i="21"/>
  <c r="B330" i="21"/>
  <c r="B331" i="21"/>
  <c r="B332" i="21"/>
  <c r="B333" i="21"/>
  <c r="B334" i="21"/>
  <c r="B335" i="21"/>
  <c r="B336" i="21"/>
  <c r="B337" i="21"/>
  <c r="B338" i="21"/>
  <c r="B339" i="21"/>
  <c r="B340" i="21"/>
  <c r="B341" i="21"/>
  <c r="B342" i="21"/>
  <c r="B343" i="21"/>
  <c r="B344" i="21"/>
  <c r="B345" i="21"/>
  <c r="B346" i="21"/>
  <c r="B347" i="21"/>
  <c r="B348" i="21"/>
  <c r="B349" i="21"/>
  <c r="B350" i="21"/>
  <c r="B351" i="21"/>
  <c r="B352" i="21"/>
  <c r="B353" i="21"/>
  <c r="B354" i="21"/>
  <c r="B355" i="21"/>
  <c r="B356" i="21"/>
  <c r="B357" i="21"/>
  <c r="B358" i="21"/>
  <c r="B359" i="21"/>
  <c r="B360" i="21"/>
  <c r="B361" i="21"/>
  <c r="B362" i="21"/>
  <c r="B363" i="21"/>
  <c r="B364" i="21"/>
  <c r="B365" i="21"/>
  <c r="B366" i="21"/>
  <c r="B367" i="21"/>
  <c r="B368" i="21"/>
  <c r="B369" i="21"/>
  <c r="B370" i="21"/>
  <c r="B371" i="21"/>
  <c r="B372" i="21"/>
  <c r="B373" i="21"/>
  <c r="B374" i="21"/>
  <c r="B375" i="21"/>
  <c r="B376" i="21"/>
  <c r="B377" i="21"/>
  <c r="B378" i="21"/>
  <c r="B379" i="21"/>
  <c r="B380" i="21"/>
  <c r="B381" i="21"/>
  <c r="B382" i="21"/>
  <c r="B383" i="21"/>
  <c r="B384" i="21"/>
  <c r="B385" i="21"/>
  <c r="B386" i="21"/>
  <c r="B387" i="21"/>
  <c r="B388" i="21"/>
  <c r="B389" i="21"/>
  <c r="B390" i="21"/>
  <c r="B391" i="21"/>
  <c r="B392" i="21"/>
  <c r="B393" i="21"/>
  <c r="B394" i="21"/>
  <c r="B395" i="21"/>
  <c r="B396" i="21"/>
  <c r="B397" i="21"/>
  <c r="B398" i="21"/>
  <c r="B399" i="21"/>
  <c r="B400" i="21"/>
  <c r="B401" i="21"/>
  <c r="B402" i="21"/>
  <c r="B403" i="21"/>
  <c r="B404" i="21"/>
  <c r="B405" i="21"/>
  <c r="B406" i="21"/>
  <c r="B407" i="21"/>
  <c r="B408" i="21"/>
  <c r="B409" i="21"/>
  <c r="B410" i="21"/>
  <c r="B411" i="21"/>
  <c r="B412" i="21"/>
  <c r="B413" i="21"/>
  <c r="B414" i="21"/>
  <c r="B415" i="21"/>
  <c r="B416" i="21"/>
  <c r="B417" i="21"/>
  <c r="B418" i="21"/>
  <c r="B419" i="21"/>
  <c r="B420" i="21"/>
  <c r="B421" i="21"/>
  <c r="B422" i="21"/>
  <c r="B423" i="21"/>
  <c r="B424" i="21"/>
  <c r="B425" i="21"/>
  <c r="B426" i="21"/>
  <c r="B427" i="21"/>
  <c r="B428" i="21"/>
  <c r="B429" i="21"/>
  <c r="B430" i="21"/>
  <c r="B431" i="21"/>
  <c r="B432" i="21"/>
  <c r="B433" i="21"/>
  <c r="B434" i="21"/>
  <c r="B435" i="21"/>
  <c r="B436" i="21"/>
  <c r="B437" i="21"/>
  <c r="B438" i="21"/>
  <c r="B439" i="21"/>
  <c r="B440" i="21"/>
  <c r="B441" i="21"/>
  <c r="B442" i="21"/>
  <c r="B443" i="21"/>
  <c r="B444" i="21"/>
  <c r="B445" i="21"/>
  <c r="B446" i="21"/>
  <c r="B447" i="21"/>
  <c r="B448" i="21"/>
  <c r="B449" i="21"/>
  <c r="B450" i="21"/>
  <c r="B451" i="21"/>
  <c r="B452" i="21"/>
  <c r="B453" i="21"/>
  <c r="B454" i="21"/>
  <c r="B455" i="21"/>
  <c r="B456" i="21"/>
  <c r="B457" i="21"/>
  <c r="B458" i="21"/>
  <c r="B459" i="21"/>
  <c r="B460" i="21"/>
  <c r="B461" i="21"/>
  <c r="B462" i="21"/>
  <c r="B463" i="21"/>
  <c r="B464" i="21"/>
  <c r="B465" i="21"/>
  <c r="B466" i="21"/>
  <c r="B467" i="21"/>
  <c r="B468" i="21"/>
  <c r="B469" i="21"/>
  <c r="B470" i="21"/>
  <c r="B471" i="21"/>
  <c r="B472" i="21"/>
  <c r="B473" i="21"/>
  <c r="B474" i="21"/>
  <c r="B475" i="21"/>
  <c r="B476" i="21"/>
  <c r="B477" i="21"/>
  <c r="B478" i="21"/>
  <c r="B479" i="21"/>
  <c r="B480" i="21"/>
  <c r="B481" i="21"/>
  <c r="B482" i="21"/>
  <c r="B483" i="21"/>
  <c r="B484" i="21"/>
  <c r="B485" i="21"/>
  <c r="B486" i="21"/>
  <c r="B487" i="21"/>
  <c r="B488" i="21"/>
  <c r="B489" i="21"/>
  <c r="B490" i="21"/>
  <c r="B491" i="21"/>
  <c r="B492" i="21"/>
  <c r="B493" i="21"/>
  <c r="B494" i="21"/>
  <c r="B495" i="21"/>
  <c r="B496" i="21"/>
  <c r="B497" i="21"/>
  <c r="B498" i="21"/>
  <c r="B499" i="21"/>
  <c r="B500" i="21"/>
  <c r="B501" i="21"/>
  <c r="B502" i="21"/>
  <c r="B503" i="21"/>
  <c r="B504" i="21"/>
  <c r="B505" i="21"/>
  <c r="B506" i="21"/>
  <c r="B507" i="21"/>
  <c r="B508" i="21"/>
  <c r="B509" i="21"/>
  <c r="B510" i="21"/>
  <c r="B511" i="21"/>
  <c r="B512" i="21"/>
  <c r="B513" i="21"/>
  <c r="B514" i="21"/>
  <c r="B515" i="21"/>
  <c r="B516" i="21"/>
  <c r="B517" i="21"/>
  <c r="B518" i="21"/>
  <c r="B519" i="21"/>
  <c r="B520" i="21"/>
  <c r="B521" i="21"/>
  <c r="B522" i="21"/>
  <c r="B523" i="21"/>
  <c r="B524" i="21"/>
  <c r="B525" i="21"/>
  <c r="B526" i="21"/>
  <c r="B527" i="21"/>
  <c r="B528" i="21"/>
  <c r="B529" i="21"/>
  <c r="B530" i="21"/>
  <c r="B531" i="21"/>
  <c r="B532" i="21"/>
  <c r="B533" i="21"/>
  <c r="B534" i="21"/>
  <c r="B535" i="21"/>
  <c r="B536" i="21"/>
  <c r="B537" i="21"/>
  <c r="B538" i="21"/>
  <c r="B539" i="21"/>
  <c r="B540" i="21"/>
  <c r="B541" i="21"/>
  <c r="B542" i="21"/>
  <c r="B543" i="21"/>
  <c r="B544" i="21"/>
  <c r="B545" i="21"/>
  <c r="B546" i="21"/>
  <c r="B547" i="21"/>
  <c r="B548" i="21"/>
  <c r="B549" i="21"/>
  <c r="B550" i="21"/>
  <c r="B551" i="21"/>
  <c r="B552" i="21"/>
  <c r="B553" i="21"/>
  <c r="B554" i="21"/>
  <c r="B555" i="21"/>
  <c r="B556" i="21"/>
  <c r="B557" i="21"/>
  <c r="B558" i="21"/>
  <c r="B559" i="21"/>
  <c r="B560" i="21"/>
  <c r="B561" i="21"/>
  <c r="B562" i="21"/>
  <c r="B563" i="21"/>
  <c r="B564" i="21"/>
  <c r="B565" i="21"/>
  <c r="B566" i="21"/>
  <c r="B567" i="21"/>
  <c r="B568" i="21"/>
  <c r="B569" i="21"/>
  <c r="B570" i="21"/>
  <c r="B571" i="21"/>
  <c r="B572" i="21"/>
  <c r="B573" i="21"/>
  <c r="B574" i="21"/>
  <c r="B575" i="21"/>
  <c r="B576" i="21"/>
  <c r="B577" i="21"/>
  <c r="B578" i="21"/>
  <c r="B579" i="21"/>
  <c r="B580" i="21"/>
  <c r="B581" i="21"/>
  <c r="B582" i="21"/>
  <c r="B583" i="21"/>
  <c r="B584" i="21"/>
  <c r="B585" i="21"/>
  <c r="B586" i="21"/>
  <c r="B587" i="21"/>
  <c r="B588" i="21"/>
  <c r="B589" i="21"/>
  <c r="B590" i="21"/>
  <c r="B591" i="21"/>
  <c r="B592" i="21"/>
  <c r="B593" i="21"/>
  <c r="B594" i="21"/>
  <c r="B595" i="21"/>
  <c r="B596" i="21"/>
  <c r="B597" i="21"/>
  <c r="B598" i="21"/>
  <c r="B599" i="21"/>
  <c r="B600" i="21"/>
  <c r="B601" i="21"/>
  <c r="B602" i="21"/>
  <c r="B603" i="21"/>
  <c r="B604" i="21"/>
  <c r="B605" i="21"/>
  <c r="B606" i="21"/>
  <c r="B607" i="21"/>
  <c r="B608" i="21"/>
  <c r="B609" i="21"/>
  <c r="B610" i="21"/>
  <c r="B611" i="21"/>
  <c r="B612" i="21"/>
  <c r="B613" i="21"/>
  <c r="B614" i="21"/>
  <c r="B615" i="21"/>
  <c r="B616" i="21"/>
  <c r="B617" i="21"/>
  <c r="B618" i="21"/>
  <c r="B619" i="21"/>
  <c r="B620" i="21"/>
  <c r="B621" i="21"/>
  <c r="B622" i="21"/>
  <c r="B623" i="21"/>
  <c r="B624" i="21"/>
  <c r="B625" i="21"/>
  <c r="B626" i="21"/>
  <c r="B627" i="21"/>
  <c r="B628" i="21"/>
  <c r="B629" i="21"/>
  <c r="B630" i="21"/>
  <c r="B631" i="21"/>
  <c r="B632" i="21"/>
  <c r="B633" i="21"/>
  <c r="B634" i="21"/>
  <c r="B635" i="21"/>
  <c r="B636" i="21"/>
  <c r="B637" i="21"/>
  <c r="B638" i="21"/>
  <c r="B639" i="21"/>
  <c r="B640" i="21"/>
  <c r="B641" i="21"/>
  <c r="B642" i="21"/>
  <c r="B643" i="21"/>
  <c r="B644" i="21"/>
  <c r="B645" i="21"/>
  <c r="B646" i="21"/>
  <c r="B647" i="21"/>
  <c r="B648" i="21"/>
  <c r="B649" i="21"/>
  <c r="B650" i="21"/>
  <c r="B651" i="21"/>
  <c r="B652" i="21"/>
  <c r="B653" i="21"/>
  <c r="B654" i="21"/>
  <c r="B655" i="21"/>
  <c r="B656" i="21"/>
  <c r="B657" i="21"/>
  <c r="B658" i="21"/>
  <c r="B659" i="21"/>
  <c r="B660" i="21"/>
  <c r="B661" i="21"/>
  <c r="B662" i="21"/>
  <c r="B663" i="21"/>
  <c r="B664" i="21"/>
  <c r="B665" i="21"/>
  <c r="B666" i="21"/>
  <c r="B667" i="21"/>
  <c r="B668" i="21"/>
  <c r="B669" i="21"/>
  <c r="B670" i="21"/>
  <c r="B671" i="21"/>
  <c r="B672" i="21"/>
  <c r="B673" i="21"/>
  <c r="B674" i="21"/>
  <c r="B675" i="21"/>
  <c r="B676" i="21"/>
  <c r="B677" i="21"/>
  <c r="B678" i="21"/>
  <c r="B679" i="21"/>
  <c r="B680" i="21"/>
  <c r="B681" i="21"/>
  <c r="B682" i="21"/>
  <c r="B683" i="21"/>
  <c r="B684" i="21"/>
  <c r="B685" i="21"/>
  <c r="B686" i="21"/>
  <c r="B687" i="21"/>
  <c r="B688" i="21"/>
  <c r="B689" i="21"/>
  <c r="B690" i="21"/>
  <c r="B691" i="21"/>
  <c r="B692" i="21"/>
  <c r="B693" i="21"/>
  <c r="B694" i="21"/>
  <c r="B695" i="21"/>
  <c r="B696" i="21"/>
  <c r="B697" i="21"/>
  <c r="B698" i="21"/>
  <c r="B699" i="21"/>
  <c r="B700" i="21"/>
  <c r="B701" i="21"/>
  <c r="B702" i="21"/>
  <c r="B703" i="21"/>
  <c r="B704" i="21"/>
  <c r="B705" i="21"/>
  <c r="B706" i="21"/>
  <c r="B707" i="21"/>
  <c r="B708" i="21"/>
  <c r="B709" i="21"/>
  <c r="B710" i="21"/>
  <c r="B711" i="21"/>
  <c r="B712" i="21"/>
  <c r="B713" i="21"/>
  <c r="B714" i="21"/>
  <c r="B715" i="21"/>
  <c r="B716" i="21"/>
  <c r="B717" i="21"/>
  <c r="B718" i="21"/>
  <c r="B719" i="21"/>
  <c r="B720" i="21"/>
  <c r="B721" i="21"/>
  <c r="B722" i="21"/>
  <c r="B723" i="21"/>
  <c r="B724" i="21"/>
  <c r="B725" i="21"/>
  <c r="B726" i="21"/>
  <c r="B727" i="21"/>
  <c r="B728" i="21"/>
  <c r="B729" i="21"/>
  <c r="B730" i="21"/>
  <c r="B731" i="21"/>
  <c r="B732" i="21"/>
  <c r="B733" i="21"/>
  <c r="B734" i="21"/>
  <c r="B735" i="21"/>
  <c r="B736" i="21"/>
  <c r="B737" i="21"/>
  <c r="B738" i="21"/>
  <c r="B739" i="21"/>
  <c r="B740" i="21"/>
  <c r="B741" i="21"/>
  <c r="B742" i="21"/>
  <c r="B743" i="21"/>
  <c r="B744" i="21"/>
  <c r="B745" i="21"/>
  <c r="B746" i="21"/>
  <c r="B747" i="21"/>
  <c r="B748" i="21"/>
  <c r="B749" i="21"/>
  <c r="B750" i="21"/>
  <c r="B751" i="21"/>
  <c r="B752" i="21"/>
  <c r="B753" i="21"/>
  <c r="B754" i="21"/>
  <c r="B755" i="21"/>
  <c r="B756" i="21"/>
  <c r="B757" i="21"/>
  <c r="B758" i="21"/>
  <c r="B759" i="21"/>
  <c r="B760" i="21"/>
  <c r="B761" i="21"/>
  <c r="B762" i="21"/>
  <c r="B763" i="21"/>
  <c r="B764" i="21"/>
  <c r="B765" i="21"/>
  <c r="B766" i="21"/>
  <c r="B767" i="21"/>
  <c r="B768" i="21"/>
  <c r="B769" i="21"/>
  <c r="B770" i="21"/>
  <c r="B771" i="21"/>
  <c r="B772" i="21"/>
  <c r="B773" i="21"/>
  <c r="B774" i="21"/>
  <c r="B775" i="21"/>
  <c r="B776" i="21"/>
  <c r="B777" i="21"/>
  <c r="B778" i="21"/>
  <c r="B779" i="21"/>
  <c r="B780" i="21"/>
  <c r="B781" i="21"/>
  <c r="B782" i="21"/>
  <c r="B783" i="21"/>
  <c r="B784" i="21"/>
  <c r="B785" i="21"/>
  <c r="B786" i="21"/>
  <c r="B787" i="21"/>
  <c r="B788" i="21"/>
  <c r="B789" i="21"/>
  <c r="B790" i="21"/>
  <c r="B791" i="21"/>
  <c r="B792" i="21"/>
  <c r="B793" i="21"/>
  <c r="B794" i="21"/>
  <c r="B795" i="21"/>
  <c r="B796" i="21"/>
  <c r="B797" i="21"/>
  <c r="B798" i="21"/>
  <c r="B799" i="21"/>
  <c r="B800" i="21"/>
  <c r="B801" i="21"/>
  <c r="B802" i="21"/>
  <c r="B803" i="21"/>
  <c r="B804" i="21"/>
  <c r="B805" i="21"/>
  <c r="B806" i="21"/>
  <c r="B807" i="21"/>
  <c r="B808" i="21"/>
  <c r="B809" i="21"/>
  <c r="B810" i="21"/>
  <c r="B811" i="21"/>
  <c r="B812" i="21"/>
  <c r="B813" i="21"/>
  <c r="B814" i="21"/>
  <c r="B815" i="21"/>
  <c r="B816" i="21"/>
  <c r="B817" i="21"/>
  <c r="B818" i="21"/>
  <c r="B819" i="21"/>
  <c r="B820" i="21"/>
  <c r="B821" i="21"/>
  <c r="B822" i="21"/>
  <c r="B823" i="21"/>
  <c r="B824" i="21"/>
  <c r="B825" i="21"/>
  <c r="B826" i="21"/>
  <c r="B827" i="21"/>
  <c r="B828" i="21"/>
  <c r="B829" i="21"/>
  <c r="B889" i="21"/>
  <c r="B891" i="21"/>
  <c r="B893" i="21"/>
  <c r="B895" i="21"/>
  <c r="B896" i="21"/>
  <c r="B898" i="21"/>
  <c r="B900" i="21"/>
  <c r="B902" i="21"/>
  <c r="B904" i="21"/>
  <c r="B907" i="21"/>
  <c r="B912" i="21"/>
  <c r="B914" i="21"/>
  <c r="B916" i="21"/>
  <c r="B918" i="21"/>
  <c r="B919" i="21"/>
  <c r="B921" i="21"/>
  <c r="B922" i="21"/>
  <c r="B923" i="21"/>
  <c r="B924" i="21"/>
  <c r="B926" i="21"/>
  <c r="B928" i="21"/>
  <c r="B930" i="21"/>
  <c r="B932" i="21"/>
  <c r="B934" i="21"/>
  <c r="B936" i="21"/>
  <c r="B938" i="21"/>
  <c r="B940" i="21"/>
  <c r="B944" i="21"/>
  <c r="B949" i="21"/>
  <c r="B951" i="21"/>
  <c r="B952" i="21"/>
  <c r="B954" i="21"/>
  <c r="B956" i="21"/>
  <c r="B958" i="21"/>
  <c r="B959" i="21"/>
  <c r="B961" i="21"/>
  <c r="B965" i="21"/>
  <c r="B967" i="21"/>
  <c r="B969" i="21"/>
  <c r="B970" i="21"/>
  <c r="B971" i="21"/>
  <c r="B973" i="21"/>
  <c r="B975" i="21"/>
  <c r="B976" i="21"/>
  <c r="B978" i="21"/>
  <c r="B980" i="21"/>
  <c r="B982" i="21"/>
  <c r="B985" i="21"/>
  <c r="B987" i="21"/>
  <c r="B989" i="21"/>
  <c r="B993" i="21"/>
  <c r="B995" i="21"/>
  <c r="B1000" i="21"/>
  <c r="B1" i="21"/>
  <c r="B830" i="21"/>
  <c r="B831" i="21"/>
  <c r="B832" i="21"/>
  <c r="B833" i="21"/>
  <c r="B834" i="21"/>
  <c r="B835" i="21"/>
  <c r="B836" i="21"/>
  <c r="B837" i="21"/>
  <c r="B838" i="21"/>
  <c r="B839" i="21"/>
  <c r="B840" i="21"/>
  <c r="B841" i="21"/>
  <c r="B842" i="21"/>
  <c r="B843" i="21"/>
  <c r="B844" i="21"/>
  <c r="B845" i="21"/>
  <c r="B846" i="21"/>
  <c r="B847" i="21"/>
  <c r="B848" i="21"/>
  <c r="B849" i="21"/>
  <c r="B850" i="21"/>
  <c r="B851" i="21"/>
  <c r="B852" i="21"/>
  <c r="B853" i="21"/>
  <c r="B854" i="21"/>
  <c r="B855" i="21"/>
  <c r="B856" i="21"/>
  <c r="B857" i="21"/>
  <c r="B858" i="21"/>
  <c r="B859" i="21"/>
  <c r="B860" i="21"/>
  <c r="B861" i="21"/>
  <c r="B862" i="21"/>
  <c r="B863" i="21"/>
  <c r="B864" i="21"/>
  <c r="B865" i="21"/>
  <c r="B866" i="21"/>
  <c r="B867" i="21"/>
  <c r="B868" i="21"/>
  <c r="B869" i="21"/>
  <c r="B870" i="21"/>
  <c r="B871" i="21"/>
  <c r="B872" i="21"/>
  <c r="B873" i="21"/>
  <c r="B874" i="21"/>
  <c r="B875" i="21"/>
  <c r="B876" i="21"/>
  <c r="B877" i="21"/>
  <c r="B878" i="21"/>
  <c r="B879" i="21"/>
  <c r="B880" i="21"/>
  <c r="B881" i="21"/>
  <c r="B882" i="21"/>
  <c r="B883" i="21"/>
  <c r="B884" i="21"/>
  <c r="B885" i="21"/>
  <c r="B886" i="21"/>
  <c r="B887" i="21"/>
  <c r="B888" i="21"/>
  <c r="B890" i="21"/>
  <c r="B892" i="21"/>
  <c r="B894" i="21"/>
  <c r="B897" i="21"/>
  <c r="B899" i="21"/>
  <c r="B901" i="21"/>
  <c r="B903" i="21"/>
  <c r="B905" i="21"/>
  <c r="B906" i="21"/>
  <c r="B908" i="21"/>
  <c r="B909" i="21"/>
  <c r="B910" i="21"/>
  <c r="B911" i="21"/>
  <c r="B913" i="21"/>
  <c r="B915" i="21"/>
  <c r="B917" i="21"/>
  <c r="B920" i="21"/>
  <c r="B925" i="21"/>
  <c r="B927" i="21"/>
  <c r="B929" i="21"/>
  <c r="B931" i="21"/>
  <c r="B933" i="21"/>
  <c r="B935" i="21"/>
  <c r="B937" i="21"/>
  <c r="B939" i="21"/>
  <c r="B941" i="21"/>
  <c r="B942" i="21"/>
  <c r="B943" i="21"/>
  <c r="B945" i="21"/>
  <c r="B946" i="21"/>
  <c r="B947" i="21"/>
  <c r="B948" i="21"/>
  <c r="B950" i="21"/>
  <c r="B953" i="21"/>
  <c r="B955" i="21"/>
  <c r="B957" i="21"/>
  <c r="B960" i="21"/>
  <c r="B962" i="21"/>
  <c r="B963" i="21"/>
  <c r="B964" i="21"/>
  <c r="B966" i="21"/>
  <c r="B968" i="21"/>
  <c r="B972" i="21"/>
  <c r="B974" i="21"/>
  <c r="B977" i="21"/>
  <c r="B979" i="21"/>
  <c r="B981" i="21"/>
  <c r="B983" i="21"/>
  <c r="B984" i="21"/>
  <c r="B986" i="21"/>
  <c r="B988" i="21"/>
  <c r="B990" i="21"/>
  <c r="B991" i="21"/>
  <c r="B992" i="21"/>
  <c r="B994" i="21"/>
  <c r="B996" i="21"/>
  <c r="B997" i="21"/>
  <c r="B998" i="21"/>
  <c r="B999" i="21"/>
  <c r="C995" i="21"/>
  <c r="C994" i="21"/>
  <c r="C993" i="21"/>
  <c r="C992" i="21"/>
  <c r="C991" i="21"/>
  <c r="C990" i="21"/>
  <c r="C989" i="21"/>
  <c r="C988" i="21"/>
  <c r="C987" i="21"/>
  <c r="C986" i="21"/>
  <c r="C985" i="21"/>
  <c r="C984" i="21"/>
  <c r="C983" i="21"/>
  <c r="C982" i="21"/>
  <c r="C981" i="21"/>
  <c r="C980" i="21"/>
  <c r="C979" i="21"/>
  <c r="C978" i="21"/>
  <c r="C977" i="21"/>
  <c r="C976" i="21"/>
  <c r="C975" i="21"/>
  <c r="C974" i="21"/>
  <c r="C973" i="21"/>
  <c r="C972" i="21"/>
  <c r="C971" i="21"/>
  <c r="C970" i="21"/>
  <c r="C969" i="21"/>
  <c r="C968" i="21"/>
  <c r="C967" i="21"/>
  <c r="C966" i="21"/>
  <c r="C965" i="21"/>
  <c r="C964" i="21"/>
  <c r="C963" i="21"/>
  <c r="C962" i="21"/>
  <c r="C961" i="21"/>
  <c r="C960" i="21"/>
  <c r="C959" i="21"/>
  <c r="C958" i="21"/>
  <c r="C957" i="21"/>
  <c r="C956" i="21"/>
  <c r="C955" i="21"/>
  <c r="C954" i="21"/>
  <c r="C953" i="21"/>
  <c r="C952" i="21"/>
  <c r="C951" i="21"/>
  <c r="C950" i="21"/>
  <c r="C949" i="21"/>
  <c r="C948" i="21"/>
  <c r="C947" i="21"/>
  <c r="C946" i="21"/>
  <c r="C945" i="21"/>
  <c r="C944" i="21"/>
  <c r="C943" i="21"/>
  <c r="C942" i="21"/>
  <c r="C941" i="21"/>
  <c r="C940" i="21"/>
  <c r="C939" i="21"/>
  <c r="C938" i="21"/>
  <c r="C937" i="21"/>
  <c r="C936" i="21"/>
  <c r="C935" i="21"/>
  <c r="C934" i="21"/>
  <c r="C933" i="21"/>
  <c r="C932" i="21"/>
  <c r="C931" i="21"/>
  <c r="C930" i="21"/>
  <c r="C929" i="21"/>
  <c r="C928" i="21"/>
  <c r="C927" i="21"/>
  <c r="C926" i="21"/>
  <c r="C925" i="21"/>
  <c r="C924" i="21"/>
  <c r="C923" i="21"/>
  <c r="C922" i="21"/>
  <c r="C921" i="21"/>
  <c r="C920" i="21"/>
  <c r="C919" i="21"/>
  <c r="C918" i="21"/>
  <c r="C917" i="21"/>
  <c r="C916" i="21"/>
  <c r="C915" i="21"/>
  <c r="C914" i="21"/>
  <c r="C913" i="21"/>
  <c r="C912" i="21"/>
  <c r="C911" i="21"/>
  <c r="C910" i="21"/>
  <c r="C909" i="21"/>
  <c r="C908" i="21"/>
  <c r="C907" i="21"/>
  <c r="C906" i="21"/>
  <c r="C905" i="21"/>
  <c r="C904" i="21"/>
  <c r="C903" i="21"/>
  <c r="C902" i="21"/>
  <c r="C901" i="21"/>
  <c r="C900" i="21"/>
  <c r="C899" i="21"/>
  <c r="C898" i="21"/>
  <c r="C897" i="21"/>
  <c r="C896" i="21"/>
  <c r="C895" i="21"/>
  <c r="C894" i="21"/>
  <c r="C893" i="21"/>
  <c r="C892" i="21"/>
  <c r="C891" i="21"/>
  <c r="C890" i="21"/>
  <c r="C889" i="21"/>
  <c r="C888" i="21"/>
  <c r="C887" i="21"/>
  <c r="C886" i="21"/>
  <c r="C885" i="21"/>
  <c r="C884" i="21"/>
  <c r="C883" i="21"/>
  <c r="C882" i="21"/>
  <c r="C881" i="21"/>
  <c r="C880" i="21"/>
  <c r="C879" i="21"/>
  <c r="C878" i="21"/>
  <c r="C877" i="21"/>
  <c r="C876" i="21"/>
  <c r="C875" i="21"/>
  <c r="C874" i="21"/>
  <c r="C873" i="21"/>
  <c r="C872" i="21"/>
  <c r="C871" i="21"/>
  <c r="C870" i="21"/>
  <c r="C869" i="21"/>
  <c r="C868" i="21"/>
  <c r="C867" i="21"/>
  <c r="C866" i="21"/>
  <c r="C865" i="21"/>
  <c r="C864" i="21"/>
  <c r="C863" i="21"/>
  <c r="C862" i="21"/>
  <c r="C861" i="21"/>
  <c r="C860" i="21"/>
  <c r="C859" i="21"/>
  <c r="C858" i="21"/>
  <c r="C857" i="21"/>
  <c r="C856" i="21"/>
  <c r="C855" i="21"/>
  <c r="C854" i="21"/>
  <c r="C853" i="21"/>
  <c r="C852" i="21"/>
  <c r="C851" i="21"/>
  <c r="C850" i="21"/>
  <c r="C849" i="21"/>
  <c r="C848" i="21"/>
  <c r="C847" i="21"/>
  <c r="C846" i="21"/>
  <c r="C845" i="21"/>
  <c r="C844" i="21"/>
  <c r="C843" i="21"/>
  <c r="C842" i="21"/>
  <c r="C841" i="21"/>
  <c r="C840" i="21"/>
  <c r="C839" i="21"/>
  <c r="C838" i="21"/>
  <c r="C837" i="21"/>
  <c r="C836" i="21"/>
  <c r="C835" i="21"/>
  <c r="C834" i="21"/>
  <c r="C833" i="21"/>
  <c r="C832" i="21"/>
  <c r="C831" i="21"/>
  <c r="C830" i="21"/>
  <c r="C829" i="21"/>
  <c r="C828" i="21"/>
  <c r="C827" i="21"/>
  <c r="C826" i="21"/>
  <c r="C825" i="21"/>
  <c r="C824" i="21"/>
  <c r="C823" i="21"/>
  <c r="C822" i="21"/>
  <c r="C821" i="21"/>
  <c r="C820" i="21"/>
  <c r="C819" i="21"/>
  <c r="C818" i="21"/>
  <c r="C817" i="21"/>
  <c r="C816" i="21"/>
  <c r="C815" i="21"/>
  <c r="C814" i="21"/>
  <c r="C813" i="21"/>
  <c r="C812" i="21"/>
  <c r="C811" i="21"/>
  <c r="C810" i="21"/>
  <c r="C809" i="21"/>
  <c r="C808" i="21"/>
  <c r="C807" i="21"/>
  <c r="C806" i="21"/>
  <c r="C805" i="21"/>
  <c r="C804" i="21"/>
  <c r="C803" i="21"/>
  <c r="C802" i="21"/>
  <c r="C801" i="21"/>
  <c r="C800" i="21"/>
  <c r="C799" i="21"/>
  <c r="C798" i="21"/>
  <c r="C797" i="21"/>
  <c r="C796" i="21"/>
  <c r="C795" i="21"/>
  <c r="C794" i="21"/>
  <c r="C793" i="21"/>
  <c r="C792" i="21"/>
  <c r="C791" i="21"/>
  <c r="C790" i="21"/>
  <c r="C789" i="21"/>
  <c r="C788" i="21"/>
  <c r="C787" i="21"/>
  <c r="C786" i="21"/>
  <c r="C785" i="21"/>
  <c r="C784" i="21"/>
  <c r="C783" i="21"/>
  <c r="C782" i="21"/>
  <c r="C781" i="21"/>
  <c r="C780" i="21"/>
  <c r="C779" i="21"/>
  <c r="C778" i="21"/>
  <c r="C777" i="21"/>
  <c r="C776" i="21"/>
  <c r="C775" i="21"/>
  <c r="C774" i="21"/>
  <c r="C773" i="21"/>
  <c r="C772" i="21"/>
  <c r="C771" i="21"/>
  <c r="C770" i="21"/>
  <c r="C769" i="21"/>
  <c r="C768" i="21"/>
  <c r="C767" i="21"/>
  <c r="C766" i="21"/>
  <c r="C765" i="21"/>
  <c r="C764" i="21"/>
  <c r="C763" i="21"/>
  <c r="C762" i="21"/>
  <c r="C761" i="21"/>
  <c r="C760" i="21"/>
  <c r="C759" i="21"/>
  <c r="C758" i="21"/>
  <c r="C757" i="21"/>
  <c r="C756" i="21"/>
  <c r="C755" i="21"/>
  <c r="C754" i="21"/>
  <c r="C753" i="21"/>
  <c r="C752" i="21"/>
  <c r="C751" i="21"/>
  <c r="C750" i="21"/>
  <c r="C749" i="21"/>
  <c r="C748" i="21"/>
  <c r="C747" i="21"/>
  <c r="C746" i="21"/>
  <c r="C745" i="21"/>
  <c r="C744" i="21"/>
  <c r="C743" i="21"/>
  <c r="C742" i="21"/>
  <c r="C741" i="21"/>
  <c r="C740" i="21"/>
  <c r="C739" i="21"/>
  <c r="C738" i="21"/>
  <c r="C737" i="21"/>
  <c r="C736" i="21"/>
  <c r="C735" i="21"/>
  <c r="C734" i="21"/>
  <c r="C733" i="21"/>
  <c r="C732" i="21"/>
  <c r="C731" i="21"/>
  <c r="C730" i="21"/>
  <c r="C729" i="21"/>
  <c r="C728" i="21"/>
  <c r="C727" i="21"/>
  <c r="C726" i="21"/>
  <c r="C725" i="21"/>
  <c r="C724" i="21"/>
  <c r="C723" i="21"/>
  <c r="C722" i="21"/>
  <c r="C721" i="21"/>
  <c r="C720" i="21"/>
  <c r="C719" i="21"/>
  <c r="C718" i="21"/>
  <c r="C717" i="21"/>
  <c r="C716" i="21"/>
  <c r="C715" i="21"/>
  <c r="C714" i="21"/>
  <c r="C713" i="21"/>
  <c r="C712" i="21"/>
  <c r="C711" i="21"/>
  <c r="C710" i="21"/>
  <c r="C709" i="21"/>
  <c r="C708" i="21"/>
  <c r="C707" i="21"/>
  <c r="C706" i="21"/>
  <c r="C705" i="21"/>
  <c r="C704" i="21"/>
  <c r="C703" i="21"/>
  <c r="C702" i="21"/>
  <c r="C701" i="21"/>
  <c r="C700" i="21"/>
  <c r="C699" i="21"/>
  <c r="C698" i="21"/>
  <c r="C697" i="21"/>
  <c r="C696" i="21"/>
  <c r="C695" i="21"/>
  <c r="C694" i="21"/>
  <c r="C693" i="21"/>
  <c r="C692" i="21"/>
  <c r="C691" i="21"/>
  <c r="C690" i="21"/>
  <c r="C689" i="21"/>
  <c r="C688" i="21"/>
  <c r="C687" i="21"/>
  <c r="C686" i="21"/>
  <c r="C685" i="21"/>
  <c r="C684" i="21"/>
  <c r="C683" i="21"/>
  <c r="C682" i="21"/>
  <c r="C681" i="21"/>
  <c r="C680" i="21"/>
  <c r="C679" i="21"/>
  <c r="C678" i="21"/>
  <c r="C677" i="21"/>
  <c r="C676" i="21"/>
  <c r="C675" i="21"/>
  <c r="C674" i="21"/>
  <c r="C673" i="21"/>
  <c r="C672" i="21"/>
  <c r="C671" i="21"/>
  <c r="C670" i="21"/>
  <c r="C669" i="21"/>
  <c r="C668" i="21"/>
  <c r="C667" i="21"/>
  <c r="C666" i="21"/>
  <c r="C665" i="21"/>
  <c r="C664" i="21"/>
  <c r="C663" i="21"/>
  <c r="C662" i="21"/>
  <c r="C661" i="21"/>
  <c r="C660" i="21"/>
  <c r="C659" i="21"/>
  <c r="C658" i="21"/>
  <c r="C657" i="21"/>
  <c r="C656" i="21"/>
  <c r="C655" i="21"/>
  <c r="C654" i="21"/>
  <c r="C653" i="21"/>
  <c r="C652" i="21"/>
  <c r="C651" i="21"/>
  <c r="C650" i="21"/>
  <c r="C649" i="21"/>
  <c r="C648" i="21"/>
  <c r="C647" i="21"/>
  <c r="C646" i="21"/>
  <c r="C645" i="21"/>
  <c r="C644" i="21"/>
  <c r="C643" i="21"/>
  <c r="C642" i="21"/>
  <c r="C641" i="21"/>
  <c r="C640" i="21"/>
  <c r="C639" i="21"/>
  <c r="C638" i="21"/>
  <c r="C637" i="21"/>
  <c r="C636" i="21"/>
  <c r="C635" i="21"/>
  <c r="C634" i="21"/>
  <c r="C633" i="21"/>
  <c r="C632" i="21"/>
  <c r="C631" i="21"/>
  <c r="C630" i="21"/>
  <c r="C629" i="21"/>
  <c r="C628" i="21"/>
  <c r="C627" i="21"/>
  <c r="C626" i="21"/>
  <c r="C625" i="21"/>
  <c r="C624" i="21"/>
  <c r="C623" i="21"/>
  <c r="C622" i="21"/>
  <c r="C621" i="21"/>
  <c r="C620" i="21"/>
  <c r="C619" i="21"/>
  <c r="C618" i="21"/>
  <c r="C617" i="21"/>
  <c r="C616" i="21"/>
  <c r="C615" i="21"/>
  <c r="C614" i="21"/>
  <c r="C613" i="21"/>
  <c r="C612" i="21"/>
  <c r="C611" i="21"/>
  <c r="C610" i="21"/>
  <c r="C609" i="21"/>
  <c r="C608" i="21"/>
  <c r="C607" i="21"/>
  <c r="C606" i="21"/>
  <c r="C605" i="21"/>
  <c r="C604" i="21"/>
  <c r="C603" i="21"/>
  <c r="C602" i="21"/>
  <c r="C601" i="21"/>
  <c r="C600" i="21"/>
  <c r="C599" i="21"/>
  <c r="C598" i="21"/>
  <c r="C597" i="21"/>
  <c r="C596" i="21"/>
  <c r="C595" i="21"/>
  <c r="C594" i="21"/>
  <c r="C593" i="21"/>
  <c r="C592" i="21"/>
  <c r="C591" i="21"/>
  <c r="C590" i="21"/>
  <c r="C589" i="21"/>
  <c r="C588" i="21"/>
  <c r="C587" i="21"/>
  <c r="C586" i="21"/>
  <c r="C585" i="21"/>
  <c r="C584" i="21"/>
  <c r="C583" i="21"/>
  <c r="C582" i="21"/>
  <c r="C581" i="21"/>
  <c r="C580" i="21"/>
  <c r="C579" i="21"/>
  <c r="C578" i="21"/>
  <c r="C577" i="21"/>
  <c r="C576" i="21"/>
  <c r="C575" i="21"/>
  <c r="C574" i="21"/>
  <c r="C573" i="21"/>
  <c r="C572" i="21"/>
  <c r="C571" i="21"/>
  <c r="C570" i="21"/>
  <c r="C569" i="21"/>
  <c r="C568" i="21"/>
  <c r="C567" i="21"/>
  <c r="C566" i="21"/>
  <c r="C565" i="21"/>
  <c r="C564" i="21"/>
  <c r="C563" i="21"/>
  <c r="C562" i="21"/>
  <c r="C561" i="21"/>
  <c r="C560" i="21"/>
  <c r="C559" i="21"/>
  <c r="C558" i="21"/>
  <c r="C557" i="21"/>
  <c r="C556" i="21"/>
  <c r="C555" i="21"/>
  <c r="C554" i="21"/>
  <c r="C553" i="21"/>
  <c r="C552" i="21"/>
  <c r="C551" i="21"/>
  <c r="C550" i="21"/>
  <c r="C549" i="21"/>
  <c r="C548" i="21"/>
  <c r="C547" i="21"/>
  <c r="C546" i="21"/>
  <c r="C545" i="21"/>
  <c r="C544" i="21"/>
  <c r="C543" i="21"/>
  <c r="C542" i="21"/>
  <c r="C541" i="21"/>
  <c r="C540" i="21"/>
  <c r="C539" i="21"/>
  <c r="C538" i="21"/>
  <c r="C537" i="21"/>
  <c r="C536" i="21"/>
  <c r="C535" i="21"/>
  <c r="C534" i="21"/>
  <c r="C533" i="21"/>
  <c r="C532" i="21"/>
  <c r="C531" i="21"/>
  <c r="C530" i="21"/>
  <c r="C529" i="21"/>
  <c r="C528" i="21"/>
  <c r="C527" i="21"/>
  <c r="C526" i="21"/>
  <c r="C525" i="21"/>
  <c r="C524" i="21"/>
  <c r="C523" i="21"/>
  <c r="C522" i="21"/>
  <c r="C521" i="21"/>
  <c r="C520" i="21"/>
  <c r="C519" i="21"/>
  <c r="C518" i="21"/>
  <c r="C517" i="21"/>
  <c r="C516" i="21"/>
  <c r="C515" i="21"/>
  <c r="C514" i="21"/>
  <c r="C513" i="21"/>
  <c r="C512" i="21"/>
  <c r="C511" i="21"/>
  <c r="C510" i="21"/>
  <c r="C509" i="21"/>
  <c r="C508" i="21"/>
  <c r="C507" i="21"/>
  <c r="C506" i="21"/>
  <c r="C505" i="21"/>
  <c r="C504" i="21"/>
  <c r="C503" i="21"/>
  <c r="C502" i="21"/>
  <c r="C501" i="21"/>
  <c r="C500" i="21"/>
  <c r="C499" i="21"/>
  <c r="C498" i="21"/>
  <c r="C497" i="21"/>
  <c r="C496" i="21"/>
  <c r="C495" i="21"/>
  <c r="C494" i="21"/>
  <c r="C493" i="21"/>
  <c r="C492" i="21"/>
  <c r="C491" i="21"/>
  <c r="C490" i="21"/>
  <c r="C489" i="21"/>
  <c r="C488" i="21"/>
  <c r="C487" i="21"/>
  <c r="C486" i="21"/>
  <c r="C485" i="21"/>
  <c r="C484" i="21"/>
  <c r="C483" i="21"/>
  <c r="C482" i="21"/>
  <c r="C481" i="21"/>
  <c r="C480" i="21"/>
  <c r="C479" i="21"/>
  <c r="C478" i="21"/>
  <c r="C477" i="21"/>
  <c r="C476" i="21"/>
  <c r="C475" i="21"/>
  <c r="C474" i="21"/>
  <c r="C473" i="21"/>
  <c r="C472" i="21"/>
  <c r="C471" i="21"/>
  <c r="C470" i="21"/>
  <c r="C469" i="21"/>
  <c r="C468" i="21"/>
  <c r="C467" i="21"/>
  <c r="C466" i="21"/>
  <c r="C465" i="21"/>
  <c r="C464" i="21"/>
  <c r="C463" i="21"/>
  <c r="C462" i="21"/>
  <c r="C461" i="21"/>
  <c r="C460" i="21"/>
  <c r="C459" i="21"/>
  <c r="C458" i="21"/>
  <c r="C457" i="21"/>
  <c r="C456" i="21"/>
  <c r="C455" i="21"/>
  <c r="C454" i="21"/>
  <c r="C453" i="21"/>
  <c r="C452" i="21"/>
  <c r="C451" i="21"/>
  <c r="C450" i="21"/>
  <c r="C449" i="21"/>
  <c r="C448" i="21"/>
  <c r="C447" i="21"/>
  <c r="C446" i="21"/>
  <c r="C445" i="21"/>
  <c r="C444" i="21"/>
  <c r="C443" i="21"/>
  <c r="C442" i="21"/>
  <c r="C441" i="21"/>
  <c r="C440" i="21"/>
  <c r="C439" i="21"/>
  <c r="C438" i="21"/>
  <c r="C437" i="21"/>
  <c r="C436" i="21"/>
  <c r="C435" i="21"/>
  <c r="C434" i="21"/>
  <c r="C433" i="21"/>
  <c r="C432" i="21"/>
  <c r="C431" i="21"/>
  <c r="C430" i="21"/>
  <c r="C429" i="21"/>
  <c r="C428" i="21"/>
  <c r="C427" i="21"/>
  <c r="C426" i="21"/>
  <c r="C425" i="21"/>
  <c r="C424" i="21"/>
  <c r="C423" i="21"/>
  <c r="C422" i="21"/>
  <c r="C421" i="21"/>
  <c r="C420" i="21"/>
  <c r="C419" i="21"/>
  <c r="C418" i="21"/>
  <c r="C417" i="21"/>
  <c r="C416" i="21"/>
  <c r="C415" i="21"/>
  <c r="C414" i="21"/>
  <c r="C413" i="21"/>
  <c r="C412" i="21"/>
  <c r="C411" i="21"/>
  <c r="C410" i="21"/>
  <c r="C409" i="21"/>
  <c r="C408" i="21"/>
  <c r="C407" i="21"/>
  <c r="C406" i="21"/>
  <c r="C405" i="21"/>
  <c r="C404" i="21"/>
  <c r="C403" i="21"/>
  <c r="C402" i="21"/>
  <c r="C401" i="21"/>
  <c r="C400" i="21"/>
  <c r="C399" i="21"/>
  <c r="C398" i="21"/>
  <c r="C397" i="21"/>
  <c r="C396" i="21"/>
  <c r="C395" i="21"/>
  <c r="C394" i="21"/>
  <c r="C393" i="21"/>
  <c r="C392" i="21"/>
  <c r="C391" i="21"/>
  <c r="C390" i="21"/>
  <c r="C389" i="21"/>
  <c r="C388" i="21"/>
  <c r="C387" i="21"/>
  <c r="C386" i="21"/>
  <c r="C385" i="21"/>
  <c r="C384" i="21"/>
  <c r="C383" i="21"/>
  <c r="C382" i="21"/>
  <c r="C381" i="21"/>
  <c r="C380" i="21"/>
  <c r="C379" i="21"/>
  <c r="C378" i="21"/>
  <c r="C377" i="21"/>
  <c r="C376" i="21"/>
  <c r="C375" i="21"/>
  <c r="C374" i="21"/>
  <c r="C373" i="21"/>
  <c r="C372" i="21"/>
  <c r="C371" i="21"/>
  <c r="C370" i="21"/>
  <c r="C369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C1000" i="21"/>
  <c r="C999" i="21"/>
  <c r="C998" i="21"/>
  <c r="C997" i="21"/>
  <c r="C996" i="21"/>
  <c r="C1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A273" i="21"/>
  <c r="A274" i="21"/>
  <c r="A275" i="21"/>
  <c r="A276" i="21"/>
  <c r="A277" i="21"/>
  <c r="A365" i="21"/>
  <c r="A367" i="21"/>
  <c r="A368" i="21"/>
  <c r="A370" i="21"/>
  <c r="A371" i="21"/>
  <c r="A372" i="21"/>
  <c r="A373" i="21"/>
  <c r="A375" i="21"/>
  <c r="A376" i="21"/>
  <c r="A378" i="21"/>
  <c r="A380" i="21"/>
  <c r="A382" i="21"/>
  <c r="A385" i="21"/>
  <c r="A387" i="21"/>
  <c r="A390" i="21"/>
  <c r="A392" i="21"/>
  <c r="A394" i="21"/>
  <c r="A396" i="21"/>
  <c r="A398" i="21"/>
  <c r="A401" i="21"/>
  <c r="A403" i="21"/>
  <c r="A405" i="21"/>
  <c r="A407" i="21"/>
  <c r="A409" i="21"/>
  <c r="A411" i="21"/>
  <c r="A413" i="21"/>
  <c r="A415" i="21"/>
  <c r="A418" i="21"/>
  <c r="A477" i="21"/>
  <c r="A478" i="21"/>
  <c r="A479" i="21"/>
  <c r="A480" i="21"/>
  <c r="A481" i="21"/>
  <c r="A482" i="21"/>
  <c r="A483" i="21"/>
  <c r="A484" i="21"/>
  <c r="A485" i="21"/>
  <c r="A486" i="21"/>
  <c r="A487" i="21"/>
  <c r="A488" i="21"/>
  <c r="A489" i="21"/>
  <c r="A490" i="21"/>
  <c r="A491" i="21"/>
  <c r="A492" i="21"/>
  <c r="A493" i="21"/>
  <c r="A494" i="21"/>
  <c r="A495" i="21"/>
  <c r="A496" i="21"/>
  <c r="A497" i="21"/>
  <c r="A498" i="21"/>
  <c r="A499" i="21"/>
  <c r="A500" i="21"/>
  <c r="A501" i="21"/>
  <c r="A502" i="21"/>
  <c r="A503" i="21"/>
  <c r="A504" i="21"/>
  <c r="A505" i="21"/>
  <c r="A506" i="21"/>
  <c r="A507" i="21"/>
  <c r="A508" i="21"/>
  <c r="A509" i="21"/>
  <c r="A510" i="21"/>
  <c r="A511" i="21"/>
  <c r="A512" i="21"/>
  <c r="A513" i="21"/>
  <c r="A514" i="21"/>
  <c r="A515" i="21"/>
  <c r="A516" i="21"/>
  <c r="A517" i="21"/>
  <c r="A518" i="21"/>
  <c r="A519" i="21"/>
  <c r="A520" i="21"/>
  <c r="A521" i="21"/>
  <c r="A522" i="21"/>
  <c r="A523" i="21"/>
  <c r="A524" i="21"/>
  <c r="A525" i="21"/>
  <c r="A526" i="21"/>
  <c r="A527" i="21"/>
  <c r="A528" i="21"/>
  <c r="A529" i="21"/>
  <c r="A530" i="21"/>
  <c r="A531" i="21"/>
  <c r="A532" i="21"/>
  <c r="A533" i="21"/>
  <c r="A535" i="21"/>
  <c r="A537" i="21"/>
  <c r="A539" i="21"/>
  <c r="A540" i="21"/>
  <c r="A541" i="21"/>
  <c r="A543" i="21"/>
  <c r="A545" i="21"/>
  <c r="A547" i="21"/>
  <c r="A549" i="21"/>
  <c r="A551" i="21"/>
  <c r="A554" i="21"/>
  <c r="A555" i="21"/>
  <c r="A557" i="21"/>
  <c r="A559" i="21"/>
  <c r="A560" i="21"/>
  <c r="A562" i="21"/>
  <c r="A564" i="21"/>
  <c r="A566" i="21"/>
  <c r="A568" i="21"/>
  <c r="A570" i="21"/>
  <c r="A572" i="21"/>
  <c r="A574" i="21"/>
  <c r="A576" i="21"/>
  <c r="A578" i="21"/>
  <c r="A580" i="21"/>
  <c r="A581" i="21"/>
  <c r="A583" i="21"/>
  <c r="A585" i="21"/>
  <c r="A587" i="21"/>
  <c r="A589" i="21"/>
  <c r="A591" i="21"/>
  <c r="A593" i="21"/>
  <c r="A595" i="21"/>
  <c r="A597" i="21"/>
  <c r="A600" i="21"/>
  <c r="A601" i="21"/>
  <c r="A602" i="21"/>
  <c r="A603" i="21"/>
  <c r="A604" i="21"/>
  <c r="A605" i="21"/>
  <c r="A606" i="21"/>
  <c r="A607" i="21"/>
  <c r="A608" i="21"/>
  <c r="A609" i="21"/>
  <c r="A610" i="21"/>
  <c r="A611" i="21"/>
  <c r="A612" i="21"/>
  <c r="A613" i="21"/>
  <c r="A614" i="21"/>
  <c r="A615" i="21"/>
  <c r="A616" i="21"/>
  <c r="A617" i="21"/>
  <c r="A618" i="21"/>
  <c r="A619" i="21"/>
  <c r="A620" i="21"/>
  <c r="A621" i="21"/>
  <c r="A622" i="21"/>
  <c r="A623" i="21"/>
  <c r="A624" i="21"/>
  <c r="A625" i="21"/>
  <c r="A626" i="21"/>
  <c r="A627" i="21"/>
  <c r="A628" i="21"/>
  <c r="A629" i="21"/>
  <c r="A630" i="21"/>
  <c r="A631" i="21"/>
  <c r="A632" i="21"/>
  <c r="A633" i="21"/>
  <c r="A634" i="21"/>
  <c r="A635" i="21"/>
  <c r="A636" i="21"/>
  <c r="A637" i="21"/>
  <c r="A638" i="21"/>
  <c r="A639" i="21"/>
  <c r="A640" i="21"/>
  <c r="A641" i="21"/>
  <c r="A642" i="21"/>
  <c r="A643" i="21"/>
  <c r="A644" i="21"/>
  <c r="A645" i="21"/>
  <c r="A646" i="21"/>
  <c r="A647" i="21"/>
  <c r="A648" i="21"/>
  <c r="A649" i="21"/>
  <c r="A650" i="21"/>
  <c r="A740" i="21"/>
  <c r="A741" i="21"/>
  <c r="A743" i="21"/>
  <c r="A745" i="21"/>
  <c r="A747" i="21"/>
  <c r="A749" i="21"/>
  <c r="A751" i="21"/>
  <c r="A755" i="21"/>
  <c r="A757" i="21"/>
  <c r="A760" i="21"/>
  <c r="A762" i="21"/>
  <c r="A764" i="21"/>
  <c r="A766" i="21"/>
  <c r="A768" i="21"/>
  <c r="A770" i="21"/>
  <c r="A771" i="21"/>
  <c r="A773" i="21"/>
  <c r="A775" i="21"/>
  <c r="A777" i="21"/>
  <c r="A779" i="21"/>
  <c r="A781" i="21"/>
  <c r="A783" i="21"/>
  <c r="A789" i="21"/>
  <c r="A792" i="21"/>
  <c r="A794" i="21"/>
  <c r="A796" i="21"/>
  <c r="A797" i="21"/>
  <c r="A799" i="21"/>
  <c r="A800" i="21"/>
  <c r="A801" i="21"/>
  <c r="A803" i="21"/>
  <c r="A805" i="21"/>
  <c r="A807" i="21"/>
  <c r="A809" i="21"/>
  <c r="A810" i="21"/>
  <c r="A811" i="21"/>
  <c r="A813" i="21"/>
  <c r="A815" i="21"/>
  <c r="A816" i="21"/>
  <c r="A818" i="21"/>
  <c r="A819" i="21"/>
  <c r="A820" i="21"/>
  <c r="A822" i="21"/>
  <c r="A825" i="21"/>
  <c r="A828" i="21"/>
  <c r="A830" i="21"/>
  <c r="A832" i="21"/>
  <c r="A834" i="21"/>
  <c r="A836" i="21"/>
  <c r="A837" i="21"/>
  <c r="A838" i="21"/>
  <c r="A840" i="21"/>
  <c r="A841" i="21"/>
  <c r="A842" i="21"/>
  <c r="A843" i="21"/>
  <c r="A844" i="21"/>
  <c r="A845" i="21"/>
  <c r="A846" i="21"/>
  <c r="A847" i="21"/>
  <c r="A848" i="21"/>
  <c r="A849" i="21"/>
  <c r="A850" i="21"/>
  <c r="A851" i="21"/>
  <c r="A852" i="21"/>
  <c r="A853" i="21"/>
  <c r="A854" i="21"/>
  <c r="A855" i="21"/>
  <c r="A856" i="21"/>
  <c r="A857" i="21"/>
  <c r="A858" i="21"/>
  <c r="A859" i="21"/>
  <c r="A860" i="21"/>
  <c r="A861" i="21"/>
  <c r="A862" i="21"/>
  <c r="A863" i="21"/>
  <c r="A864" i="21"/>
  <c r="A865" i="21"/>
  <c r="A866" i="21"/>
  <c r="A867" i="21"/>
  <c r="A868" i="21"/>
  <c r="A869" i="21"/>
  <c r="A870" i="21"/>
  <c r="A871" i="21"/>
  <c r="A872" i="21"/>
  <c r="A873" i="21"/>
  <c r="A874" i="21"/>
  <c r="A875" i="21"/>
  <c r="A876" i="21"/>
  <c r="A877" i="21"/>
  <c r="A878" i="21"/>
  <c r="A879" i="21"/>
  <c r="A880" i="21"/>
  <c r="A881" i="21"/>
  <c r="A882" i="21"/>
  <c r="A883" i="21"/>
  <c r="A884" i="21"/>
  <c r="A885" i="21"/>
  <c r="A886" i="21"/>
  <c r="A887" i="21"/>
  <c r="A888" i="21"/>
  <c r="A889" i="21"/>
  <c r="A890" i="21"/>
  <c r="A891" i="21"/>
  <c r="A892" i="21"/>
  <c r="A893" i="21"/>
  <c r="A894" i="21"/>
  <c r="A895" i="21"/>
  <c r="A896" i="21"/>
  <c r="A897" i="21"/>
  <c r="A898" i="21"/>
  <c r="A899" i="21"/>
  <c r="A900" i="21"/>
  <c r="A901" i="21"/>
  <c r="A902" i="21"/>
  <c r="A903" i="21"/>
  <c r="A904" i="21"/>
  <c r="A905" i="21"/>
  <c r="A906" i="21"/>
  <c r="A907" i="21"/>
  <c r="A908" i="21"/>
  <c r="A909" i="21"/>
  <c r="A910" i="21"/>
  <c r="A911" i="21"/>
  <c r="A912" i="21"/>
  <c r="A913" i="21"/>
  <c r="A914" i="21"/>
  <c r="A915" i="21"/>
  <c r="A916" i="21"/>
  <c r="A918" i="21"/>
  <c r="A919" i="21"/>
  <c r="A920" i="21"/>
  <c r="A921" i="21"/>
  <c r="A922" i="21"/>
  <c r="A923" i="21"/>
  <c r="A924" i="21"/>
  <c r="A925" i="21"/>
  <c r="A926" i="21"/>
  <c r="A927" i="21"/>
  <c r="A928" i="21"/>
  <c r="A929" i="21"/>
  <c r="A930" i="21"/>
  <c r="A931" i="21"/>
  <c r="A932" i="21"/>
  <c r="A933" i="21"/>
  <c r="A934" i="21"/>
  <c r="A935" i="21"/>
  <c r="A936" i="21"/>
  <c r="A937" i="21"/>
  <c r="A938" i="21"/>
  <c r="A939" i="21"/>
  <c r="A940" i="21"/>
  <c r="A941" i="21"/>
  <c r="A942" i="21"/>
  <c r="A943" i="21"/>
  <c r="A944" i="21"/>
  <c r="A945" i="21"/>
  <c r="A946" i="21"/>
  <c r="A947" i="21"/>
  <c r="A948" i="21"/>
  <c r="A949" i="21"/>
  <c r="A950" i="21"/>
  <c r="A951" i="21"/>
  <c r="A952" i="21"/>
  <c r="A953" i="21"/>
  <c r="A954" i="21"/>
  <c r="A955" i="21"/>
  <c r="A956" i="21"/>
  <c r="A957" i="21"/>
  <c r="A958" i="21"/>
  <c r="A959" i="21"/>
  <c r="A917" i="21"/>
  <c r="A2" i="21"/>
  <c r="A3" i="21"/>
  <c r="A4" i="21"/>
  <c r="A5" i="21"/>
  <c r="A6" i="21"/>
  <c r="A7" i="21"/>
  <c r="A8" i="21"/>
  <c r="A654" i="21"/>
  <c r="A9" i="21"/>
  <c r="A10" i="21"/>
  <c r="A11" i="21"/>
  <c r="A12" i="21"/>
  <c r="A13" i="21"/>
  <c r="A14" i="21"/>
  <c r="A15" i="21"/>
  <c r="A16" i="21"/>
  <c r="A17" i="21"/>
  <c r="A20" i="21"/>
  <c r="A22" i="21"/>
  <c r="A25" i="21"/>
  <c r="A26" i="21"/>
  <c r="A27" i="21"/>
  <c r="A28" i="21"/>
  <c r="A29" i="21"/>
  <c r="A30" i="21"/>
  <c r="A32" i="21"/>
  <c r="A34" i="21"/>
  <c r="A36" i="21"/>
  <c r="A38" i="21"/>
  <c r="A40" i="21"/>
  <c r="A42" i="21"/>
  <c r="A44" i="21"/>
  <c r="A46" i="21"/>
  <c r="A48" i="21"/>
  <c r="A50" i="21"/>
  <c r="A52" i="21"/>
  <c r="A54" i="21"/>
  <c r="A56" i="21"/>
  <c r="A58" i="21"/>
  <c r="A60" i="21"/>
  <c r="A62" i="21"/>
  <c r="A64" i="21"/>
  <c r="A66" i="21"/>
  <c r="A68" i="21"/>
  <c r="A70" i="21"/>
  <c r="A72" i="21"/>
  <c r="A74" i="21"/>
  <c r="A76" i="21"/>
  <c r="A77" i="21"/>
  <c r="A80" i="21"/>
  <c r="A82" i="21"/>
  <c r="A84" i="21"/>
  <c r="A85" i="21"/>
  <c r="A87" i="21"/>
  <c r="A90" i="21"/>
  <c r="A92" i="21"/>
  <c r="A95" i="21"/>
  <c r="A97" i="21"/>
  <c r="A99" i="21"/>
  <c r="A101" i="21"/>
  <c r="A103" i="21"/>
  <c r="A105" i="21"/>
  <c r="A107" i="21"/>
  <c r="A109" i="21"/>
  <c r="A111" i="21"/>
  <c r="A113" i="21"/>
  <c r="A115" i="21"/>
  <c r="A119" i="21"/>
  <c r="A121" i="21"/>
  <c r="A123" i="21"/>
  <c r="A125" i="21"/>
  <c r="A127" i="21"/>
  <c r="A129" i="21"/>
  <c r="A131" i="21"/>
  <c r="A133" i="21"/>
  <c r="A134" i="21"/>
  <c r="A135" i="21"/>
  <c r="A136" i="21"/>
  <c r="A137" i="21"/>
  <c r="A140" i="21"/>
  <c r="A142" i="21"/>
  <c r="A144" i="21"/>
  <c r="A146" i="21"/>
  <c r="A148" i="21"/>
  <c r="A150" i="21"/>
  <c r="A153" i="21"/>
  <c r="A155" i="21"/>
  <c r="A157" i="21"/>
  <c r="A159" i="21"/>
  <c r="A161" i="21"/>
  <c r="A163" i="21"/>
  <c r="A165" i="21"/>
  <c r="A168" i="21"/>
  <c r="A170" i="21"/>
  <c r="A172" i="21"/>
  <c r="A174" i="21"/>
  <c r="A176" i="21"/>
  <c r="A178" i="21"/>
  <c r="A180" i="21"/>
  <c r="A182" i="21"/>
  <c r="A184" i="21"/>
  <c r="A185" i="21"/>
  <c r="A186" i="21"/>
  <c r="A187" i="21"/>
  <c r="A188" i="21"/>
  <c r="A190" i="21"/>
  <c r="A278" i="21"/>
  <c r="A279" i="21"/>
  <c r="A280" i="21"/>
  <c r="A281" i="21"/>
  <c r="A282" i="21"/>
  <c r="A283" i="21"/>
  <c r="A284" i="21"/>
  <c r="A285" i="21"/>
  <c r="A286" i="21"/>
  <c r="A287" i="21"/>
  <c r="A288" i="21"/>
  <c r="A289" i="21"/>
  <c r="A290" i="21"/>
  <c r="A291" i="21"/>
  <c r="A292" i="21"/>
  <c r="A293" i="21"/>
  <c r="A294" i="21"/>
  <c r="A295" i="21"/>
  <c r="A296" i="21"/>
  <c r="A297" i="21"/>
  <c r="A298" i="21"/>
  <c r="A299" i="21"/>
  <c r="A300" i="21"/>
  <c r="A301" i="21"/>
  <c r="A302" i="21"/>
  <c r="A303" i="21"/>
  <c r="A304" i="21"/>
  <c r="A305" i="21"/>
  <c r="A306" i="21"/>
  <c r="A307" i="21"/>
  <c r="A308" i="21"/>
  <c r="A309" i="21"/>
  <c r="A310" i="21"/>
  <c r="A311" i="21"/>
  <c r="A312" i="21"/>
  <c r="A313" i="21"/>
  <c r="A314" i="21"/>
  <c r="A315" i="21"/>
  <c r="A316" i="21"/>
  <c r="A317" i="21"/>
  <c r="A318" i="21"/>
  <c r="A319" i="21"/>
  <c r="A320" i="21"/>
  <c r="A321" i="21"/>
  <c r="A322" i="21"/>
  <c r="A323" i="21"/>
  <c r="A324" i="21"/>
  <c r="A325" i="21"/>
  <c r="A326" i="21"/>
  <c r="A327" i="21"/>
  <c r="A328" i="21"/>
  <c r="A329" i="21"/>
  <c r="A330" i="21"/>
  <c r="A331" i="21"/>
  <c r="A332" i="21"/>
  <c r="A333" i="21"/>
  <c r="A334" i="21"/>
  <c r="A335" i="21"/>
  <c r="A336" i="21"/>
  <c r="A337" i="21"/>
  <c r="A338" i="21"/>
  <c r="A339" i="21"/>
  <c r="A340" i="21"/>
  <c r="A341" i="21"/>
  <c r="A342" i="21"/>
  <c r="A343" i="21"/>
  <c r="A344" i="21"/>
  <c r="A345" i="21"/>
  <c r="A346" i="21"/>
  <c r="A347" i="21"/>
  <c r="A348" i="21"/>
  <c r="A349" i="21"/>
  <c r="A350" i="21"/>
  <c r="A351" i="21"/>
  <c r="A352" i="21"/>
  <c r="A353" i="21"/>
  <c r="A354" i="21"/>
  <c r="A355" i="21"/>
  <c r="A356" i="21"/>
  <c r="A357" i="21"/>
  <c r="A358" i="21"/>
  <c r="A359" i="21"/>
  <c r="A360" i="21"/>
  <c r="A361" i="21"/>
  <c r="A362" i="21"/>
  <c r="A363" i="21"/>
  <c r="A364" i="21"/>
  <c r="A366" i="21"/>
  <c r="A369" i="21"/>
  <c r="A374" i="21"/>
  <c r="A377" i="21"/>
  <c r="A379" i="21"/>
  <c r="A381" i="21"/>
  <c r="A383" i="21"/>
  <c r="A384" i="21"/>
  <c r="A386" i="21"/>
  <c r="A388" i="21"/>
  <c r="A389" i="21"/>
  <c r="A391" i="21"/>
  <c r="A393" i="21"/>
  <c r="A395" i="21"/>
  <c r="A397" i="21"/>
  <c r="A399" i="21"/>
  <c r="A400" i="21"/>
  <c r="A402" i="21"/>
  <c r="A404" i="21"/>
  <c r="A406" i="21"/>
  <c r="A408" i="21"/>
  <c r="A410" i="21"/>
  <c r="A412" i="21"/>
  <c r="A414" i="21"/>
  <c r="A416" i="21"/>
  <c r="A417" i="21"/>
  <c r="A419" i="21"/>
  <c r="A420" i="21"/>
  <c r="A421" i="21"/>
  <c r="A422" i="21"/>
  <c r="A423" i="21"/>
  <c r="A424" i="21"/>
  <c r="A425" i="21"/>
  <c r="A426" i="21"/>
  <c r="A427" i="21"/>
  <c r="A428" i="21"/>
  <c r="A429" i="21"/>
  <c r="A430" i="21"/>
  <c r="A431" i="21"/>
  <c r="A432" i="21"/>
  <c r="A433" i="21"/>
  <c r="A434" i="21"/>
  <c r="A435" i="21"/>
  <c r="A436" i="21"/>
  <c r="A437" i="21"/>
  <c r="A438" i="21"/>
  <c r="A439" i="21"/>
  <c r="A440" i="21"/>
  <c r="A441" i="21"/>
  <c r="A442" i="21"/>
  <c r="A443" i="21"/>
  <c r="A444" i="21"/>
  <c r="A445" i="21"/>
  <c r="A446" i="21"/>
  <c r="A447" i="21"/>
  <c r="A448" i="21"/>
  <c r="A449" i="21"/>
  <c r="A450" i="21"/>
  <c r="A451" i="21"/>
  <c r="A452" i="21"/>
  <c r="A453" i="21"/>
  <c r="A454" i="21"/>
  <c r="A455" i="21"/>
  <c r="A456" i="21"/>
  <c r="A457" i="21"/>
  <c r="A458" i="21"/>
  <c r="A459" i="21"/>
  <c r="A460" i="21"/>
  <c r="A461" i="21"/>
  <c r="A462" i="21"/>
  <c r="A463" i="21"/>
  <c r="A464" i="21"/>
  <c r="A465" i="21"/>
  <c r="A466" i="21"/>
  <c r="A467" i="21"/>
  <c r="A468" i="21"/>
  <c r="A469" i="21"/>
  <c r="A470" i="21"/>
  <c r="A471" i="21"/>
  <c r="A472" i="21"/>
  <c r="A473" i="21"/>
  <c r="A474" i="21"/>
  <c r="A475" i="21"/>
  <c r="A476" i="21"/>
  <c r="A534" i="21"/>
  <c r="A536" i="21"/>
  <c r="A538" i="21"/>
  <c r="A542" i="21"/>
  <c r="A544" i="21"/>
  <c r="A546" i="21"/>
  <c r="A548" i="21"/>
  <c r="A550" i="21"/>
  <c r="A552" i="21"/>
  <c r="A553" i="21"/>
  <c r="A556" i="21"/>
  <c r="A558" i="21"/>
  <c r="A561" i="21"/>
  <c r="A563" i="21"/>
  <c r="A565" i="21"/>
  <c r="A567" i="21"/>
  <c r="A569" i="21"/>
  <c r="A571" i="21"/>
  <c r="A573" i="21"/>
  <c r="A575" i="21"/>
  <c r="A577" i="21"/>
  <c r="A579" i="21"/>
  <c r="A582" i="21"/>
  <c r="A584" i="21"/>
  <c r="A586" i="21"/>
  <c r="A588" i="21"/>
  <c r="A590" i="21"/>
  <c r="A592" i="21"/>
  <c r="A594" i="21"/>
  <c r="A596" i="21"/>
  <c r="A598" i="21"/>
  <c r="A599" i="21"/>
  <c r="A651" i="21"/>
  <c r="A652" i="21"/>
  <c r="A653" i="21"/>
  <c r="A205" i="21"/>
  <c r="A1000" i="21"/>
  <c r="A999" i="21"/>
  <c r="A998" i="21"/>
  <c r="A997" i="21"/>
  <c r="A996" i="21"/>
  <c r="A995" i="21"/>
  <c r="A994" i="21"/>
  <c r="A993" i="21"/>
  <c r="A992" i="21"/>
  <c r="A991" i="21"/>
  <c r="A990" i="21"/>
  <c r="A989" i="21"/>
  <c r="A988" i="21"/>
  <c r="A987" i="21"/>
  <c r="A986" i="21"/>
  <c r="A985" i="21"/>
  <c r="A984" i="21"/>
  <c r="A983" i="21"/>
  <c r="A982" i="21"/>
  <c r="A981" i="21"/>
  <c r="A980" i="21"/>
  <c r="A979" i="21"/>
  <c r="A978" i="21"/>
  <c r="A977" i="21"/>
  <c r="A976" i="21"/>
  <c r="A975" i="21"/>
  <c r="A974" i="21"/>
  <c r="A973" i="21"/>
  <c r="A972" i="21"/>
  <c r="A971" i="21"/>
  <c r="A970" i="21"/>
  <c r="A969" i="21"/>
  <c r="A968" i="21"/>
  <c r="A967" i="21"/>
  <c r="A966" i="21"/>
  <c r="A965" i="21"/>
  <c r="A964" i="21"/>
  <c r="A963" i="21"/>
  <c r="A962" i="21"/>
  <c r="A961" i="21"/>
  <c r="A960" i="21"/>
  <c r="A839" i="21"/>
  <c r="A835" i="21"/>
  <c r="A833" i="21"/>
  <c r="A831" i="21"/>
  <c r="A829" i="21"/>
  <c r="A827" i="21"/>
  <c r="A826" i="21"/>
  <c r="A824" i="21"/>
  <c r="A823" i="21"/>
  <c r="A821" i="21"/>
  <c r="A817" i="21"/>
  <c r="A814" i="21"/>
  <c r="A812" i="21"/>
  <c r="A808" i="21"/>
  <c r="A806" i="21"/>
  <c r="A804" i="21"/>
  <c r="A802" i="21"/>
  <c r="A798" i="21"/>
  <c r="A795" i="21"/>
  <c r="A793" i="21"/>
  <c r="A791" i="21"/>
  <c r="A790" i="21"/>
  <c r="A788" i="21"/>
  <c r="A787" i="21"/>
  <c r="A786" i="21"/>
  <c r="A785" i="21"/>
  <c r="A784" i="21"/>
  <c r="A782" i="21"/>
  <c r="A780" i="21"/>
  <c r="A778" i="21"/>
  <c r="A776" i="21"/>
  <c r="A774" i="21"/>
  <c r="A772" i="21"/>
  <c r="A769" i="21"/>
  <c r="A767" i="21"/>
  <c r="A765" i="21"/>
  <c r="A763" i="21"/>
  <c r="A761" i="21"/>
  <c r="A759" i="21"/>
  <c r="A758" i="21"/>
  <c r="A756" i="21"/>
  <c r="A754" i="21"/>
  <c r="A753" i="21"/>
  <c r="A752" i="21"/>
  <c r="A750" i="21"/>
  <c r="A748" i="21"/>
  <c r="A746" i="21"/>
  <c r="A744" i="21"/>
  <c r="A742" i="21"/>
  <c r="A739" i="21"/>
  <c r="A738" i="21"/>
  <c r="A737" i="21"/>
  <c r="A736" i="21"/>
  <c r="A735" i="21"/>
  <c r="A734" i="21"/>
  <c r="A733" i="21"/>
  <c r="A732" i="21"/>
  <c r="A731" i="21"/>
  <c r="A730" i="21"/>
  <c r="A729" i="21"/>
  <c r="A728" i="21"/>
  <c r="A727" i="21"/>
  <c r="A726" i="21"/>
  <c r="A725" i="21"/>
  <c r="A724" i="21"/>
  <c r="A723" i="21"/>
  <c r="A722" i="21"/>
  <c r="A721" i="21"/>
  <c r="A720" i="21"/>
  <c r="A719" i="21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3" i="21"/>
  <c r="A702" i="21"/>
  <c r="A701" i="21"/>
  <c r="A700" i="21"/>
  <c r="A699" i="21"/>
  <c r="A698" i="21"/>
  <c r="A697" i="21"/>
  <c r="A696" i="21"/>
  <c r="A695" i="21"/>
  <c r="A694" i="21"/>
  <c r="A693" i="21"/>
  <c r="A692" i="21"/>
  <c r="A691" i="21"/>
  <c r="A690" i="21"/>
  <c r="A689" i="21"/>
  <c r="A688" i="21"/>
  <c r="A687" i="21"/>
  <c r="A686" i="21"/>
  <c r="A685" i="2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63" i="21"/>
  <c r="A662" i="21"/>
  <c r="A661" i="21"/>
  <c r="A660" i="21"/>
  <c r="A659" i="21"/>
  <c r="A658" i="21"/>
  <c r="A657" i="21"/>
  <c r="A656" i="21"/>
  <c r="A65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89" i="21"/>
  <c r="A183" i="21"/>
  <c r="A181" i="21"/>
  <c r="A179" i="21"/>
  <c r="A177" i="21"/>
  <c r="A175" i="21"/>
  <c r="A173" i="21"/>
  <c r="A171" i="21"/>
  <c r="A169" i="21"/>
  <c r="A167" i="21"/>
  <c r="A166" i="21"/>
  <c r="A164" i="21"/>
  <c r="A162" i="21"/>
  <c r="A160" i="21"/>
  <c r="A158" i="21"/>
  <c r="A156" i="21"/>
  <c r="A154" i="21"/>
  <c r="A152" i="21"/>
  <c r="A151" i="21"/>
  <c r="A149" i="21"/>
  <c r="A147" i="21"/>
  <c r="A145" i="21"/>
  <c r="A143" i="21"/>
  <c r="A141" i="21"/>
  <c r="A139" i="21"/>
  <c r="A138" i="21"/>
  <c r="A132" i="21"/>
  <c r="A130" i="21"/>
  <c r="A128" i="21"/>
  <c r="A126" i="21"/>
  <c r="A124" i="21"/>
  <c r="A122" i="21"/>
  <c r="A120" i="21"/>
  <c r="A118" i="21"/>
  <c r="A117" i="21"/>
  <c r="A116" i="21"/>
  <c r="A114" i="21"/>
  <c r="A112" i="21"/>
  <c r="A110" i="21"/>
  <c r="A108" i="21"/>
  <c r="A106" i="21"/>
  <c r="A104" i="21"/>
  <c r="A102" i="21"/>
  <c r="A100" i="21"/>
  <c r="A98" i="21"/>
  <c r="A96" i="21"/>
  <c r="A94" i="21"/>
  <c r="A93" i="21"/>
  <c r="A91" i="21"/>
  <c r="A89" i="21"/>
  <c r="A88" i="21"/>
  <c r="A86" i="21"/>
  <c r="A83" i="21"/>
  <c r="A81" i="21"/>
  <c r="A79" i="21"/>
  <c r="A78" i="21"/>
  <c r="A75" i="21"/>
  <c r="A73" i="21"/>
  <c r="A71" i="21"/>
  <c r="A69" i="21"/>
  <c r="A67" i="21"/>
  <c r="A65" i="21"/>
  <c r="A63" i="21"/>
  <c r="A61" i="21"/>
  <c r="A59" i="21"/>
  <c r="A57" i="21"/>
  <c r="A55" i="21"/>
  <c r="A53" i="21"/>
  <c r="A51" i="21"/>
  <c r="A49" i="21"/>
  <c r="A47" i="21"/>
  <c r="A45" i="21"/>
  <c r="A43" i="21"/>
  <c r="A41" i="21"/>
  <c r="A39" i="21"/>
  <c r="A37" i="21"/>
  <c r="A35" i="21"/>
  <c r="A33" i="21"/>
  <c r="A31" i="21"/>
  <c r="A24" i="21"/>
  <c r="A23" i="21"/>
  <c r="A21" i="21"/>
  <c r="A19" i="21"/>
  <c r="A18" i="21"/>
  <c r="A1" i="21"/>
  <c r="G41" i="20"/>
  <c r="R41" i="20" s="1"/>
  <c r="G40" i="20"/>
  <c r="R40" i="20" s="1"/>
  <c r="G39" i="20"/>
  <c r="R39" i="20" s="1"/>
  <c r="G38" i="20"/>
  <c r="R38" i="20" s="1"/>
  <c r="G101" i="20"/>
  <c r="R101" i="20" s="1"/>
  <c r="G37" i="20"/>
  <c r="R37" i="20" s="1"/>
  <c r="G36" i="20"/>
  <c r="R36" i="20" s="1"/>
  <c r="G35" i="20"/>
  <c r="R35" i="20" s="1"/>
  <c r="G34" i="20"/>
  <c r="R34" i="20" s="1"/>
  <c r="G33" i="20"/>
  <c r="R33" i="20" s="1"/>
  <c r="G32" i="20"/>
  <c r="R32" i="20" s="1"/>
  <c r="G31" i="20"/>
  <c r="R31" i="20" s="1"/>
  <c r="G30" i="20"/>
  <c r="R30" i="20" s="1"/>
  <c r="G29" i="20"/>
  <c r="R29" i="20" s="1"/>
  <c r="G28" i="20"/>
  <c r="R28" i="20" s="1"/>
  <c r="G27" i="20"/>
  <c r="R27" i="20" s="1"/>
  <c r="G26" i="20"/>
  <c r="R26" i="20" s="1"/>
  <c r="G25" i="20"/>
  <c r="R25" i="20" s="1"/>
  <c r="G24" i="20"/>
  <c r="R24" i="20" s="1"/>
  <c r="G23" i="20"/>
  <c r="R23" i="20" s="1"/>
  <c r="G22" i="20"/>
  <c r="R22" i="20" s="1"/>
  <c r="G21" i="20"/>
  <c r="R21" i="20" s="1"/>
  <c r="G20" i="20"/>
  <c r="R20" i="20" s="1"/>
  <c r="G19" i="20"/>
  <c r="R19" i="20" s="1"/>
  <c r="G18" i="20"/>
  <c r="R18" i="20" s="1"/>
  <c r="G17" i="20"/>
  <c r="R17" i="20" s="1"/>
  <c r="G16" i="20"/>
  <c r="R16" i="20" s="1"/>
  <c r="G15" i="20"/>
  <c r="R15" i="20" s="1"/>
  <c r="G13" i="20"/>
  <c r="R13" i="20" s="1"/>
  <c r="G12" i="20"/>
  <c r="R12" i="20" s="1"/>
  <c r="G11" i="20"/>
  <c r="R11" i="20" s="1"/>
  <c r="G42" i="20"/>
  <c r="R42" i="20" s="1"/>
  <c r="G10" i="20"/>
  <c r="R10" i="20" s="1"/>
  <c r="G9" i="20"/>
  <c r="R9" i="20" s="1"/>
  <c r="G8" i="20"/>
  <c r="R8" i="20" s="1"/>
  <c r="G7" i="20"/>
  <c r="R7" i="20" s="1"/>
  <c r="G6" i="20"/>
  <c r="R6" i="20" s="1"/>
  <c r="G5" i="20"/>
  <c r="R5" i="20" s="1"/>
  <c r="G4" i="20"/>
  <c r="R4" i="20" s="1"/>
  <c r="G3" i="20"/>
  <c r="R3" i="20" s="1"/>
  <c r="G14" i="20"/>
  <c r="R14" i="20" s="1"/>
  <c r="G166" i="20"/>
  <c r="G165" i="20"/>
  <c r="G164" i="20"/>
  <c r="G163" i="20"/>
  <c r="G162" i="20"/>
  <c r="G161" i="20"/>
  <c r="G160" i="20"/>
  <c r="G159" i="20"/>
  <c r="G158" i="20"/>
  <c r="G157" i="20"/>
  <c r="G156" i="20"/>
  <c r="G155" i="20"/>
  <c r="G154" i="20"/>
  <c r="G153" i="20"/>
  <c r="G152" i="20"/>
  <c r="G151" i="20"/>
  <c r="G149" i="20"/>
  <c r="G148" i="20"/>
  <c r="G147" i="20"/>
  <c r="G146" i="20"/>
  <c r="G145" i="20"/>
  <c r="G144" i="20"/>
  <c r="G143" i="20"/>
  <c r="G142" i="20"/>
  <c r="G141" i="20"/>
  <c r="G140" i="20"/>
  <c r="G139" i="20"/>
  <c r="G150" i="20"/>
  <c r="G138" i="20"/>
  <c r="G137" i="20"/>
  <c r="G136" i="20"/>
  <c r="G135" i="20"/>
  <c r="G134" i="20"/>
  <c r="G133" i="20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R104" i="20" s="1"/>
  <c r="G103" i="20"/>
  <c r="R103" i="20" s="1"/>
  <c r="G102" i="20"/>
  <c r="R102" i="20" s="1"/>
  <c r="G100" i="20"/>
  <c r="R100" i="20" s="1"/>
  <c r="G99" i="20"/>
  <c r="R99" i="20" s="1"/>
  <c r="G98" i="20"/>
  <c r="R98" i="20" s="1"/>
  <c r="G97" i="20"/>
  <c r="R97" i="20" s="1"/>
  <c r="G96" i="20"/>
  <c r="R96" i="20" s="1"/>
  <c r="G95" i="20"/>
  <c r="R95" i="20" s="1"/>
  <c r="G94" i="20"/>
  <c r="R94" i="20" s="1"/>
  <c r="G93" i="20"/>
  <c r="R93" i="20" s="1"/>
  <c r="G92" i="20"/>
  <c r="R92" i="20" s="1"/>
  <c r="G91" i="20"/>
  <c r="R91" i="20" s="1"/>
  <c r="G90" i="20"/>
  <c r="R90" i="20" s="1"/>
  <c r="G89" i="20"/>
  <c r="R89" i="20" s="1"/>
  <c r="G88" i="20"/>
  <c r="R88" i="20" s="1"/>
  <c r="G87" i="20"/>
  <c r="R87" i="20" s="1"/>
  <c r="G86" i="20"/>
  <c r="R86" i="20" s="1"/>
  <c r="G85" i="20"/>
  <c r="R85" i="20" s="1"/>
  <c r="G84" i="20"/>
  <c r="R84" i="20" s="1"/>
  <c r="G83" i="20"/>
  <c r="R83" i="20" s="1"/>
  <c r="G82" i="20"/>
  <c r="R82" i="20" s="1"/>
  <c r="G81" i="20"/>
  <c r="R81" i="20" s="1"/>
  <c r="G80" i="20"/>
  <c r="R80" i="20" s="1"/>
  <c r="G79" i="20"/>
  <c r="R79" i="20" s="1"/>
  <c r="G78" i="20"/>
  <c r="R78" i="20" s="1"/>
  <c r="G77" i="20"/>
  <c r="R77" i="20" s="1"/>
  <c r="G76" i="20"/>
  <c r="R76" i="20" s="1"/>
  <c r="G75" i="20"/>
  <c r="R75" i="20" s="1"/>
  <c r="G74" i="20"/>
  <c r="R74" i="20" s="1"/>
  <c r="G73" i="20"/>
  <c r="R73" i="20" s="1"/>
  <c r="G72" i="20"/>
  <c r="R72" i="20" s="1"/>
  <c r="G71" i="20"/>
  <c r="R71" i="20" s="1"/>
  <c r="G70" i="20"/>
  <c r="R70" i="20" s="1"/>
  <c r="G69" i="20"/>
  <c r="R69" i="20" s="1"/>
  <c r="G68" i="20"/>
  <c r="R68" i="20" s="1"/>
  <c r="G67" i="20"/>
  <c r="R67" i="20" s="1"/>
  <c r="G66" i="20"/>
  <c r="R66" i="20" s="1"/>
  <c r="G65" i="20"/>
  <c r="R65" i="20" s="1"/>
  <c r="G64" i="20"/>
  <c r="R64" i="20" s="1"/>
  <c r="G63" i="20"/>
  <c r="R63" i="20" s="1"/>
  <c r="G62" i="20"/>
  <c r="R62" i="20" s="1"/>
  <c r="G61" i="20"/>
  <c r="R61" i="20" s="1"/>
  <c r="G60" i="20"/>
  <c r="R60" i="20" s="1"/>
  <c r="G59" i="20"/>
  <c r="R59" i="20" s="1"/>
  <c r="G58" i="20"/>
  <c r="R58" i="20" s="1"/>
  <c r="G57" i="20"/>
  <c r="R57" i="20" s="1"/>
  <c r="G56" i="20"/>
  <c r="R56" i="20" s="1"/>
  <c r="G55" i="20"/>
  <c r="R55" i="20" s="1"/>
  <c r="G54" i="20"/>
  <c r="R54" i="20" s="1"/>
  <c r="G53" i="20"/>
  <c r="R53" i="20" s="1"/>
  <c r="G52" i="20"/>
  <c r="R52" i="20" s="1"/>
  <c r="G51" i="20"/>
  <c r="R51" i="20" s="1"/>
  <c r="G50" i="20"/>
  <c r="R50" i="20" s="1"/>
  <c r="G49" i="20"/>
  <c r="R49" i="20" s="1"/>
  <c r="G48" i="20"/>
  <c r="R48" i="20" s="1"/>
  <c r="G47" i="20"/>
  <c r="R47" i="20" s="1"/>
  <c r="G46" i="20"/>
  <c r="R46" i="20" s="1"/>
  <c r="G45" i="20"/>
  <c r="R45" i="20" s="1"/>
  <c r="G44" i="20"/>
  <c r="R44" i="20" s="1"/>
  <c r="G43" i="20"/>
  <c r="R43" i="20" s="1"/>
  <c r="F110" i="20"/>
  <c r="F41" i="20"/>
  <c r="F40" i="20"/>
  <c r="F39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F3" i="20"/>
  <c r="F38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42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E134" i="20"/>
  <c r="E132" i="20"/>
  <c r="E131" i="20"/>
  <c r="E130" i="20"/>
  <c r="E129" i="20"/>
  <c r="E128" i="20"/>
  <c r="E127" i="20"/>
  <c r="E126" i="20"/>
  <c r="E124" i="20"/>
  <c r="E123" i="20"/>
  <c r="E122" i="20"/>
  <c r="E133" i="20"/>
  <c r="E121" i="20"/>
  <c r="E120" i="20"/>
  <c r="E119" i="20"/>
  <c r="E118" i="20"/>
  <c r="E117" i="20"/>
  <c r="E116" i="20"/>
  <c r="E115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135" i="20"/>
  <c r="E136" i="20"/>
  <c r="E137" i="20"/>
  <c r="E138" i="20"/>
  <c r="E140" i="20"/>
  <c r="E141" i="20"/>
  <c r="E142" i="20"/>
  <c r="E143" i="20"/>
  <c r="E144" i="20"/>
  <c r="E145" i="20"/>
  <c r="E146" i="20"/>
  <c r="E147" i="20"/>
  <c r="E148" i="20"/>
  <c r="E149" i="20"/>
  <c r="E150" i="20"/>
  <c r="E139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25" i="20"/>
  <c r="J55" i="20"/>
  <c r="I55" i="20"/>
  <c r="H55" i="20"/>
  <c r="N54" i="20"/>
  <c r="M54" i="20"/>
  <c r="L54" i="20"/>
  <c r="K54" i="20"/>
  <c r="J54" i="20"/>
  <c r="I54" i="20"/>
  <c r="H54" i="20"/>
  <c r="P54" i="20" s="1"/>
  <c r="Q54" i="20" s="1"/>
  <c r="N53" i="20"/>
  <c r="M53" i="20"/>
  <c r="L53" i="20"/>
  <c r="K53" i="20"/>
  <c r="J53" i="20"/>
  <c r="I53" i="20"/>
  <c r="H53" i="20"/>
  <c r="P53" i="20" s="1"/>
  <c r="Q53" i="20" s="1"/>
  <c r="N52" i="20"/>
  <c r="M52" i="20"/>
  <c r="L52" i="20"/>
  <c r="K52" i="20"/>
  <c r="J52" i="20"/>
  <c r="I52" i="20"/>
  <c r="H52" i="20"/>
  <c r="P52" i="20" s="1"/>
  <c r="Q52" i="20" s="1"/>
  <c r="N51" i="20"/>
  <c r="M51" i="20"/>
  <c r="L51" i="20"/>
  <c r="K51" i="20"/>
  <c r="J51" i="20"/>
  <c r="I51" i="20"/>
  <c r="H51" i="20"/>
  <c r="P51" i="20" s="1"/>
  <c r="Q51" i="20" s="1"/>
  <c r="B51" i="20" s="1"/>
  <c r="G24" i="15" s="1"/>
  <c r="F24" i="15" s="1"/>
  <c r="N50" i="20"/>
  <c r="M50" i="20"/>
  <c r="L50" i="20"/>
  <c r="K50" i="20"/>
  <c r="J50" i="20"/>
  <c r="I50" i="20"/>
  <c r="H50" i="20"/>
  <c r="P50" i="20" s="1"/>
  <c r="Q50" i="20" s="1"/>
  <c r="B50" i="20" s="1"/>
  <c r="G40" i="15" s="1"/>
  <c r="F40" i="15" s="1"/>
  <c r="N49" i="20"/>
  <c r="M49" i="20"/>
  <c r="L49" i="20"/>
  <c r="K49" i="20"/>
  <c r="J49" i="20"/>
  <c r="I49" i="20"/>
  <c r="H49" i="20"/>
  <c r="P49" i="20" s="1"/>
  <c r="Q49" i="20" s="1"/>
  <c r="N48" i="20"/>
  <c r="M48" i="20"/>
  <c r="L48" i="20"/>
  <c r="K48" i="20"/>
  <c r="J48" i="20"/>
  <c r="I48" i="20"/>
  <c r="H48" i="20"/>
  <c r="P48" i="20" s="1"/>
  <c r="Q48" i="20" s="1"/>
  <c r="N47" i="20"/>
  <c r="M47" i="20"/>
  <c r="L47" i="20"/>
  <c r="K47" i="20"/>
  <c r="J47" i="20"/>
  <c r="I47" i="20"/>
  <c r="H47" i="20"/>
  <c r="P47" i="20" s="1"/>
  <c r="Q47" i="20" s="1"/>
  <c r="N46" i="20"/>
  <c r="M46" i="20"/>
  <c r="L46" i="20"/>
  <c r="K46" i="20"/>
  <c r="J46" i="20"/>
  <c r="I46" i="20"/>
  <c r="H46" i="20"/>
  <c r="P46" i="20" s="1"/>
  <c r="Q46" i="20" s="1"/>
  <c r="B46" i="20" s="1"/>
  <c r="G12" i="15" s="1"/>
  <c r="F12" i="15" s="1"/>
  <c r="N45" i="20"/>
  <c r="M45" i="20"/>
  <c r="L45" i="20"/>
  <c r="K45" i="20"/>
  <c r="J45" i="20"/>
  <c r="I45" i="20"/>
  <c r="H45" i="20"/>
  <c r="P45" i="20" s="1"/>
  <c r="Q45" i="20" s="1"/>
  <c r="B45" i="20" s="1"/>
  <c r="G20" i="15" s="1"/>
  <c r="F20" i="15" s="1"/>
  <c r="N44" i="20"/>
  <c r="M44" i="20"/>
  <c r="L44" i="20"/>
  <c r="K44" i="20"/>
  <c r="J44" i="20"/>
  <c r="I44" i="20"/>
  <c r="H44" i="20"/>
  <c r="P44" i="20" s="1"/>
  <c r="Q44" i="20" s="1"/>
  <c r="N43" i="20"/>
  <c r="M43" i="20"/>
  <c r="L43" i="20"/>
  <c r="K43" i="20"/>
  <c r="J43" i="20"/>
  <c r="I43" i="20"/>
  <c r="H43" i="20"/>
  <c r="P43" i="20" s="1"/>
  <c r="Q43" i="20" s="1"/>
  <c r="N42" i="20"/>
  <c r="M42" i="20"/>
  <c r="L42" i="20"/>
  <c r="K42" i="20"/>
  <c r="J42" i="20"/>
  <c r="I42" i="20"/>
  <c r="H42" i="20"/>
  <c r="P42" i="20" s="1"/>
  <c r="Q42" i="20" s="1"/>
  <c r="N41" i="20"/>
  <c r="M41" i="20"/>
  <c r="L41" i="20"/>
  <c r="K41" i="20"/>
  <c r="J41" i="20"/>
  <c r="I41" i="20"/>
  <c r="H41" i="20"/>
  <c r="P41" i="20" s="1"/>
  <c r="Q41" i="20" s="1"/>
  <c r="N40" i="20"/>
  <c r="M40" i="20"/>
  <c r="L40" i="20"/>
  <c r="K40" i="20"/>
  <c r="J40" i="20"/>
  <c r="I40" i="20"/>
  <c r="H40" i="20"/>
  <c r="P40" i="20" s="1"/>
  <c r="Q40" i="20" s="1"/>
  <c r="N39" i="20"/>
  <c r="M39" i="20"/>
  <c r="L39" i="20"/>
  <c r="K39" i="20"/>
  <c r="J39" i="20"/>
  <c r="I39" i="20"/>
  <c r="H39" i="20"/>
  <c r="P39" i="20" s="1"/>
  <c r="Q39" i="20" s="1"/>
  <c r="N38" i="20"/>
  <c r="M38" i="20"/>
  <c r="L38" i="20"/>
  <c r="K38" i="20"/>
  <c r="J38" i="20"/>
  <c r="I38" i="20"/>
  <c r="H38" i="20"/>
  <c r="P38" i="20" s="1"/>
  <c r="Q38" i="20" s="1"/>
  <c r="N37" i="20"/>
  <c r="M37" i="20"/>
  <c r="L37" i="20"/>
  <c r="K37" i="20"/>
  <c r="J37" i="20"/>
  <c r="I37" i="20"/>
  <c r="H37" i="20"/>
  <c r="P37" i="20" s="1"/>
  <c r="Q37" i="20" s="1"/>
  <c r="N36" i="20"/>
  <c r="M36" i="20"/>
  <c r="L36" i="20"/>
  <c r="K36" i="20"/>
  <c r="J36" i="20"/>
  <c r="I36" i="20"/>
  <c r="H36" i="20"/>
  <c r="P36" i="20" s="1"/>
  <c r="Q36" i="20" s="1"/>
  <c r="N35" i="20"/>
  <c r="M35" i="20"/>
  <c r="L35" i="20"/>
  <c r="K35" i="20"/>
  <c r="J35" i="20"/>
  <c r="I35" i="20"/>
  <c r="H35" i="20"/>
  <c r="P35" i="20" s="1"/>
  <c r="Q35" i="20" s="1"/>
  <c r="N34" i="20"/>
  <c r="M34" i="20"/>
  <c r="L34" i="20"/>
  <c r="K34" i="20"/>
  <c r="J34" i="20"/>
  <c r="I34" i="20"/>
  <c r="H34" i="20"/>
  <c r="P34" i="20" s="1"/>
  <c r="Q34" i="20" s="1"/>
  <c r="B34" i="20" s="1"/>
  <c r="G11" i="15" s="1"/>
  <c r="F11" i="15" s="1"/>
  <c r="N33" i="20"/>
  <c r="M33" i="20"/>
  <c r="L33" i="20"/>
  <c r="K33" i="20"/>
  <c r="J33" i="20"/>
  <c r="I33" i="20"/>
  <c r="H33" i="20"/>
  <c r="P33" i="20" s="1"/>
  <c r="Q33" i="20" s="1"/>
  <c r="N32" i="20"/>
  <c r="M32" i="20"/>
  <c r="L32" i="20"/>
  <c r="K32" i="20"/>
  <c r="J32" i="20"/>
  <c r="I32" i="20"/>
  <c r="H32" i="20"/>
  <c r="P32" i="20" s="1"/>
  <c r="Q32" i="20" s="1"/>
  <c r="N31" i="20"/>
  <c r="M31" i="20"/>
  <c r="L31" i="20"/>
  <c r="K31" i="20"/>
  <c r="J31" i="20"/>
  <c r="I31" i="20"/>
  <c r="H31" i="20"/>
  <c r="P31" i="20" s="1"/>
  <c r="Q31" i="20" s="1"/>
  <c r="B31" i="20" s="1"/>
  <c r="G36" i="15" s="1"/>
  <c r="F36" i="15" s="1"/>
  <c r="N30" i="20"/>
  <c r="M30" i="20"/>
  <c r="L30" i="20"/>
  <c r="K30" i="20"/>
  <c r="J30" i="20"/>
  <c r="I30" i="20"/>
  <c r="H30" i="20"/>
  <c r="P30" i="20" s="1"/>
  <c r="Q30" i="20" s="1"/>
  <c r="N29" i="20"/>
  <c r="M29" i="20"/>
  <c r="L29" i="20"/>
  <c r="K29" i="20"/>
  <c r="J29" i="20"/>
  <c r="I29" i="20"/>
  <c r="H29" i="20"/>
  <c r="P29" i="20" s="1"/>
  <c r="Q29" i="20" s="1"/>
  <c r="B29" i="20" s="1"/>
  <c r="G39" i="15" s="1"/>
  <c r="F39" i="15" s="1"/>
  <c r="N28" i="20"/>
  <c r="M28" i="20"/>
  <c r="L28" i="20"/>
  <c r="K28" i="20"/>
  <c r="J28" i="20"/>
  <c r="I28" i="20"/>
  <c r="H28" i="20"/>
  <c r="P28" i="20" s="1"/>
  <c r="Q28" i="20" s="1"/>
  <c r="N27" i="20"/>
  <c r="M27" i="20"/>
  <c r="L27" i="20"/>
  <c r="K27" i="20"/>
  <c r="J27" i="20"/>
  <c r="I27" i="20"/>
  <c r="H27" i="20"/>
  <c r="P27" i="20" s="1"/>
  <c r="Q27" i="20" s="1"/>
  <c r="N26" i="20"/>
  <c r="M26" i="20"/>
  <c r="L26" i="20"/>
  <c r="K26" i="20"/>
  <c r="J26" i="20"/>
  <c r="I26" i="20"/>
  <c r="H26" i="20"/>
  <c r="P26" i="20" s="1"/>
  <c r="Q26" i="20" s="1"/>
  <c r="N25" i="20"/>
  <c r="M25" i="20"/>
  <c r="L25" i="20"/>
  <c r="K25" i="20"/>
  <c r="J25" i="20"/>
  <c r="I25" i="20"/>
  <c r="H25" i="20"/>
  <c r="P25" i="20" s="1"/>
  <c r="Q25" i="20" s="1"/>
  <c r="B25" i="20" s="1"/>
  <c r="G17" i="15" s="1"/>
  <c r="F17" i="15" s="1"/>
  <c r="N24" i="20"/>
  <c r="M24" i="20"/>
  <c r="L24" i="20"/>
  <c r="K24" i="20"/>
  <c r="J24" i="20"/>
  <c r="I24" i="20"/>
  <c r="H24" i="20"/>
  <c r="P24" i="20" s="1"/>
  <c r="Q24" i="20" s="1"/>
  <c r="N23" i="20"/>
  <c r="M23" i="20"/>
  <c r="L23" i="20"/>
  <c r="K23" i="20"/>
  <c r="J23" i="20"/>
  <c r="I23" i="20"/>
  <c r="H23" i="20"/>
  <c r="P23" i="20" s="1"/>
  <c r="Q23" i="20" s="1"/>
  <c r="N22" i="20"/>
  <c r="M22" i="20"/>
  <c r="L22" i="20"/>
  <c r="K22" i="20"/>
  <c r="J22" i="20"/>
  <c r="I22" i="20"/>
  <c r="H22" i="20"/>
  <c r="P22" i="20" s="1"/>
  <c r="Q22" i="20" s="1"/>
  <c r="N21" i="20"/>
  <c r="M21" i="20"/>
  <c r="L21" i="20"/>
  <c r="K21" i="20"/>
  <c r="J21" i="20"/>
  <c r="I21" i="20"/>
  <c r="H21" i="20"/>
  <c r="P21" i="20" s="1"/>
  <c r="Q21" i="20" s="1"/>
  <c r="N20" i="20"/>
  <c r="M20" i="20"/>
  <c r="L20" i="20"/>
  <c r="K20" i="20"/>
  <c r="J20" i="20"/>
  <c r="I20" i="20"/>
  <c r="H20" i="20"/>
  <c r="P20" i="20" s="1"/>
  <c r="Q20" i="20" s="1"/>
  <c r="N19" i="20"/>
  <c r="M19" i="20"/>
  <c r="L19" i="20"/>
  <c r="K19" i="20"/>
  <c r="J19" i="20"/>
  <c r="I19" i="20"/>
  <c r="H19" i="20"/>
  <c r="P19" i="20" s="1"/>
  <c r="Q19" i="20" s="1"/>
  <c r="B19" i="20" s="1"/>
  <c r="G9" i="15" s="1"/>
  <c r="F9" i="15" s="1"/>
  <c r="N18" i="20"/>
  <c r="M18" i="20"/>
  <c r="L18" i="20"/>
  <c r="K18" i="20"/>
  <c r="J18" i="20"/>
  <c r="I18" i="20"/>
  <c r="H18" i="20"/>
  <c r="P18" i="20" s="1"/>
  <c r="Q18" i="20" s="1"/>
  <c r="N17" i="20"/>
  <c r="M17" i="20"/>
  <c r="L17" i="20"/>
  <c r="K17" i="20"/>
  <c r="J17" i="20"/>
  <c r="I17" i="20"/>
  <c r="H17" i="20"/>
  <c r="P17" i="20" s="1"/>
  <c r="Q17" i="20" s="1"/>
  <c r="N16" i="20"/>
  <c r="M16" i="20"/>
  <c r="L16" i="20"/>
  <c r="K16" i="20"/>
  <c r="J16" i="20"/>
  <c r="I16" i="20"/>
  <c r="H16" i="20"/>
  <c r="P16" i="20" s="1"/>
  <c r="Q16" i="20" s="1"/>
  <c r="N15" i="20"/>
  <c r="M15" i="20"/>
  <c r="L15" i="20"/>
  <c r="K15" i="20"/>
  <c r="J15" i="20"/>
  <c r="I15" i="20"/>
  <c r="H15" i="20"/>
  <c r="P15" i="20" s="1"/>
  <c r="Q15" i="20" s="1"/>
  <c r="N14" i="20"/>
  <c r="M14" i="20"/>
  <c r="L14" i="20"/>
  <c r="K14" i="20"/>
  <c r="J14" i="20"/>
  <c r="I14" i="20"/>
  <c r="H14" i="20"/>
  <c r="P14" i="20" s="1"/>
  <c r="Q14" i="20" s="1"/>
  <c r="N13" i="20"/>
  <c r="M13" i="20"/>
  <c r="L13" i="20"/>
  <c r="K13" i="20"/>
  <c r="J13" i="20"/>
  <c r="I13" i="20"/>
  <c r="H13" i="20"/>
  <c r="N12" i="20"/>
  <c r="M12" i="20"/>
  <c r="L12" i="20"/>
  <c r="K12" i="20"/>
  <c r="J12" i="20"/>
  <c r="I12" i="20"/>
  <c r="H12" i="20"/>
  <c r="P12" i="20" s="1"/>
  <c r="Q12" i="20" s="1"/>
  <c r="N11" i="20"/>
  <c r="M11" i="20"/>
  <c r="L11" i="20"/>
  <c r="K11" i="20"/>
  <c r="J11" i="20"/>
  <c r="I11" i="20"/>
  <c r="H11" i="20"/>
  <c r="P11" i="20" s="1"/>
  <c r="Q11" i="20" s="1"/>
  <c r="M10" i="20"/>
  <c r="L10" i="20"/>
  <c r="K10" i="20"/>
  <c r="J10" i="20"/>
  <c r="I10" i="20"/>
  <c r="H10" i="20"/>
  <c r="N9" i="20"/>
  <c r="M9" i="20"/>
  <c r="L9" i="20"/>
  <c r="K9" i="20"/>
  <c r="J9" i="20"/>
  <c r="I9" i="20"/>
  <c r="H9" i="20"/>
  <c r="P9" i="20" s="1"/>
  <c r="Q9" i="20" s="1"/>
  <c r="B9" i="20" s="1"/>
  <c r="G45" i="15" s="1"/>
  <c r="F45" i="15" s="1"/>
  <c r="N8" i="20"/>
  <c r="M8" i="20"/>
  <c r="L8" i="20"/>
  <c r="K8" i="20"/>
  <c r="J8" i="20"/>
  <c r="I8" i="20"/>
  <c r="H8" i="20"/>
  <c r="P8" i="20" s="1"/>
  <c r="Q8" i="20" s="1"/>
  <c r="N7" i="20"/>
  <c r="M7" i="20"/>
  <c r="L7" i="20"/>
  <c r="K7" i="20"/>
  <c r="J7" i="20"/>
  <c r="I7" i="20"/>
  <c r="H7" i="20"/>
  <c r="P7" i="20" s="1"/>
  <c r="Q7" i="20" s="1"/>
  <c r="N6" i="20"/>
  <c r="M6" i="20"/>
  <c r="L6" i="20"/>
  <c r="K6" i="20"/>
  <c r="J6" i="20"/>
  <c r="I6" i="20"/>
  <c r="H6" i="20"/>
  <c r="P6" i="20" s="1"/>
  <c r="Q6" i="20" s="1"/>
  <c r="B6" i="20" s="1"/>
  <c r="G29" i="15" s="1"/>
  <c r="F29" i="15" s="1"/>
  <c r="N5" i="20"/>
  <c r="M5" i="20"/>
  <c r="L5" i="20"/>
  <c r="K5" i="20"/>
  <c r="J5" i="20"/>
  <c r="I5" i="20"/>
  <c r="H5" i="20"/>
  <c r="P5" i="20" s="1"/>
  <c r="Q5" i="20" s="1"/>
  <c r="N4" i="20"/>
  <c r="M4" i="20"/>
  <c r="L4" i="20"/>
  <c r="K4" i="20"/>
  <c r="J4" i="20"/>
  <c r="I4" i="20"/>
  <c r="H4" i="20"/>
  <c r="P4" i="20" s="1"/>
  <c r="Q4" i="20" s="1"/>
  <c r="N3" i="20"/>
  <c r="M3" i="20"/>
  <c r="L3" i="20"/>
  <c r="K3" i="20"/>
  <c r="J3" i="20"/>
  <c r="H68" i="20"/>
  <c r="H3" i="20"/>
  <c r="N2" i="20"/>
  <c r="M2" i="20"/>
  <c r="L2" i="20"/>
  <c r="K2" i="20"/>
  <c r="J2" i="20"/>
  <c r="I2" i="20"/>
  <c r="H2" i="20"/>
  <c r="P2" i="20" s="1"/>
  <c r="Q2" i="20" s="1"/>
  <c r="N1" i="20"/>
  <c r="M1" i="20"/>
  <c r="L1" i="20"/>
  <c r="K1" i="20"/>
  <c r="J1" i="20"/>
  <c r="I1" i="20"/>
  <c r="K100" i="20"/>
  <c r="H104" i="20"/>
  <c r="P104" i="20" s="1"/>
  <c r="Q104" i="20" s="1"/>
  <c r="N103" i="20"/>
  <c r="M103" i="20"/>
  <c r="L103" i="20"/>
  <c r="K103" i="20"/>
  <c r="J103" i="20"/>
  <c r="I103" i="20"/>
  <c r="H103" i="20"/>
  <c r="P103" i="20" s="1"/>
  <c r="Q103" i="20" s="1"/>
  <c r="B103" i="20" s="1"/>
  <c r="G30" i="15" s="1"/>
  <c r="F30" i="15" s="1"/>
  <c r="N102" i="20"/>
  <c r="M102" i="20"/>
  <c r="L102" i="20"/>
  <c r="K102" i="20"/>
  <c r="J102" i="20"/>
  <c r="I102" i="20"/>
  <c r="H102" i="20"/>
  <c r="P102" i="20" s="1"/>
  <c r="Q102" i="20" s="1"/>
  <c r="N101" i="20"/>
  <c r="M101" i="20"/>
  <c r="L101" i="20"/>
  <c r="K101" i="20"/>
  <c r="J101" i="20"/>
  <c r="I101" i="20"/>
  <c r="H101" i="20"/>
  <c r="P101" i="20" s="1"/>
  <c r="Q101" i="20" s="1"/>
  <c r="N100" i="20"/>
  <c r="M100" i="20"/>
  <c r="L100" i="20"/>
  <c r="J100" i="20"/>
  <c r="I100" i="20"/>
  <c r="H100" i="20"/>
  <c r="P100" i="20" s="1"/>
  <c r="Q100" i="20" s="1"/>
  <c r="N99" i="20"/>
  <c r="M99" i="20"/>
  <c r="L99" i="20"/>
  <c r="K99" i="20"/>
  <c r="J99" i="20"/>
  <c r="I99" i="20"/>
  <c r="H99" i="20"/>
  <c r="P99" i="20" s="1"/>
  <c r="Q99" i="20" s="1"/>
  <c r="N98" i="20"/>
  <c r="M98" i="20"/>
  <c r="L98" i="20"/>
  <c r="K98" i="20"/>
  <c r="J98" i="20"/>
  <c r="I98" i="20"/>
  <c r="H98" i="20"/>
  <c r="P98" i="20" s="1"/>
  <c r="Q98" i="20" s="1"/>
  <c r="B98" i="20" s="1"/>
  <c r="G27" i="15" s="1"/>
  <c r="F27" i="15" s="1"/>
  <c r="N97" i="20"/>
  <c r="M97" i="20"/>
  <c r="L97" i="20"/>
  <c r="K97" i="20"/>
  <c r="J97" i="20"/>
  <c r="I97" i="20"/>
  <c r="H97" i="20"/>
  <c r="P97" i="20" s="1"/>
  <c r="Q97" i="20" s="1"/>
  <c r="N96" i="20"/>
  <c r="M96" i="20"/>
  <c r="L96" i="20"/>
  <c r="K96" i="20"/>
  <c r="J96" i="20"/>
  <c r="I96" i="20"/>
  <c r="H96" i="20"/>
  <c r="P96" i="20" s="1"/>
  <c r="Q96" i="20" s="1"/>
  <c r="N95" i="20"/>
  <c r="M95" i="20"/>
  <c r="L95" i="20"/>
  <c r="K95" i="20"/>
  <c r="J95" i="20"/>
  <c r="I95" i="20"/>
  <c r="H95" i="20"/>
  <c r="P95" i="20" s="1"/>
  <c r="Q95" i="20" s="1"/>
  <c r="N94" i="20"/>
  <c r="M94" i="20"/>
  <c r="L94" i="20"/>
  <c r="K94" i="20"/>
  <c r="J94" i="20"/>
  <c r="I94" i="20"/>
  <c r="H94" i="20"/>
  <c r="P94" i="20" s="1"/>
  <c r="Q94" i="20" s="1"/>
  <c r="B94" i="20" s="1"/>
  <c r="G15" i="15" s="1"/>
  <c r="F15" i="15" s="1"/>
  <c r="N93" i="20"/>
  <c r="M93" i="20"/>
  <c r="L93" i="20"/>
  <c r="K93" i="20"/>
  <c r="J93" i="20"/>
  <c r="I93" i="20"/>
  <c r="H93" i="20"/>
  <c r="P93" i="20" s="1"/>
  <c r="Q93" i="20" s="1"/>
  <c r="N92" i="20"/>
  <c r="M92" i="20"/>
  <c r="L92" i="20"/>
  <c r="K92" i="20"/>
  <c r="J92" i="20"/>
  <c r="I92" i="20"/>
  <c r="H92" i="20"/>
  <c r="P92" i="20" s="1"/>
  <c r="Q92" i="20" s="1"/>
  <c r="N91" i="20"/>
  <c r="M91" i="20"/>
  <c r="L91" i="20"/>
  <c r="K91" i="20"/>
  <c r="J91" i="20"/>
  <c r="I91" i="20"/>
  <c r="H91" i="20"/>
  <c r="P91" i="20" s="1"/>
  <c r="Q91" i="20" s="1"/>
  <c r="N90" i="20"/>
  <c r="M90" i="20"/>
  <c r="L90" i="20"/>
  <c r="K90" i="20"/>
  <c r="J90" i="20"/>
  <c r="I90" i="20"/>
  <c r="H90" i="20"/>
  <c r="P90" i="20" s="1"/>
  <c r="Q90" i="20" s="1"/>
  <c r="N89" i="20"/>
  <c r="M89" i="20"/>
  <c r="L89" i="20"/>
  <c r="K89" i="20"/>
  <c r="J89" i="20"/>
  <c r="I89" i="20"/>
  <c r="H89" i="20"/>
  <c r="P89" i="20" s="1"/>
  <c r="Q89" i="20" s="1"/>
  <c r="N88" i="20"/>
  <c r="M88" i="20"/>
  <c r="L88" i="20"/>
  <c r="K88" i="20"/>
  <c r="J88" i="20"/>
  <c r="I88" i="20"/>
  <c r="H88" i="20"/>
  <c r="P88" i="20" s="1"/>
  <c r="Q88" i="20" s="1"/>
  <c r="B88" i="20" s="1"/>
  <c r="G32" i="15" s="1"/>
  <c r="F32" i="15" s="1"/>
  <c r="N87" i="20"/>
  <c r="M87" i="20"/>
  <c r="L87" i="20"/>
  <c r="K87" i="20"/>
  <c r="J87" i="20"/>
  <c r="I87" i="20"/>
  <c r="H87" i="20"/>
  <c r="P87" i="20" s="1"/>
  <c r="Q87" i="20" s="1"/>
  <c r="B87" i="20" s="1"/>
  <c r="G22" i="15" s="1"/>
  <c r="F22" i="15" s="1"/>
  <c r="N86" i="20"/>
  <c r="M86" i="20"/>
  <c r="L86" i="20"/>
  <c r="K86" i="20"/>
  <c r="J86" i="20"/>
  <c r="I86" i="20"/>
  <c r="H86" i="20"/>
  <c r="P86" i="20" s="1"/>
  <c r="Q86" i="20" s="1"/>
  <c r="N85" i="20"/>
  <c r="M85" i="20"/>
  <c r="L85" i="20"/>
  <c r="K85" i="20"/>
  <c r="J85" i="20"/>
  <c r="I85" i="20"/>
  <c r="H85" i="20"/>
  <c r="P85" i="20" s="1"/>
  <c r="Q85" i="20" s="1"/>
  <c r="N84" i="20"/>
  <c r="M84" i="20"/>
  <c r="L84" i="20"/>
  <c r="K84" i="20"/>
  <c r="J84" i="20"/>
  <c r="I84" i="20"/>
  <c r="H84" i="20"/>
  <c r="P84" i="20" s="1"/>
  <c r="Q84" i="20" s="1"/>
  <c r="N83" i="20"/>
  <c r="M83" i="20"/>
  <c r="L83" i="20"/>
  <c r="K83" i="20"/>
  <c r="J83" i="20"/>
  <c r="I83" i="20"/>
  <c r="H83" i="20"/>
  <c r="P83" i="20" s="1"/>
  <c r="Q83" i="20" s="1"/>
  <c r="B83" i="20" s="1"/>
  <c r="G43" i="15" s="1"/>
  <c r="F43" i="15" s="1"/>
  <c r="N82" i="20"/>
  <c r="M82" i="20"/>
  <c r="L82" i="20"/>
  <c r="K82" i="20"/>
  <c r="J82" i="20"/>
  <c r="I82" i="20"/>
  <c r="H82" i="20"/>
  <c r="P82" i="20" s="1"/>
  <c r="Q82" i="20" s="1"/>
  <c r="B82" i="20" s="1"/>
  <c r="G21" i="15" s="1"/>
  <c r="F21" i="15" s="1"/>
  <c r="N81" i="20"/>
  <c r="M81" i="20"/>
  <c r="L81" i="20"/>
  <c r="K81" i="20"/>
  <c r="J81" i="20"/>
  <c r="I81" i="20"/>
  <c r="H81" i="20"/>
  <c r="P81" i="20" s="1"/>
  <c r="Q81" i="20" s="1"/>
  <c r="N80" i="20"/>
  <c r="M80" i="20"/>
  <c r="L80" i="20"/>
  <c r="K80" i="20"/>
  <c r="J80" i="20"/>
  <c r="I80" i="20"/>
  <c r="H80" i="20"/>
  <c r="P80" i="20" s="1"/>
  <c r="Q80" i="20" s="1"/>
  <c r="N79" i="20"/>
  <c r="M79" i="20"/>
  <c r="L79" i="20"/>
  <c r="K79" i="20"/>
  <c r="J79" i="20"/>
  <c r="I79" i="20"/>
  <c r="H79" i="20"/>
  <c r="P79" i="20" s="1"/>
  <c r="Q79" i="20" s="1"/>
  <c r="B79" i="20" s="1"/>
  <c r="G18" i="15" s="1"/>
  <c r="F18" i="15" s="1"/>
  <c r="N78" i="20"/>
  <c r="M78" i="20"/>
  <c r="L78" i="20"/>
  <c r="K78" i="20"/>
  <c r="J78" i="20"/>
  <c r="I78" i="20"/>
  <c r="H78" i="20"/>
  <c r="P78" i="20" s="1"/>
  <c r="Q78" i="20" s="1"/>
  <c r="B78" i="20" s="1"/>
  <c r="G28" i="15" s="1"/>
  <c r="F28" i="15" s="1"/>
  <c r="N77" i="20"/>
  <c r="M77" i="20"/>
  <c r="L77" i="20"/>
  <c r="K77" i="20"/>
  <c r="J77" i="20"/>
  <c r="I77" i="20"/>
  <c r="H77" i="20"/>
  <c r="P77" i="20" s="1"/>
  <c r="Q77" i="20" s="1"/>
  <c r="N76" i="20"/>
  <c r="M76" i="20"/>
  <c r="L76" i="20"/>
  <c r="K76" i="20"/>
  <c r="J76" i="20"/>
  <c r="I76" i="20"/>
  <c r="H76" i="20"/>
  <c r="P76" i="20" s="1"/>
  <c r="Q76" i="20" s="1"/>
  <c r="N75" i="20"/>
  <c r="M75" i="20"/>
  <c r="L75" i="20"/>
  <c r="K75" i="20"/>
  <c r="J75" i="20"/>
  <c r="I75" i="20"/>
  <c r="H75" i="20"/>
  <c r="P75" i="20" s="1"/>
  <c r="Q75" i="20" s="1"/>
  <c r="B75" i="20" s="1"/>
  <c r="G14" i="15" s="1"/>
  <c r="F14" i="15" s="1"/>
  <c r="N74" i="20"/>
  <c r="M74" i="20"/>
  <c r="L74" i="20"/>
  <c r="K74" i="20"/>
  <c r="J74" i="20"/>
  <c r="I74" i="20"/>
  <c r="H74" i="20"/>
  <c r="P74" i="20" s="1"/>
  <c r="Q74" i="20" s="1"/>
  <c r="N73" i="20"/>
  <c r="M73" i="20"/>
  <c r="L73" i="20"/>
  <c r="K73" i="20"/>
  <c r="J73" i="20"/>
  <c r="I73" i="20"/>
  <c r="H73" i="20"/>
  <c r="P73" i="20" s="1"/>
  <c r="Q73" i="20" s="1"/>
  <c r="N72" i="20"/>
  <c r="M72" i="20"/>
  <c r="L72" i="20"/>
  <c r="K72" i="20"/>
  <c r="J72" i="20"/>
  <c r="I3" i="20"/>
  <c r="I72" i="20"/>
  <c r="H72" i="20"/>
  <c r="P72" i="20" s="1"/>
  <c r="Q72" i="20" s="1"/>
  <c r="N71" i="20"/>
  <c r="M71" i="20"/>
  <c r="L71" i="20"/>
  <c r="K71" i="20"/>
  <c r="J71" i="20"/>
  <c r="I71" i="20"/>
  <c r="H71" i="20"/>
  <c r="P71" i="20" s="1"/>
  <c r="Q71" i="20" s="1"/>
  <c r="N70" i="20"/>
  <c r="M70" i="20"/>
  <c r="L70" i="20"/>
  <c r="K70" i="20"/>
  <c r="J70" i="20"/>
  <c r="I70" i="20"/>
  <c r="H70" i="20"/>
  <c r="P70" i="20" s="1"/>
  <c r="Q70" i="20" s="1"/>
  <c r="N69" i="20"/>
  <c r="M69" i="20"/>
  <c r="L69" i="20"/>
  <c r="K69" i="20"/>
  <c r="J69" i="20"/>
  <c r="I69" i="20"/>
  <c r="H69" i="20"/>
  <c r="P69" i="20" s="1"/>
  <c r="Q69" i="20" s="1"/>
  <c r="N68" i="20"/>
  <c r="M68" i="20"/>
  <c r="L68" i="20"/>
  <c r="K68" i="20"/>
  <c r="J68" i="20"/>
  <c r="I68" i="20"/>
  <c r="N67" i="20"/>
  <c r="M67" i="20"/>
  <c r="L67" i="20"/>
  <c r="K67" i="20"/>
  <c r="J67" i="20"/>
  <c r="I67" i="20"/>
  <c r="H67" i="20"/>
  <c r="P67" i="20" s="1"/>
  <c r="Q67" i="20" s="1"/>
  <c r="N66" i="20"/>
  <c r="M66" i="20"/>
  <c r="L66" i="20"/>
  <c r="K66" i="20"/>
  <c r="J66" i="20"/>
  <c r="I66" i="20"/>
  <c r="H66" i="20"/>
  <c r="P66" i="20" s="1"/>
  <c r="Q66" i="20" s="1"/>
  <c r="N65" i="20"/>
  <c r="M65" i="20"/>
  <c r="L65" i="20"/>
  <c r="K65" i="20"/>
  <c r="J65" i="20"/>
  <c r="I65" i="20"/>
  <c r="H65" i="20"/>
  <c r="P65" i="20" s="1"/>
  <c r="Q65" i="20" s="1"/>
  <c r="B65" i="20" s="1"/>
  <c r="G37" i="15" s="1"/>
  <c r="F37" i="15" s="1"/>
  <c r="N64" i="20"/>
  <c r="M64" i="20"/>
  <c r="L64" i="20"/>
  <c r="K64" i="20"/>
  <c r="J64" i="20"/>
  <c r="I64" i="20"/>
  <c r="H64" i="20"/>
  <c r="P64" i="20" s="1"/>
  <c r="Q64" i="20" s="1"/>
  <c r="N63" i="20"/>
  <c r="M63" i="20"/>
  <c r="L63" i="20"/>
  <c r="K63" i="20"/>
  <c r="J63" i="20"/>
  <c r="I63" i="20"/>
  <c r="H63" i="20"/>
  <c r="P63" i="20" s="1"/>
  <c r="Q63" i="20" s="1"/>
  <c r="N62" i="20"/>
  <c r="M62" i="20"/>
  <c r="L62" i="20"/>
  <c r="K62" i="20"/>
  <c r="J62" i="20"/>
  <c r="I62" i="20"/>
  <c r="H62" i="20"/>
  <c r="P62" i="20" s="1"/>
  <c r="Q62" i="20" s="1"/>
  <c r="N61" i="20"/>
  <c r="M61" i="20"/>
  <c r="L61" i="20"/>
  <c r="K61" i="20"/>
  <c r="J61" i="20"/>
  <c r="I61" i="20"/>
  <c r="H61" i="20"/>
  <c r="P61" i="20" s="1"/>
  <c r="Q61" i="20" s="1"/>
  <c r="N60" i="20"/>
  <c r="M60" i="20"/>
  <c r="L60" i="20"/>
  <c r="K60" i="20"/>
  <c r="J60" i="20"/>
  <c r="I60" i="20"/>
  <c r="H60" i="20"/>
  <c r="P60" i="20" s="1"/>
  <c r="Q60" i="20" s="1"/>
  <c r="B60" i="20" s="1"/>
  <c r="G38" i="15" s="1"/>
  <c r="F38" i="15" s="1"/>
  <c r="N59" i="20"/>
  <c r="M59" i="20"/>
  <c r="L59" i="20"/>
  <c r="K59" i="20"/>
  <c r="J59" i="20"/>
  <c r="I59" i="20"/>
  <c r="H59" i="20"/>
  <c r="P59" i="20" s="1"/>
  <c r="Q59" i="20" s="1"/>
  <c r="N58" i="20"/>
  <c r="M58" i="20"/>
  <c r="L58" i="20"/>
  <c r="K58" i="20"/>
  <c r="J58" i="20"/>
  <c r="I58" i="20"/>
  <c r="H58" i="20"/>
  <c r="P58" i="20" s="1"/>
  <c r="Q58" i="20" s="1"/>
  <c r="N57" i="20"/>
  <c r="M57" i="20"/>
  <c r="L57" i="20"/>
  <c r="K57" i="20"/>
  <c r="J57" i="20"/>
  <c r="I57" i="20"/>
  <c r="H57" i="20"/>
  <c r="P57" i="20" s="1"/>
  <c r="Q57" i="20" s="1"/>
  <c r="N56" i="20"/>
  <c r="M56" i="20"/>
  <c r="L56" i="20"/>
  <c r="K56" i="20"/>
  <c r="J56" i="20"/>
  <c r="I56" i="20"/>
  <c r="H56" i="20"/>
  <c r="P56" i="20" s="1"/>
  <c r="Q56" i="20" s="1"/>
  <c r="N55" i="20"/>
  <c r="M55" i="20"/>
  <c r="L55" i="20"/>
  <c r="K55" i="20"/>
  <c r="N10" i="20"/>
  <c r="E5" i="16"/>
  <c r="K5" i="16"/>
  <c r="C10" i="16"/>
  <c r="C2" i="14" s="1"/>
  <c r="C9" i="16"/>
  <c r="L46" i="15"/>
  <c r="K8" i="13"/>
  <c r="K9" i="13"/>
  <c r="G8" i="1"/>
  <c r="G9" i="1"/>
  <c r="J10" i="9"/>
  <c r="J11" i="9"/>
  <c r="J12" i="9"/>
  <c r="I2" i="9"/>
  <c r="G9" i="16"/>
  <c r="G10" i="16"/>
  <c r="G10" i="8"/>
  <c r="G9" i="8"/>
  <c r="I10" i="16"/>
  <c r="I10" i="8"/>
  <c r="I9" i="8"/>
  <c r="I9" i="16"/>
  <c r="K10" i="9"/>
  <c r="K11" i="9"/>
  <c r="K12" i="9"/>
  <c r="M9" i="6"/>
  <c r="L9" i="6"/>
  <c r="AA12" i="5"/>
  <c r="Z12" i="5"/>
  <c r="AA11" i="5"/>
  <c r="Z11" i="5"/>
  <c r="M50" i="4"/>
  <c r="M51" i="4"/>
  <c r="F4" i="3"/>
  <c r="N45" i="2"/>
  <c r="Q45" i="2"/>
  <c r="O45" i="2" s="1"/>
  <c r="R45" i="2"/>
  <c r="M45" i="2"/>
  <c r="F45" i="17"/>
  <c r="E45" i="17"/>
  <c r="A45" i="15"/>
  <c r="A45" i="17"/>
  <c r="N44" i="2"/>
  <c r="Q44" i="2"/>
  <c r="R44" i="2"/>
  <c r="M44" i="2"/>
  <c r="F44" i="17"/>
  <c r="E44" i="17"/>
  <c r="A44" i="15"/>
  <c r="A44" i="17"/>
  <c r="Q43" i="2"/>
  <c r="N43" i="2"/>
  <c r="M43" i="2"/>
  <c r="R43" i="2"/>
  <c r="E43" i="17"/>
  <c r="F43" i="17"/>
  <c r="A43" i="17"/>
  <c r="A43" i="15"/>
  <c r="Q42" i="2"/>
  <c r="N42" i="2"/>
  <c r="R42" i="2"/>
  <c r="M42" i="2"/>
  <c r="F42" i="17"/>
  <c r="E42" i="17"/>
  <c r="A42" i="15"/>
  <c r="A42" i="17"/>
  <c r="Q41" i="2"/>
  <c r="N41" i="2"/>
  <c r="M41" i="2"/>
  <c r="R41" i="2"/>
  <c r="F41" i="17"/>
  <c r="E41" i="17"/>
  <c r="A41" i="17"/>
  <c r="A41" i="15"/>
  <c r="Q40" i="2"/>
  <c r="N40" i="2"/>
  <c r="M40" i="2"/>
  <c r="R40" i="2"/>
  <c r="E40" i="17"/>
  <c r="F40" i="17"/>
  <c r="A40" i="15"/>
  <c r="A40" i="17"/>
  <c r="N39" i="2"/>
  <c r="Q39" i="2"/>
  <c r="R39" i="2"/>
  <c r="M39" i="2"/>
  <c r="E39" i="17"/>
  <c r="F39" i="17"/>
  <c r="A39" i="15"/>
  <c r="A39" i="17"/>
  <c r="N38" i="2"/>
  <c r="Q38" i="2"/>
  <c r="R38" i="2"/>
  <c r="M38" i="2"/>
  <c r="E38" i="17"/>
  <c r="F38" i="17"/>
  <c r="A38" i="15"/>
  <c r="A38" i="17"/>
  <c r="Q37" i="2"/>
  <c r="N37" i="2"/>
  <c r="R37" i="2"/>
  <c r="M37" i="2"/>
  <c r="E37" i="17"/>
  <c r="F37" i="17"/>
  <c r="A37" i="17"/>
  <c r="A37" i="15"/>
  <c r="N36" i="2"/>
  <c r="Q36" i="2"/>
  <c r="M36" i="2"/>
  <c r="R36" i="2"/>
  <c r="E36" i="17"/>
  <c r="F36" i="17"/>
  <c r="A36" i="15"/>
  <c r="A36" i="17"/>
  <c r="Q35" i="2"/>
  <c r="N35" i="2"/>
  <c r="M35" i="2"/>
  <c r="R35" i="2"/>
  <c r="F35" i="17"/>
  <c r="E35" i="17"/>
  <c r="A35" i="15"/>
  <c r="A35" i="17"/>
  <c r="N34" i="2"/>
  <c r="Q34" i="2"/>
  <c r="R34" i="2"/>
  <c r="M34" i="2"/>
  <c r="E34" i="17"/>
  <c r="F34" i="17"/>
  <c r="A34" i="15"/>
  <c r="A34" i="17"/>
  <c r="Q33" i="2"/>
  <c r="N33" i="2"/>
  <c r="M33" i="2"/>
  <c r="R33" i="2"/>
  <c r="E33" i="17"/>
  <c r="F33" i="17"/>
  <c r="A33" i="15"/>
  <c r="A33" i="17"/>
  <c r="Q32" i="2"/>
  <c r="N32" i="2"/>
  <c r="M32" i="2"/>
  <c r="R32" i="2"/>
  <c r="E32" i="17"/>
  <c r="F32" i="17"/>
  <c r="A32" i="15"/>
  <c r="A32" i="17"/>
  <c r="N31" i="2"/>
  <c r="Q31" i="2"/>
  <c r="R31" i="2"/>
  <c r="M31" i="2"/>
  <c r="E31" i="17"/>
  <c r="F31" i="17"/>
  <c r="A31" i="15"/>
  <c r="A31" i="17"/>
  <c r="Q30" i="2"/>
  <c r="N30" i="2"/>
  <c r="R30" i="2"/>
  <c r="M30" i="2"/>
  <c r="E30" i="17"/>
  <c r="F30" i="17"/>
  <c r="A30" i="17"/>
  <c r="A30" i="15"/>
  <c r="Q29" i="2"/>
  <c r="N29" i="2"/>
  <c r="R29" i="2"/>
  <c r="M29" i="2"/>
  <c r="E29" i="17"/>
  <c r="F29" i="17"/>
  <c r="A29" i="15"/>
  <c r="A29" i="17"/>
  <c r="N28" i="2"/>
  <c r="Q28" i="2"/>
  <c r="M28" i="2"/>
  <c r="R28" i="2"/>
  <c r="F28" i="17"/>
  <c r="E28" i="17"/>
  <c r="A28" i="17"/>
  <c r="A28" i="15"/>
  <c r="Q27" i="2"/>
  <c r="N27" i="2"/>
  <c r="M27" i="2"/>
  <c r="R27" i="2"/>
  <c r="F27" i="17"/>
  <c r="E27" i="17"/>
  <c r="A27" i="17"/>
  <c r="A27" i="15"/>
  <c r="N26" i="2"/>
  <c r="Q26" i="2"/>
  <c r="M26" i="2"/>
  <c r="R26" i="2"/>
  <c r="F26" i="17"/>
  <c r="E26" i="17"/>
  <c r="A26" i="17"/>
  <c r="A26" i="15"/>
  <c r="N25" i="2"/>
  <c r="Q25" i="2"/>
  <c r="M25" i="2"/>
  <c r="R25" i="2"/>
  <c r="E25" i="17"/>
  <c r="F25" i="17"/>
  <c r="A25" i="17"/>
  <c r="A25" i="15"/>
  <c r="N24" i="2"/>
  <c r="Q24" i="2"/>
  <c r="M24" i="2"/>
  <c r="R24" i="2"/>
  <c r="E24" i="17"/>
  <c r="F24" i="17"/>
  <c r="A24" i="15"/>
  <c r="A24" i="17"/>
  <c r="N23" i="2"/>
  <c r="Q23" i="2"/>
  <c r="R23" i="2"/>
  <c r="M23" i="2"/>
  <c r="E23" i="17"/>
  <c r="F23" i="17"/>
  <c r="A23" i="17"/>
  <c r="A23" i="15"/>
  <c r="N22" i="2"/>
  <c r="Q22" i="2"/>
  <c r="O22" i="2" s="1"/>
  <c r="R22" i="2"/>
  <c r="M22" i="2"/>
  <c r="E22" i="17"/>
  <c r="F22" i="17"/>
  <c r="A22" i="17"/>
  <c r="A22" i="15"/>
  <c r="N21" i="2"/>
  <c r="Q21" i="2"/>
  <c r="R21" i="2"/>
  <c r="M21" i="2"/>
  <c r="E21" i="17"/>
  <c r="F21" i="17"/>
  <c r="A21" i="15"/>
  <c r="A21" i="17"/>
  <c r="Q20" i="2"/>
  <c r="N20" i="2"/>
  <c r="R20" i="2"/>
  <c r="M20" i="2"/>
  <c r="E20" i="17"/>
  <c r="F20" i="17"/>
  <c r="A20" i="15"/>
  <c r="A20" i="17"/>
  <c r="N19" i="2"/>
  <c r="Q19" i="2"/>
  <c r="M19" i="2"/>
  <c r="R19" i="2"/>
  <c r="E19" i="17"/>
  <c r="F19" i="17"/>
  <c r="A19" i="15"/>
  <c r="A19" i="17"/>
  <c r="N18" i="2"/>
  <c r="Q18" i="2"/>
  <c r="R18" i="2"/>
  <c r="M18" i="2"/>
  <c r="E18" i="17"/>
  <c r="F18" i="17"/>
  <c r="A18" i="15"/>
  <c r="A18" i="17"/>
  <c r="Q17" i="2"/>
  <c r="N17" i="2"/>
  <c r="R17" i="2"/>
  <c r="M17" i="2"/>
  <c r="F17" i="17"/>
  <c r="E17" i="17"/>
  <c r="A17" i="15"/>
  <c r="A17" i="17"/>
  <c r="N16" i="2"/>
  <c r="Q16" i="2"/>
  <c r="O16" i="2" s="1"/>
  <c r="R16" i="2"/>
  <c r="M16" i="2"/>
  <c r="F16" i="17"/>
  <c r="E16" i="17"/>
  <c r="A16" i="17"/>
  <c r="A16" i="15"/>
  <c r="N15" i="2"/>
  <c r="Q15" i="2"/>
  <c r="R15" i="2"/>
  <c r="M15" i="2"/>
  <c r="F15" i="17"/>
  <c r="E15" i="17"/>
  <c r="A15" i="17"/>
  <c r="A15" i="15"/>
  <c r="Q14" i="2"/>
  <c r="N14" i="2"/>
  <c r="M14" i="2"/>
  <c r="R14" i="2"/>
  <c r="E14" i="17"/>
  <c r="F14" i="17"/>
  <c r="A14" i="17"/>
  <c r="A14" i="15"/>
  <c r="Q13" i="2"/>
  <c r="N13" i="2"/>
  <c r="R13" i="2"/>
  <c r="M13" i="2"/>
  <c r="E13" i="17"/>
  <c r="F13" i="17"/>
  <c r="A13" i="17"/>
  <c r="A13" i="15"/>
  <c r="Q12" i="2"/>
  <c r="N12" i="2"/>
  <c r="M12" i="2"/>
  <c r="R12" i="2"/>
  <c r="F12" i="17"/>
  <c r="E12" i="17"/>
  <c r="A12" i="15"/>
  <c r="A12" i="17"/>
  <c r="N11" i="2"/>
  <c r="Q11" i="2"/>
  <c r="O11" i="2" s="1"/>
  <c r="R11" i="2"/>
  <c r="M11" i="2"/>
  <c r="E11" i="17"/>
  <c r="F11" i="17"/>
  <c r="A11" i="17"/>
  <c r="A11" i="15"/>
  <c r="N10" i="2"/>
  <c r="Q10" i="2"/>
  <c r="O10" i="2" s="1"/>
  <c r="R10" i="2"/>
  <c r="M10" i="2"/>
  <c r="F10" i="17"/>
  <c r="E10" i="17"/>
  <c r="A10" i="15"/>
  <c r="A10" i="17"/>
  <c r="N9" i="2"/>
  <c r="Q9" i="2"/>
  <c r="R9" i="2"/>
  <c r="M9" i="2"/>
  <c r="F9" i="17"/>
  <c r="E9" i="17"/>
  <c r="A9" i="17"/>
  <c r="A9" i="15"/>
  <c r="N8" i="2"/>
  <c r="Q8" i="2"/>
  <c r="O8" i="2" s="1"/>
  <c r="R8" i="2"/>
  <c r="M8" i="2"/>
  <c r="E8" i="17"/>
  <c r="F8" i="17"/>
  <c r="A8" i="15"/>
  <c r="A8" i="17"/>
  <c r="Q7" i="2"/>
  <c r="N7" i="2"/>
  <c r="M7" i="2"/>
  <c r="R7" i="2"/>
  <c r="E7" i="17"/>
  <c r="F7" i="17"/>
  <c r="A7" i="15"/>
  <c r="A7" i="17"/>
  <c r="Q6" i="2"/>
  <c r="N6" i="2"/>
  <c r="R6" i="2"/>
  <c r="M6" i="2"/>
  <c r="F6" i="17"/>
  <c r="E6" i="17"/>
  <c r="A6" i="15"/>
  <c r="A6" i="17"/>
  <c r="Q5" i="2"/>
  <c r="N5" i="2"/>
  <c r="R5" i="2"/>
  <c r="M5" i="2"/>
  <c r="F5" i="17"/>
  <c r="E5" i="17"/>
  <c r="A5" i="15"/>
  <c r="A5" i="17"/>
  <c r="Q4" i="2"/>
  <c r="N4" i="2"/>
  <c r="M4" i="2"/>
  <c r="R4" i="2"/>
  <c r="F4" i="17"/>
  <c r="E4" i="17"/>
  <c r="A4" i="17"/>
  <c r="A4" i="15"/>
  <c r="N3" i="2"/>
  <c r="Q3" i="2"/>
  <c r="R3" i="2"/>
  <c r="M3" i="2"/>
  <c r="E3" i="17"/>
  <c r="F3" i="17"/>
  <c r="A3" i="15"/>
  <c r="A3" i="17"/>
  <c r="L46" i="2"/>
  <c r="N2" i="2"/>
  <c r="N47" i="2" s="1"/>
  <c r="L47" i="2"/>
  <c r="Q2" i="2"/>
  <c r="K47" i="2"/>
  <c r="K46" i="2"/>
  <c r="M2" i="2"/>
  <c r="M47" i="2" s="1"/>
  <c r="R2" i="2"/>
  <c r="J46" i="2"/>
  <c r="J47" i="2"/>
  <c r="E2" i="17"/>
  <c r="F2" i="17"/>
  <c r="I47" i="2"/>
  <c r="H2" i="15"/>
  <c r="I46" i="2"/>
  <c r="H46" i="2"/>
  <c r="H47" i="2"/>
  <c r="A2" i="17"/>
  <c r="A2" i="15"/>
  <c r="I8" i="1"/>
  <c r="I9" i="1"/>
  <c r="C9" i="1"/>
  <c r="C8" i="1"/>
  <c r="I8" i="9"/>
  <c r="C8" i="9" s="1"/>
  <c r="I7" i="9"/>
  <c r="C7" i="9" s="1"/>
  <c r="I6" i="9"/>
  <c r="C6" i="9" s="1"/>
  <c r="I5" i="9"/>
  <c r="C5" i="9" s="1"/>
  <c r="I4" i="9"/>
  <c r="C4" i="9" s="1"/>
  <c r="I3" i="9"/>
  <c r="C3" i="9" s="1"/>
  <c r="N2" i="21" l="1"/>
  <c r="O2" i="21" s="1"/>
  <c r="P2" i="21" s="1"/>
  <c r="I3" i="29"/>
  <c r="I4" i="29"/>
  <c r="I5" i="29"/>
  <c r="H3" i="29"/>
  <c r="G3" i="29" s="1"/>
  <c r="H4" i="29"/>
  <c r="G4" i="29" s="1"/>
  <c r="H5" i="29"/>
  <c r="G5" i="29" s="1"/>
  <c r="D2" i="1"/>
  <c r="D2" i="16"/>
  <c r="D3" i="1"/>
  <c r="D3" i="16"/>
  <c r="D4" i="1"/>
  <c r="D4" i="16"/>
  <c r="D6" i="16"/>
  <c r="D5" i="1"/>
  <c r="D6" i="1"/>
  <c r="D7" i="16"/>
  <c r="D9" i="8"/>
  <c r="C2" i="8"/>
  <c r="K2" i="8" s="1"/>
  <c r="K9" i="8" s="1"/>
  <c r="D10" i="8"/>
  <c r="D7" i="1"/>
  <c r="D8" i="16"/>
  <c r="G31" i="15"/>
  <c r="F31" i="15" s="1"/>
  <c r="R166" i="20"/>
  <c r="R165" i="20"/>
  <c r="R164" i="20"/>
  <c r="B163" i="20"/>
  <c r="R163" i="20"/>
  <c r="R162" i="20"/>
  <c r="R161" i="20"/>
  <c r="R160" i="20"/>
  <c r="B159" i="20"/>
  <c r="G25" i="15" s="1"/>
  <c r="F25" i="15" s="1"/>
  <c r="R159" i="20"/>
  <c r="R158" i="20"/>
  <c r="B157" i="20"/>
  <c r="G16" i="15" s="1"/>
  <c r="F16" i="15" s="1"/>
  <c r="R157" i="20"/>
  <c r="R156" i="20"/>
  <c r="R155" i="20"/>
  <c r="R154" i="20"/>
  <c r="R153" i="20"/>
  <c r="R152" i="20"/>
  <c r="R151" i="20"/>
  <c r="B149" i="20"/>
  <c r="G41" i="15" s="1"/>
  <c r="F41" i="15" s="1"/>
  <c r="R149" i="20"/>
  <c r="R148" i="20"/>
  <c r="R147" i="20"/>
  <c r="B146" i="20"/>
  <c r="G35" i="15" s="1"/>
  <c r="F35" i="15" s="1"/>
  <c r="R146" i="20"/>
  <c r="R145" i="20"/>
  <c r="R144" i="20"/>
  <c r="B143" i="20"/>
  <c r="G42" i="15" s="1"/>
  <c r="F42" i="15" s="1"/>
  <c r="R143" i="20"/>
  <c r="R142" i="20"/>
  <c r="R141" i="20"/>
  <c r="R140" i="20"/>
  <c r="B139" i="20"/>
  <c r="G33" i="15" s="1"/>
  <c r="F33" i="15" s="1"/>
  <c r="R139" i="20"/>
  <c r="B150" i="20"/>
  <c r="G7" i="15" s="1"/>
  <c r="F7" i="15" s="1"/>
  <c r="R150" i="20"/>
  <c r="R138" i="20"/>
  <c r="R137" i="20"/>
  <c r="B136" i="20"/>
  <c r="G19" i="15" s="1"/>
  <c r="F19" i="15" s="1"/>
  <c r="R136" i="20"/>
  <c r="R135" i="20"/>
  <c r="R134" i="20"/>
  <c r="R133" i="20"/>
  <c r="B132" i="20"/>
  <c r="G2" i="15" s="1"/>
  <c r="R132" i="20"/>
  <c r="R131" i="20"/>
  <c r="R130" i="20"/>
  <c r="R129" i="20"/>
  <c r="R128" i="20"/>
  <c r="R127" i="20"/>
  <c r="B126" i="20"/>
  <c r="G34" i="15" s="1"/>
  <c r="F34" i="15" s="1"/>
  <c r="R126" i="20"/>
  <c r="R125" i="20"/>
  <c r="B124" i="20"/>
  <c r="G23" i="15" s="1"/>
  <c r="F23" i="15" s="1"/>
  <c r="R124" i="20"/>
  <c r="R123" i="20"/>
  <c r="R122" i="20"/>
  <c r="R121" i="20"/>
  <c r="R120" i="20"/>
  <c r="R119" i="20"/>
  <c r="B118" i="20"/>
  <c r="G8" i="15" s="1"/>
  <c r="F8" i="15" s="1"/>
  <c r="R118" i="20"/>
  <c r="R117" i="20"/>
  <c r="B116" i="20"/>
  <c r="G3" i="15" s="1"/>
  <c r="F3" i="15" s="1"/>
  <c r="R116" i="20"/>
  <c r="R115" i="20"/>
  <c r="R114" i="20"/>
  <c r="B113" i="20"/>
  <c r="G5" i="15" s="1"/>
  <c r="F5" i="15" s="1"/>
  <c r="R113" i="20"/>
  <c r="R112" i="20"/>
  <c r="R111" i="20"/>
  <c r="B110" i="20"/>
  <c r="G26" i="15" s="1"/>
  <c r="F26" i="15" s="1"/>
  <c r="R110" i="20"/>
  <c r="B109" i="20"/>
  <c r="G13" i="15" s="1"/>
  <c r="F13" i="15" s="1"/>
  <c r="R109" i="20"/>
  <c r="B108" i="20"/>
  <c r="G44" i="15" s="1"/>
  <c r="F44" i="15" s="1"/>
  <c r="R108" i="20"/>
  <c r="R107" i="20"/>
  <c r="R106" i="20"/>
  <c r="R105" i="20"/>
  <c r="E24" i="15"/>
  <c r="E40" i="15"/>
  <c r="E12" i="15"/>
  <c r="E20" i="15"/>
  <c r="I20" i="15" s="1"/>
  <c r="E11" i="15"/>
  <c r="E36" i="15"/>
  <c r="E39" i="15"/>
  <c r="E17" i="15"/>
  <c r="E9" i="15"/>
  <c r="E45" i="15"/>
  <c r="C45" i="15" s="1"/>
  <c r="I45" i="15"/>
  <c r="E29" i="15"/>
  <c r="E30" i="15"/>
  <c r="E27" i="15"/>
  <c r="E15" i="15"/>
  <c r="E32" i="15"/>
  <c r="E22" i="15"/>
  <c r="E43" i="15"/>
  <c r="E21" i="15"/>
  <c r="E18" i="15"/>
  <c r="C18" i="15" s="1"/>
  <c r="I18" i="15"/>
  <c r="E28" i="15"/>
  <c r="E14" i="15"/>
  <c r="E37" i="15"/>
  <c r="C37" i="15" s="1"/>
  <c r="I37" i="15"/>
  <c r="E38" i="15"/>
  <c r="G5" i="9"/>
  <c r="L5" i="16"/>
  <c r="C10" i="9"/>
  <c r="H2" i="14" s="1"/>
  <c r="I11" i="9"/>
  <c r="I10" i="9"/>
  <c r="I12" i="9"/>
  <c r="F5" i="3"/>
  <c r="L45" i="17"/>
  <c r="M45" i="15"/>
  <c r="K45" i="15" s="1"/>
  <c r="D45" i="15" s="1"/>
  <c r="L44" i="17"/>
  <c r="M44" i="15"/>
  <c r="K44" i="15" s="1"/>
  <c r="D44" i="15" s="1"/>
  <c r="L43" i="17"/>
  <c r="M43" i="15"/>
  <c r="K43" i="15" s="1"/>
  <c r="D43" i="15" s="1"/>
  <c r="L42" i="17"/>
  <c r="M42" i="15"/>
  <c r="K42" i="15" s="1"/>
  <c r="D42" i="15" s="1"/>
  <c r="L41" i="17"/>
  <c r="E3" i="18"/>
  <c r="M4" i="13" s="1"/>
  <c r="M41" i="15"/>
  <c r="K41" i="15" s="1"/>
  <c r="D41" i="15" s="1"/>
  <c r="L40" i="17"/>
  <c r="M40" i="15"/>
  <c r="K40" i="15" s="1"/>
  <c r="D40" i="15" s="1"/>
  <c r="L39" i="17"/>
  <c r="M39" i="15"/>
  <c r="K39" i="15" s="1"/>
  <c r="D39" i="15" s="1"/>
  <c r="L38" i="17"/>
  <c r="M38" i="15"/>
  <c r="K38" i="15" s="1"/>
  <c r="D38" i="15" s="1"/>
  <c r="L37" i="17"/>
  <c r="M37" i="15"/>
  <c r="K37" i="15" s="1"/>
  <c r="D37" i="15" s="1"/>
  <c r="L36" i="17"/>
  <c r="M36" i="15"/>
  <c r="K36" i="15" s="1"/>
  <c r="D36" i="15" s="1"/>
  <c r="L35" i="17"/>
  <c r="M35" i="15"/>
  <c r="K35" i="15" s="1"/>
  <c r="D35" i="15" s="1"/>
  <c r="L34" i="17"/>
  <c r="M34" i="15"/>
  <c r="K34" i="15" s="1"/>
  <c r="D34" i="15" s="1"/>
  <c r="L33" i="17"/>
  <c r="M33" i="15"/>
  <c r="K33" i="15" s="1"/>
  <c r="D33" i="15" s="1"/>
  <c r="L32" i="17"/>
  <c r="M32" i="15"/>
  <c r="K32" i="15" s="1"/>
  <c r="D32" i="15" s="1"/>
  <c r="L31" i="17"/>
  <c r="M31" i="15"/>
  <c r="K31" i="15" s="1"/>
  <c r="D31" i="15" s="1"/>
  <c r="L30" i="17"/>
  <c r="M30" i="15"/>
  <c r="K30" i="15" s="1"/>
  <c r="D30" i="15" s="1"/>
  <c r="L29" i="17"/>
  <c r="M29" i="15"/>
  <c r="K29" i="15" s="1"/>
  <c r="D29" i="15" s="1"/>
  <c r="L28" i="17"/>
  <c r="M28" i="15"/>
  <c r="K28" i="15" s="1"/>
  <c r="D28" i="15" s="1"/>
  <c r="L27" i="17"/>
  <c r="M27" i="15"/>
  <c r="K27" i="15" s="1"/>
  <c r="D27" i="15" s="1"/>
  <c r="L26" i="17"/>
  <c r="M26" i="15"/>
  <c r="K26" i="15" s="1"/>
  <c r="D26" i="15" s="1"/>
  <c r="L25" i="17"/>
  <c r="M25" i="15"/>
  <c r="K25" i="15" s="1"/>
  <c r="D25" i="15" s="1"/>
  <c r="L24" i="17"/>
  <c r="M24" i="15"/>
  <c r="K24" i="15" s="1"/>
  <c r="D24" i="15" s="1"/>
  <c r="L23" i="17"/>
  <c r="M23" i="15"/>
  <c r="K23" i="15" s="1"/>
  <c r="D23" i="15" s="1"/>
  <c r="L22" i="17"/>
  <c r="M22" i="15"/>
  <c r="K22" i="15" s="1"/>
  <c r="D22" i="15" s="1"/>
  <c r="L21" i="17"/>
  <c r="M21" i="15"/>
  <c r="K21" i="15" s="1"/>
  <c r="D21" i="15" s="1"/>
  <c r="L20" i="17"/>
  <c r="M20" i="15"/>
  <c r="K20" i="15" s="1"/>
  <c r="D20" i="15" s="1"/>
  <c r="L19" i="17"/>
  <c r="M19" i="15"/>
  <c r="K19" i="15" s="1"/>
  <c r="D19" i="15" s="1"/>
  <c r="L18" i="17"/>
  <c r="M18" i="15"/>
  <c r="K18" i="15" s="1"/>
  <c r="D18" i="15" s="1"/>
  <c r="L17" i="17"/>
  <c r="M17" i="15"/>
  <c r="K17" i="15" s="1"/>
  <c r="D17" i="15" s="1"/>
  <c r="L16" i="17"/>
  <c r="E1" i="18"/>
  <c r="M16" i="15"/>
  <c r="K16" i="15" s="1"/>
  <c r="D16" i="15" s="1"/>
  <c r="L15" i="17"/>
  <c r="M15" i="15"/>
  <c r="K15" i="15" s="1"/>
  <c r="D15" i="15" s="1"/>
  <c r="L14" i="17"/>
  <c r="M14" i="15"/>
  <c r="K14" i="15" s="1"/>
  <c r="D14" i="15" s="1"/>
  <c r="L13" i="17"/>
  <c r="M13" i="15"/>
  <c r="K13" i="15" s="1"/>
  <c r="D13" i="15" s="1"/>
  <c r="L12" i="17"/>
  <c r="M12" i="15"/>
  <c r="K12" i="15" s="1"/>
  <c r="D12" i="15" s="1"/>
  <c r="L11" i="17"/>
  <c r="M11" i="15"/>
  <c r="K11" i="15" s="1"/>
  <c r="D11" i="15" s="1"/>
  <c r="L10" i="17"/>
  <c r="M10" i="15"/>
  <c r="K10" i="15" s="1"/>
  <c r="D10" i="15" s="1"/>
  <c r="L9" i="17"/>
  <c r="M9" i="15"/>
  <c r="K9" i="15" s="1"/>
  <c r="D9" i="15" s="1"/>
  <c r="L8" i="17"/>
  <c r="M8" i="15"/>
  <c r="K8" i="15" s="1"/>
  <c r="D8" i="15" s="1"/>
  <c r="L7" i="17"/>
  <c r="M7" i="15"/>
  <c r="K7" i="15" s="1"/>
  <c r="D7" i="15" s="1"/>
  <c r="L6" i="17"/>
  <c r="E4" i="18"/>
  <c r="M5" i="13" s="1"/>
  <c r="M6" i="15"/>
  <c r="K6" i="15" s="1"/>
  <c r="D6" i="15" s="1"/>
  <c r="L5" i="17"/>
  <c r="E5" i="18"/>
  <c r="M6" i="13" s="1"/>
  <c r="M5" i="15"/>
  <c r="K5" i="15" s="1"/>
  <c r="D5" i="15" s="1"/>
  <c r="L4" i="17"/>
  <c r="E2" i="18"/>
  <c r="M3" i="13" s="1"/>
  <c r="M4" i="15"/>
  <c r="K4" i="15" s="1"/>
  <c r="D4" i="15" s="1"/>
  <c r="L3" i="17"/>
  <c r="M3" i="15"/>
  <c r="K3" i="15" s="1"/>
  <c r="D3" i="15" s="1"/>
  <c r="Q47" i="2"/>
  <c r="Q46" i="2"/>
  <c r="O2" i="2"/>
  <c r="R46" i="2"/>
  <c r="R47" i="2"/>
  <c r="L2" i="17"/>
  <c r="E6" i="18"/>
  <c r="M7" i="13" s="1"/>
  <c r="M2" i="15"/>
  <c r="H46" i="15"/>
  <c r="H47" i="15"/>
  <c r="N3" i="21"/>
  <c r="O3" i="21" s="1"/>
  <c r="P3" i="21" s="1"/>
  <c r="N4" i="21"/>
  <c r="O4" i="21" s="1"/>
  <c r="P4" i="21" s="1"/>
  <c r="N5" i="21"/>
  <c r="O5" i="21" s="1"/>
  <c r="P5" i="21" s="1"/>
  <c r="N6" i="21"/>
  <c r="O6" i="21" s="1"/>
  <c r="P6" i="21" s="1"/>
  <c r="N7" i="21"/>
  <c r="O7" i="21" s="1"/>
  <c r="P7" i="21" s="1"/>
  <c r="N8" i="21"/>
  <c r="O8" i="21" s="1"/>
  <c r="P8" i="21" s="1"/>
  <c r="N9" i="21"/>
  <c r="O9" i="21" s="1"/>
  <c r="P9" i="21" s="1"/>
  <c r="N10" i="21"/>
  <c r="O10" i="21" s="1"/>
  <c r="P10" i="21" s="1"/>
  <c r="N11" i="21"/>
  <c r="O11" i="21" s="1"/>
  <c r="P11" i="21" s="1"/>
  <c r="N12" i="21"/>
  <c r="O12" i="21" s="1"/>
  <c r="P12" i="21" s="1"/>
  <c r="N13" i="21"/>
  <c r="O13" i="21" s="1"/>
  <c r="P13" i="21" s="1"/>
  <c r="N14" i="21"/>
  <c r="O14" i="21" s="1"/>
  <c r="P14" i="21" s="1"/>
  <c r="N15" i="21"/>
  <c r="O15" i="21" s="1"/>
  <c r="P15" i="21" s="1"/>
  <c r="N16" i="21"/>
  <c r="O16" i="21" s="1"/>
  <c r="P16" i="21" s="1"/>
  <c r="N17" i="21"/>
  <c r="O17" i="21" s="1"/>
  <c r="P17" i="21" s="1"/>
  <c r="N18" i="21"/>
  <c r="O18" i="21" s="1"/>
  <c r="P18" i="21" s="1"/>
  <c r="N19" i="21"/>
  <c r="O19" i="21" s="1"/>
  <c r="P19" i="21" s="1"/>
  <c r="N20" i="21"/>
  <c r="O20" i="21" s="1"/>
  <c r="P20" i="21" s="1"/>
  <c r="N21" i="21"/>
  <c r="O21" i="21" s="1"/>
  <c r="P21" i="21" s="1"/>
  <c r="N22" i="21"/>
  <c r="O22" i="21" s="1"/>
  <c r="P22" i="21" s="1"/>
  <c r="N23" i="21"/>
  <c r="O23" i="21" s="1"/>
  <c r="P23" i="21" s="1"/>
  <c r="N24" i="21"/>
  <c r="O24" i="21" s="1"/>
  <c r="P24" i="21" s="1"/>
  <c r="N25" i="21"/>
  <c r="O25" i="21" s="1"/>
  <c r="P25" i="21" s="1"/>
  <c r="N26" i="21"/>
  <c r="O26" i="21" s="1"/>
  <c r="P26" i="21" s="1"/>
  <c r="N27" i="21"/>
  <c r="O27" i="21" s="1"/>
  <c r="P27" i="21" s="1"/>
  <c r="N28" i="21"/>
  <c r="O28" i="21" s="1"/>
  <c r="P28" i="21" s="1"/>
  <c r="N29" i="21"/>
  <c r="O29" i="21" s="1"/>
  <c r="P29" i="21" s="1"/>
  <c r="N30" i="21"/>
  <c r="O30" i="21" s="1"/>
  <c r="P30" i="21" s="1"/>
  <c r="N31" i="21"/>
  <c r="O31" i="21" s="1"/>
  <c r="P31" i="21" s="1"/>
  <c r="N32" i="21"/>
  <c r="O32" i="21" s="1"/>
  <c r="P32" i="21" s="1"/>
  <c r="N33" i="21"/>
  <c r="O33" i="21" s="1"/>
  <c r="P33" i="21" s="1"/>
  <c r="N34" i="21"/>
  <c r="O34" i="21" s="1"/>
  <c r="P34" i="21" s="1"/>
  <c r="N35" i="21"/>
  <c r="O35" i="21" s="1"/>
  <c r="P35" i="21" s="1"/>
  <c r="N36" i="21"/>
  <c r="O36" i="21" s="1"/>
  <c r="P36" i="21" s="1"/>
  <c r="N37" i="21"/>
  <c r="O37" i="21" s="1"/>
  <c r="P37" i="21" s="1"/>
  <c r="N38" i="21"/>
  <c r="O38" i="21" s="1"/>
  <c r="P38" i="21" s="1"/>
  <c r="N39" i="21"/>
  <c r="O39" i="21" s="1"/>
  <c r="P39" i="21" s="1"/>
  <c r="N40" i="21"/>
  <c r="O40" i="21" s="1"/>
  <c r="P40" i="21" s="1"/>
  <c r="N41" i="21"/>
  <c r="O41" i="21" s="1"/>
  <c r="P41" i="21" s="1"/>
  <c r="N42" i="21"/>
  <c r="O42" i="21" s="1"/>
  <c r="P42" i="21" s="1"/>
  <c r="N43" i="21"/>
  <c r="O43" i="21" s="1"/>
  <c r="P43" i="21" s="1"/>
  <c r="N44" i="21"/>
  <c r="O44" i="21" s="1"/>
  <c r="P44" i="21" s="1"/>
  <c r="N45" i="21"/>
  <c r="O45" i="21" s="1"/>
  <c r="P45" i="21" s="1"/>
  <c r="N46" i="21"/>
  <c r="O46" i="21" s="1"/>
  <c r="P46" i="21" s="1"/>
  <c r="N47" i="21"/>
  <c r="O47" i="21" s="1"/>
  <c r="P47" i="21" s="1"/>
  <c r="N48" i="21"/>
  <c r="O48" i="21" s="1"/>
  <c r="P48" i="21" s="1"/>
  <c r="N49" i="21"/>
  <c r="O49" i="21" s="1"/>
  <c r="P49" i="21" s="1"/>
  <c r="N50" i="21"/>
  <c r="O50" i="21" s="1"/>
  <c r="P50" i="21" s="1"/>
  <c r="N51" i="21"/>
  <c r="O51" i="21" s="1"/>
  <c r="P51" i="21" s="1"/>
  <c r="N52" i="21"/>
  <c r="O52" i="21" s="1"/>
  <c r="P52" i="21" s="1"/>
  <c r="N53" i="21"/>
  <c r="O53" i="21" s="1"/>
  <c r="P53" i="21" s="1"/>
  <c r="N54" i="21"/>
  <c r="O54" i="21" s="1"/>
  <c r="P54" i="21" s="1"/>
  <c r="N55" i="21"/>
  <c r="O55" i="21" s="1"/>
  <c r="P55" i="21" s="1"/>
  <c r="N56" i="21"/>
  <c r="O56" i="21" s="1"/>
  <c r="P56" i="21" s="1"/>
  <c r="N57" i="21"/>
  <c r="O57" i="21" s="1"/>
  <c r="P57" i="21" s="1"/>
  <c r="N58" i="21"/>
  <c r="O58" i="21" s="1"/>
  <c r="P58" i="21" s="1"/>
  <c r="N59" i="21"/>
  <c r="O59" i="21" s="1"/>
  <c r="P59" i="21" s="1"/>
  <c r="N60" i="21"/>
  <c r="O60" i="21" s="1"/>
  <c r="P60" i="21" s="1"/>
  <c r="N61" i="21"/>
  <c r="O61" i="21" s="1"/>
  <c r="P61" i="21" s="1"/>
  <c r="N62" i="21"/>
  <c r="O62" i="21" s="1"/>
  <c r="P62" i="21" s="1"/>
  <c r="N63" i="21"/>
  <c r="O63" i="21" s="1"/>
  <c r="P63" i="21" s="1"/>
  <c r="N64" i="21"/>
  <c r="O64" i="21" s="1"/>
  <c r="P64" i="21" s="1"/>
  <c r="N65" i="21"/>
  <c r="O65" i="21" s="1"/>
  <c r="P65" i="21" s="1"/>
  <c r="N66" i="21"/>
  <c r="O66" i="21" s="1"/>
  <c r="P66" i="21" s="1"/>
  <c r="N67" i="21"/>
  <c r="O67" i="21" s="1"/>
  <c r="P67" i="21" s="1"/>
  <c r="N68" i="21"/>
  <c r="O68" i="21" s="1"/>
  <c r="P68" i="21" s="1"/>
  <c r="N69" i="21"/>
  <c r="O69" i="21" s="1"/>
  <c r="P69" i="21" s="1"/>
  <c r="N70" i="21"/>
  <c r="O70" i="21" s="1"/>
  <c r="P70" i="21" s="1"/>
  <c r="N71" i="21"/>
  <c r="O71" i="21" s="1"/>
  <c r="P71" i="21" s="1"/>
  <c r="N72" i="21"/>
  <c r="O72" i="21" s="1"/>
  <c r="P72" i="21" s="1"/>
  <c r="N73" i="21"/>
  <c r="O73" i="21" s="1"/>
  <c r="P73" i="21" s="1"/>
  <c r="N74" i="21"/>
  <c r="O74" i="21" s="1"/>
  <c r="P74" i="21" s="1"/>
  <c r="N75" i="21"/>
  <c r="O75" i="21" s="1"/>
  <c r="P75" i="21" s="1"/>
  <c r="N76" i="21"/>
  <c r="O76" i="21" s="1"/>
  <c r="P76" i="21" s="1"/>
  <c r="N77" i="21"/>
  <c r="O77" i="21" s="1"/>
  <c r="P77" i="21" s="1"/>
  <c r="N78" i="21"/>
  <c r="O78" i="21" s="1"/>
  <c r="P78" i="21" s="1"/>
  <c r="N79" i="21"/>
  <c r="O79" i="21" s="1"/>
  <c r="P79" i="21" s="1"/>
  <c r="N80" i="21"/>
  <c r="O80" i="21" s="1"/>
  <c r="P80" i="21" s="1"/>
  <c r="N81" i="21"/>
  <c r="O81" i="21" s="1"/>
  <c r="P81" i="21" s="1"/>
  <c r="N82" i="21"/>
  <c r="O82" i="21" s="1"/>
  <c r="P82" i="21" s="1"/>
  <c r="N83" i="21"/>
  <c r="O83" i="21" s="1"/>
  <c r="P83" i="21" s="1"/>
  <c r="N84" i="21"/>
  <c r="O84" i="21" s="1"/>
  <c r="P84" i="21" s="1"/>
  <c r="N85" i="21"/>
  <c r="O85" i="21" s="1"/>
  <c r="P85" i="21" s="1"/>
  <c r="N86" i="21"/>
  <c r="O86" i="21" s="1"/>
  <c r="P86" i="21" s="1"/>
  <c r="N87" i="21"/>
  <c r="O87" i="21" s="1"/>
  <c r="P87" i="21" s="1"/>
  <c r="N88" i="21"/>
  <c r="O88" i="21" s="1"/>
  <c r="P88" i="21" s="1"/>
  <c r="N89" i="21"/>
  <c r="O89" i="21" s="1"/>
  <c r="P89" i="21" s="1"/>
  <c r="N90" i="21"/>
  <c r="O90" i="21" s="1"/>
  <c r="P90" i="21" s="1"/>
  <c r="N91" i="21"/>
  <c r="O91" i="21" s="1"/>
  <c r="P91" i="21" s="1"/>
  <c r="N92" i="21"/>
  <c r="O92" i="21" s="1"/>
  <c r="P92" i="21" s="1"/>
  <c r="N93" i="21"/>
  <c r="O93" i="21" s="1"/>
  <c r="P93" i="21" s="1"/>
  <c r="N94" i="21"/>
  <c r="O94" i="21" s="1"/>
  <c r="P94" i="21" s="1"/>
  <c r="N95" i="21"/>
  <c r="O95" i="21" s="1"/>
  <c r="P95" i="21" s="1"/>
  <c r="N96" i="21"/>
  <c r="O96" i="21" s="1"/>
  <c r="P96" i="21" s="1"/>
  <c r="N97" i="21"/>
  <c r="O97" i="21" s="1"/>
  <c r="P97" i="21" s="1"/>
  <c r="N98" i="21"/>
  <c r="O98" i="21" s="1"/>
  <c r="P98" i="21" s="1"/>
  <c r="N99" i="21"/>
  <c r="O99" i="21" s="1"/>
  <c r="P99" i="21" s="1"/>
  <c r="N100" i="21"/>
  <c r="O100" i="21" s="1"/>
  <c r="P100" i="21" s="1"/>
  <c r="N101" i="21"/>
  <c r="O101" i="21" s="1"/>
  <c r="P101" i="21" s="1"/>
  <c r="N102" i="21"/>
  <c r="O102" i="21" s="1"/>
  <c r="P102" i="21" s="1"/>
  <c r="F9" i="9" s="1"/>
  <c r="E9" i="9" s="1"/>
  <c r="D9" i="9" s="1"/>
  <c r="B9" i="9" s="1"/>
  <c r="N103" i="21"/>
  <c r="O103" i="21" s="1"/>
  <c r="P103" i="21" s="1"/>
  <c r="N104" i="21"/>
  <c r="O104" i="21" s="1"/>
  <c r="P104" i="21" s="1"/>
  <c r="N105" i="21"/>
  <c r="O105" i="21" s="1"/>
  <c r="P105" i="21" s="1"/>
  <c r="N106" i="21"/>
  <c r="O106" i="21" s="1"/>
  <c r="P106" i="21" s="1"/>
  <c r="N107" i="21"/>
  <c r="O107" i="21" s="1"/>
  <c r="P107" i="21" s="1"/>
  <c r="N108" i="21"/>
  <c r="O108" i="21" s="1"/>
  <c r="P108" i="21" s="1"/>
  <c r="N109" i="21"/>
  <c r="O109" i="21" s="1"/>
  <c r="P109" i="21" s="1"/>
  <c r="N110" i="21"/>
  <c r="O110" i="21" s="1"/>
  <c r="P110" i="21" s="1"/>
  <c r="N111" i="21"/>
  <c r="O111" i="21" s="1"/>
  <c r="P111" i="21" s="1"/>
  <c r="N112" i="21"/>
  <c r="O112" i="21" s="1"/>
  <c r="P112" i="21" s="1"/>
  <c r="N113" i="21"/>
  <c r="O113" i="21" s="1"/>
  <c r="P113" i="21" s="1"/>
  <c r="N114" i="21"/>
  <c r="O114" i="21" s="1"/>
  <c r="P114" i="21" s="1"/>
  <c r="N115" i="21"/>
  <c r="O115" i="21" s="1"/>
  <c r="P115" i="21" s="1"/>
  <c r="N116" i="21"/>
  <c r="O116" i="21" s="1"/>
  <c r="P116" i="21" s="1"/>
  <c r="N117" i="21"/>
  <c r="O117" i="21" s="1"/>
  <c r="P117" i="21" s="1"/>
  <c r="N118" i="21"/>
  <c r="O118" i="21" s="1"/>
  <c r="P118" i="21" s="1"/>
  <c r="N119" i="21"/>
  <c r="O119" i="21" s="1"/>
  <c r="P119" i="21" s="1"/>
  <c r="N120" i="21"/>
  <c r="O120" i="21" s="1"/>
  <c r="P120" i="21" s="1"/>
  <c r="N121" i="21"/>
  <c r="O121" i="21" s="1"/>
  <c r="P121" i="21" s="1"/>
  <c r="N122" i="21"/>
  <c r="O122" i="21" s="1"/>
  <c r="P122" i="21" s="1"/>
  <c r="N123" i="21"/>
  <c r="O123" i="21" s="1"/>
  <c r="P123" i="21" s="1"/>
  <c r="N124" i="21"/>
  <c r="O124" i="21" s="1"/>
  <c r="P124" i="21" s="1"/>
  <c r="N125" i="21"/>
  <c r="O125" i="21" s="1"/>
  <c r="P125" i="21" s="1"/>
  <c r="N126" i="21"/>
  <c r="O126" i="21" s="1"/>
  <c r="P126" i="21" s="1"/>
  <c r="N127" i="21"/>
  <c r="O127" i="21" s="1"/>
  <c r="P127" i="21" s="1"/>
  <c r="N128" i="21"/>
  <c r="O128" i="21" s="1"/>
  <c r="P128" i="21" s="1"/>
  <c r="N129" i="21"/>
  <c r="O129" i="21" s="1"/>
  <c r="P129" i="21" s="1"/>
  <c r="N130" i="21"/>
  <c r="O130" i="21" s="1"/>
  <c r="P130" i="21" s="1"/>
  <c r="N131" i="21"/>
  <c r="O131" i="21" s="1"/>
  <c r="P131" i="21" s="1"/>
  <c r="N132" i="21"/>
  <c r="O132" i="21" s="1"/>
  <c r="P132" i="21" s="1"/>
  <c r="N133" i="21"/>
  <c r="O133" i="21" s="1"/>
  <c r="P133" i="21" s="1"/>
  <c r="N134" i="21"/>
  <c r="O134" i="21" s="1"/>
  <c r="P134" i="21" s="1"/>
  <c r="N135" i="21"/>
  <c r="O135" i="21" s="1"/>
  <c r="P135" i="21" s="1"/>
  <c r="N136" i="21"/>
  <c r="O136" i="21" s="1"/>
  <c r="P136" i="21" s="1"/>
  <c r="N137" i="21"/>
  <c r="O137" i="21" s="1"/>
  <c r="P137" i="21" s="1"/>
  <c r="N138" i="21"/>
  <c r="O138" i="21" s="1"/>
  <c r="P138" i="21" s="1"/>
  <c r="N139" i="21"/>
  <c r="O139" i="21" s="1"/>
  <c r="P139" i="21" s="1"/>
  <c r="N140" i="21"/>
  <c r="O140" i="21" s="1"/>
  <c r="P140" i="21" s="1"/>
  <c r="N141" i="21"/>
  <c r="O141" i="21" s="1"/>
  <c r="P141" i="21" s="1"/>
  <c r="N142" i="21"/>
  <c r="O142" i="21" s="1"/>
  <c r="P142" i="21" s="1"/>
  <c r="N143" i="21"/>
  <c r="O143" i="21" s="1"/>
  <c r="P143" i="21" s="1"/>
  <c r="N144" i="21"/>
  <c r="O144" i="21" s="1"/>
  <c r="P144" i="21" s="1"/>
  <c r="N145" i="21"/>
  <c r="O145" i="21" s="1"/>
  <c r="P145" i="21" s="1"/>
  <c r="N146" i="21"/>
  <c r="O146" i="21" s="1"/>
  <c r="P146" i="21" s="1"/>
  <c r="N147" i="21"/>
  <c r="O147" i="21" s="1"/>
  <c r="P147" i="21" s="1"/>
  <c r="N148" i="21"/>
  <c r="O148" i="21" s="1"/>
  <c r="P148" i="21" s="1"/>
  <c r="N149" i="21"/>
  <c r="O149" i="21" s="1"/>
  <c r="P149" i="21" s="1"/>
  <c r="N150" i="21"/>
  <c r="O150" i="21" s="1"/>
  <c r="P150" i="21" s="1"/>
  <c r="N151" i="21"/>
  <c r="O151" i="21" s="1"/>
  <c r="P151" i="21" s="1"/>
  <c r="N152" i="21"/>
  <c r="O152" i="21" s="1"/>
  <c r="P152" i="21" s="1"/>
  <c r="N153" i="21"/>
  <c r="O153" i="21" s="1"/>
  <c r="P153" i="21" s="1"/>
  <c r="N154" i="21"/>
  <c r="O154" i="21" s="1"/>
  <c r="P154" i="21" s="1"/>
  <c r="N155" i="21"/>
  <c r="O155" i="21" s="1"/>
  <c r="P155" i="21" s="1"/>
  <c r="N156" i="21"/>
  <c r="O156" i="21" s="1"/>
  <c r="P156" i="21" s="1"/>
  <c r="N157" i="21"/>
  <c r="O157" i="21" s="1"/>
  <c r="P157" i="21" s="1"/>
  <c r="N158" i="21"/>
  <c r="O158" i="21" s="1"/>
  <c r="P158" i="21" s="1"/>
  <c r="N159" i="21"/>
  <c r="O159" i="21" s="1"/>
  <c r="P159" i="21" s="1"/>
  <c r="N160" i="21"/>
  <c r="O160" i="21" s="1"/>
  <c r="P160" i="21" s="1"/>
  <c r="N161" i="21"/>
  <c r="O161" i="21" s="1"/>
  <c r="P161" i="21" s="1"/>
  <c r="N162" i="21"/>
  <c r="O162" i="21" s="1"/>
  <c r="P162" i="21" s="1"/>
  <c r="N163" i="21"/>
  <c r="O163" i="21" s="1"/>
  <c r="P163" i="21" s="1"/>
  <c r="N164" i="21"/>
  <c r="O164" i="21" s="1"/>
  <c r="P164" i="21" s="1"/>
  <c r="N165" i="21"/>
  <c r="O165" i="21" s="1"/>
  <c r="P165" i="21" s="1"/>
  <c r="N166" i="21"/>
  <c r="O166" i="21" s="1"/>
  <c r="P166" i="21" s="1"/>
  <c r="O41" i="2"/>
  <c r="O39" i="2"/>
  <c r="O37" i="2"/>
  <c r="O36" i="2"/>
  <c r="O34" i="2"/>
  <c r="O33" i="2"/>
  <c r="O31" i="2"/>
  <c r="O23" i="2"/>
  <c r="O17" i="2"/>
  <c r="O7" i="2"/>
  <c r="O3" i="2"/>
  <c r="O40" i="2"/>
  <c r="O32" i="2"/>
  <c r="O30" i="2"/>
  <c r="O28" i="2"/>
  <c r="O27" i="2"/>
  <c r="O24" i="2"/>
  <c r="O14" i="2"/>
  <c r="O6" i="2"/>
  <c r="O5" i="2"/>
  <c r="P55" i="20"/>
  <c r="Q55" i="20" s="1"/>
  <c r="O44" i="2"/>
  <c r="O42" i="2"/>
  <c r="O38" i="2"/>
  <c r="O35" i="2"/>
  <c r="O25" i="2"/>
  <c r="O20" i="2"/>
  <c r="O19" i="2"/>
  <c r="O18" i="2"/>
  <c r="O12" i="2"/>
  <c r="O9" i="2"/>
  <c r="O4" i="2"/>
  <c r="P13" i="20"/>
  <c r="Q13" i="20" s="1"/>
  <c r="B13" i="20" s="1"/>
  <c r="G4" i="15" s="1"/>
  <c r="F4" i="15" s="1"/>
  <c r="P10" i="20"/>
  <c r="Q10" i="20" s="1"/>
  <c r="B10" i="20" s="1"/>
  <c r="G6" i="15" s="1"/>
  <c r="F6" i="15" s="1"/>
  <c r="P68" i="20"/>
  <c r="Q68" i="20" s="1"/>
  <c r="P3" i="20"/>
  <c r="Q3" i="20" s="1"/>
  <c r="B2" i="20" s="1"/>
  <c r="G10" i="15" s="1"/>
  <c r="F10" i="15" s="1"/>
  <c r="O43" i="2"/>
  <c r="O29" i="2"/>
  <c r="O26" i="2"/>
  <c r="O21" i="2"/>
  <c r="O15" i="2"/>
  <c r="O13" i="2"/>
  <c r="C17" i="15" l="1"/>
  <c r="I17" i="15"/>
  <c r="C21" i="15"/>
  <c r="I21" i="15"/>
  <c r="C14" i="15"/>
  <c r="I14" i="15"/>
  <c r="E10" i="15"/>
  <c r="F3" i="9"/>
  <c r="C39" i="15"/>
  <c r="D39" i="2" s="1"/>
  <c r="T39" i="2" s="1"/>
  <c r="I39" i="15"/>
  <c r="E2" i="1"/>
  <c r="K2" i="1"/>
  <c r="D8" i="1"/>
  <c r="D9" i="1"/>
  <c r="E2" i="3"/>
  <c r="G2" i="3" s="1"/>
  <c r="E2" i="16"/>
  <c r="K2" i="16"/>
  <c r="D9" i="16"/>
  <c r="D10" i="16"/>
  <c r="D2" i="14" s="1"/>
  <c r="E3" i="1"/>
  <c r="K3" i="1"/>
  <c r="E3" i="3"/>
  <c r="G3" i="3" s="1"/>
  <c r="E3" i="16"/>
  <c r="K3" i="16"/>
  <c r="E4" i="1"/>
  <c r="K4" i="1"/>
  <c r="E4" i="3"/>
  <c r="G4" i="3" s="1"/>
  <c r="E4" i="16"/>
  <c r="K4" i="16"/>
  <c r="E6" i="16"/>
  <c r="K6" i="16"/>
  <c r="E5" i="1"/>
  <c r="E5" i="3"/>
  <c r="G5" i="3" s="1"/>
  <c r="K5" i="1"/>
  <c r="E6" i="1"/>
  <c r="K6" i="1"/>
  <c r="E6" i="3"/>
  <c r="E7" i="16"/>
  <c r="K7" i="16"/>
  <c r="L2" i="8"/>
  <c r="L9" i="8" s="1"/>
  <c r="C9" i="8"/>
  <c r="C10" i="8"/>
  <c r="I2" i="8"/>
  <c r="K9" i="9" s="1"/>
  <c r="I9" i="9" s="1"/>
  <c r="C9" i="9" s="1"/>
  <c r="F2" i="8" s="1"/>
  <c r="E7" i="1"/>
  <c r="K7" i="1"/>
  <c r="E7" i="3"/>
  <c r="E8" i="16"/>
  <c r="K8" i="16"/>
  <c r="E31" i="15"/>
  <c r="E25" i="15"/>
  <c r="E16" i="15"/>
  <c r="E41" i="15"/>
  <c r="E35" i="15"/>
  <c r="E42" i="15"/>
  <c r="C42" i="15" s="1"/>
  <c r="D42" i="2" s="1"/>
  <c r="T42" i="2" s="1"/>
  <c r="I42" i="15"/>
  <c r="E33" i="15"/>
  <c r="C33" i="15" s="1"/>
  <c r="D33" i="2" s="1"/>
  <c r="T33" i="2" s="1"/>
  <c r="I33" i="15"/>
  <c r="E7" i="15"/>
  <c r="I7" i="15"/>
  <c r="E19" i="15"/>
  <c r="F2" i="15"/>
  <c r="G46" i="15"/>
  <c r="G47" i="15"/>
  <c r="E34" i="15"/>
  <c r="E23" i="15"/>
  <c r="E8" i="15"/>
  <c r="E3" i="15"/>
  <c r="I3" i="15"/>
  <c r="E5" i="15"/>
  <c r="E26" i="15"/>
  <c r="C26" i="15" s="1"/>
  <c r="D26" i="2" s="1"/>
  <c r="T26" i="2" s="1"/>
  <c r="I26" i="15"/>
  <c r="E13" i="15"/>
  <c r="E44" i="15"/>
  <c r="C20" i="15"/>
  <c r="D20" i="2" s="1"/>
  <c r="T20" i="2" s="1"/>
  <c r="F2" i="13"/>
  <c r="F6" i="3"/>
  <c r="M2" i="13"/>
  <c r="J8" i="1"/>
  <c r="J9" i="1" s="1"/>
  <c r="O47" i="2"/>
  <c r="O46" i="2"/>
  <c r="M47" i="15"/>
  <c r="M46" i="15"/>
  <c r="K2" i="15"/>
  <c r="E4" i="15"/>
  <c r="I4" i="15"/>
  <c r="E6" i="15"/>
  <c r="I6" i="15"/>
  <c r="D17" i="2"/>
  <c r="T17" i="2" s="1"/>
  <c r="D45" i="2"/>
  <c r="T45" i="2" s="1"/>
  <c r="D21" i="2"/>
  <c r="T21" i="2" s="1"/>
  <c r="D18" i="2"/>
  <c r="T18" i="2" s="1"/>
  <c r="D14" i="2"/>
  <c r="T14" i="2" s="1"/>
  <c r="D37" i="2"/>
  <c r="T37" i="2" s="1"/>
  <c r="F2" i="9"/>
  <c r="F4" i="9"/>
  <c r="F5" i="9"/>
  <c r="E5" i="9" s="1"/>
  <c r="D5" i="9" s="1"/>
  <c r="B5" i="9" s="1"/>
  <c r="F5" i="16" s="1"/>
  <c r="J5" i="16" s="1"/>
  <c r="F6" i="9"/>
  <c r="F7" i="9"/>
  <c r="F8" i="9"/>
  <c r="C24" i="15"/>
  <c r="D24" i="2" s="1"/>
  <c r="T24" i="2" s="1"/>
  <c r="I24" i="15"/>
  <c r="C40" i="15"/>
  <c r="D40" i="2" s="1"/>
  <c r="T40" i="2" s="1"/>
  <c r="I40" i="15"/>
  <c r="C12" i="15"/>
  <c r="D12" i="2" s="1"/>
  <c r="T12" i="2" s="1"/>
  <c r="I12" i="15"/>
  <c r="C11" i="15"/>
  <c r="D11" i="2" s="1"/>
  <c r="T11" i="2" s="1"/>
  <c r="I11" i="15"/>
  <c r="C36" i="15"/>
  <c r="D36" i="2" s="1"/>
  <c r="T36" i="2" s="1"/>
  <c r="I36" i="15"/>
  <c r="C9" i="15"/>
  <c r="D9" i="2" s="1"/>
  <c r="T9" i="2" s="1"/>
  <c r="I9" i="15"/>
  <c r="C29" i="15"/>
  <c r="D29" i="2" s="1"/>
  <c r="T29" i="2" s="1"/>
  <c r="I29" i="15"/>
  <c r="C30" i="15"/>
  <c r="D30" i="2" s="1"/>
  <c r="T30" i="2" s="1"/>
  <c r="I30" i="15"/>
  <c r="C27" i="15"/>
  <c r="D27" i="2" s="1"/>
  <c r="T27" i="2" s="1"/>
  <c r="I27" i="15"/>
  <c r="C15" i="15"/>
  <c r="D15" i="2" s="1"/>
  <c r="T15" i="2" s="1"/>
  <c r="I15" i="15"/>
  <c r="C32" i="15"/>
  <c r="D32" i="2" s="1"/>
  <c r="T32" i="2" s="1"/>
  <c r="I32" i="15"/>
  <c r="C22" i="15"/>
  <c r="D22" i="2" s="1"/>
  <c r="T22" i="2" s="1"/>
  <c r="I22" i="15"/>
  <c r="C43" i="15"/>
  <c r="D43" i="2" s="1"/>
  <c r="T43" i="2" s="1"/>
  <c r="I43" i="15"/>
  <c r="C28" i="15"/>
  <c r="D28" i="2" s="1"/>
  <c r="T28" i="2" s="1"/>
  <c r="I28" i="15"/>
  <c r="C38" i="15"/>
  <c r="D38" i="2" s="1"/>
  <c r="T38" i="2" s="1"/>
  <c r="I38" i="15"/>
  <c r="G3" i="13" l="1"/>
  <c r="C10" i="15"/>
  <c r="D10" i="2" s="1"/>
  <c r="T10" i="2" s="1"/>
  <c r="I10" i="15"/>
  <c r="C23" i="15"/>
  <c r="D23" i="2" s="1"/>
  <c r="T23" i="2" s="1"/>
  <c r="I23" i="15"/>
  <c r="C16" i="15"/>
  <c r="D16" i="2" s="1"/>
  <c r="T16" i="2" s="1"/>
  <c r="I16" i="15"/>
  <c r="C5" i="15"/>
  <c r="D5" i="2" s="1"/>
  <c r="I5" i="15"/>
  <c r="G6" i="13" s="1"/>
  <c r="C41" i="15"/>
  <c r="D41" i="2" s="1"/>
  <c r="T41" i="2" s="1"/>
  <c r="I41" i="15"/>
  <c r="C44" i="15"/>
  <c r="D44" i="2" s="1"/>
  <c r="T44" i="2" s="1"/>
  <c r="I44" i="15"/>
  <c r="F10" i="8"/>
  <c r="M10" i="8" s="1"/>
  <c r="J2" i="8"/>
  <c r="F9" i="8"/>
  <c r="M9" i="8" s="1"/>
  <c r="M2" i="8"/>
  <c r="C35" i="15"/>
  <c r="D35" i="2" s="1"/>
  <c r="T35" i="2" s="1"/>
  <c r="I35" i="15"/>
  <c r="C8" i="15"/>
  <c r="D8" i="2" s="1"/>
  <c r="T8" i="2" s="1"/>
  <c r="I8" i="15"/>
  <c r="H2" i="3"/>
  <c r="J2" i="3" s="1"/>
  <c r="B2" i="3" s="1"/>
  <c r="L2" i="1"/>
  <c r="E9" i="1"/>
  <c r="E8" i="1"/>
  <c r="G2" i="9"/>
  <c r="E2" i="9" s="1"/>
  <c r="E10" i="16"/>
  <c r="E2" i="14" s="1"/>
  <c r="E9" i="16"/>
  <c r="L2" i="16"/>
  <c r="H3" i="3"/>
  <c r="J3" i="3" s="1"/>
  <c r="B3" i="3" s="1"/>
  <c r="D3" i="3" s="1"/>
  <c r="L3" i="13" s="1"/>
  <c r="J3" i="13" s="1"/>
  <c r="C3" i="13" s="1"/>
  <c r="L3" i="1"/>
  <c r="H3" i="1"/>
  <c r="G3" i="9"/>
  <c r="E3" i="9" s="1"/>
  <c r="D3" i="9" s="1"/>
  <c r="B3" i="9" s="1"/>
  <c r="F3" i="16" s="1"/>
  <c r="L3" i="16"/>
  <c r="H4" i="3"/>
  <c r="J4" i="3" s="1"/>
  <c r="B4" i="3" s="1"/>
  <c r="L4" i="1"/>
  <c r="G4" i="9"/>
  <c r="E4" i="9" s="1"/>
  <c r="D4" i="9" s="1"/>
  <c r="B4" i="9" s="1"/>
  <c r="F4" i="16" s="1"/>
  <c r="J4" i="16" s="1"/>
  <c r="L4" i="16"/>
  <c r="G6" i="9"/>
  <c r="E6" i="9" s="1"/>
  <c r="D6" i="9" s="1"/>
  <c r="B6" i="9" s="1"/>
  <c r="F6" i="16" s="1"/>
  <c r="J6" i="16" s="1"/>
  <c r="L6" i="16"/>
  <c r="H5" i="3"/>
  <c r="J5" i="3" s="1"/>
  <c r="B5" i="3" s="1"/>
  <c r="L5" i="1"/>
  <c r="L6" i="1"/>
  <c r="H6" i="3"/>
  <c r="J6" i="3" s="1"/>
  <c r="L7" i="16"/>
  <c r="G7" i="9"/>
  <c r="E7" i="9" s="1"/>
  <c r="D7" i="9" s="1"/>
  <c r="B7" i="9" s="1"/>
  <c r="F7" i="16" s="1"/>
  <c r="J7" i="16" s="1"/>
  <c r="H7" i="3"/>
  <c r="J7" i="3" s="1"/>
  <c r="L7" i="1"/>
  <c r="L8" i="16"/>
  <c r="G8" i="9"/>
  <c r="E8" i="9" s="1"/>
  <c r="D8" i="9" s="1"/>
  <c r="B8" i="9" s="1"/>
  <c r="F8" i="16" s="1"/>
  <c r="J8" i="16" s="1"/>
  <c r="F6" i="13"/>
  <c r="C7" i="15"/>
  <c r="F46" i="15"/>
  <c r="F47" i="15"/>
  <c r="E2" i="15"/>
  <c r="I2" i="15" s="1"/>
  <c r="F4" i="13"/>
  <c r="C3" i="15"/>
  <c r="G6" i="3"/>
  <c r="F7" i="3"/>
  <c r="G7" i="3" s="1"/>
  <c r="M9" i="13"/>
  <c r="M8" i="13"/>
  <c r="K46" i="15"/>
  <c r="K47" i="15"/>
  <c r="D2" i="15"/>
  <c r="F3" i="13"/>
  <c r="C4" i="15"/>
  <c r="F5" i="13"/>
  <c r="C6" i="15"/>
  <c r="F11" i="9"/>
  <c r="F12" i="9"/>
  <c r="K9" i="1"/>
  <c r="K9" i="16"/>
  <c r="C31" i="15"/>
  <c r="D31" i="2" s="1"/>
  <c r="T31" i="2" s="1"/>
  <c r="I31" i="15"/>
  <c r="C25" i="15"/>
  <c r="D25" i="2" s="1"/>
  <c r="T25" i="2" s="1"/>
  <c r="I25" i="15"/>
  <c r="C19" i="15"/>
  <c r="D19" i="2" s="1"/>
  <c r="T19" i="2" s="1"/>
  <c r="I19" i="15"/>
  <c r="C34" i="15"/>
  <c r="D34" i="2" s="1"/>
  <c r="T34" i="2" s="1"/>
  <c r="I34" i="15"/>
  <c r="C13" i="15"/>
  <c r="D13" i="2" s="1"/>
  <c r="T13" i="2" s="1"/>
  <c r="I13" i="15"/>
  <c r="G5" i="13" s="1"/>
  <c r="E5" i="13" s="1"/>
  <c r="D5" i="13" s="1"/>
  <c r="B7" i="3" l="1"/>
  <c r="G4" i="13"/>
  <c r="E4" i="13" s="1"/>
  <c r="D4" i="13" s="1"/>
  <c r="B4" i="13" s="1"/>
  <c r="I4" i="13" s="1"/>
  <c r="E6" i="13"/>
  <c r="D6" i="13" s="1"/>
  <c r="E3" i="13"/>
  <c r="D3" i="13" s="1"/>
  <c r="D46" i="2"/>
  <c r="D47" i="2"/>
  <c r="T5" i="2"/>
  <c r="D2" i="3"/>
  <c r="L2" i="13" s="1"/>
  <c r="J2" i="13" s="1"/>
  <c r="H2" i="1"/>
  <c r="J9" i="8"/>
  <c r="J10" i="8"/>
  <c r="G12" i="9"/>
  <c r="G11" i="9"/>
  <c r="J3" i="16"/>
  <c r="F9" i="16"/>
  <c r="F10" i="16"/>
  <c r="H4" i="1"/>
  <c r="D4" i="3"/>
  <c r="L4" i="13" s="1"/>
  <c r="B6" i="13"/>
  <c r="I6" i="13" s="1"/>
  <c r="I47" i="15"/>
  <c r="I46" i="15"/>
  <c r="G7" i="13"/>
  <c r="E47" i="15"/>
  <c r="E46" i="15"/>
  <c r="F7" i="13"/>
  <c r="C2" i="15"/>
  <c r="D46" i="15"/>
  <c r="D47" i="15"/>
  <c r="B5" i="13"/>
  <c r="I5" i="13" s="1"/>
  <c r="E11" i="9"/>
  <c r="E12" i="9"/>
  <c r="C12" i="9" s="1"/>
  <c r="D2" i="9"/>
  <c r="L9" i="1"/>
  <c r="L9" i="16"/>
  <c r="B6" i="3"/>
  <c r="D5" i="3"/>
  <c r="L5" i="13" s="1"/>
  <c r="J5" i="13" s="1"/>
  <c r="C5" i="13" s="1"/>
  <c r="F5" i="1" s="1"/>
  <c r="M5" i="1" s="1"/>
  <c r="H5" i="1"/>
  <c r="D7" i="3" l="1"/>
  <c r="L7" i="13" s="1"/>
  <c r="J7" i="13" s="1"/>
  <c r="C7" i="13" s="1"/>
  <c r="F7" i="1" s="1"/>
  <c r="M7" i="1" s="1"/>
  <c r="H7" i="1"/>
  <c r="F3" i="1"/>
  <c r="M3" i="1" s="1"/>
  <c r="B3" i="13"/>
  <c r="E7" i="13"/>
  <c r="D7" i="13" s="1"/>
  <c r="F8" i="13"/>
  <c r="F9" i="13"/>
  <c r="C2" i="13"/>
  <c r="J9" i="16"/>
  <c r="J10" i="16"/>
  <c r="B7" i="13"/>
  <c r="I7" i="13" s="1"/>
  <c r="C47" i="15"/>
  <c r="C46" i="15"/>
  <c r="C11" i="9"/>
  <c r="D12" i="9"/>
  <c r="B12" i="9" s="1"/>
  <c r="D11" i="9"/>
  <c r="D6" i="3"/>
  <c r="L6" i="13" s="1"/>
  <c r="H6" i="1"/>
  <c r="J4" i="13"/>
  <c r="C4" i="13" s="1"/>
  <c r="F4" i="1" s="1"/>
  <c r="M4" i="1" s="1"/>
  <c r="I3" i="13" l="1"/>
  <c r="G2" i="13"/>
  <c r="E2" i="13" s="1"/>
  <c r="G9" i="13"/>
  <c r="G8" i="13"/>
  <c r="B11" i="9"/>
  <c r="D10" i="9"/>
  <c r="B10" i="9" s="1"/>
  <c r="G2" i="14" s="1"/>
  <c r="F2" i="14" s="1"/>
  <c r="I2" i="14" s="1"/>
  <c r="J6" i="13"/>
  <c r="L8" i="13"/>
  <c r="L9" i="13"/>
  <c r="H9" i="1"/>
  <c r="H8" i="1"/>
  <c r="D2" i="13" l="1"/>
  <c r="E9" i="13"/>
  <c r="E8" i="13"/>
  <c r="J8" i="13"/>
  <c r="J9" i="13"/>
  <c r="C6" i="13"/>
  <c r="B2" i="13" l="1"/>
  <c r="D9" i="13"/>
  <c r="D8" i="13"/>
  <c r="F2" i="1"/>
  <c r="F6" i="1"/>
  <c r="M6" i="1" s="1"/>
  <c r="C8" i="13"/>
  <c r="C9" i="13"/>
  <c r="B9" i="13" l="1"/>
  <c r="B8" i="13"/>
  <c r="I2" i="13"/>
  <c r="F8" i="1"/>
  <c r="M2" i="1"/>
  <c r="F9" i="1"/>
  <c r="I9" i="13" l="1"/>
  <c r="I8" i="13"/>
  <c r="M9" i="1"/>
  <c r="M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800-000002000000}">
      <text>
        <r>
          <rPr>
            <sz val="10"/>
            <color rgb="FF000000"/>
            <rFont val="Arial"/>
            <scheme val="minor"/>
          </rPr>
          <t>The Crownlands doesn't pay taxes because it's under the direct supervision of the King/The Crown</t>
        </r>
      </text>
    </comment>
    <comment ref="A10" authorId="0" shapeId="0" xr:uid="{00000000-0006-0000-0800-000001000000}">
      <text>
        <r>
          <rPr>
            <sz val="10"/>
            <color rgb="FF000000"/>
            <rFont val="Arial"/>
            <scheme val="minor"/>
          </rPr>
          <t>The Crown collects tax off of the province's income and also gets direct income from The Crownlands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<sst xmlns="http://schemas.openxmlformats.org/spreadsheetml/2006/main" count="22550" uniqueCount="2051">
  <si>
    <t>Duchy</t>
  </si>
  <si>
    <t>Gold Kastar Coins</t>
  </si>
  <si>
    <t>Name</t>
  </si>
  <si>
    <t>Knights</t>
  </si>
  <si>
    <t>Total Population</t>
  </si>
  <si>
    <t>Urban Population</t>
  </si>
  <si>
    <t>Knight Tradition</t>
  </si>
  <si>
    <t>Rural Population</t>
  </si>
  <si>
    <t>Knight Wages</t>
  </si>
  <si>
    <t>Gold Net Income</t>
  </si>
  <si>
    <t>Retinues</t>
  </si>
  <si>
    <t>Capital</t>
  </si>
  <si>
    <t>Urban Modifier</t>
  </si>
  <si>
    <t>Raised Levys</t>
  </si>
  <si>
    <t>House</t>
  </si>
  <si>
    <t>Possible Levys</t>
  </si>
  <si>
    <t>Urban Population %</t>
  </si>
  <si>
    <t>Province</t>
  </si>
  <si>
    <t>Rural Population %</t>
  </si>
  <si>
    <t>Net Income</t>
  </si>
  <si>
    <t>Current Age</t>
  </si>
  <si>
    <t>Future Gold</t>
  </si>
  <si>
    <t>Gold Kastars</t>
  </si>
  <si>
    <t>Age at Start</t>
  </si>
  <si>
    <t>Age at Death</t>
  </si>
  <si>
    <t>Raised Levies</t>
  </si>
  <si>
    <t>Urban Knights</t>
  </si>
  <si>
    <t>Status</t>
  </si>
  <si>
    <t>Possible Levies</t>
  </si>
  <si>
    <t>Years Since Start</t>
  </si>
  <si>
    <t>Rural Modifier</t>
  </si>
  <si>
    <t>Age if Alive</t>
  </si>
  <si>
    <t>Urban Households</t>
  </si>
  <si>
    <t>Rural Knights</t>
  </si>
  <si>
    <t>Intrigue</t>
  </si>
  <si>
    <t>The Crownlands</t>
  </si>
  <si>
    <t>Combat</t>
  </si>
  <si>
    <t>Diplomacy</t>
  </si>
  <si>
    <t>Rural Households</t>
  </si>
  <si>
    <t>Stewardship</t>
  </si>
  <si>
    <t>Average Skill</t>
  </si>
  <si>
    <t>Birth Year</t>
  </si>
  <si>
    <t>Current Year</t>
  </si>
  <si>
    <t>Death Year</t>
  </si>
  <si>
    <t>Crownlands</t>
  </si>
  <si>
    <t>Urban%</t>
  </si>
  <si>
    <t>Rural%</t>
  </si>
  <si>
    <t>Gabren</t>
  </si>
  <si>
    <t>Princeps</t>
  </si>
  <si>
    <t>Dead</t>
  </si>
  <si>
    <t>Dreghold</t>
  </si>
  <si>
    <t>Armin</t>
  </si>
  <si>
    <t>Frederick</t>
  </si>
  <si>
    <t>Senton</t>
  </si>
  <si>
    <t>Madinglia</t>
  </si>
  <si>
    <t>Marian</t>
  </si>
  <si>
    <t>Alive</t>
  </si>
  <si>
    <t>John</t>
  </si>
  <si>
    <t>Ralim</t>
  </si>
  <si>
    <t>Jory</t>
  </si>
  <si>
    <t>Jason</t>
  </si>
  <si>
    <t>Sirong</t>
  </si>
  <si>
    <t>Jenny</t>
  </si>
  <si>
    <t>Jerod</t>
  </si>
  <si>
    <t>Swanhall</t>
  </si>
  <si>
    <t>Garin</t>
  </si>
  <si>
    <t>Hearston</t>
  </si>
  <si>
    <t>Harrison</t>
  </si>
  <si>
    <t>Anne</t>
  </si>
  <si>
    <t>Robert</t>
  </si>
  <si>
    <t>Arthur</t>
  </si>
  <si>
    <t>Reynar</t>
  </si>
  <si>
    <t>Elena</t>
  </si>
  <si>
    <t>Ignisell</t>
  </si>
  <si>
    <t>Ardere</t>
  </si>
  <si>
    <t>Total</t>
  </si>
  <si>
    <t>Reed</t>
  </si>
  <si>
    <t>Lowborn</t>
  </si>
  <si>
    <t>Wilson</t>
  </si>
  <si>
    <t>Carthen</t>
  </si>
  <si>
    <t>Atia</t>
  </si>
  <si>
    <t>Average</t>
  </si>
  <si>
    <t>Cimon</t>
  </si>
  <si>
    <t>Chelsey</t>
  </si>
  <si>
    <t>Wilson Carthen</t>
  </si>
  <si>
    <t>Reed Carthen</t>
  </si>
  <si>
    <t>Cimon Carthen</t>
  </si>
  <si>
    <t>Edmund Konthern II</t>
  </si>
  <si>
    <t>Sir Finley Lowborn</t>
  </si>
  <si>
    <t>Emilan Konthern</t>
  </si>
  <si>
    <t>Sir Jory Senton</t>
  </si>
  <si>
    <t>Ellan Konthern</t>
  </si>
  <si>
    <t>Maxwell Smithson</t>
  </si>
  <si>
    <t>Harrison Hearston</t>
  </si>
  <si>
    <t>John Hearston</t>
  </si>
  <si>
    <t>Sir Seiron "The Old"</t>
  </si>
  <si>
    <t>Robert Hearston</t>
  </si>
  <si>
    <t>The Patriarch</t>
  </si>
  <si>
    <t>Ignisell Ardere</t>
  </si>
  <si>
    <t>Frederick Reynar</t>
  </si>
  <si>
    <t>Aura Letum</t>
  </si>
  <si>
    <t>Elena Reynar</t>
  </si>
  <si>
    <t>Edrick of Ravenmark</t>
  </si>
  <si>
    <t>Anne Hearston</t>
  </si>
  <si>
    <t>Median</t>
  </si>
  <si>
    <t>Val Ecton</t>
  </si>
  <si>
    <t>Jason Senton</t>
  </si>
  <si>
    <t>Avg</t>
  </si>
  <si>
    <t>Gabren Princeps</t>
  </si>
  <si>
    <t>John Senton</t>
  </si>
  <si>
    <t>Gordon Merek</t>
  </si>
  <si>
    <t>Philson Merek</t>
  </si>
  <si>
    <t>Henry Merek</t>
  </si>
  <si>
    <t>Atia Carthen</t>
  </si>
  <si>
    <t>Colin 'Pearl'</t>
  </si>
  <si>
    <t>Sir Marcus Ferrum</t>
  </si>
  <si>
    <t>Garin Hearston</t>
  </si>
  <si>
    <t>Armin Princeps</t>
  </si>
  <si>
    <t>Discord Username</t>
  </si>
  <si>
    <t>vengeance014</t>
  </si>
  <si>
    <t>ICBM</t>
  </si>
  <si>
    <t>penuppy</t>
  </si>
  <si>
    <t>banaenae</t>
  </si>
  <si>
    <t>jasuiman</t>
  </si>
  <si>
    <t>veronyx</t>
  </si>
  <si>
    <t>lucid219</t>
  </si>
  <si>
    <t>en56yaw4536</t>
  </si>
  <si>
    <t>thebookman10</t>
  </si>
  <si>
    <t>okwithme</t>
  </si>
  <si>
    <t>rub.rubens11</t>
  </si>
  <si>
    <t>RAW</t>
  </si>
  <si>
    <t>Smach</t>
  </si>
  <si>
    <t>Smithson</t>
  </si>
  <si>
    <t>Unknown</t>
  </si>
  <si>
    <t>TheClickBateM8</t>
  </si>
  <si>
    <t>admiwart</t>
  </si>
  <si>
    <t>TheGuy</t>
  </si>
  <si>
    <t>Ecton</t>
  </si>
  <si>
    <t>bigbois744</t>
  </si>
  <si>
    <t>.titanlord</t>
  </si>
  <si>
    <t>Squidkid13</t>
  </si>
  <si>
    <t>amibcool</t>
  </si>
  <si>
    <t>surewarboii</t>
  </si>
  <si>
    <t>Age</t>
  </si>
  <si>
    <t>Konthern</t>
  </si>
  <si>
    <t>Letum</t>
  </si>
  <si>
    <t>Merek</t>
  </si>
  <si>
    <t>Ferrum</t>
  </si>
  <si>
    <t>Gender</t>
  </si>
  <si>
    <t>Male</t>
  </si>
  <si>
    <t>Female</t>
  </si>
  <si>
    <t>Intrigue Skill</t>
  </si>
  <si>
    <t>???</t>
  </si>
  <si>
    <t>Combat Skill</t>
  </si>
  <si>
    <t>Diplomacy Skill</t>
  </si>
  <si>
    <t>Female (?)</t>
  </si>
  <si>
    <t>Male (?)</t>
  </si>
  <si>
    <t>Stress Level</t>
  </si>
  <si>
    <t>Stewardship Skill</t>
  </si>
  <si>
    <t>Avg Skill</t>
  </si>
  <si>
    <t>Total Skill</t>
  </si>
  <si>
    <t>Future Age</t>
  </si>
  <si>
    <t>Pearlpass</t>
  </si>
  <si>
    <t>Province Tax Rates</t>
  </si>
  <si>
    <t>True Raised</t>
  </si>
  <si>
    <t>True Possible Levies</t>
  </si>
  <si>
    <t>Casualties</t>
  </si>
  <si>
    <t>Injured</t>
  </si>
  <si>
    <t>Deserted</t>
  </si>
  <si>
    <t>Ticks Without Pay</t>
  </si>
  <si>
    <t>Without Pay T/F</t>
  </si>
  <si>
    <t>Current Casualties</t>
  </si>
  <si>
    <t>Tentative Casualties</t>
  </si>
  <si>
    <t>Future Casualties</t>
  </si>
  <si>
    <t>Projected Gold</t>
  </si>
  <si>
    <t>Sentons</t>
  </si>
  <si>
    <t>Gold Income</t>
  </si>
  <si>
    <t>Gold Spending</t>
  </si>
  <si>
    <t>Final Total Tax Income</t>
  </si>
  <si>
    <t>Raw Total Tax Income</t>
  </si>
  <si>
    <t>Urban Tax Income</t>
  </si>
  <si>
    <t>Rural Tax Income</t>
  </si>
  <si>
    <t>Diplomatic Income</t>
  </si>
  <si>
    <t>Total Military Spending</t>
  </si>
  <si>
    <t>Retinue Spending</t>
  </si>
  <si>
    <t>Levy Spending</t>
  </si>
  <si>
    <t>Diplomatic Spending</t>
  </si>
  <si>
    <t>The Crown</t>
  </si>
  <si>
    <t>Infantrymen</t>
  </si>
  <si>
    <t>Archers</t>
  </si>
  <si>
    <t>Cavalry</t>
  </si>
  <si>
    <t>Tier I</t>
  </si>
  <si>
    <t>Tier II</t>
  </si>
  <si>
    <t>Tier III</t>
  </si>
  <si>
    <t>Tier IV</t>
  </si>
  <si>
    <t>Tier V</t>
  </si>
  <si>
    <t>Horse Archers</t>
  </si>
  <si>
    <t>Infantry Costs</t>
  </si>
  <si>
    <t>Archer Costs</t>
  </si>
  <si>
    <t>Cavalry Costs</t>
  </si>
  <si>
    <t>Total Cost</t>
  </si>
  <si>
    <t>Count</t>
  </si>
  <si>
    <t>Current Count</t>
  </si>
  <si>
    <t>Regiments</t>
  </si>
  <si>
    <t>Reinforcing</t>
  </si>
  <si>
    <t>Cost</t>
  </si>
  <si>
    <t>Cohesion</t>
  </si>
  <si>
    <t>Active Maintenance</t>
  </si>
  <si>
    <t>Dead Maintenance</t>
  </si>
  <si>
    <t># Per Regiment</t>
  </si>
  <si>
    <t>Total Untaxed Income</t>
  </si>
  <si>
    <t>Total Tax Income</t>
  </si>
  <si>
    <t>Desmene Tax Income</t>
  </si>
  <si>
    <t>Vassal Tax Income</t>
  </si>
  <si>
    <t>Liege Tax Spending</t>
  </si>
  <si>
    <t>Knights Wages</t>
  </si>
  <si>
    <t>Net Gold Income</t>
  </si>
  <si>
    <t>Kingdom of Shavia Total</t>
  </si>
  <si>
    <t>Liege Taxes</t>
  </si>
  <si>
    <t>Tax Rate</t>
  </si>
  <si>
    <t>Basal Tax Rate</t>
  </si>
  <si>
    <t>Avg. Rural Peasant Income</t>
  </si>
  <si>
    <t>N/A</t>
  </si>
  <si>
    <t>Recovered Injured</t>
  </si>
  <si>
    <t>Future Injured</t>
  </si>
  <si>
    <t>Future Ticks Without Pay</t>
  </si>
  <si>
    <t>Sum</t>
  </si>
  <si>
    <t>Quality</t>
  </si>
  <si>
    <t>Budget</t>
  </si>
  <si>
    <t>Pay Per Guards</t>
  </si>
  <si>
    <t>Houshold Members</t>
  </si>
  <si>
    <t>Guards Per Household Member</t>
  </si>
  <si>
    <t>Mereks</t>
  </si>
  <si>
    <t>Hearstons</t>
  </si>
  <si>
    <t>Kontherns</t>
  </si>
  <si>
    <t>Summative Profit (Per Duchy)</t>
  </si>
  <si>
    <t>Tax Income</t>
  </si>
  <si>
    <t>City</t>
  </si>
  <si>
    <t>Culture</t>
  </si>
  <si>
    <t>Religion</t>
  </si>
  <si>
    <t>Population</t>
  </si>
  <si>
    <t>Port</t>
  </si>
  <si>
    <t>Citadel</t>
  </si>
  <si>
    <t>Walls</t>
  </si>
  <si>
    <t>Plaza</t>
  </si>
  <si>
    <t>Temple</t>
  </si>
  <si>
    <t>Shanty Town</t>
  </si>
  <si>
    <t>Road</t>
  </si>
  <si>
    <t>Tax Rate from Buildings</t>
  </si>
  <si>
    <t>Total Tax Rate</t>
  </si>
  <si>
    <t>City Guard</t>
  </si>
  <si>
    <t>City Guard Surplus</t>
  </si>
  <si>
    <t>City Guard Casualties</t>
  </si>
  <si>
    <t/>
  </si>
  <si>
    <t>none</t>
  </si>
  <si>
    <t>Central Shavian</t>
  </si>
  <si>
    <t>Path of Guiding Light</t>
  </si>
  <si>
    <t>citadel</t>
  </si>
  <si>
    <t>plaza</t>
  </si>
  <si>
    <t>port</t>
  </si>
  <si>
    <t>Eastern Shavian</t>
  </si>
  <si>
    <t>walls</t>
  </si>
  <si>
    <t>Madinglian</t>
  </si>
  <si>
    <t>Children of Stone</t>
  </si>
  <si>
    <t>Ralimers</t>
  </si>
  <si>
    <t>Baymen</t>
  </si>
  <si>
    <t>shanty town</t>
  </si>
  <si>
    <t>Tax Rate From Buildings</t>
  </si>
  <si>
    <t>Shavia</t>
  </si>
  <si>
    <t>Heartwell</t>
  </si>
  <si>
    <t>Shimerme</t>
  </si>
  <si>
    <t>Timbergro</t>
  </si>
  <si>
    <t>Belldedagon</t>
  </si>
  <si>
    <t>Banashel'lalos</t>
  </si>
  <si>
    <t>Whitmegulch</t>
  </si>
  <si>
    <t>Oaledale</t>
  </si>
  <si>
    <t>Stagrasp</t>
  </si>
  <si>
    <t>Dogport</t>
  </si>
  <si>
    <t>Drelme</t>
  </si>
  <si>
    <t>Mistmorest</t>
  </si>
  <si>
    <t>Moonpasshi</t>
  </si>
  <si>
    <t>Griteshield</t>
  </si>
  <si>
    <t>Cademire</t>
  </si>
  <si>
    <t>Quickwatch</t>
  </si>
  <si>
    <t>Westleden</t>
  </si>
  <si>
    <t>Draven</t>
  </si>
  <si>
    <t>Shroutumn</t>
  </si>
  <si>
    <t>Shaledasinf</t>
  </si>
  <si>
    <t>Pearldfair</t>
  </si>
  <si>
    <t>Bearsimeg</t>
  </si>
  <si>
    <t>Wingmire</t>
  </si>
  <si>
    <t>Cadeband</t>
  </si>
  <si>
    <t>Wildcall</t>
  </si>
  <si>
    <t>Nehalle</t>
  </si>
  <si>
    <t>Swanmen</t>
  </si>
  <si>
    <t>Dawnsites</t>
  </si>
  <si>
    <t>Sirongrasp</t>
  </si>
  <si>
    <t>temple</t>
  </si>
  <si>
    <t>Westle</t>
  </si>
  <si>
    <t>Heartmorest</t>
  </si>
  <si>
    <t>Eagportford</t>
  </si>
  <si>
    <t>Dustvalhave</t>
  </si>
  <si>
    <t>Eldefones</t>
  </si>
  <si>
    <t>Batereach</t>
  </si>
  <si>
    <t>Autumngulf</t>
  </si>
  <si>
    <t>Mudband</t>
  </si>
  <si>
    <t>Westerling</t>
  </si>
  <si>
    <t>Drakefair</t>
  </si>
  <si>
    <t>Casthclif</t>
  </si>
  <si>
    <t>Shaterse</t>
  </si>
  <si>
    <t>Rorestle</t>
  </si>
  <si>
    <t>Pondhol</t>
  </si>
  <si>
    <t>Drayvakec</t>
  </si>
  <si>
    <t>Deercross</t>
  </si>
  <si>
    <t>Golden Men</t>
  </si>
  <si>
    <t>Shaken</t>
  </si>
  <si>
    <t>Clifrost</t>
  </si>
  <si>
    <t>Direlight</t>
  </si>
  <si>
    <t>Clearmire</t>
  </si>
  <si>
    <t>Scorchill</t>
  </si>
  <si>
    <t>Brittvault</t>
  </si>
  <si>
    <t>Eguard</t>
  </si>
  <si>
    <t>Borehelmber</t>
  </si>
  <si>
    <t>Grideborn</t>
  </si>
  <si>
    <t>Gnilaurthi</t>
  </si>
  <si>
    <t>Goldbrook</t>
  </si>
  <si>
    <t>Barondrith</t>
  </si>
  <si>
    <t>Clifgasinf</t>
  </si>
  <si>
    <t>Bugausth'vhala</t>
  </si>
  <si>
    <t>Clearse</t>
  </si>
  <si>
    <t>Boceans</t>
  </si>
  <si>
    <t>Mightkeep</t>
  </si>
  <si>
    <t>capital</t>
  </si>
  <si>
    <t>Blackstone</t>
  </si>
  <si>
    <t>Clayard</t>
  </si>
  <si>
    <t>Stovehaven</t>
  </si>
  <si>
    <t>Wolfpasstar</t>
  </si>
  <si>
    <t>Lastshell</t>
  </si>
  <si>
    <t>Clifrostle</t>
  </si>
  <si>
    <t>Cryspide</t>
  </si>
  <si>
    <t>Dail</t>
  </si>
  <si>
    <t>Emouth</t>
  </si>
  <si>
    <t>Bearowbay</t>
  </si>
  <si>
    <t>Deepmoor</t>
  </si>
  <si>
    <t>Gonagithmorso</t>
  </si>
  <si>
    <t>Wilvernyard</t>
  </si>
  <si>
    <t>Flakechpost</t>
  </si>
  <si>
    <t>Sungelrock</t>
  </si>
  <si>
    <t>Mythsplain</t>
  </si>
  <si>
    <t>Houndreach</t>
  </si>
  <si>
    <t>Stagcoastle</t>
  </si>
  <si>
    <t>Raterehall</t>
  </si>
  <si>
    <t>Shadowtown</t>
  </si>
  <si>
    <t>Swangeld</t>
  </si>
  <si>
    <t>Roremice</t>
  </si>
  <si>
    <t>Jaallugausthei</t>
  </si>
  <si>
    <t>Eldhembenlean</t>
  </si>
  <si>
    <t>Storewell</t>
  </si>
  <si>
    <t>Steamhorn</t>
  </si>
  <si>
    <t>Heartle</t>
  </si>
  <si>
    <t>Eagrasp</t>
  </si>
  <si>
    <t>Feargarun</t>
  </si>
  <si>
    <t>Lirelona</t>
  </si>
  <si>
    <t>Rorehold</t>
  </si>
  <si>
    <t>Houndwell</t>
  </si>
  <si>
    <t>Brookward</t>
  </si>
  <si>
    <t>Rusthtown</t>
  </si>
  <si>
    <t>Chaunzandyn</t>
  </si>
  <si>
    <t>Earthtligh</t>
  </si>
  <si>
    <t>Dewgronac</t>
  </si>
  <si>
    <t>Metagith</t>
  </si>
  <si>
    <t>Dewbaymond</t>
  </si>
  <si>
    <t>Curcairn</t>
  </si>
  <si>
    <t>Belldyard</t>
  </si>
  <si>
    <t>Efallshield</t>
  </si>
  <si>
    <t>Snowstorm</t>
  </si>
  <si>
    <t>Vidanntyr</t>
  </si>
  <si>
    <t>Mondbaymond</t>
  </si>
  <si>
    <t>Lastspell</t>
  </si>
  <si>
    <t>Houndford</t>
  </si>
  <si>
    <t>Silcairn</t>
  </si>
  <si>
    <t>Mudfpasstal</t>
  </si>
  <si>
    <t>Snavenbell</t>
  </si>
  <si>
    <t>Nauthmorcane</t>
  </si>
  <si>
    <t>Southtligh</t>
  </si>
  <si>
    <t>Bronholrock</t>
  </si>
  <si>
    <t>Saltvaven</t>
  </si>
  <si>
    <t>Sunrun</t>
  </si>
  <si>
    <t>Shaven</t>
  </si>
  <si>
    <t>Dawngview</t>
  </si>
  <si>
    <t>Shameverun</t>
  </si>
  <si>
    <t>Northerners</t>
  </si>
  <si>
    <t>Earthilld</t>
  </si>
  <si>
    <t>Bridtown</t>
  </si>
  <si>
    <t>Smallverne</t>
  </si>
  <si>
    <t>Wildlands</t>
  </si>
  <si>
    <t>Houndtownfo</t>
  </si>
  <si>
    <t>Elreach</t>
  </si>
  <si>
    <t>Utheinar</t>
  </si>
  <si>
    <t>Swiftme</t>
  </si>
  <si>
    <t>Lostswindge</t>
  </si>
  <si>
    <t>Mudfair</t>
  </si>
  <si>
    <t>Anhelm</t>
  </si>
  <si>
    <t>Mondhol</t>
  </si>
  <si>
    <t>Dewgcoast</t>
  </si>
  <si>
    <t>Scorcross</t>
  </si>
  <si>
    <t>Mondbaypond</t>
  </si>
  <si>
    <t>Vojhamenz</t>
  </si>
  <si>
    <t>Brimegcoast</t>
  </si>
  <si>
    <t>Clifpass</t>
  </si>
  <si>
    <t>Swangarmire</t>
  </si>
  <si>
    <t>Mightfall</t>
  </si>
  <si>
    <t>Shimhand</t>
  </si>
  <si>
    <t>Dregrefrant</t>
  </si>
  <si>
    <t>Snagonb</t>
  </si>
  <si>
    <t>Sprinkeep</t>
  </si>
  <si>
    <t>Drymond</t>
  </si>
  <si>
    <t>Id</t>
  </si>
  <si>
    <t>Full Name</t>
  </si>
  <si>
    <t>Form</t>
  </si>
  <si>
    <t>State</t>
  </si>
  <si>
    <t>Color</t>
  </si>
  <si>
    <t>Area mi2</t>
  </si>
  <si>
    <t>Burgs</t>
  </si>
  <si>
    <t>#e9ba49</t>
  </si>
  <si>
    <t>Slutiarm</t>
  </si>
  <si>
    <t>#f2de48</t>
  </si>
  <si>
    <t>Shrourestar</t>
  </si>
  <si>
    <t>#ffc237</t>
  </si>
  <si>
    <t>#ffc732</t>
  </si>
  <si>
    <t>#ffd831</t>
  </si>
  <si>
    <t>Vhalian Marches</t>
  </si>
  <si>
    <t>Vhalthin</t>
  </si>
  <si>
    <t>#d1d54d</t>
  </si>
  <si>
    <t>Dryvaterga</t>
  </si>
  <si>
    <t>Southern Shores</t>
  </si>
  <si>
    <t>Alhas</t>
  </si>
  <si>
    <t>#d3cf51</t>
  </si>
  <si>
    <t>Dregsten Bay</t>
  </si>
  <si>
    <t>#dedf3a</t>
  </si>
  <si>
    <t>Amber Shores</t>
  </si>
  <si>
    <t>Amber Waters</t>
  </si>
  <si>
    <t>#ffe433</t>
  </si>
  <si>
    <t>Griffin's Bay</t>
  </si>
  <si>
    <t>Ulport</t>
  </si>
  <si>
    <t>#ebde37</t>
  </si>
  <si>
    <t>Lesserlands</t>
  </si>
  <si>
    <t>#e9de37</t>
  </si>
  <si>
    <t>ShadowWood</t>
  </si>
  <si>
    <t>#d3dc43</t>
  </si>
  <si>
    <t>Mondwatch</t>
  </si>
  <si>
    <t>Bear Hall</t>
  </si>
  <si>
    <t>#d5cd52</t>
  </si>
  <si>
    <t>Ratermarch</t>
  </si>
  <si>
    <t>#ffbf3c</t>
  </si>
  <si>
    <t>Raterhall</t>
  </si>
  <si>
    <t>Vinh</t>
  </si>
  <si>
    <t>#e1bc4b</t>
  </si>
  <si>
    <t>#e1df38</t>
  </si>
  <si>
    <t>Oal's Reach</t>
  </si>
  <si>
    <t>#ffbe3d</t>
  </si>
  <si>
    <t>Edenhelmer</t>
  </si>
  <si>
    <t>#fffb38</t>
  </si>
  <si>
    <t>#fad12f</t>
  </si>
  <si>
    <t>#dbdf3b</t>
  </si>
  <si>
    <t>Prince's Boot</t>
  </si>
  <si>
    <t>#ddc150</t>
  </si>
  <si>
    <t>Swan's Reach</t>
  </si>
  <si>
    <t>#d6cb53</t>
  </si>
  <si>
    <t>Malhold</t>
  </si>
  <si>
    <t>#e4df37</t>
  </si>
  <si>
    <t>#dfdf39</t>
  </si>
  <si>
    <t>Westlehorn</t>
  </si>
  <si>
    <t>Shurestar</t>
  </si>
  <si>
    <t>#ecba49</t>
  </si>
  <si>
    <t>Mythspell</t>
  </si>
  <si>
    <t>Raven's Reach</t>
  </si>
  <si>
    <t>#f5ba48</t>
  </si>
  <si>
    <t>Northfold</t>
  </si>
  <si>
    <t>Northfold Manor</t>
  </si>
  <si>
    <t>#f0dd36</t>
  </si>
  <si>
    <t>#f8d42f</t>
  </si>
  <si>
    <t>Ravenmark</t>
  </si>
  <si>
    <t>Blackfeather Hall</t>
  </si>
  <si>
    <t>#d2d24f</t>
  </si>
  <si>
    <t>Wet Shoor</t>
  </si>
  <si>
    <t>#febc41</t>
  </si>
  <si>
    <t>Grirevein</t>
  </si>
  <si>
    <t>#ffbf3b</t>
  </si>
  <si>
    <t>The Deepwood</t>
  </si>
  <si>
    <t>#dddf3a</t>
  </si>
  <si>
    <t>Swan's Shoor</t>
  </si>
  <si>
    <t>#e5ba49</t>
  </si>
  <si>
    <t>The Shield</t>
  </si>
  <si>
    <t>#eede37</t>
  </si>
  <si>
    <t>#dcdf3b</t>
  </si>
  <si>
    <t>Deadford</t>
  </si>
  <si>
    <t>#ffc435</t>
  </si>
  <si>
    <t>#d7ca53</t>
  </si>
  <si>
    <t>Lonely Light</t>
  </si>
  <si>
    <t>#efdd37</t>
  </si>
  <si>
    <t>The Valley</t>
  </si>
  <si>
    <t>Yeobury</t>
  </si>
  <si>
    <t>#fabb44</t>
  </si>
  <si>
    <t>The Knolls</t>
  </si>
  <si>
    <t>Newtown</t>
  </si>
  <si>
    <t>#d1d849</t>
  </si>
  <si>
    <t>Persterton Pass</t>
  </si>
  <si>
    <t>Persterton</t>
  </si>
  <si>
    <t>Oatercoast</t>
  </si>
  <si>
    <t>#fccf2f</t>
  </si>
  <si>
    <t>Rordgoz</t>
  </si>
  <si>
    <t>#eade37</t>
  </si>
  <si>
    <t>Briduan</t>
  </si>
  <si>
    <t>Brid</t>
  </si>
  <si>
    <t>#f8ba46</t>
  </si>
  <si>
    <t>No religion</t>
  </si>
  <si>
    <t>Thornwell</t>
  </si>
  <si>
    <t>Brimegrore</t>
  </si>
  <si>
    <t>Khuld</t>
  </si>
  <si>
    <t>Nilbog</t>
  </si>
  <si>
    <t>Elsevercism</t>
  </si>
  <si>
    <t>Stovemea</t>
  </si>
  <si>
    <t>Ishzit</t>
  </si>
  <si>
    <t>Buggalhob</t>
  </si>
  <si>
    <t>Burg</t>
  </si>
  <si>
    <t>Province Full Name</t>
  </si>
  <si>
    <t>State Full Name</t>
  </si>
  <si>
    <t>X</t>
  </si>
  <si>
    <t>Y</t>
  </si>
  <si>
    <t>Latitude</t>
  </si>
  <si>
    <t>Longitude</t>
  </si>
  <si>
    <t>Elevation (ft)</t>
  </si>
  <si>
    <t>Temperature</t>
  </si>
  <si>
    <t>Temperature likeness</t>
  </si>
  <si>
    <t>Emblem</t>
  </si>
  <si>
    <t>City Generator Link</t>
  </si>
  <si>
    <t>Kingdom of Shavia</t>
  </si>
  <si>
    <t>37°F</t>
  </si>
  <si>
    <t>Tromsø</t>
  </si>
  <si>
    <t>{t1:argent;charges:[{charge:oak;t:purpure;p:e;size:1.5}];shield:fantasy5}</t>
  </si>
  <si>
    <t>https://watabou.github.io/village-generator/?pop=1652&amp;name=&amp;seed=3550748350033&amp;width=1600&amp;height=727&amp;tags=highway%2Cno+square%2Cdense</t>
  </si>
  <si>
    <t>39°F</t>
  </si>
  <si>
    <t>Reykjavik</t>
  </si>
  <si>
    <t>{t1:azure;ordinaries:[{ordinary:orle;t:or}];charges:[{charge:lionRampant;t:or;p:e;size:1.1;sinister:1}];shield:fantasy5}</t>
  </si>
  <si>
    <t>https://watabou.github.io/city-generator/?name=Cryspide&amp;population=4150&amp;size=22&amp;seed=3550748350450&amp;river=0&amp;coast=0&amp;farms=1&amp;citadel=1&amp;urban_castle=1&amp;hub=false&amp;plaza=1&amp;temple=0&amp;walls=0&amp;shantytown=0&amp;gates=-1</t>
  </si>
  <si>
    <t>{t1:argent;charges:[{charge:rose;t:vert;p:e;size:1.5}];shield:fantasy5}</t>
  </si>
  <si>
    <t>https://watabou.github.io/city-generator/?name=Amber+Waters&amp;population=2171&amp;size=17&amp;seed=3550748350451&amp;river=0&amp;coast=1&amp;farms=1&amp;citadel=1&amp;urban_castle=0&amp;hub=false&amp;plaza=0&amp;temple=0&amp;walls=0&amp;shantytown=0&amp;gates=-1&amp;sea=1.74</t>
  </si>
  <si>
    <t>{t1:vert;ordinaries:[{ordinary:chief;t:or;line:embattledGhibellin}];charges:[{charge:crescent;t:vert;p:b;size:0.5}];shield:fantasy5}</t>
  </si>
  <si>
    <t>https://watabou.github.io/village-generator/?pop=1961&amp;name=&amp;seed=3550748350739&amp;width=1600&amp;height=727&amp;tags=highway%2Cno+square%2Cdense</t>
  </si>
  <si>
    <t>43°F</t>
  </si>
  <si>
    <t>Stockholm</t>
  </si>
  <si>
    <t>{t1:argent;charges:[{charge:lionRampant;t:purpure;p:def;size:0.5}];shield:horsehead2}</t>
  </si>
  <si>
    <t>https://watabou.github.io/city-generator/?name=Blackstone&amp;population=22577&amp;size=42&amp;seed=3550748350398&amp;river=0&amp;coast=1&amp;farms=0&amp;citadel=1&amp;urban_castle=1&amp;hub=false&amp;plaza=1&amp;temple=0&amp;walls=0&amp;shantytown=0&amp;gates=-1&amp;sea=1.21</t>
  </si>
  <si>
    <t>41°F</t>
  </si>
  <si>
    <t>Riga</t>
  </si>
  <si>
    <t>{t1:argent;division:{division:perPale;t:semy_of_goutte-or-sable;line:straight};charges:[{charge:triangle;t:vert;p:p;size:0.7};{charge:serpent;t:purpure;p:q;size:0.7}];shield:horsehead2}</t>
  </si>
  <si>
    <t>https://watabou.github.io/city-generator/?name=Anhelm&amp;population=14188&amp;size=35&amp;seed=3550748350850&amp;river=1&amp;coast=0&amp;farms=1&amp;citadel=1&amp;urban_castle=1&amp;hub=false&amp;plaza=1&amp;temple=0&amp;walls=0&amp;shantytown=0&amp;gates=-1</t>
  </si>
  <si>
    <t>{t1:gules;ordinaries:[{ordinary:pale;t:or;line:straight}];charges:[{charge:sun;t:sable;p:beh;size:0.5}];shield:horsehead2}</t>
  </si>
  <si>
    <t>https://watabou.github.io/city-generator/?name=Sprinkeep&amp;population=19714&amp;size=40&amp;seed=3550748350955&amp;river=0&amp;coast=0&amp;farms=0&amp;citadel=0&amp;urban_castle=0&amp;hub=false&amp;plaza=1&amp;temple=0&amp;walls=1&amp;shantytown=0&amp;gates=-1</t>
  </si>
  <si>
    <t>34°F</t>
  </si>
  <si>
    <t>Arkhangelsk</t>
  </si>
  <si>
    <t>{t1:azure;ordinaries:[{ordinary:bendletSinister;t:or;line:straight}];charges:[{charge:fusil;t:sable;p:lem;size:0.3}];shield:ironHills}</t>
  </si>
  <si>
    <t>https://watabou.github.io/village-generator/?pop=1867&amp;name=&amp;seed=3550748351050&amp;width=1600&amp;height=727&amp;tags=dead+end%2Cuncultivated%2Cno+square%2Cdense</t>
  </si>
  <si>
    <t>45°F</t>
  </si>
  <si>
    <t>Halifax</t>
  </si>
  <si>
    <t>{t1:azure;ordinaries:[{ordinary:bar;t:or;line:straight}];charges:[{charge:greyhoundCourant;t:purpure;p:def;size:0.3}];shield:fantasy5}</t>
  </si>
  <si>
    <t>https://watabou.github.io/city-generator/?name=Direlight&amp;population=1895&amp;size=17&amp;seed=3550748350271&amp;river=0&amp;coast=0&amp;farms=1&amp;citadel=1&amp;urban_castle=0&amp;hub=false&amp;plaza=0&amp;temple=0&amp;walls=0&amp;shantytown=0&amp;gates=-1</t>
  </si>
  <si>
    <t>46°F</t>
  </si>
  <si>
    <t>Prague</t>
  </si>
  <si>
    <t>{t1:argent;ordinaries:[{ordinary:chevron;t:azure}];charges:[{charge:mullet6;t:gules;p:ach;size:0.5}];shield:fantasy5}</t>
  </si>
  <si>
    <t>https://watabou.github.io/city-generator/?name=Heartle&amp;population=25350&amp;size=44&amp;seed=3550748350581&amp;river=1&amp;coast=0&amp;farms=1&amp;citadel=0&amp;urban_castle=0&amp;hub=false&amp;plaza=1&amp;temple=0&amp;walls=1&amp;shantytown=0&amp;gates=-1</t>
  </si>
  <si>
    <t>{t1:argent;ordinaries:[{ordinary:bendSinister;t:gules;line:firTrees}];charges:[{charge:horseshoe;t:argent;p:lem;size:0.5}];shield:fantasy5}</t>
  </si>
  <si>
    <t>https://watabou.github.io/city-generator/?name=Brookward&amp;population=53796&amp;size=59&amp;seed=3550748350620&amp;river=0&amp;coast=1&amp;farms=1&amp;citadel=1&amp;urban_castle=1&amp;hub=false&amp;plaza=1&amp;temple=0&amp;walls=0&amp;shantytown=0&amp;gates=-1&amp;sea=1.39</t>
  </si>
  <si>
    <t>{t1:or;division:{division:gyronny;t:gules};charges:[{charge:goutte;t:azure;p:e;divided:counter;size:1.5}];shield:fantasy5}</t>
  </si>
  <si>
    <t>https://watabou.github.io/city-generator/?name=Nehalle&amp;population=11784&amp;size=33&amp;seed=3550748350143&amp;river=0&amp;coast=0&amp;farms=1&amp;citadel=1&amp;urban_castle=0&amp;hub=false&amp;plaza=0&amp;temple=0&amp;walls=1&amp;shantytown=0&amp;gates=-1</t>
  </si>
  <si>
    <t>{t1:sable;division:{division:perPile;t:or;line:straight};ordinaries:[{ordinary:cross;t:argent;line:straight}];shield:fantasy5}</t>
  </si>
  <si>
    <t>https://watabou.github.io/city-generator/?name=Dreghold&amp;population=32035&amp;size=48&amp;seed=3550748350169&amp;river=0&amp;coast=1&amp;farms=1&amp;citadel=1&amp;urban_castle=0&amp;hub=false&amp;plaza=1&amp;temple=0&amp;walls=0&amp;shantytown=0&amp;gates=-1&amp;sea=1.68</t>
  </si>
  <si>
    <t>{t1:argent;charges:[{charge:wheel;t:vert;p:e;size:1.5}];shield:fantasy5}</t>
  </si>
  <si>
    <t>https://watabou.github.io/village-generator/?pop=1799&amp;name=&amp;seed=3550748350381&amp;width=1600&amp;height=727&amp;tags=dead+end%2Cno+square%2Cdense</t>
  </si>
  <si>
    <t>{t1:azure;ordinaries:[{ordinary:point;t:or}];charges:[{charge:mullet;t:or;p:bdf;size:0.5}];shield:fantasy5}</t>
  </si>
  <si>
    <t>https://watabou.github.io/city-generator/?name=Eagrasp&amp;population=33357&amp;size=49&amp;seed=3550748350583&amp;river=0&amp;coast=0&amp;farms=0&amp;citadel=1&amp;urban_castle=0&amp;hub=false&amp;plaza=1&amp;temple=0&amp;walls=1&amp;shantytown=1&amp;gates=-1</t>
  </si>
  <si>
    <t>{t1:purpure;charges:[{charge:crossTemplar;t:argent;p:e;size:1.5}];shield:fantasy5}</t>
  </si>
  <si>
    <t>https://watabou.github.io/city-generator/?name=Curcairn&amp;population=19353&amp;size=40&amp;seed=3550748350662&amp;river=0&amp;coast=0&amp;farms=0&amp;citadel=1&amp;urban_castle=1&amp;hub=false&amp;plaza=0&amp;temple=0&amp;walls=1&amp;shantytown=0&amp;gates=-1</t>
  </si>
  <si>
    <t>{t1:or;charges:[{charge:lionRampant;t:gules;p:e;size:1.5}];shield:fantasy5}</t>
  </si>
  <si>
    <t>https://watabou.github.io/city-generator/?name=Grirevein&amp;population=2337&amp;size=18&amp;seed=3550748351013&amp;river=1&amp;coast=0&amp;farms=1&amp;citadel=0&amp;urban_castle=0&amp;hub=false&amp;plaza=0&amp;temple=0&amp;walls=0&amp;shantytown=0&amp;gates=-1</t>
  </si>
  <si>
    <t>{t1:argent;charges:[{charge:monk;t:gules;p:jeo;size:0.5}];shield:fantasy5}</t>
  </si>
  <si>
    <t>https://watabou.github.io/city-generator/?name=Goldbrook&amp;population=2822&amp;size=19&amp;seed=3550748350349&amp;river=0&amp;coast=1&amp;farms=1&amp;citadel=1&amp;urban_castle=0&amp;hub=false&amp;plaza=1&amp;temple=0&amp;walls=0&amp;shantytown=0&amp;gates=-1&amp;sea=0.01</t>
  </si>
  <si>
    <t>{t1:azure;division:{division:perCross;t:argent;line:straight};ordinaries:[{ordinary:pallReversed;t:or;divided:counter}];shield:fantasy5}</t>
  </si>
  <si>
    <t>https://watabou.github.io/city-generator/?name=Wolfpasstar&amp;population=1905&amp;size=17&amp;seed=3550748350414&amp;river=0&amp;coast=0&amp;farms=1&amp;citadel=0&amp;urban_castle=0&amp;hub=false&amp;plaza=0&amp;temple=0&amp;walls=1&amp;shantytown=0&amp;gates=-1</t>
  </si>
  <si>
    <t>{t1:or;charges:[{charge:dragonRampant;t:azure;p:e;size:1.5}];shield:fantasy5}</t>
  </si>
  <si>
    <t>https://watabou.github.io/city-generator/?name=Southtligh&amp;population=2121&amp;size=17&amp;seed=3550748350758&amp;river=0&amp;coast=0&amp;farms=1&amp;citadel=1&amp;urban_castle=1&amp;hub=false&amp;plaza=1&amp;temple=0&amp;walls=0&amp;shantytown=0&amp;gates=-1</t>
  </si>
  <si>
    <t>{t1:argent;charges:[{charge:heron;t:gules;p:e;size:1.5}];shield:fantasy5}</t>
  </si>
  <si>
    <t>https://watabou.github.io/city-generator/?name=Mondhol&amp;population=14504&amp;size=36&amp;seed=3550748350851&amp;river=0&amp;coast=0&amp;farms=1&amp;citadel=1&amp;urban_castle=0&amp;hub=false&amp;plaza=0&amp;temple=0&amp;walls=0&amp;shantytown=0&amp;gates=-1</t>
  </si>
  <si>
    <t>{t1:azure;charges:[{charge:bearRampant;t:or;p:e;size:1.5}];shield:fantasy5}</t>
  </si>
  <si>
    <t>https://watabou.github.io/city-generator/?name=Shimhand&amp;population=10406&amp;size=31&amp;seed=3550748350925&amp;river=0&amp;coast=0&amp;farms=1&amp;citadel=0&amp;urban_castle=0&amp;hub=false&amp;plaza=0&amp;temple=0&amp;walls=0&amp;shantytown=0&amp;gates=-1</t>
  </si>
  <si>
    <t>{t1:azure;charges:[{charge:crossHummetty;t:argent;p:jln;size:0.7}];shield:fantasy5}</t>
  </si>
  <si>
    <t>https://watabou.github.io/city-generator/?name=Dryvaterga&amp;population=34107&amp;size=49&amp;seed=3550748350985&amp;river=1&amp;coast=1&amp;farms=1&amp;citadel=0&amp;urban_castle=0&amp;hub=false&amp;plaza=1&amp;temple=0&amp;walls=1&amp;shantytown=1&amp;gates=-1&amp;sea=1.81</t>
  </si>
  <si>
    <t>{t1:purpure;charges:[{charge:chain;t:or;p:e;size:1.5}];shield:hessen}</t>
  </si>
  <si>
    <t>https://watabou.github.io/city-generator/?name=Drelme&amp;population=11053&amp;size=32&amp;seed=3550748350065&amp;river=0&amp;coast=0&amp;farms=1&amp;citadel=0&amp;urban_castle=0&amp;hub=false&amp;plaza=1&amp;temple=0&amp;walls=1&amp;shantytown=0&amp;gates=-1</t>
  </si>
  <si>
    <t>{t1:azure;charges:[{charge:anchor;t:or;p:e;size:1.5}];shield:fantasy5}</t>
  </si>
  <si>
    <t>https://watabou.github.io/city-generator/?name=Dawnsites&amp;population=11553&amp;size=33&amp;seed=3550748350156&amp;river=0&amp;coast=1&amp;farms=1&amp;citadel=0&amp;urban_castle=0&amp;hub=false&amp;plaza=0&amp;temple=0&amp;walls=0&amp;shantytown=0&amp;gates=-1&amp;sea=1.52</t>
  </si>
  <si>
    <t>48°F</t>
  </si>
  <si>
    <t>Copenhagen</t>
  </si>
  <si>
    <t>{t1:argent;charges:[{charge:arrowsSheaf;t:purpure;p:e;size:1.5}];shield:hessen}</t>
  </si>
  <si>
    <t>https://watabou.github.io/city-generator/?name=Metagith&amp;population=1958&amp;size=17&amp;seed=3550748350658&amp;river=0&amp;coast=0&amp;farms=1&amp;citadel=0&amp;urban_castle=0&amp;hub=false&amp;plaza=1&amp;temple=0&amp;walls=1&amp;shantytown=0&amp;gates=-1</t>
  </si>
  <si>
    <t>{t1:fusily-or-azure;charges:[{charge:crossPommy;t:gules;p:e;size:1.5}];shield:hessen}</t>
  </si>
  <si>
    <t>https://watabou.github.io/city-generator/?name=Vojhamenz&amp;population=9654&amp;size=31&amp;seed=3550748350892&amp;river=0&amp;coast=1&amp;farms=1&amp;citadel=0&amp;urban_castle=0&amp;hub=false&amp;plaza=0&amp;temple=0&amp;walls=0&amp;shantytown=0&amp;gates=-1&amp;sea=1.5</t>
  </si>
  <si>
    <t>{t1:gules;division:{division:perCross;t:or;line:straight};ordinaries:[{ordinary:pale;t:argent;line:wavy}];charges:[{charge:escallop;t:purpure;p:e;size:0.7}];shield:roman}</t>
  </si>
  <si>
    <t>https://watabou.github.io/city-generator/?name=Mudband&amp;population=4433&amp;size=23&amp;seed=3550748350211&amp;river=0&amp;coast=0&amp;farms=1&amp;citadel=1&amp;urban_castle=0&amp;hub=false&amp;plaza=0&amp;temple=0&amp;walls=0&amp;shantytown=0&amp;gates=-1</t>
  </si>
  <si>
    <t>{t1:or;ordinaries:[{ordinary:saltireParted;t:purpure;line:straight}];charges:[{charge:dragonRampant;t:or;p:e;size:1.5}];shield:roman}</t>
  </si>
  <si>
    <t>https://watabou.github.io/city-generator/?name=Eguard&amp;population=31105&amp;size=48&amp;seed=3550748350297&amp;river=1&amp;coast=1&amp;farms=1&amp;citadel=0&amp;urban_castle=0&amp;hub=false&amp;plaza=1&amp;temple=1&amp;walls=1&amp;shantytown=1&amp;gates=-1&amp;sea=1.7</t>
  </si>
  <si>
    <t>36°F</t>
  </si>
  <si>
    <t>Anchorage</t>
  </si>
  <si>
    <t>{t1:gules;ordinaries:[{ordinary:chevron;t:argent}];charges:[{charge:mullet;t:argent;p:ach;size:0.5}];shield:horsehead2}</t>
  </si>
  <si>
    <t>https://watabou.github.io/city-generator/?name=Elreach&amp;population=10378&amp;size=31&amp;seed=3550748350826&amp;river=0&amp;coast=0&amp;farms=0&amp;citadel=1&amp;urban_castle=1&amp;hub=false&amp;plaza=0&amp;temple=0&amp;walls=0&amp;shantytown=0&amp;gates=-1</t>
  </si>
  <si>
    <t>{t1:azure;charges:[{charge:crossAvellane;t:or;p:e;size:1.5}];shield:horsehead2}</t>
  </si>
  <si>
    <t>https://watabou.github.io/city-generator/?name=Clifpass&amp;population=27069&amp;size=45&amp;seed=3550748350920&amp;river=0&amp;coast=0&amp;farms=0&amp;citadel=0&amp;urban_castle=0&amp;hub=false&amp;plaza=1&amp;temple=0&amp;walls=1&amp;shantytown=0&amp;gates=-1</t>
  </si>
  <si>
    <t>{t1:or;ordinaries:[{ordinary:chevron;t:purpure}];charges:[{charge:crossHummetty;t:sable;p:h;size:0.5}];shield:horsehead2}</t>
  </si>
  <si>
    <t>https://watabou.github.io/city-generator/?name=Edenhelmer&amp;population=5151&amp;size=24&amp;seed=3550748351011&amp;river=0&amp;coast=0&amp;farms=1&amp;citadel=0&amp;urban_castle=0&amp;hub=false&amp;plaza=0&amp;temple=0&amp;walls=0&amp;shantytown=0&amp;gates=-1</t>
  </si>
  <si>
    <t>{t1:or;ordinaries:[{ordinary:pallReversed;t:vert}];charges:[{charge:fusil;t:or;p:bemo;size:0.5}];shield:hessen}</t>
  </si>
  <si>
    <t>https://watabou.github.io/city-generator/?name=Barondrith&amp;population=8507&amp;size=29&amp;seed=3550748350351&amp;river=0&amp;coast=0&amp;farms=1&amp;citadel=0&amp;urban_castle=0&amp;hub=false&amp;plaza=0&amp;temple=0&amp;walls=0&amp;shantytown=0&amp;gates=-1</t>
  </si>
  <si>
    <t>Retha</t>
  </si>
  <si>
    <t>{t1:argent;charges:[{charge:helmet;t:sable;p:abc;size:0.5}];shield:hessen}</t>
  </si>
  <si>
    <t>https://watabou.github.io/city-generator/?name=Retha&amp;population=32536&amp;size=48&amp;seed=3550748350380&amp;river=0&amp;coast=0&amp;farms=1&amp;citadel=1&amp;urban_castle=1&amp;hub=false&amp;plaza=1&amp;temple=0&amp;walls=1&amp;shantytown=0&amp;gates=-1</t>
  </si>
  <si>
    <t>{t1:azure;charges:[{charge:anchor;t:argent;p:jln;size:0.7}];shield:hessen}</t>
  </si>
  <si>
    <t>https://watabou.github.io/city-generator/?name=Jaallugausthei&amp;population=25544&amp;size=44&amp;seed=3550748350543&amp;river=0&amp;coast=0&amp;farms=1&amp;citadel=1&amp;urban_castle=0&amp;hub=false&amp;plaza=0&amp;temple=1&amp;walls=1&amp;shantytown=1&amp;gates=-1</t>
  </si>
  <si>
    <t>{t1:azure;ordinaries:[{ordinary:fess;t:or;line:dancetty}];charges:[{charge:crossFleury;t:purpure;p:def;size:0.5}];shield:hessen}</t>
  </si>
  <si>
    <t>https://watabou.github.io/city-generator/?name=Eldhembenlean&amp;population=12339&amp;size=34&amp;seed=3550748350544&amp;river=1&amp;coast=1&amp;farms=0&amp;citadel=1&amp;urban_castle=1&amp;hub=false&amp;plaza=1&amp;temple=0&amp;walls=0&amp;shantytown=0&amp;gates=-1&amp;sea=0.71</t>
  </si>
  <si>
    <t>{t1:azure;ordinaries:[{ordinary:crossParted;t:argent;line:embattled}];charges:[{charge:lionRampant;t:sable;p:e;size:1.5}];shield:fantasy5}</t>
  </si>
  <si>
    <t>https://watabou.github.io/city-generator/?name=Houndwell&amp;population=1954&amp;size=17&amp;seed=3550748350604&amp;river=0&amp;coast=0&amp;farms=1&amp;citadel=1&amp;urban_castle=1&amp;hub=false&amp;plaza=1&amp;temple=0&amp;walls=0&amp;shantytown=0&amp;gates=-1</t>
  </si>
  <si>
    <t>{t1:sable;charges:[{charge:sabresCrossed;t:argent;p:abc;size:0.5}];shield:hessen}</t>
  </si>
  <si>
    <t>https://watabou.github.io/city-generator/?name=Chaunzandyn&amp;population=4974&amp;size=24&amp;seed=3550748350625&amp;river=0&amp;coast=0&amp;farms=1&amp;citadel=0&amp;urban_castle=0&amp;hub=false&amp;plaza=0&amp;temple=0&amp;walls=1&amp;shantytown=0&amp;gates=-1</t>
  </si>
  <si>
    <t>{t1:argent;division:{division:perCross;t:azure;line:embattledGrady};charges:[{charge:fusil;t:gules;p:j;size:0.6};{charge:horseSalient;t:argent;p:l;size:0.6};{charge:cowHorns;t:or;p:m;size:0.6};{charge:lionRampant;t:vert;p:o;size:0.6}];shield:fantasy5}</t>
  </si>
  <si>
    <t>https://watabou.github.io/city-generator/?name=Dewgronac&amp;population=17676&amp;size=38&amp;seed=3550748350647&amp;river=0&amp;coast=0&amp;farms=1&amp;citadel=0&amp;urban_castle=0&amp;hub=false&amp;plaza=0&amp;temple=0&amp;walls=1&amp;shantytown=0&amp;gates=-1</t>
  </si>
  <si>
    <t>{t1:argent;division:{division:perPale;t:gules;line:potentySinister};charges:[{charge:trefle;t:sable;p:p;size:0.7};{charge:billet;t:or;p:q;size:0.7}];shield:hessen}</t>
  </si>
  <si>
    <t>https://watabou.github.io/city-generator/?name=Vidanntyr&amp;population=2191&amp;size=17&amp;seed=3550748350721&amp;river=1&amp;coast=0&amp;farms=1&amp;citadel=1&amp;urban_castle=0&amp;hub=false&amp;plaza=0&amp;temple=0&amp;walls=0&amp;shantytown=0&amp;gates=-1</t>
  </si>
  <si>
    <t>{t1:vert;charges:[{charge:arrowsSheaf;t:or;p:jln;size:0.7}];shield:fantasy5}</t>
  </si>
  <si>
    <t>https://watabou.github.io/city-generator/?name=Shaven&amp;population=1971&amp;size=17&amp;seed=3550748350763&amp;river=0&amp;coast=0&amp;farms=1&amp;citadel=1&amp;urban_castle=0&amp;hub=false&amp;plaza=0&amp;temple=0&amp;walls=0&amp;shantytown=0&amp;gates=-1</t>
  </si>
  <si>
    <t>{t1:gules;ordinaries:[{ordinary:pileInBendSinister;t:or}];charges:[{charge:mullet4;t:gules;p:em;size:0.5}];shield:hessen}</t>
  </si>
  <si>
    <t>https://watabou.github.io/city-generator/?name=Ulport&amp;population=3202&amp;size=20&amp;seed=3550748350828&amp;river=1&amp;coast=1&amp;farms=0&amp;citadel=1&amp;urban_castle=1&amp;hub=false&amp;plaza=1&amp;temple=0&amp;walls=0&amp;shantytown=0&amp;gates=-1&amp;sea=0.17</t>
  </si>
  <si>
    <t>{t1:palyBendy-gules-argent;charges:[{charge:heron;t:or;p:e;size:1.5}];shield:hessen}</t>
  </si>
  <si>
    <t>https://watabou.github.io/city-generator/?name=Dregrefrant&amp;population=6191&amp;size=26&amp;seed=3550748350927&amp;river=0&amp;coast=0&amp;farms=1&amp;citadel=1&amp;urban_castle=0&amp;hub=false&amp;plaza=1&amp;temple=0&amp;walls=1&amp;shantytown=0&amp;gates=-1</t>
  </si>
  <si>
    <t>{t1:gules;division:{division:perCross;t:or;line:straight};ordinaries:[{ordinary:pall;t:argent}];shield:fantasy5}</t>
  </si>
  <si>
    <t>https://watabou.github.io/city-generator/?name=Heartwell&amp;population=100109&amp;size=74&amp;seed=3550748350006&amp;river=1&amp;coast=1&amp;farms=0&amp;citadel=1&amp;urban_castle=1&amp;hub=false&amp;plaza=1&amp;temple=1&amp;walls=1&amp;shantytown=1&amp;gates=-1&amp;sea=0.67</t>
  </si>
  <si>
    <t>{t1:gules;ordinaries:[{ordinary:fess;t:or;line:straight}];charges:[{charge:crosier;t:vert;p:def;size:0.5}];shield:fantasy5}</t>
  </si>
  <si>
    <t>https://watabou.github.io/city-generator/?name=Sirongrasp&amp;population=4343&amp;size=23&amp;seed=3550748350157&amp;river=0&amp;coast=0&amp;farms=1&amp;citadel=0&amp;urban_castle=0&amp;hub=false&amp;plaza=0&amp;temple=0&amp;walls=0&amp;shantytown=0&amp;gates=-1</t>
  </si>
  <si>
    <t>{t1:chequy-argent-gules;charges:[{charge:camel;t:purpure;p:e;size:1.5}];shield:fantasy5}</t>
  </si>
  <si>
    <t>https://watabou.github.io/city-generator/?name=Eldefones&amp;population=4216&amp;size=22&amp;seed=3550748350208&amp;river=0&amp;coast=0&amp;farms=1&amp;citadel=1&amp;urban_castle=1&amp;hub=false&amp;plaza=0&amp;temple=0&amp;walls=0&amp;shantytown=0&amp;gates=-1</t>
  </si>
  <si>
    <t>{t1:gules;division:{division:perFess;t:argent;line:dentilly};charges:[{charge:lionRampant;t:or;p:k;size:0.7};{charge:dragonRampant;t:azure;p:n;size:0.7}];shield:fantasy5}</t>
  </si>
  <si>
    <t>https://watabou.github.io/city-generator/?name=Casthclif&amp;population=18673&amp;size=39&amp;seed=3550748350226&amp;river=1&amp;coast=0&amp;farms=1&amp;citadel=1&amp;urban_castle=1&amp;hub=false&amp;plaza=0&amp;temple=0&amp;walls=0&amp;shantytown=0&amp;gates=-1</t>
  </si>
  <si>
    <t>{t1:argent;charges:[{charge:stagsAttires;t:purpure;p:e;size:1.5}];shield:fantasy5}</t>
  </si>
  <si>
    <t>https://watabou.github.io/city-generator/?name=Saltvaven&amp;population=2514&amp;size=18&amp;seed=3550748350760&amp;river=0&amp;coast=0&amp;farms=1&amp;citadel=1&amp;urban_castle=1&amp;hub=false&amp;plaza=0&amp;temple=0&amp;walls=0&amp;shantytown=0&amp;gates=-1</t>
  </si>
  <si>
    <t>{t1:argent;charges:[{charge:key;t:vert;p:e;size:1.5}];shield:roman}</t>
  </si>
  <si>
    <t>https://watabou.github.io/city-generator/?name=Lonely+Light&amp;population=8656&amp;size=29&amp;seed=3550748350262&amp;river=1&amp;coast=0&amp;farms=0&amp;citadel=1&amp;urban_castle=1&amp;hub=false&amp;plaza=0&amp;temple=0&amp;walls=0&amp;shantytown=0&amp;gates=-1</t>
  </si>
  <si>
    <t>{t1:argent;charges:[{charge:key;t:purpure;p:e;size:1.5}];shield:horsehead2}</t>
  </si>
  <si>
    <t>https://watabou.github.io/city-generator/?name=Timbergro&amp;population=6916&amp;size=27&amp;seed=3550748350022&amp;river=0&amp;coast=0&amp;farms=0&amp;citadel=1&amp;urban_castle=1&amp;hub=false&amp;plaza=0&amp;temple=0&amp;walls=0&amp;shantytown=0&amp;gates=-1</t>
  </si>
  <si>
    <t>{t1:purpure;division:{division:perCross;t:or;line:indented};charges:[{charge:inescutcheon;t:argent;p:jlmo;divided:counter;size:0.6}];shield:horsehead2}</t>
  </si>
  <si>
    <t>https://watabou.github.io/city-generator/?name=Drakefair&amp;population=2200&amp;size=17&amp;seed=3550748350222&amp;river=1&amp;coast=0&amp;farms=1&amp;citadel=1&amp;urban_castle=1&amp;hub=false&amp;plaza=1&amp;temple=0&amp;walls=0&amp;shantytown=0&amp;gates=-1</t>
  </si>
  <si>
    <t>{t1:gules;division:{division:perFess;t:chainy-argent-sable-small;line:straight};charges:[{charge:crossPattee;t:or;p:k;size:0.7};{charge:anchor;t:azure;p:n;size:0.7}];shield:horsehead2}</t>
  </si>
  <si>
    <t>https://watabou.github.io/city-generator/?name=Pondhol&amp;population=23261&amp;size=43&amp;seed=3550748350247&amp;river=0&amp;coast=0&amp;farms=1&amp;citadel=0&amp;urban_castle=0&amp;hub=false&amp;plaza=0&amp;temple=1&amp;walls=1&amp;shantytown=0&amp;gates=-1</t>
  </si>
  <si>
    <t>{t1:vert;charges:[{charge:lozengeFaceted;t:or;p:abc;size:0.5}];shield:horsehead2}</t>
  </si>
  <si>
    <t>https://watabou.github.io/city-generator/?name=Brittvault&amp;population=19837&amp;size=40&amp;seed=3550748350283&amp;river=1&amp;coast=0&amp;farms=0&amp;citadel=0&amp;urban_castle=0&amp;hub=false&amp;plaza=0&amp;temple=0&amp;walls=0&amp;shantytown=0&amp;gates=-1</t>
  </si>
  <si>
    <t>{t1:argent;charges:[{charge:eagleTwoHeards;t:gules;p:e;size:1.5}];shield:horsehead2}</t>
  </si>
  <si>
    <t>https://watabou.github.io/city-generator/?name=Bearowbay&amp;population=1931&amp;size=17&amp;seed=3550748350453&amp;river=0&amp;coast=0&amp;farms=0&amp;citadel=1&amp;urban_castle=0&amp;hub=false&amp;plaza=0&amp;temple=0&amp;walls=0&amp;shantytown=0&amp;gates=-1</t>
  </si>
  <si>
    <t>{t1:or;ordinaries:[{ordinary:bordure;t:vert}];charges:[{charge:goutte;t:or;p:ABCDEFGHIJKL;size:0.18}];shield:horsehead2}</t>
  </si>
  <si>
    <t>https://watabou.github.io/city-generator/?name=Malhold&amp;population=2675&amp;size=19&amp;seed=3550748350603&amp;river=0&amp;coast=0&amp;farms=1&amp;citadel=1&amp;urban_castle=0&amp;hub=false&amp;plaza=0&amp;temple=0&amp;walls=0&amp;shantytown=0&amp;gates=-1</t>
  </si>
  <si>
    <t>{t1:vert;charges:[{charge:inescutcheon;t:argent;p:e;size:1.5};{charge:crossFitchy;t:sable;p:e;size:0.75}];shield:horsehead2}</t>
  </si>
  <si>
    <t>https://watabou.github.io/city-generator/?name=Sunrun&amp;population=2154&amp;size=17&amp;seed=3550748350761&amp;river=1&amp;coast=0&amp;farms=1&amp;citadel=0&amp;urban_castle=0&amp;hub=false&amp;plaza=0&amp;temple=0&amp;walls=0&amp;shantytown=0&amp;gates=-1</t>
  </si>
  <si>
    <t>{t1:pally-sable-or;division:{division:perBendSinister;t:argent;line:straight};ordinaries:[{ordinary:cross;t:gules;line:straight}];shield:horsehead2}</t>
  </si>
  <si>
    <t>https://watabou.github.io/city-generator/?name=Brimegcoast&amp;population=21754&amp;size=42&amp;seed=3550748350899&amp;river=0&amp;coast=0&amp;farms=0&amp;citadel=1&amp;urban_castle=0&amp;hub=false&amp;plaza=0&amp;temple=1&amp;walls=1&amp;shantytown=0&amp;gates=-1</t>
  </si>
  <si>
    <t>{t1:or;charges:[{charge:lute;t:purpure;p:e;size:1.5}];shield:horsehead2}</t>
  </si>
  <si>
    <t>https://watabou.github.io/city-generator/?name=Oatercoast&amp;population=9448&amp;size=30&amp;seed=3550748351015&amp;river=0&amp;coast=0&amp;farms=1&amp;citadel=0&amp;urban_castle=0&amp;hub=false&amp;plaza=0&amp;temple=0&amp;walls=0&amp;shantytown=0&amp;gates=-1</t>
  </si>
  <si>
    <t>{t1:vert;ordinaries:[{ordinary:cross;t:or;line:bevilled}];charges:[{charge:oak;t:azure;p:beh;size:0.3}];shield:horsehead2}</t>
  </si>
  <si>
    <t>https://watabou.github.io/village-generator/?pop=1875&amp;name=&amp;seed=3550748350260&amp;width=1600&amp;height=727&amp;tags=highway%2Cdense</t>
  </si>
  <si>
    <t>{t1:argent;division:{division:perBend;t:gules;line:straight};shield:horsehead2}</t>
  </si>
  <si>
    <t>https://watabou.github.io/city-generator/?name=Dewbaymond&amp;population=12334&amp;size=33&amp;seed=3550748350660&amp;river=0&amp;coast=0&amp;farms=0&amp;citadel=1&amp;urban_castle=1&amp;hub=false&amp;plaza=0&amp;temple=0&amp;walls=0&amp;shantytown=0&amp;gates=-1</t>
  </si>
  <si>
    <t>{t1:sable;charges:[{charge:stagsAttires;t:argent;p:e;size:1.5}];shield:roman}</t>
  </si>
  <si>
    <t>https://watabou.github.io/city-generator/?name=Mudfpasstal&amp;population=4936&amp;size=24&amp;seed=3550748350738&amp;river=0&amp;coast=0&amp;farms=1&amp;citadel=0&amp;urban_castle=0&amp;hub=false&amp;plaza=0&amp;temple=0&amp;walls=1&amp;shantytown=0&amp;gates=-1</t>
  </si>
  <si>
    <t>{t1:sable;ordinaries:[{ordinary:fess;t:or;line:straight}];charges:[{charge:eagle;t:vert;p:e;size:0.7}];shield:roman}</t>
  </si>
  <si>
    <t>https://watabou.github.io/city-generator/?name=Smallverne&amp;population=14884&amp;size=36&amp;seed=3550748350804&amp;river=1&amp;coast=0&amp;farms=1&amp;citadel=1&amp;urban_castle=1&amp;hub=false&amp;plaza=0&amp;temple=0&amp;walls=1&amp;shantytown=0&amp;gates=-1</t>
  </si>
  <si>
    <t>{t1:purpure;charges:[{charge:chain;t:or;p:jln;size:0.7}];shield:horsehead2}</t>
  </si>
  <si>
    <t>https://watabou.github.io/city-generator/?name=Mightfall&amp;population=5362&amp;size=24&amp;seed=3550748350924&amp;river=0&amp;coast=0&amp;farms=0&amp;citadel=1&amp;urban_castle=1&amp;hub=false&amp;plaza=0&amp;temple=0&amp;walls=0&amp;shantytown=0&amp;gates=-1</t>
  </si>
  <si>
    <t>Whitegulf</t>
  </si>
  <si>
    <t>{t1:chequy-gules-argent-small;charges:[{charge:anvil;t:or;p:e;size:1.5}];shield:roman}</t>
  </si>
  <si>
    <t>https://watabou.github.io/city-generator/?name=Whitegulf&amp;population=16601&amp;size=37&amp;seed=3550748350043&amp;river=0&amp;coast=0&amp;farms=1&amp;citadel=1&amp;urban_castle=0&amp;hub=false&amp;plaza=0&amp;temple=0&amp;walls=0&amp;shantytown=0&amp;gates=-1</t>
  </si>
  <si>
    <t>{t1:vert;charges:[{charge:rustre;t:argent;p:e;size:1.5}];shield:horsehead2}</t>
  </si>
  <si>
    <t>https://watabou.github.io/village-generator/?pop=1727&amp;name=&amp;seed=3550748350052&amp;width=1600&amp;height=727&amp;tags=dead+end%2Cuncultivated%2Cno+square%2Cdense</t>
  </si>
  <si>
    <t>{t1:sable;ordinaries:[{ordinary:pileInBendSinister;t:or}];charges:[{charge:inescutcheon;t:purpure;p:e;size:0.5};{charge:crossFleury;t:argent;p:e;size:0.25}];shield:horsehead2}</t>
  </si>
  <si>
    <t>https://watabou.github.io/city-generator/?name=Moonpasshi&amp;population=9554&amp;size=30&amp;seed=3550748350078&amp;river=0&amp;coast=0&amp;farms=0&amp;citadel=0&amp;urban_castle=0&amp;hub=false&amp;plaza=1&amp;temple=0&amp;walls=0&amp;shantytown=0&amp;gates=-1</t>
  </si>
  <si>
    <t>{t1:or;charges:[{charge:tree;t:azure;p:e;size:1.5}];shield:horsehead2}</t>
  </si>
  <si>
    <t>https://watabou.github.io/city-generator/?name=Wingmire&amp;population=3608&amp;size=21&amp;seed=3550748350122&amp;river=1&amp;coast=0&amp;farms=0&amp;citadel=1&amp;urban_castle=1&amp;hub=false&amp;plaza=1&amp;temple=0&amp;walls=0&amp;shantytown=0&amp;gates=-1</t>
  </si>
  <si>
    <t>{t1:argent;division:{division:perPale;t:vert;line:straight};ordinaries:[{ordinary:fess;t:azure;line:straight}];charges:[{charge:attire;t:azure;p:abcz;size:0.5}];shield:horsehead2}</t>
  </si>
  <si>
    <t>https://watabou.github.io/village-generator/?pop=1924&amp;name=&amp;seed=3550748350397&amp;width=1600&amp;height=727&amp;tags=dead+end%2Cuncultivated%2Cdense</t>
  </si>
  <si>
    <t>{t1:or;ordinaries:[{ordinary:cross;t:gules;line:wavy}];charges:[{charge:tower;t:or;p:behdf;size:0.3}];shield:horsehead2}</t>
  </si>
  <si>
    <t>https://watabou.github.io/city-generator/?name=Sungelrock&amp;population=17058&amp;size=38&amp;seed=3550748350493&amp;river=1&amp;coast=0&amp;farms=1&amp;citadel=1&amp;urban_castle=0&amp;hub=false&amp;plaza=0&amp;temple=0&amp;walls=0&amp;shantytown=0&amp;gates=-1</t>
  </si>
  <si>
    <t>{t1:gules;charges:[{charge:dragonPassant;t:argent;p:jeo;size:0.5}];shield:horsehead2}</t>
  </si>
  <si>
    <t>https://watabou.github.io/city-generator/?name=Houndford&amp;population=2220&amp;size=18&amp;seed=3550748350736&amp;river=0&amp;coast=0&amp;farms=0&amp;citadel=0&amp;urban_castle=0&amp;hub=false&amp;plaza=0&amp;temple=0&amp;walls=0&amp;shantytown=0&amp;gates=-1</t>
  </si>
  <si>
    <t>{t1:azure;charges:[{charge:snake;t:or;p:e;size:1.5}];shield:horsehead2}</t>
  </si>
  <si>
    <t>https://watabou.github.io/city-generator/?name=Bridtown&amp;population=13504&amp;size=35&amp;seed=3550748350803&amp;river=1&amp;coast=0&amp;farms=1&amp;citadel=0&amp;urban_castle=0&amp;hub=false&amp;plaza=1&amp;temple=0&amp;walls=0&amp;shantytown=0&amp;gates=-1</t>
  </si>
  <si>
    <t>{t1:gules;charges:[{charge:mallet;t:or;p:e;size:1.5}];shield:horsehead2}</t>
  </si>
  <si>
    <t>https://watabou.github.io/city-generator/?name=Mudfair&amp;population=10742&amp;size=32&amp;seed=3550748350849&amp;river=0&amp;coast=0&amp;farms=0&amp;citadel=1&amp;urban_castle=0&amp;hub=false&amp;plaza=0&amp;temple=0&amp;walls=0&amp;shantytown=0&amp;gates=-1</t>
  </si>
  <si>
    <t>{t1:or;charges:[{charge:key;t:purpure;p:abc;size:0.5}];shield:horsehead2}</t>
  </si>
  <si>
    <t>https://watabou.github.io/city-generator/?name=Mythspell&amp;population=13544&amp;size=35&amp;seed=3550748351012&amp;river=1&amp;coast=0&amp;farms=0&amp;citadel=0&amp;urban_castle=0&amp;hub=false&amp;plaza=1&amp;temple=0&amp;walls=1&amp;shantytown=0&amp;gates=-1</t>
  </si>
  <si>
    <t>{t1:chequy-or-azure;ordinaries:[{ordinary:bordure;t:sable}];charges:[{charge:lionRampant;t:gules;p:jleh;size:0.5}];shield:fantasy5}</t>
  </si>
  <si>
    <t>https://watabou.github.io/city-generator/?name=Heartmorest&amp;population=8500&amp;size=29&amp;seed=3550748350182&amp;river=1&amp;coast=0&amp;farms=1&amp;citadel=1&amp;urban_castle=1&amp;hub=false&amp;plaza=1&amp;temple=0&amp;walls=0&amp;shantytown=0&amp;gates=-1</t>
  </si>
  <si>
    <t>{t1:azure;charges:[{charge:chalice;t:or;p:e;size:1.5}];shield:hessen}</t>
  </si>
  <si>
    <t>https://watabou.github.io/city-generator/?name=Bear+Hall&amp;population=18184&amp;size=39&amp;seed=3550748350462&amp;river=0&amp;coast=1&amp;farms=1&amp;citadel=0&amp;urban_castle=0&amp;hub=false&amp;plaza=1&amp;temple=0&amp;walls=0&amp;shantytown=0&amp;gates=-1&amp;sea=1.57</t>
  </si>
  <si>
    <t>{t1:or;charges:[{charge:key;t:purpure;p:e;size:1.5}];shield:fantasy5}</t>
  </si>
  <si>
    <t>https://watabou.github.io/city-generator/?name=Mondbaymond&amp;population=11279&amp;size=32&amp;seed=3550748350734&amp;river=0&amp;coast=0&amp;farms=0&amp;citadel=0&amp;urban_castle=0&amp;hub=false&amp;plaza=0&amp;temple=0&amp;walls=1&amp;shantytown=0&amp;gates=-1</t>
  </si>
  <si>
    <t>{t1:argent;charges:[{charge:anvil;t:vert;p:e;size:1.5}];shield:horsehead2}</t>
  </si>
  <si>
    <t>https://watabou.github.io/city-generator/?name=Northfold+Manor&amp;population=23430&amp;size=43&amp;seed=3550748350492&amp;river=1&amp;coast=0&amp;farms=0&amp;citadel=1&amp;urban_castle=1&amp;hub=false&amp;plaza=1&amp;temple=0&amp;walls=1&amp;shantytown=0&amp;gates=-1</t>
  </si>
  <si>
    <t>{t1:sable;charges:[{charge:bearRampant;t:or;p:e;size:1.5}];shield:fantasy5}</t>
  </si>
  <si>
    <t>https://watabou.github.io/city-generator/?name=Oaledale&amp;population=18598&amp;size=39&amp;seed=3550748350047&amp;river=1&amp;coast=0&amp;farms=0&amp;citadel=0&amp;urban_castle=0&amp;hub=false&amp;plaza=0&amp;temple=0&amp;walls=1&amp;shantytown=0&amp;gates=-1</t>
  </si>
  <si>
    <t>{t1:or;charges:[{charge:crossHummetty;t:purpure;p:e;size:1.5}];shield:fantasy5}</t>
  </si>
  <si>
    <t>https://watabou.github.io/city-generator/?name=Mistmorest&amp;population=1773&amp;size=16&amp;seed=3550748350074&amp;river=1&amp;coast=0&amp;farms=1&amp;citadel=1&amp;urban_castle=1&amp;hub=false&amp;plaza=0&amp;temple=0&amp;walls=0&amp;shantytown=0&amp;gates=-1</t>
  </si>
  <si>
    <t>{t1:or;charges:[{charge:pot;t:sable;p:e;size:1.5}];shield:fantasy5}</t>
  </si>
  <si>
    <t>https://watabou.github.io/city-generator/?name=Shaledasinf&amp;population=4744&amp;size=23&amp;seed=3550748350115&amp;river=0&amp;coast=0&amp;farms=1&amp;citadel=1&amp;urban_castle=0&amp;hub=false&amp;plaza=0&amp;temple=0&amp;walls=0&amp;shantytown=0&amp;gates=-1</t>
  </si>
  <si>
    <t>{t1:bendy-or-gules;charges:[{charge:lionRampant;t:purpure;p:abc;size:0.5}];shield:fantasy5}</t>
  </si>
  <si>
    <t>https://watabou.github.io/city-generator/?name=Pearlpass&amp;population=23705&amp;size=43&amp;seed=3550748350376&amp;river=0&amp;coast=0&amp;farms=1&amp;citadel=1&amp;urban_castle=1&amp;hub=false&amp;plaza=1&amp;temple=0&amp;walls=0&amp;shantytown=0&amp;gates=-1</t>
  </si>
  <si>
    <t>{t1:or;charges:[{charge:sabre2;t:sable;p:jeo;size:0.5}];shield:ironHills}</t>
  </si>
  <si>
    <t>https://watabou.github.io/city-generator/?name=Nilbog&amp;population=2947&amp;size=20&amp;seed=3550748351044&amp;river=1&amp;coast=0&amp;farms=1&amp;citadel=0&amp;urban_castle=0&amp;hub=false&amp;plaza=1&amp;temple=0&amp;walls=0&amp;shantytown=0&amp;gates=-1</t>
  </si>
  <si>
    <t>27°F</t>
  </si>
  <si>
    <t>Okhotsk (Russia)</t>
  </si>
  <si>
    <t>{t1:vert;ordinaries:[{ordinary:chief;t:or;line:straight}];charges:[{charge:triangle;t:or;p:emo;size:0.5}];shield:round}</t>
  </si>
  <si>
    <t>https://watabou.github.io/city-generator/?name=Persterton&amp;population=1174&amp;size=14&amp;seed=3550748351047&amp;river=0&amp;coast=0&amp;farms=0&amp;citadel=0&amp;urban_castle=0&amp;hub=false&amp;plaza=0&amp;temple=0&amp;walls=1&amp;shantytown=0&amp;gates=-1</t>
  </si>
  <si>
    <t>32°F</t>
  </si>
  <si>
    <t>Murmansk</t>
  </si>
  <si>
    <t>{t1:sable;ordinaries:[{ordinary:chief;t:argent;line:straight}];charges:[{charge:mascle;t:azure;p:abc;size:0.5}];shield:ironHills}</t>
  </si>
  <si>
    <t>https://watabou.github.io/village-generator/?pop=1857&amp;name=&amp;seed=3550748351048&amp;width=1600&amp;height=727&amp;tags=dead+end%2Cuncultivated%2Cno+orchards%2Cno+square%2Cdense</t>
  </si>
  <si>
    <t>28°F</t>
  </si>
  <si>
    <t>Fairbanks (Alaska)</t>
  </si>
  <si>
    <t>{t1:vert;charges:[{charge:mullet;t:argent;p:abcpqh;size:0.5}];shield:ironHills}</t>
  </si>
  <si>
    <t>https://watabou.github.io/village-generator/?pop=1506&amp;name=&amp;seed=3550748351049&amp;width=1600&amp;height=727&amp;tags=dead+end%2Cuncultivated%2Cno+orchards%2Cno+square%2Cdense</t>
  </si>
  <si>
    <t>{t1:pally-or-gules;ordinaries:[{ordinary:pileInBendSinister;t:purpure}];shield:fantasy5}</t>
  </si>
  <si>
    <t>https://watabou.github.io/city-generator/?name=Draven&amp;population=3268&amp;size=20&amp;seed=3550748350103&amp;river=1&amp;coast=1&amp;farms=0&amp;citadel=1&amp;urban_castle=0&amp;hub=false&amp;plaza=0&amp;temple=0&amp;walls=1&amp;shantytown=0&amp;gates=-1&amp;sea=0.69</t>
  </si>
  <si>
    <t>{t1:or;division:{division:perChevronReversed;t:palyBendy-argent-vert;line:straight};charges:[{charge:crossGamma;t:sable;p:dfh;size:0.5}];shield:horsehead2}</t>
  </si>
  <si>
    <t>https://watabou.github.io/city-generator/?name=Quickwatch&amp;population=6128&amp;size=26&amp;seed=3550748350099&amp;river=1&amp;coast=0&amp;farms=1&amp;citadel=1&amp;urban_castle=0&amp;hub=false&amp;plaza=0&amp;temple=0&amp;walls=1&amp;shantytown=0&amp;gates=-1</t>
  </si>
  <si>
    <t>{t1:vert;ordinaries:[{ordinary:saltire;t:or;line:straight}];charges:[{charge:hatchet;t:vert;p:e;size:0.7}];shield:horsehead2}</t>
  </si>
  <si>
    <t>https://watabou.github.io/village-generator/?pop=1784&amp;name=&amp;seed=3550748350195&amp;width=1600&amp;height=727&amp;tags=highway%2Cuncultivated%2Cdense</t>
  </si>
  <si>
    <t>{t1:sable;division:{division:perPile;t:argent;line:potenty};charges:[{charge:key;t:or;p:abc;divided:counter;size:0.4}];shield:horsehead2}</t>
  </si>
  <si>
    <t>https://watabou.github.io/village-generator/?pop=1801&amp;name=&amp;seed=3550748350400&amp;width=1600&amp;height=727&amp;tags=highway%2Cuncultivated%2Cdense</t>
  </si>
  <si>
    <t>{t1:potentEnPointe-azure-or;division:{division:perFess;t:argent;line:straight};ordinaries:[{ordinary:fess;t:gules;line:straight}];shield:horsehead2}</t>
  </si>
  <si>
    <t>https://watabou.github.io/city-generator/?name=Houndreach&amp;population=3698&amp;size=21&amp;seed=3550748350504&amp;river=0&amp;coast=1&amp;farms=1&amp;citadel=1&amp;urban_castle=1&amp;hub=false&amp;plaza=0&amp;temple=0&amp;walls=0&amp;shantytown=0&amp;gates=-1&amp;sea=0.12</t>
  </si>
  <si>
    <t>{t1:purpure;division:{division:perCross;t:or;line:straight};charges:[{charge:eagle;t:argent;p:e;divided:counter;size:1.5}];shield:horsehead2}</t>
  </si>
  <si>
    <t>https://watabou.github.io/city-generator/?name=Roremice&amp;population=10379&amp;size=31&amp;seed=3550748350542&amp;river=0&amp;coast=0&amp;farms=1&amp;citadel=1&amp;urban_castle=1&amp;hub=false&amp;plaza=0&amp;temple=0&amp;walls=1&amp;shantytown=0&amp;gates=-1</t>
  </si>
  <si>
    <t>{t1:or;division:{division:perSaltire;t:azure};charges:[{charge:crescent;t:sable;p:bhdf;divided:counter;size:0.5}];shield:horsehead2}</t>
  </si>
  <si>
    <t>https://watabou.github.io/city-generator/?name=Dewgcoast&amp;population=22642&amp;size=42&amp;seed=3550748350852&amp;river=1&amp;coast=0&amp;farms=1&amp;citadel=1&amp;urban_castle=1&amp;hub=false&amp;plaza=0&amp;temple=1&amp;walls=1&amp;shantytown=0&amp;gates=-1</t>
  </si>
  <si>
    <t>{t1:semy_of_crescent-or-azure;division:{division:perCross;t:sable;line:straight};ordinaries:[{ordinary:pale;t:vert;line:straight}];shield:hessen}</t>
  </si>
  <si>
    <t>https://watabou.github.io/city-generator/?name=Banashel%27lalos&amp;population=5892&amp;size=25&amp;seed=3550748350039&amp;river=1&amp;coast=0&amp;farms=0&amp;citadel=1&amp;urban_castle=0&amp;hub=false&amp;plaza=0&amp;temple=0&amp;walls=0&amp;shantytown=0&amp;gates=-1</t>
  </si>
  <si>
    <t>{t1:azure;ordinaries:[{ordinary:bendlet;t:argent;line:archedReversed}];charges:[{charge:tree;t:purpure;p:joe;size:0.3}];shield:fantasy5}</t>
  </si>
  <si>
    <t>https://watabou.github.io/city-generator/?name=Bearsimeg&amp;population=1784&amp;size=16&amp;seed=3550748350121&amp;river=0&amp;coast=0&amp;farms=1&amp;citadel=1&amp;urban_castle=0&amp;hub=false&amp;plaza=0&amp;temple=0&amp;walls=0&amp;shantytown=0&amp;gates=-1</t>
  </si>
  <si>
    <t>{t1:gules;division:{division:perPile;t:or;line:straight};charges:[{charge:lozengeFaceted;t:argent;p:abc;divided:counter;size:0.4}];shield:fantasy5}</t>
  </si>
  <si>
    <t>https://watabou.github.io/city-generator/?name=Raterhall&amp;population=2083&amp;size=17&amp;seed=3550748350536&amp;river=0&amp;coast=0&amp;farms=1&amp;citadel=1&amp;urban_castle=1&amp;hub=false&amp;plaza=0&amp;temple=0&amp;walls=0&amp;shantytown=0&amp;gates=-1</t>
  </si>
  <si>
    <t>{t1:argent;ordinaries:[{ordinary:terrace;t:vert;line:straight}];charges:[{charge:axe;t:gules;p:bdf;size:0.5}];shield:hessen}</t>
  </si>
  <si>
    <t>https://watabou.github.io/city-generator/?name=Nauthmorcane&amp;population=12031&amp;size=33&amp;seed=3550748350751&amp;river=0&amp;coast=0&amp;farms=1&amp;citadel=1&amp;urban_castle=0&amp;hub=false&amp;plaza=0&amp;temple=0&amp;walls=0&amp;shantytown=0&amp;gates=-1</t>
  </si>
  <si>
    <t>{t1:or;ordinaries:[{ordinary:saltire;t:gules;line:embattledGrady}];shield:horsehead2}</t>
  </si>
  <si>
    <t>https://watabou.github.io/city-generator/?name=Westle&amp;population=19230&amp;size=40&amp;seed=3550748350178&amp;river=0&amp;coast=1&amp;farms=1&amp;citadel=1&amp;urban_castle=1&amp;hub=false&amp;plaza=1&amp;temple=0&amp;walls=1&amp;shantytown=0&amp;gates=-1&amp;sea=1.65</t>
  </si>
  <si>
    <t>{t1:azure;ordinaries:[{ordinary:cross;t:argent;line:straight}];charges:[{charge:crosier;t:azure;p:behdf;size:0.3}];shield:horsehead2}</t>
  </si>
  <si>
    <t>https://watabou.github.io/city-generator/?name=Grideborn&amp;population=1850&amp;size=16&amp;seed=3550748350315&amp;river=0&amp;coast=0&amp;farms=0&amp;citadel=1&amp;urban_castle=0&amp;hub=false&amp;plaza=0&amp;temple=0&amp;walls=0&amp;shantytown=0&amp;gates=-1</t>
  </si>
  <si>
    <t>{t1:azure;division:{division:perPale;t:argent;line:nebuly};charges:[{charge:crosslet;t:or;p:p;size:0.7};{charge:griffinRampant;t:vert;p:q;size:0.7}];shield:horsehead2}</t>
  </si>
  <si>
    <t>https://watabou.github.io/village-generator/?pop=1974&amp;name=&amp;seed=3550748350522&amp;width=1600&amp;height=727&amp;tags=dead+end%2Cuncultivated%2Cdense</t>
  </si>
  <si>
    <t>{t1:lozengy-or-sable;charges:[{charge:lute;t:gules;p:e;size:1.5}];shield:horsehead2}</t>
  </si>
  <si>
    <t>https://watabou.github.io/city-generator/?name=Rusthtown&amp;population=16602&amp;size=37&amp;seed=3550748350624&amp;river=0&amp;coast=0&amp;farms=1&amp;citadel=1&amp;urban_castle=1&amp;hub=false&amp;plaza=1&amp;temple=0&amp;walls=0&amp;shantytown=0&amp;gates=-1</t>
  </si>
  <si>
    <t>{t1:gules;charges:[{charge:helmet;t:or;p:e;size:1.5}];shield:horsehead2}</t>
  </si>
  <si>
    <t>https://watabou.github.io/city-generator/?name=Mondbaypond&amp;population=2093&amp;size=17&amp;seed=3550748350873&amp;river=0&amp;coast=0&amp;farms=1&amp;citadel=0&amp;urban_castle=0&amp;hub=false&amp;plaza=0&amp;temple=0&amp;walls=1&amp;shantytown=0&amp;gates=-1</t>
  </si>
  <si>
    <t>{t1:gules;charges:[{charge:bugleHorn2;t:argent;p:e;size:1.5}];shield:horsehead2}</t>
  </si>
  <si>
    <t>https://watabou.github.io/city-generator/?name=Griteshield&amp;population=1705&amp;size=16&amp;seed=3550748350086&amp;river=1&amp;coast=0&amp;farms=1&amp;citadel=1&amp;urban_castle=1&amp;hub=false&amp;plaza=0&amp;temple=0&amp;walls=0&amp;shantytown=0&amp;gates=-1</t>
  </si>
  <si>
    <t>{t1:vair-azure-argent;division:{division:perBendSinister;t:or;line:straight};ordinaries:[{ordinary:saltireParted;t:vert;line:straight}];shield:horsehead2}</t>
  </si>
  <si>
    <t>https://watabou.github.io/city-generator/?name=Blackfeather+Hall&amp;population=4134&amp;size=22&amp;seed=3550748350108&amp;river=0&amp;coast=1&amp;farms=0&amp;citadel=1&amp;urban_castle=1&amp;hub=false&amp;plaza=0&amp;temple=0&amp;walls=0&amp;shantytown=0&amp;gates=-1&amp;sea=1.06</t>
  </si>
  <si>
    <t>{t1:azure;charges:[{charge:crescent;t:argent;p:beh;size:0.5}];shield:horsehead2}</t>
  </si>
  <si>
    <t>https://watabou.github.io/village-generator/?pop=1856&amp;name=&amp;seed=3550748350209&amp;width=1600&amp;height=727&amp;tags=river%2Chighway%2Cno+square%2Cdense</t>
  </si>
  <si>
    <t>Applecross</t>
  </si>
  <si>
    <t>{t1:argent;ordinaries:[{ordinary:chief;t:vert;line:potentyDexter}];charges:[{charge:cancer;t:argent;p:b;size:0.5}];shield:horsehead2}</t>
  </si>
  <si>
    <t>https://watabou.github.io/city-generator/?name=Applecross&amp;population=4057&amp;size=22&amp;seed=3550748350210&amp;river=0&amp;coast=1&amp;farms=1&amp;citadel=0&amp;urban_castle=0&amp;hub=false&amp;plaza=0&amp;temple=0&amp;walls=0&amp;shantytown=0&amp;gates=-1&amp;sea=0.22</t>
  </si>
  <si>
    <t>{t1:fusily-or-gules;division:{division:perFess;t:vert;line:straight};ordinaries:[{ordinary:cross;t:sable;line:straight}];shield:horsehead2}</t>
  </si>
  <si>
    <t>https://watabou.github.io/city-generator/?name=Earthtligh&amp;population=13225&amp;size=34&amp;seed=3550748350646&amp;river=1&amp;coast=0&amp;farms=1&amp;citadel=0&amp;urban_castle=0&amp;hub=false&amp;plaza=0&amp;temple=0&amp;walls=0&amp;shantytown=0&amp;gates=-1</t>
  </si>
  <si>
    <t>{t1:azure;charges:[{charge:griffinPassant;t:argent;p:e;size:1.5}];shield:fantasy2}</t>
  </si>
  <si>
    <t>https://watabou.github.io/city-generator/?name=Rordgoz&amp;population=1849&amp;size=16&amp;seed=3550748351046&amp;river=0&amp;coast=0&amp;farms=0&amp;citadel=1&amp;urban_castle=1&amp;hub=false&amp;plaza=0&amp;temple=0&amp;walls=1&amp;shantytown=0&amp;gates=-1</t>
  </si>
  <si>
    <t>{t1:argent;charges:[{charge:bullPassant;t:azure;p:e;size:1.5}];shield:fantasy5}</t>
  </si>
  <si>
    <t>https://watabou.github.io/city-generator/?name=Shadowtown&amp;population=2159&amp;size=17&amp;seed=3550748350538&amp;river=0&amp;coast=1&amp;farms=1&amp;citadel=1&amp;urban_castle=1&amp;hub=false&amp;plaza=0&amp;temple=0&amp;walls=0&amp;shantytown=0&amp;gates=-1&amp;sea=0.32</t>
  </si>
  <si>
    <t>{t1:purpure;ordinaries:[{ordinary:saltire;t:argent;line:invecked}];charges:[{charge:crossFleury;t:vert;p:e;size:0.7}];shield:horsehead2}</t>
  </si>
  <si>
    <t>https://watabou.github.io/city-generator/?name=Lastspell&amp;population=15815&amp;size=37&amp;seed=3550748350735&amp;river=1&amp;coast=0&amp;farms=0&amp;citadel=1&amp;urban_castle=0&amp;hub=false&amp;plaza=0&amp;temple=0&amp;walls=1&amp;shantytown=0&amp;gates=-1</t>
  </si>
  <si>
    <t>{t1:azure;division:{division:perFess;t:or;line:straight};ordinaries:[{ordinary:cross;t:argent;line:straight;divided:counter}];shield:horsehead2}</t>
  </si>
  <si>
    <t>https://watabou.github.io/city-generator/?name=Snagonb&amp;population=18741&amp;size=39&amp;seed=3550748350953&amp;river=0&amp;coast=0&amp;farms=0&amp;citadel=0&amp;urban_castle=0&amp;hub=false&amp;plaza=0&amp;temple=0&amp;walls=0&amp;shantytown=0&amp;gates=-1</t>
  </si>
  <si>
    <t>{t1:azure;ordinaries:[{ordinary:pale;t:argent;line:straight}];charges:[{charge:crossArrowed;t:purpure;p:beh;size:0.5}];shield:horsehead2}</t>
  </si>
  <si>
    <t>https://watabou.github.io/city-generator/?name=Shurestar&amp;population=10356&amp;size=31&amp;seed=3550748350984&amp;river=0&amp;coast=0&amp;farms=0&amp;citadel=0&amp;urban_castle=0&amp;hub=false&amp;plaza=0&amp;temple=0&amp;walls=0&amp;shantytown=0&amp;gates=-1</t>
  </si>
  <si>
    <t>{t1:or;charges:[{charge:escallop;t:gules;p:e;size:1.5}];shield:fantasy5}</t>
  </si>
  <si>
    <t>https://watabou.github.io/city-generator/?name=Sirong&amp;population=29657&amp;size=47&amp;seed=3550748350070&amp;river=0&amp;coast=1&amp;farms=0&amp;citadel=1&amp;urban_castle=1&amp;hub=false&amp;plaza=0&amp;temple=0&amp;walls=0&amp;shantytown=0&amp;gates=-1&amp;sea=0.79</t>
  </si>
  <si>
    <t>{t1:azure;charges:[{charge:bugleHorn;t:or;p:e;size:1.5}];shield:fantasy5}</t>
  </si>
  <si>
    <t>https://watabou.github.io/city-generator/?name=Boceans&amp;population=5387&amp;size=24&amp;seed=3550748350396&amp;river=1&amp;coast=0&amp;farms=1&amp;citadel=1&amp;urban_castle=1&amp;hub=false&amp;plaza=0&amp;temple=0&amp;walls=0&amp;shantytown=0&amp;gates=-1</t>
  </si>
  <si>
    <t>{t1:azure;charges:[{charge:lionRampant;t:argent;p:e;size:1.5}];shield:fantasy5}</t>
  </si>
  <si>
    <t>https://watabou.github.io/city-generator/?name=Swangarmire&amp;population=24215&amp;size=43&amp;seed=3550748350923&amp;river=0&amp;coast=0&amp;farms=1&amp;citadel=0&amp;urban_castle=0&amp;hub=false&amp;plaza=1&amp;temple=1&amp;walls=1&amp;shantytown=0&amp;gates=-1</t>
  </si>
  <si>
    <t>{t1:azure;ordinaries:[{ordinary:pale;t:argent;line:dentilly}];charges:[{charge:pique;t:azure;p:beh;size:0.5}];shield:ironHills}</t>
  </si>
  <si>
    <t>https://watabou.github.io/city-generator/?name=Slutiarm&amp;population=20004&amp;size=40&amp;seed=3550748351039&amp;river=0&amp;coast=0&amp;farms=0&amp;citadel=1&amp;urban_castle=0&amp;hub=false&amp;plaza=1&amp;temple=0&amp;walls=1&amp;shantytown=1&amp;gates=-1</t>
  </si>
  <si>
    <t>30°F</t>
  </si>
  <si>
    <t>Nuuk (Greenland)</t>
  </si>
  <si>
    <t>{t1:azure;division:{division:perCross;t:bendy-or-azure;line:straight};charges:[{charge:mullet;t:argent;p:e;size:1.5}];shield:fantasy2}</t>
  </si>
  <si>
    <t>https://watabou.github.io/city-generator/?name=Khuld&amp;population=1472&amp;size=15&amp;seed=3550748351043&amp;river=0&amp;coast=0&amp;farms=0&amp;citadel=1&amp;urban_castle=0&amp;hub=false&amp;plaza=0&amp;temple=0&amp;walls=0&amp;shantytown=0&amp;gates=-1</t>
  </si>
  <si>
    <t>{t1:purpure;division:{division:chevronny;t:argent};ordinaries:[{ordinary:pale;t:or;line:rayonne}];charges:[{charge:mascle;t:gules;p:e;size:0.7}];shield:fantasy5}</t>
  </si>
  <si>
    <t>https://watabou.github.io/city-generator/?name=Alhas&amp;population=3360&amp;size=20&amp;seed=3550748350019&amp;river=1&amp;coast=1&amp;farms=0&amp;citadel=1&amp;urban_castle=0&amp;hub=false&amp;plaza=0&amp;temple=0&amp;walls=1&amp;shantytown=0&amp;gates=-1&amp;sea=1.23</t>
  </si>
  <si>
    <t>{t1:gules;charges:[{charge:lionRampant;t:argent;p:def;size:0.5}];shield:fantasy5}</t>
  </si>
  <si>
    <t>https://watabou.github.io/city-generator/?name=Rorestle&amp;population=1788&amp;size=16&amp;seed=3550748350246&amp;river=0&amp;coast=0&amp;farms=1&amp;citadel=1&amp;urban_castle=1&amp;hub=false&amp;plaza=0&amp;temple=0&amp;walls=1&amp;shantytown=0&amp;gates=-1</t>
  </si>
  <si>
    <t>{t1:gules;charges:[{charge:crossMaltese;t:argent;p:e;size:1.5}];shield:fantasy5}</t>
  </si>
  <si>
    <t>https://watabou.github.io/city-generator/?name=Scorchill&amp;population=2212&amp;size=18&amp;seed=3550748350282&amp;river=0&amp;coast=0&amp;farms=0&amp;citadel=1&amp;urban_castle=1&amp;hub=false&amp;plaza=1&amp;temple=0&amp;walls=0&amp;shantytown=0&amp;gates=-1</t>
  </si>
  <si>
    <t>{t1:argent;charges:[{charge:goat;t:azure;p:e;size:1.5}];shield:fantasy5}</t>
  </si>
  <si>
    <t>https://watabou.github.io/city-generator/?name=Storewell&amp;population=11612&amp;size=33&amp;seed=3550748350563&amp;river=0&amp;coast=0&amp;farms=1&amp;citadel=0&amp;urban_castle=0&amp;hub=false&amp;plaza=1&amp;temple=0&amp;walls=0&amp;shantytown=0&amp;gates=-1</t>
  </si>
  <si>
    <t>{t1:argent;ordinaries:[{ordinary:cross;t:azure;line:dancetty}];charges:[{charge:castle;t:argent;p:behdf;size:0.3}];shield:fantasy5}</t>
  </si>
  <si>
    <t>https://watabou.github.io/city-generator/?name=Dawngview&amp;population=11051&amp;size=32&amp;seed=3550748350780&amp;river=1&amp;coast=0&amp;farms=0&amp;citadel=1&amp;urban_castle=1&amp;hub=false&amp;plaza=0&amp;temple=0&amp;walls=1&amp;shantytown=0&amp;gates=-1</t>
  </si>
  <si>
    <t>{t1:argent;charges:[{charge:horseshoe;t:gules;p:jln;size:0.7}];shield:fantasy5}</t>
  </si>
  <si>
    <t>https://watabou.github.io/city-generator/?name=Lostswindge&amp;population=2156&amp;size=17&amp;seed=3550748350848&amp;river=0&amp;coast=0&amp;farms=1&amp;citadel=1&amp;urban_castle=1&amp;hub=false&amp;plaza=1&amp;temple=0&amp;walls=0&amp;shantytown=0&amp;gates=-1</t>
  </si>
  <si>
    <t>{t1:gules;charges:[{charge:castle;t:or;p:e;size:1.5}];shield:horsehead2}</t>
  </si>
  <si>
    <t>https://watabou.github.io/city-generator/?name=Dogport&amp;population=14433&amp;size=36&amp;seed=3550748350058&amp;river=0&amp;coast=0&amp;farms=1&amp;citadel=1&amp;urban_castle=1&amp;hub=false&amp;plaza=1&amp;temple=0&amp;walls=0&amp;shantytown=0&amp;gates=-1</t>
  </si>
  <si>
    <t>{t1:azure;charges:[{charge:crossBiparted;t:argent;p:e;size:1.5}];shield:horsehead2}</t>
  </si>
  <si>
    <t>https://watabou.github.io/city-generator/?name=Swangeld&amp;population=13762&amp;size=35&amp;seed=3550748350541&amp;river=0&amp;coast=0&amp;farms=0&amp;citadel=1&amp;urban_castle=0&amp;hub=false&amp;plaza=0&amp;temple=0&amp;walls=1&amp;shantytown=0&amp;gates=-1</t>
  </si>
  <si>
    <t>{t1:vair-azure-argent;charges:[{charge:lochaberAxe;t:or;p:e;size:1.5}];shield:horsehead2}</t>
  </si>
  <si>
    <t>https://watabou.github.io/city-generator/?name=Wildcall&amp;population=24844&amp;size=44&amp;seed=3550748350141&amp;river=0&amp;coast=0&amp;farms=0&amp;citadel=0&amp;urban_castle=0&amp;hub=false&amp;plaza=1&amp;temple=1&amp;walls=1&amp;shantytown=0&amp;gates=-1</t>
  </si>
  <si>
    <t>{t1:gules;division:{division:perPale;t:argent;line:wavy};charges:[{charge:lute;t:or;p:jo;divided:counter;size:0.7}];shield:horsehead2}</t>
  </si>
  <si>
    <t>https://watabou.github.io/city-generator/?name=Borehelmber&amp;population=10757&amp;size=32&amp;seed=3550748350305&amp;river=0&amp;coast=0&amp;farms=1&amp;citadel=1&amp;urban_castle=0&amp;hub=false&amp;plaza=1&amp;temple=0&amp;walls=1&amp;shantytown=0&amp;gates=-1</t>
  </si>
  <si>
    <t>{t1:argent;division:{division:perChevron;t:vert;line:straight};ordinaries:[{ordinary:bordure;t:azure}];shield:horsehead2}</t>
  </si>
  <si>
    <t>https://watabou.github.io/city-generator/?name=Lastshell&amp;population=10701&amp;size=32&amp;seed=3550748350434&amp;river=0&amp;coast=0&amp;farms=0&amp;citadel=1&amp;urban_castle=1&amp;hub=false&amp;plaza=1&amp;temple=0&amp;walls=0&amp;shantytown=0&amp;gates=-1</t>
  </si>
  <si>
    <t>{t1:vair-azure-argent;division:{division:perBendSinister;t:bendy-or-purpure-smaller;line:straight};charges:[{charge:bugleHorn;t:sable;p:e;size:1.5}];shield:horsehead2}</t>
  </si>
  <si>
    <t>https://watabou.github.io/city-generator/?name=Belldyard&amp;population=2101&amp;size=17&amp;seed=3550748350682&amp;river=0&amp;coast=0&amp;farms=0&amp;citadel=1&amp;urban_castle=1&amp;hub=false&amp;plaza=0&amp;temple=0&amp;walls=0&amp;shantytown=0&amp;gates=-1</t>
  </si>
  <si>
    <t>{t1:vairAncien-argent-purpure;charges:[{charge:griffinRampant;t:azure;p:e;size:1.5}];shield:horsehead2}</t>
  </si>
  <si>
    <t>https://watabou.github.io/city-generator/?name=Silcairn&amp;population=19306&amp;size=40&amp;seed=3550748350737&amp;river=0&amp;coast=0&amp;farms=0&amp;citadel=1&amp;urban_castle=0&amp;hub=false&amp;plaza=1&amp;temple=0&amp;walls=0&amp;shantytown=0&amp;gates=-1</t>
  </si>
  <si>
    <t>{t1:vert;charges:[{charge:chain;t:argent;p:e;size:1.5}];shield:horsehead2}</t>
  </si>
  <si>
    <t>https://watabou.github.io/city-generator/?name=Bronholrock&amp;population=3795&amp;size=21&amp;seed=3550748350759&amp;river=0&amp;coast=0&amp;farms=0&amp;citadel=1&amp;urban_castle=0&amp;hub=false&amp;plaza=0&amp;temple=0&amp;walls=0&amp;shantytown=0&amp;gates=-1</t>
  </si>
  <si>
    <t>{t1:argent;charges:[{charge:heart;t:vert;p:def;size:0.5}];shield:roman}</t>
  </si>
  <si>
    <t>https://watabou.github.io/city-generator/?name=Cademire&amp;population=14383&amp;size=36&amp;seed=3550748350087&amp;river=0&amp;coast=1&amp;farms=1&amp;citadel=1&amp;urban_castle=0&amp;hub=false&amp;plaza=0&amp;temple=0&amp;walls=1&amp;shantytown=0&amp;gates=-1&amp;sea=0.18</t>
  </si>
  <si>
    <t>{t1:azure;ordinaries:[{ordinary:fess;t:argent;line:rayonne}];charges:[{charge:lymphad;t:argent;p:abc;size:0.5}];shield:horsehead2}</t>
  </si>
  <si>
    <t>https://watabou.github.io/city-generator/?name=Clifgasinf&amp;population=2932&amp;size=19&amp;seed=3550748350378&amp;river=0&amp;coast=1&amp;farms=1&amp;citadel=0&amp;urban_castle=0&amp;hub=false&amp;plaza=0&amp;temple=0&amp;walls=0&amp;shantytown=0&amp;gates=-1&amp;sea=1.85</t>
  </si>
  <si>
    <t>{t1:argent;ordinaries:[{ordinary:gyron;t:gules}];charges:[{charge:key;t:purpure;p:bh;size:0.5}];shield:horsehead2}</t>
  </si>
  <si>
    <t>https://watabou.github.io/city-generator/?name=Houndtownfo&amp;population=6371&amp;size=26&amp;seed=3550748350805&amp;river=1&amp;coast=0&amp;farms=1&amp;citadel=1&amp;urban_castle=0&amp;hub=false&amp;plaza=0&amp;temple=0&amp;walls=1&amp;shantytown=0&amp;gates=-1</t>
  </si>
  <si>
    <t>{t1:vairEnPointe-azure-argent-big;ordinaries:[{ordinary:flaunches;t:or}];charges:[{charge:mullet4;t:or;p:beh;size:0.5}];shield:roman}</t>
  </si>
  <si>
    <t>https://watabou.github.io/city-generator/?name=Swanhall&amp;population=19219&amp;size=40&amp;seed=3550748350926&amp;river=0&amp;coast=1&amp;farms=1&amp;citadel=1&amp;urban_castle=1&amp;hub=false&amp;plaza=1&amp;temple=0&amp;walls=1&amp;shantytown=0&amp;gates=-1&amp;sea=0.81</t>
  </si>
  <si>
    <t>{t1:azure;ordinaries:[{ordinary:fess;t:argent;line:straight}];charges:[{charge:crossBurgundy;t:azure;p:def;size:0.5}];shield:fantasy5}</t>
  </si>
  <si>
    <t>https://watabou.github.io/city-generator/?name=Clifrostle&amp;population=5619&amp;size=25&amp;seed=3550748350449&amp;river=0&amp;coast=0&amp;farms=1&amp;citadel=0&amp;urban_castle=0&amp;hub=false&amp;plaza=0&amp;temple=0&amp;walls=0&amp;shantytown=0&amp;gates=-1</t>
  </si>
  <si>
    <t>{t1:azure;charges:[{charge:lionRampant;t:or;p:e;size:1.5}];shield:fantasy5}</t>
  </si>
  <si>
    <t>https://watabou.github.io/city-generator/?name=Steamhorn&amp;population=16032&amp;size=37&amp;seed=3550748350564&amp;river=0&amp;coast=0&amp;farms=1&amp;citadel=1&amp;urban_castle=1&amp;hub=false&amp;plaza=0&amp;temple=0&amp;walls=0&amp;shantytown=0&amp;gates=-1</t>
  </si>
  <si>
    <t>{t1:gules;division:{division:perFess;t:or;line:straight};charges:[{charge:inescutcheon;t:argent;p:e;size:1.5};{charge:mulletPierced;t:azure;p:e;size:0.75}];shield:fantasy5}</t>
  </si>
  <si>
    <t>https://watabou.github.io/city-generator/?name=Swiftme&amp;population=15417&amp;size=36&amp;seed=3550748350847&amp;river=1&amp;coast=0&amp;farms=1&amp;citadel=1&amp;urban_castle=0&amp;hub=false&amp;plaza=0&amp;temple=0&amp;walls=0&amp;shantytown=0&amp;gates=-1</t>
  </si>
  <si>
    <t>{t1:pally-azure-argent;charges:[{charge:wheel;t:or;p:e;size:1.5}];shield:horsehead2}</t>
  </si>
  <si>
    <t>https://watabou.github.io/city-generator/?name=Pearldfair&amp;population=7044&amp;size=27&amp;seed=3550748350117&amp;river=0&amp;coast=1&amp;farms=0&amp;citadel=0&amp;urban_castle=0&amp;hub=false&amp;plaza=1&amp;temple=0&amp;walls=0&amp;shantytown=0&amp;gates=-1&amp;sea=1.93</t>
  </si>
  <si>
    <t>{t1:vert;ordinaries:[{ordinary:label;t:argent}];shield:horsehead2}</t>
  </si>
  <si>
    <t>https://watabou.github.io/city-generator/?name=Deepmoor&amp;population=1923&amp;size=17&amp;seed=3550748350454&amp;river=0&amp;coast=0&amp;farms=0&amp;citadel=1&amp;urban_castle=1&amp;hub=false&amp;plaza=0&amp;temple=0&amp;walls=0&amp;shantytown=0&amp;gates=-1</t>
  </si>
  <si>
    <t>{t1:lozengy-or-azure;division:{division:perCross;t:vert;line:straight};charges:[{charge:key;t:purpure;p:j;size:0.6};{charge:serpent;t:or;p:l;size:0.6};{charge:horseshoe;t:argent;p:m;size:0.6};{charge:lozengePloye;t:purpure;p:o;size:0.6}];shield:horsehead2}</t>
  </si>
  <si>
    <t>https://watabou.github.io/city-generator/?name=Wilvernyard&amp;population=9340&amp;size=30&amp;seed=3550748350464&amp;river=0&amp;coast=0&amp;farms=1&amp;citadel=1&amp;urban_castle=1&amp;hub=false&amp;plaza=0&amp;temple=0&amp;walls=0&amp;shantytown=0&amp;gates=-1</t>
  </si>
  <si>
    <t>{t1:argent;division:{division:perPale;t:sable;line:straight};charges:[{charge:anvil;t:azure;p:e;divided:counter;size:1.5}];shield:horsehead2}</t>
  </si>
  <si>
    <t>https://watabou.github.io/city-generator/?name=Mythsplain&amp;population=17983&amp;size=39&amp;seed=3550748350494&amp;river=0&amp;coast=0&amp;farms=0&amp;citadel=1&amp;urban_castle=1&amp;hub=false&amp;plaza=1&amp;temple=0&amp;walls=0&amp;shantytown=0&amp;gates=-1</t>
  </si>
  <si>
    <t>{t1:bendy-or-purpure;division:{division:perPale;t:gules;line:straight};ordinaries:[{ordinary:bendSinister;t:sable;line:straight}];shield:fantasy5}</t>
  </si>
  <si>
    <t>https://watabou.github.io/city-generator/?name=Thornwell&amp;population=3288&amp;size=20&amp;seed=3550748351041&amp;river=0&amp;coast=0&amp;farms=0&amp;citadel=1&amp;urban_castle=0&amp;hub=false&amp;plaza=0&amp;temple=0&amp;walls=0&amp;shantytown=0&amp;gates=-1</t>
  </si>
  <si>
    <t>{t1:gules;ordinaries:[{ordinary:bend;t:argent;line:wavy}];charges:[{charge:axe;t:purpure;p:jo;size:0.7}];shield:fantasy5}</t>
  </si>
  <si>
    <t>https://watabou.github.io/city-generator/?name=Brimegrore&amp;population=3294&amp;size=20&amp;seed=3550748351042&amp;river=0&amp;coast=0&amp;farms=0&amp;citadel=0&amp;urban_castle=0&amp;hub=false&amp;plaza=1&amp;temple=0&amp;walls=1&amp;shantytown=0&amp;gates=-1</t>
  </si>
  <si>
    <t>{t1:argent;charges:[{charge:bow;t:azure;p:e;size:1.5}];shield:fantasy5}</t>
  </si>
  <si>
    <t>https://watabou.github.io/city-generator/?name=Newtown&amp;population=3250&amp;size=20&amp;seed=3550748351045&amp;river=1&amp;coast=0&amp;farms=1&amp;citadel=1&amp;urban_castle=0&amp;hub=false&amp;plaza=1&amp;temple=0&amp;walls=0&amp;shantytown=0&amp;gates=-1</t>
  </si>
  <si>
    <t>{t1:semy_of_crossGamma-vert-or;charges:[{charge:dolphin;t:argent;p:e;size:1.5}];shield:horsehead2}</t>
  </si>
  <si>
    <t>https://watabou.github.io/city-generator/?name=Clearmire&amp;population=5319&amp;size=24&amp;seed=3550748350281&amp;river=0&amp;coast=0&amp;farms=0&amp;citadel=1&amp;urban_castle=0&amp;hub=false&amp;plaza=0&amp;temple=0&amp;walls=0&amp;shantytown=0&amp;gates=-1</t>
  </si>
  <si>
    <t>{t1:azure;charges:[{charge:crossClechy;t:argent;p:abcpqh;size:0.5}];shield:horsehead2}</t>
  </si>
  <si>
    <t>https://watabou.github.io/city-generator/?name=The+Shield&amp;population=26830&amp;size=45&amp;seed=3550748350692&amp;river=1&amp;coast=0&amp;farms=1&amp;citadel=1&amp;urban_castle=1&amp;hub=false&amp;plaza=1&amp;temple=1&amp;walls=1&amp;shantytown=1&amp;gates=-1</t>
  </si>
  <si>
    <t>{t1:argent;charges:[{charge:crossFleury;t:gules;p:e;size:1.5}];shield:horsehead2}</t>
  </si>
  <si>
    <t>https://watabou.github.io/city-generator/?name=Dogport&amp;population=2286&amp;size=18&amp;seed=3550748350979&amp;river=0&amp;coast=0&amp;farms=0&amp;citadel=0&amp;urban_castle=0&amp;hub=false&amp;plaza=0&amp;temple=0&amp;walls=0&amp;shantytown=0&amp;gates=-1</t>
  </si>
  <si>
    <t>25°F</t>
  </si>
  <si>
    <t>Yellowknife (Canada)</t>
  </si>
  <si>
    <t>{t1:gules;charges:[{charge:lionRampant;t:or;p:e;size:1.5}];shield:round}</t>
  </si>
  <si>
    <t>https://watabou.github.io/village-generator/?pop=1115&amp;name=&amp;seed=3550748351040&amp;width=1400&amp;height=636&amp;tags=highway%2Cuncultivated%2Cno+orchards%2Cno+square%2Cdense</t>
  </si>
  <si>
    <t>{t1:sable;charges:[{charge:inescutcheon;t:argent;p:e;size:1.5};{charge:wolfHeadErased;t:gules;p:e;size:0.75}];shield:fantasy5}</t>
  </si>
  <si>
    <t>https://watabou.github.io/city-generator/?name=Feargarun&amp;population=6268&amp;size=26&amp;seed=3550748350584&amp;river=0&amp;coast=0&amp;farms=1&amp;citadel=0&amp;urban_castle=0&amp;hub=false&amp;plaza=0&amp;temple=0&amp;walls=0&amp;shantytown=0&amp;gates=-1</t>
  </si>
  <si>
    <t>{t1:purpure;charges:[{charge:goat;t:argent;p:e;size:1.5}];shield:hessen}</t>
  </si>
  <si>
    <t>https://watabou.github.io/city-generator/?name=Lirelona&amp;population=4459&amp;size=23&amp;seed=3550748350587&amp;river=0&amp;coast=0&amp;farms=1&amp;citadel=0&amp;urban_castle=0&amp;hub=false&amp;plaza=1&amp;temple=0&amp;walls=0&amp;shantytown=0&amp;gates=-1</t>
  </si>
  <si>
    <t>{t1:azure;charges:[{charge:buckle;t:or;p:beh;size:0.5}];shield:fantasy5}</t>
  </si>
  <si>
    <t>https://watabou.github.io/city-generator/?name=Snowstorm&amp;population=12238&amp;size=33&amp;seed=3550748350720&amp;river=0&amp;coast=0&amp;farms=1&amp;citadel=0&amp;urban_castle=0&amp;hub=false&amp;plaza=0&amp;temple=0&amp;walls=0&amp;shantytown=0&amp;gates=-1</t>
  </si>
  <si>
    <t>{t1:purpure;ordinaries:[{ordinary:pile;t:or}];shield:fantasy5}</t>
  </si>
  <si>
    <t>https://watabou.github.io/city-generator/?name=Scorcross&amp;population=17781&amp;size=38&amp;seed=3550748350853&amp;river=0&amp;coast=0&amp;farms=1&amp;citadel=0&amp;urban_castle=0&amp;hub=false&amp;plaza=0&amp;temple=0&amp;walls=1&amp;shantytown=0&amp;gates=-1</t>
  </si>
  <si>
    <t>{t1:argent;ordinaries:[{ordinary:cross;t:vert;line:straight}];charges:[{charge:trefle;t:argent;p:behdf;size:0.3}];shield:fantasy5}</t>
  </si>
  <si>
    <t>https://watabou.github.io/city-generator/?name=Drymond&amp;population=16708&amp;size=38&amp;seed=3550748350956&amp;river=0&amp;coast=0&amp;farms=1&amp;citadel=0&amp;urban_castle=0&amp;hub=false&amp;plaza=0&amp;temple=0&amp;walls=0&amp;shantytown=0&amp;gates=-1</t>
  </si>
  <si>
    <t>{t1:argent;ordinaries:[{ordinary:bendlet;t:gules;line:dancetty}];charges:[{charge:inescutcheon;t:argent;p:joe;size:0.3};{charge:eagleTwoHeards;t:gules;p:joe;size:0.15}];shield:hessen}</t>
  </si>
  <si>
    <t>https://watabou.github.io/city-generator/?name=Vhalthin&amp;population=2535&amp;size=18&amp;seed=3550748350987&amp;river=1&amp;coast=0&amp;farms=1&amp;citadel=0&amp;urban_castle=0&amp;hub=false&amp;plaza=1&amp;temple=0&amp;walls=0&amp;shantytown=0&amp;gates=-1</t>
  </si>
  <si>
    <t>{t1:or;division:{division:perPale;t:vert;line:straight};charges:[{charge:crown;t:sable;p:p;size:0.7};{charge:raven;t:argent;p:q;size:0.7}];shield:fantasy5}</t>
  </si>
  <si>
    <t>https://watabou.github.io/city-generator/?name=Deadford&amp;population=6982&amp;size=27&amp;seed=3550748351014&amp;river=0&amp;coast=0&amp;farms=1&amp;citadel=1&amp;urban_castle=1&amp;hub=false&amp;plaza=1&amp;temple=0&amp;walls=0&amp;shantytown=0&amp;gates=-1</t>
  </si>
  <si>
    <t>{t1:sable;ordinaries:[{ordinary:bendSinister;t:argent;line:raguly}];charges:[{charge:crossLatin;t:sable;p:lem;size:0.5}];shield:fantasy5}</t>
  </si>
  <si>
    <t>https://watabou.github.io/city-generator/?name=Eagportford&amp;population=14971&amp;size=36&amp;seed=3550748350192&amp;river=0&amp;coast=0&amp;farms=1&amp;citadel=1&amp;urban_castle=1&amp;hub=false&amp;plaza=1&amp;temple=0&amp;walls=1&amp;shantytown=0&amp;gates=-1</t>
  </si>
  <si>
    <t>{t1:gules;charges:[{charge:billet;t:argent;p:e;size:1.5}];shield:hessen}</t>
  </si>
  <si>
    <t>https://watabou.github.io/city-generator/?name=Vinh&amp;population=9267&amp;size=30&amp;seed=3550748350326&amp;river=0&amp;coast=1&amp;farms=1&amp;citadel=0&amp;urban_castle=0&amp;hub=false&amp;plaza=0&amp;temple=0&amp;walls=0&amp;shantytown=0&amp;gates=-1&amp;sea=0.99</t>
  </si>
  <si>
    <t>{t1:azure;division:{division:perCross;t:argent;line:straight};charges:[{charge:lozengeFaceted;t:or;p:j;size:0.6};{charge:lute;t:sable;p:l;size:0.6};{charge:eagleTwoHeards;t:purpure;p:m;size:0.6};{charge:inescutcheon;t:argent;p:o;size:0.6}];shield:horsehead2}</t>
  </si>
  <si>
    <t>https://watabou.github.io/city-generator/?name=Westlehorn&amp;population=1956&amp;size=17&amp;seed=3550748350100&amp;river=0&amp;coast=0&amp;farms=1&amp;citadel=1&amp;urban_castle=1&amp;hub=false&amp;plaza=0&amp;temple=0&amp;walls=0&amp;shantytown=0&amp;gates=-1</t>
  </si>
  <si>
    <t>{t1:or;charges:[{charge:bugleHorn;t:azure;p:e;size:1.5}];shield:horsehead2}</t>
  </si>
  <si>
    <t>https://watabou.github.io/city-generator/?name=Clifrost&amp;population=1634&amp;size=16&amp;seed=3550748350263&amp;river=0&amp;coast=0&amp;farms=0&amp;citadel=1&amp;urban_castle=0&amp;hub=false&amp;plaza=1&amp;temple=0&amp;walls=0&amp;shantytown=0&amp;gates=-1</t>
  </si>
  <si>
    <t>Stones Horn</t>
  </si>
  <si>
    <t>{t1:azure;charges:[{charge:stagsAttires;t:or;p:e;size:1.5}];shield:horsehead2}</t>
  </si>
  <si>
    <t>https://watabou.github.io/city-generator/?name=Stones+Horn&amp;population=1811&amp;size=16&amp;seed=3550748350401&amp;river=0&amp;coast=0&amp;farms=0&amp;citadel=1&amp;urban_castle=0&amp;hub=false&amp;plaza=1&amp;temple=0&amp;walls=0&amp;shantytown=0&amp;gates=-1</t>
  </si>
  <si>
    <t>{t1:purpure;charges:[{charge:crossHummetty;t:argent;p:jln;size:0.7}];shield:horsehead2}</t>
  </si>
  <si>
    <t>https://watabou.github.io/city-generator/?name=Shameverun&amp;population=14779&amp;size=36&amp;seed=3550748350782&amp;river=0&amp;coast=0&amp;farms=1&amp;citadel=0&amp;urban_castle=0&amp;hub=false&amp;plaza=0&amp;temple=0&amp;walls=1&amp;shantytown=0&amp;gates=-1</t>
  </si>
  <si>
    <t>{t1:argent;division:{division:perPale;t:barry-gules-or;line:straight};charges:[{charge:crossMaltese;t:azure;p:p;size:0.7};{charge:roundel;t:purpure;p:q;size:0.7}];shield:horsehead2}</t>
  </si>
  <si>
    <t>https://watabou.github.io/city-generator/?name=Cadeband&amp;population=8105&amp;size=29&amp;seed=3550748350135&amp;river=0&amp;coast=0&amp;farms=1&amp;citadel=0&amp;urban_castle=0&amp;hub=false&amp;plaza=1&amp;temple=0&amp;walls=0&amp;shantytown=0&amp;gates=-1</t>
  </si>
  <si>
    <t>{t1:azure;ordinaries:[{ordinary:cross;t:argent;line:wavy}];charges:[{charge:inescutcheon;t:sable;p:behdf;size:0.3};{charge:sabre2;t:or;p:behdf;size:0.15}];shield:horsehead2}</t>
  </si>
  <si>
    <t>https://watabou.github.io/city-generator/?name=Shaterse&amp;population=2831&amp;size=19&amp;seed=3550748350236&amp;river=0&amp;coast=1&amp;farms=1&amp;citadel=1&amp;urban_castle=1&amp;hub=false&amp;plaza=1&amp;temple=0&amp;walls=1&amp;shantytown=0&amp;gates=-1&amp;sea=1.57</t>
  </si>
  <si>
    <t>{t1:bendySinister-azure-or;division:{division:perPale;t:palyBendy-argent-gules;line:straight};charges:[{charge:carreau;t:purpure;p:p;size:0.7};{charge:bell;t:purpure;p:q;size:0.7}];shield:horsehead2}</t>
  </si>
  <si>
    <t>https://watabou.github.io/city-generator/?name=Deercross&amp;population=2192&amp;size=17&amp;seed=3550748350261&amp;river=1&amp;coast=0&amp;farms=1&amp;citadel=1&amp;urban_castle=0&amp;hub=false&amp;plaza=0&amp;temple=0&amp;walls=1&amp;shantytown=0&amp;gates=-1</t>
  </si>
  <si>
    <t>{t1:or;charges:[{charge:mallet;t:sable;p:e;size:1.5}];shield:horsehead2}</t>
  </si>
  <si>
    <t>https://watabou.github.io/city-generator/?name=Earthilld&amp;population=1968&amp;size=17&amp;seed=3550748350783&amp;river=0&amp;coast=0&amp;farms=1&amp;citadel=1&amp;urban_castle=0&amp;hub=false&amp;plaza=0&amp;temple=0&amp;walls=0&amp;shantytown=0&amp;gates=-1</t>
  </si>
  <si>
    <t>Kogvic</t>
  </si>
  <si>
    <t>Brughird</t>
  </si>
  <si>
    <t>Brughird City-state</t>
  </si>
  <si>
    <t>Murlaykan</t>
  </si>
  <si>
    <t>59°F</t>
  </si>
  <si>
    <t>Rome</t>
  </si>
  <si>
    <t>{t1:argent;charges:[{charge:cannon;t:purpure;p:def;size:0.5}];shield:fantasy2}</t>
  </si>
  <si>
    <t>https://watabou.github.io/city-generator/?name=Kogvic&amp;population=38425&amp;size=52&amp;seed=3550748350677&amp;river=0&amp;coast=0&amp;farms=1&amp;citadel=1&amp;urban_castle=0&amp;hub=false&amp;plaza=1&amp;temple=0&amp;walls=1&amp;shantytown=1&amp;gates=-1</t>
  </si>
  <si>
    <t>{t1:purpure;ordinaries:[{ordinary:point;t:or}];charges:[{charge:crescent;t:argent;p:e;size:1.5}];shield:fantasy2}</t>
  </si>
  <si>
    <t>https://watabou.github.io/city-generator/?name=Brughird&amp;population=6589&amp;size=26&amp;seed=3550748350843&amp;river=0&amp;coast=1&amp;farms=1&amp;citadel=0&amp;urban_castle=0&amp;hub=false&amp;plaza=1&amp;temple=0&amp;walls=1&amp;shantytown=0&amp;gates=-1&amp;sea=0.64</t>
  </si>
  <si>
    <t>Golonuur</t>
  </si>
  <si>
    <t>Depeli</t>
  </si>
  <si>
    <t>Depelian City-state</t>
  </si>
  <si>
    <t>54°F</t>
  </si>
  <si>
    <t>Paris</t>
  </si>
  <si>
    <t>{t1:purpure;charges:[{charge:sword;t:argent;p:jeo;size:0.5}];shield:easterling}</t>
  </si>
  <si>
    <t>https://watabou.github.io/city-generator/?name=Golonuur&amp;population=10208&amp;size=31&amp;seed=3550748350251&amp;river=0&amp;coast=0&amp;farms=1&amp;citadel=1&amp;urban_castle=0&amp;hub=false&amp;plaza=1&amp;temple=0&amp;walls=1&amp;shantytown=0&amp;gates=-1</t>
  </si>
  <si>
    <t>Gagdror</t>
  </si>
  <si>
    <t>55°F</t>
  </si>
  <si>
    <t>Milan</t>
  </si>
  <si>
    <t>{t1:gules;charges:[{charge:bowWithArrow;t:or;p:jln;size:0.7}];shield:fantasy2}</t>
  </si>
  <si>
    <t>https://watabou.github.io/city-generator/?name=Gagdror&amp;population=2945&amp;size=20&amp;seed=3550748350888&amp;river=0&amp;coast=0&amp;farms=1&amp;citadel=1&amp;urban_castle=1&amp;hub=false&amp;plaza=0&amp;temple=0&amp;walls=1&amp;shantytown=0&amp;gates=-1</t>
  </si>
  <si>
    <t>Khishar</t>
  </si>
  <si>
    <t>{t1:azure;division:{division:perPale;t:or;line:engrailed};charges:[{charge:anchor;t:argent;p:p;size:0.7};{charge:lionRampant;t:sable;p:q;size:0.7}];shield:easterling}</t>
  </si>
  <si>
    <t>https://watabou.github.io/city-generator/?name=Khishar&amp;population=3372&amp;size=21&amp;seed=3550748350947&amp;river=0&amp;coast=1&amp;farms=0&amp;citadel=1&amp;urban_castle=0&amp;hub=false&amp;plaza=1&amp;temple=0&amp;walls=1&amp;shantytown=0&amp;gates=-1&amp;sea=0.98</t>
  </si>
  <si>
    <t>Drezulb</t>
  </si>
  <si>
    <t>Dereri</t>
  </si>
  <si>
    <t>City-state of Dereri</t>
  </si>
  <si>
    <t>Shroutumnism</t>
  </si>
  <si>
    <t>57°F</t>
  </si>
  <si>
    <t>Batumi</t>
  </si>
  <si>
    <t>{t1:argent;division:{division:perPale;t:gules;line:straight};charges:[{charge:mullet10;t:sable;p:e;divided:counter;size:1.5}];shield:fantasy2}</t>
  </si>
  <si>
    <t>https://watabou.github.io/city-generator/?name=Drezulb&amp;population=1574&amp;size=15&amp;seed=3550748350175&amp;river=0&amp;coast=0&amp;farms=1&amp;citadel=1&amp;urban_castle=0&amp;hub=false&amp;plaza=0&amp;temple=0&amp;walls=0&amp;shantytown=0&amp;gates=-1</t>
  </si>
  <si>
    <t>Drozedh</t>
  </si>
  <si>
    <t>{t1:chequy-argent-gules-small;charges:[{charge:eagle;t:azure;p:pq;size:0.7}];shield:fantasy2}</t>
  </si>
  <si>
    <t>https://watabou.github.io/city-generator/?name=Drozedh&amp;population=19383&amp;size=40&amp;seed=3550748350865&amp;river=0&amp;coast=0&amp;farms=1&amp;citadel=1&amp;urban_castle=0&amp;hub=false&amp;plaza=1&amp;temple=0&amp;walls=1&amp;shantytown=0&amp;gates=-1</t>
  </si>
  <si>
    <t>Yamangurte</t>
  </si>
  <si>
    <t>{t1:azure;charges:[{charge:mullet6;t:or;p:jln;size:0.7}];shield:round}</t>
  </si>
  <si>
    <t>https://watabou.github.io/city-generator/?name=Yamangurte&amp;population=3183&amp;size=20&amp;seed=3550748350972&amp;river=0&amp;coast=1&amp;farms=1&amp;citadel=0&amp;urban_castle=0&amp;hub=false&amp;plaza=0&amp;temple=0&amp;walls=0&amp;shantytown=0&amp;gates=-1&amp;sea=0.11</t>
  </si>
  <si>
    <t>Dilentcairn</t>
  </si>
  <si>
    <t>Eagmeasin</t>
  </si>
  <si>
    <t>Principality of Eagmeasin</t>
  </si>
  <si>
    <t>{t1:sable;ordinaries:[{ordinary:cross;t:or;line:straight}];charges:[{charge:eagleTwoHeards;t:azure;p:beh;size:0.3}];shield:roman}</t>
  </si>
  <si>
    <t>https://watabou.github.io/city-generator/?name=Dilentcairn&amp;population=7775&amp;size=28&amp;seed=3550748350016&amp;river=0&amp;coast=1&amp;farms=1&amp;citadel=0&amp;urban_castle=0&amp;hub=false&amp;plaza=0&amp;temple=0&amp;walls=0&amp;shantytown=0&amp;gates=-1&amp;sea=0.32</t>
  </si>
  <si>
    <t>Krod</t>
  </si>
  <si>
    <t>50°F</t>
  </si>
  <si>
    <t>London</t>
  </si>
  <si>
    <t>{t1:chequy-argent-purpure;ordinaries:[{ordinary:chief;t:gules;line:straight}];charges:[{charge:fleurDeLis;t:or;p:b;size:0.5}];shield:fantasy2}</t>
  </si>
  <si>
    <t>https://watabou.github.io/city-generator/?name=Krod&amp;population=3712&amp;size=21&amp;seed=3550748350041&amp;river=0&amp;coast=0&amp;farms=1&amp;citadel=1&amp;urban_castle=0&amp;hub=false&amp;plaza=0&amp;temple=0&amp;walls=0&amp;shantytown=0&amp;gates=-1</t>
  </si>
  <si>
    <t>Ret'erzur</t>
  </si>
  <si>
    <t>{t1:purpure;ordinaries:[{ordinary:chevron;t:or}];charges:[{charge:goutte;t:or;p:ach;size:0.5}];shield:horsehead2}</t>
  </si>
  <si>
    <t>https://watabou.github.io/city-generator/?name=Ret%27erzur&amp;population=1592&amp;size=16&amp;seed=3550748350048&amp;river=0&amp;coast=0&amp;farms=0&amp;citadel=0&amp;urban_castle=0&amp;hub=false&amp;plaza=0&amp;temple=0&amp;walls=1&amp;shantytown=0&amp;gates=-1</t>
  </si>
  <si>
    <t>Dhodh</t>
  </si>
  <si>
    <t>{t1:or;ordinaries:[{ordinary:bend;t:azure;line:rayonne}];charges:[{charge:roundel;t:azure;p:c;size:0.5}];shield:fantasy2}</t>
  </si>
  <si>
    <t>https://watabou.github.io/village-generator/?pop=1661&amp;name=&amp;seed=3550748350051&amp;width=1600&amp;height=727&amp;tags=river%2Cdead+end%2Cdense</t>
  </si>
  <si>
    <t>Golder</t>
  </si>
  <si>
    <t>63°F</t>
  </si>
  <si>
    <t>Lisbon</t>
  </si>
  <si>
    <t>{t1:or;division:{division:perSaltire;t:purpure};charges:[{charge:inescutcheon;t:azure;p:ABCDEFGHIJKL;divided:counter;size:0.18}];shield:roman}</t>
  </si>
  <si>
    <t>https://watabou.github.io/city-generator/?name=Golder&amp;population=1660&amp;size=16&amp;seed=3550748350057&amp;river=0&amp;coast=0&amp;farms=1&amp;citadel=1&amp;urban_castle=0&amp;hub=false&amp;plaza=1&amp;temple=0&amp;walls=1&amp;shantytown=0&amp;gates=-1</t>
  </si>
  <si>
    <t>Kilderwich</t>
  </si>
  <si>
    <t>{t1:sable;charges:[{charge:mullet6Pierced;t:argent;p:jleh;size:0.5}];shield:roman}</t>
  </si>
  <si>
    <t>https://watabou.github.io/village-generator/?pop=1543&amp;name=&amp;seed=3550748350061&amp;width=1600&amp;height=727&amp;tags=highway%2Cno+square%2Cdense</t>
  </si>
  <si>
    <t>Direpond</t>
  </si>
  <si>
    <t>{t1:sable;charges:[{charge:lionHeadCaboshed;t:or;p:jln;size:0.7}];shield:roman}</t>
  </si>
  <si>
    <t>https://watabou.github.io/city-generator/?name=Direpond&amp;population=1546&amp;size=15&amp;seed=3550748350083&amp;river=1&amp;coast=0&amp;farms=1&amp;citadel=1&amp;urban_castle=0&amp;hub=false&amp;plaza=0&amp;temple=0&amp;walls=0&amp;shantytown=0&amp;gates=-1</t>
  </si>
  <si>
    <t>Silwharf</t>
  </si>
  <si>
    <t>52°F</t>
  </si>
  <si>
    <t>Antwerp</t>
  </si>
  <si>
    <t>{t1:purpure;division:{division:perChevron;t:or;line:straight};charges:[{charge:inescutcheon;t:argent;p:dfbh;size:0.5};{charge:boat;t:purpure;p:dfbh;size:0.25}];shield:roman}</t>
  </si>
  <si>
    <t>https://watabou.github.io/city-generator/?name=Silwharf&amp;population=2353&amp;size=18&amp;seed=3550748350085&amp;river=1&amp;coast=0&amp;farms=1&amp;citadel=0&amp;urban_castle=0&amp;hub=false&amp;plaza=0&amp;temple=0&amp;walls=0&amp;shantytown=0&amp;gates=-1</t>
  </si>
  <si>
    <t>Craglenmond</t>
  </si>
  <si>
    <t>{t1:sable;charges:[{charge:billet;t:or;p:bhdf;size:0.5}];shield:roman}</t>
  </si>
  <si>
    <t>https://watabou.github.io/city-generator/?name=Craglenmond&amp;population=11494&amp;size=33&amp;seed=3550748350093&amp;river=1&amp;coast=0&amp;farms=1&amp;citadel=1&amp;urban_castle=0&amp;hub=false&amp;plaza=1&amp;temple=0&amp;walls=1&amp;shantytown=0&amp;gates=-1</t>
  </si>
  <si>
    <t>Laikasrub</t>
  </si>
  <si>
    <t>{t1:barry-argent-vert;division:{division:perPale;t:azure;line:straight};ordinaries:[{ordinary:mount;t:sable}];shield:horsehead2}</t>
  </si>
  <si>
    <t>https://watabou.github.io/city-generator/?name=Laikasrub&amp;population=21171&amp;size=41&amp;seed=3550748350104&amp;river=1&amp;coast=0&amp;farms=1&amp;citadel=0&amp;urban_castle=0&amp;hub=false&amp;plaza=1&amp;temple=0&amp;walls=1&amp;shantytown=0&amp;gates=-1</t>
  </si>
  <si>
    <t>Claybarne</t>
  </si>
  <si>
    <t>{t1:argent;charges:[{charge:eagleTwoHeards;t:gules;p:jln;size:0.7}];shield:roman}</t>
  </si>
  <si>
    <t>https://watabou.github.io/city-generator/?name=Claybarne&amp;population=3083&amp;size=20&amp;seed=3550748350105&amp;river=0&amp;coast=0&amp;farms=1&amp;citadel=0&amp;urban_castle=0&amp;hub=false&amp;plaza=0&amp;temple=0&amp;walls=1&amp;shantytown=0&amp;gates=-1</t>
  </si>
  <si>
    <t>Zeki</t>
  </si>
  <si>
    <t>{t1:sable;charges:[{charge:boat;t:argent;p:e;size:1.5}];shield:horsehead2}</t>
  </si>
  <si>
    <t>https://watabou.github.io/city-generator/?name=Zeki&amp;population=11733&amp;size=33&amp;seed=3550748350116&amp;river=0&amp;coast=0&amp;farms=0&amp;citadel=1&amp;urban_castle=1&amp;hub=false&amp;plaza=1&amp;temple=0&amp;walls=1&amp;shantytown=0&amp;gates=-1</t>
  </si>
  <si>
    <t>Rorough</t>
  </si>
  <si>
    <t>{t1:sable;ordinaries:[{ordinary:fessDoubleCotissed;t:or;line:straight}];shield:roman}</t>
  </si>
  <si>
    <t>https://watabou.github.io/city-generator/?name=Rorough&amp;population=15115&amp;size=36&amp;seed=3550748350123&amp;river=0&amp;coast=0&amp;farms=1&amp;citadel=1&amp;urban_castle=0&amp;hub=false&amp;plaza=0&amp;temple=0&amp;walls=1&amp;shantytown=0&amp;gates=-1</t>
  </si>
  <si>
    <t>Ribogku</t>
  </si>
  <si>
    <t>64°F</t>
  </si>
  <si>
    <t>Barcelona</t>
  </si>
  <si>
    <t>{t1:or;charges:[{charge:deerHeadCaboshed;t:sable;p:e;size:1.5}];shield:fantasy2}</t>
  </si>
  <si>
    <t>https://watabou.github.io/city-generator/?name=Ribogku&amp;population=12163&amp;size=33&amp;seed=3550748350139&amp;river=0&amp;coast=0&amp;farms=1&amp;citadel=1&amp;urban_castle=0&amp;hub=false&amp;plaza=1&amp;temple=0&amp;walls=1&amp;shantytown=0&amp;gates=-1</t>
  </si>
  <si>
    <t>Aredkror</t>
  </si>
  <si>
    <t>{t1:gules;ordinaries:[{ordinary:chevronReversed;t:or}];charges:[{charge:crossPotent;t:or;p:b;size:0.5}];shield:fantasy2}</t>
  </si>
  <si>
    <t>https://watabou.github.io/city-generator/?name=Aredkror&amp;population=5646&amp;size=25&amp;seed=3550748350151&amp;river=0&amp;coast=0&amp;farms=1&amp;citadel=0&amp;urban_castle=0&amp;hub=false&amp;plaza=1&amp;temple=0&amp;walls=0&amp;shantytown=0&amp;gates=-1</t>
  </si>
  <si>
    <t>Shimwalhand</t>
  </si>
  <si>
    <t>{t1:gules;division:{division:gyronny;t:argent};ordinaries:[{ordinary:quarter;t:or}];charges:[{charge:mullet6;t:purpure;p:j;size:0.5}];shield:roman}</t>
  </si>
  <si>
    <t>https://watabou.github.io/city-generator/?name=Shimwalhand&amp;population=1669&amp;size=16&amp;seed=3550748350158&amp;river=0&amp;coast=0&amp;farms=1&amp;citadel=1&amp;urban_castle=1&amp;hub=false&amp;plaza=0&amp;temple=0&amp;walls=0&amp;shantytown=0&amp;gates=-1</t>
  </si>
  <si>
    <t>Rhokri</t>
  </si>
  <si>
    <t>{t1:fretty-argent-azure;division:{division:perPale;t:sable;line:straight};ordinaries:[{ordinary:bordure;t:purpure}];shield:horsehead2}</t>
  </si>
  <si>
    <t>https://watabou.github.io/city-generator/?name=Rhokri&amp;population=12723&amp;size=34&amp;seed=3550748350166&amp;river=0&amp;coast=0&amp;farms=0&amp;citadel=1&amp;urban_castle=1&amp;hub=false&amp;plaza=0&amp;temple=0&amp;walls=0&amp;shantytown=0&amp;gates=-1</t>
  </si>
  <si>
    <t>{t1:purpure;charges:[{charge:lamb;t:argent;p:e;size:1.5}];shield:fantasy2}</t>
  </si>
  <si>
    <t>https://watabou.github.io/city-generator/?name=Khuld&amp;population=6527&amp;size=26&amp;seed=3550748350180&amp;river=0&amp;coast=0&amp;farms=1&amp;citadel=1&amp;urban_castle=1&amp;hub=false&amp;plaza=1&amp;temple=0&amp;walls=0&amp;shantytown=0&amp;gates=-1</t>
  </si>
  <si>
    <t>Lastpoint</t>
  </si>
  <si>
    <t>{t1:sable;ordinaries:[{ordinary:pale;t:argent;line:nowyReversed}];charges:[{charge:escallop;t:sable;p:beh;size:0.5}];shield:roman}</t>
  </si>
  <si>
    <t>https://watabou.github.io/city-generator/?name=Lastpoint&amp;population=5408&amp;size=25&amp;seed=3550748350181&amp;river=1&amp;coast=0&amp;farms=1&amp;citadel=0&amp;urban_castle=0&amp;hub=false&amp;plaza=0&amp;temple=0&amp;walls=0&amp;shantytown=0&amp;gates=-1</t>
  </si>
  <si>
    <t>Pondsdrift</t>
  </si>
  <si>
    <t>{t1:argent;charges:[{charge:inescutcheon;t:azure;p:e;size:1.5};{charge:billet;t:argent;p:e;size:0.75}];shield:roman}</t>
  </si>
  <si>
    <t>https://watabou.github.io/city-generator/?name=Pondsdrift&amp;population=2589&amp;size=19&amp;seed=3550748350183&amp;river=0&amp;coast=1&amp;farms=1&amp;citadel=0&amp;urban_castle=0&amp;hub=false&amp;plaza=1&amp;temple=0&amp;walls=0&amp;shantytown=0&amp;gates=-1&amp;sea=0.18</t>
  </si>
  <si>
    <t>Kral</t>
  </si>
  <si>
    <t>{t1:argent;charges:[{charge:porcupine;t:gules;p:e;size:1.5}];shield:horsehead2}</t>
  </si>
  <si>
    <t>https://watabou.github.io/city-generator/?name=Kral&amp;population=17664&amp;size=38&amp;seed=3550748350193&amp;river=0&amp;coast=0&amp;farms=1&amp;citadel=1&amp;urban_castle=0&amp;hub=false&amp;plaza=0&amp;temple=0&amp;walls=1&amp;shantytown=0&amp;gates=-1</t>
  </si>
  <si>
    <t>Zigzel</t>
  </si>
  <si>
    <t>{t1:argent;division:{division:perPale;t:azure;line:nowyReversed};charges:[{charge:mascle;t:purpure;p:p;size:0.7};{charge:wyvernWithWingsDisplayed;t:or;p:q;size:0.7}];shield:fantasy2}</t>
  </si>
  <si>
    <t>https://watabou.github.io/city-generator/?name=Zigzel&amp;population=7276&amp;size=27&amp;seed=3550748350213&amp;river=0&amp;coast=0&amp;farms=1&amp;citadel=0&amp;urban_castle=0&amp;hub=false&amp;plaza=0&amp;temple=0&amp;walls=0&amp;shantytown=0&amp;gates=-1</t>
  </si>
  <si>
    <t>Little</t>
  </si>
  <si>
    <t>{t1:argent;charges:[{charge:mullet;t:azure;p:jeo;size:0.5}];shield:roman}</t>
  </si>
  <si>
    <t>https://watabou.github.io/city-generator/?name=Little&amp;population=1675&amp;size=16&amp;seed=3550748350219&amp;river=0&amp;coast=0&amp;farms=1&amp;citadel=0&amp;urban_castle=0&amp;hub=false&amp;plaza=0&amp;temple=0&amp;walls=1&amp;shantytown=0&amp;gates=-1</t>
  </si>
  <si>
    <t>Smallver</t>
  </si>
  <si>
    <t>{t1:or;charges:[{charge:triangle;t:gules;p:ABCDEFGHIJKL;size:0.18}];shield:roman}</t>
  </si>
  <si>
    <t>https://watabou.github.io/city-generator/?name=Smallver&amp;population=1538&amp;size=15&amp;seed=3550748350221&amp;river=0&amp;coast=0&amp;farms=1&amp;citadel=1&amp;urban_castle=0&amp;hub=false&amp;plaza=1&amp;temple=0&amp;walls=0&amp;shantytown=0&amp;gates=-1</t>
  </si>
  <si>
    <t>Ratecall</t>
  </si>
  <si>
    <t>{t1:argent;division:{division:perChevronReversed;t:fusily-gules-or;line:straight};charges:[{charge:inescutcheon;t:purpure;p:dfh;size:0.5};{charge:billet;t:or;p:dfh;size:0.25}];shield:roman}</t>
  </si>
  <si>
    <t>https://watabou.github.io/city-generator/?name=Ratecall&amp;population=1610&amp;size=16&amp;seed=3550748350243&amp;river=0&amp;coast=0&amp;farms=1&amp;citadel=1&amp;urban_castle=0&amp;hub=false&amp;plaza=0&amp;temple=0&amp;walls=0&amp;shantytown=0&amp;gates=-1</t>
  </si>
  <si>
    <t>Eldemouth</t>
  </si>
  <si>
    <t>{t1:argent;ordinaries:[{ordinary:bordure;t:azure;line:potentySinister}];shield:roman}</t>
  </si>
  <si>
    <t>https://watabou.github.io/city-generator/?name=Eldemouth&amp;population=14387&amp;size=36&amp;seed=3550748350253&amp;river=0&amp;coast=0&amp;farms=1&amp;citadel=1&amp;urban_castle=0&amp;hub=false&amp;plaza=1&amp;temple=0&amp;walls=0&amp;shantytown=0&amp;gates=-1</t>
  </si>
  <si>
    <t>Zaccol</t>
  </si>
  <si>
    <t>{t1:azure;charges:[{charge:dragonPassant;t:argent;p:abcpqh;size:0.5}];shield:fantasy2}</t>
  </si>
  <si>
    <t>https://watabou.github.io/village-generator/?pop=1784&amp;name=&amp;seed=3550748350258&amp;width=1600&amp;height=727&amp;tags=highway%2Cno+square%2Cdense</t>
  </si>
  <si>
    <t>Deerbrook</t>
  </si>
  <si>
    <t>{t1:azure;ordinaries:[{ordinary:bend;t:argent;line:raguly}];shield:roman}</t>
  </si>
  <si>
    <t>https://watabou.github.io/city-generator/?name=Deerbrook&amp;population=1715&amp;size=16&amp;seed=3550748350292&amp;river=0&amp;coast=0&amp;farms=0&amp;citadel=0&amp;urban_castle=0&amp;hub=false&amp;plaza=0&amp;temple=0&amp;walls=1&amp;shantytown=0&amp;gates=-1</t>
  </si>
  <si>
    <t>Yis'zes</t>
  </si>
  <si>
    <t>{t1:lozengy-azure-or-smaller;ordinaries:[{ordinary:mount;t:argent}];shield:horsehead2}</t>
  </si>
  <si>
    <t>https://watabou.github.io/city-generator/?name=Yis%27zes&amp;population=4961&amp;size=24&amp;seed=3550748350294&amp;river=1&amp;coast=0&amp;farms=1&amp;citadel=0&amp;urban_castle=0&amp;hub=false&amp;plaza=0&amp;temple=0&amp;walls=0&amp;shantytown=0&amp;gates=-1</t>
  </si>
  <si>
    <t>Mudford</t>
  </si>
  <si>
    <t>{t1:azure;ordinaries:[{ordinary:pale;t:argent;line:straight}];charges:[{charge:arrowsSheaf;t:azure;p:kn;size:0.7}];shield:roman}</t>
  </si>
  <si>
    <t>https://watabou.github.io/city-generator/?name=Mudford&amp;population=3083&amp;size=20&amp;seed=3550748350296&amp;river=0&amp;coast=1&amp;farms=1&amp;citadel=0&amp;urban_castle=0&amp;hub=false&amp;plaza=1&amp;temple=0&amp;walls=1&amp;shantytown=0&amp;gates=-1&amp;sea=1.53</t>
  </si>
  <si>
    <t>Eagbudrock</t>
  </si>
  <si>
    <t>{t1:gules;division:{division:perPale;t:argent;line:arched};charges:[{charge:inescutcheon;t:or;p:e;size:1.5};{charge:mullet;t:purpure;p:e;size:0.75}];shield:roman}</t>
  </si>
  <si>
    <t>https://watabou.github.io/city-generator/?name=Eagbudrock&amp;population=5643&amp;size=25&amp;seed=3550748350314&amp;river=0&amp;coast=1&amp;farms=1&amp;citadel=1&amp;urban_castle=1&amp;hub=false&amp;plaza=0&amp;temple=0&amp;walls=0&amp;shantytown=0&amp;gates=-1&amp;sea=1.88</t>
  </si>
  <si>
    <t>{t1:azure;division:{division:perFess;t:argent;line:straight};charges:[{charge:roundel2;t:or;p:k;size:0.7};{charge:apple;t:sable;p:n;size:0.7}];shield:roman}</t>
  </si>
  <si>
    <t>https://watabou.github.io/village-generator/?pop=1618&amp;name=&amp;seed=3550748350316&amp;width=1600&amp;height=727&amp;tags=dead+end%2Cfarmland%2Cno+square%2Cdense</t>
  </si>
  <si>
    <t>Bearpeak</t>
  </si>
  <si>
    <t>{t1:argent;charges:[{charge:inescutcheon;t:vert;p:e;size:1.5};{charge:fasces;t:or;p:e;size:0.75}];shield:roman}</t>
  </si>
  <si>
    <t>https://watabou.github.io/city-generator/?name=Bearpeak&amp;population=16553&amp;size=37&amp;seed=3550748350321&amp;river=0&amp;coast=0&amp;farms=1&amp;citadel=0&amp;urban_castle=0&amp;hub=false&amp;plaza=1&amp;temple=0&amp;walls=0&amp;shantytown=0&amp;gates=-1</t>
  </si>
  <si>
    <t>Mudfront</t>
  </si>
  <si>
    <t>{t1:sable;charges:[{charge:crossHummetty;t:or;p:beh;size:0.5}];shield:roman}</t>
  </si>
  <si>
    <t>https://watabou.github.io/city-generator/?name=Mudfront&amp;population=15249&amp;size=36&amp;seed=3550748350322&amp;river=0&amp;coast=1&amp;farms=1&amp;citadel=0&amp;urban_castle=0&amp;hub=false&amp;plaza=1&amp;temple=0&amp;walls=0&amp;shantytown=0&amp;gates=-1&amp;sea=1.51</t>
  </si>
  <si>
    <t>Mapmawharf</t>
  </si>
  <si>
    <t>{t1:gules;division:{division:perCross;t:or;line:straight};ordinaries:[{ordinary:chevronReversed;t:argent}];charges:[{charge:bell;t:argent;p:b;size:0.5}];shield:roman}</t>
  </si>
  <si>
    <t>https://watabou.github.io/city-generator/?name=Mapmawharf&amp;population=22583&amp;size=42&amp;seed=3550748350348&amp;river=0&amp;coast=0&amp;farms=1&amp;citadel=0&amp;urban_castle=0&amp;hub=false&amp;plaza=1&amp;temple=1&amp;walls=1&amp;shantytown=1&amp;gates=-1</t>
  </si>
  <si>
    <t>Quickbell</t>
  </si>
  <si>
    <t>{t1:azure;charges:[{charge:castle;t:or;p:jln;size:0.7}];shield:roman}</t>
  </si>
  <si>
    <t>https://watabou.github.io/city-generator/?name=Quickbell&amp;population=11606&amp;size=33&amp;seed=3550748350368&amp;river=1&amp;coast=0&amp;farms=1&amp;citadel=0&amp;urban_castle=0&amp;hub=false&amp;plaza=0&amp;temple=0&amp;walls=0&amp;shantytown=0&amp;gates=-1</t>
  </si>
  <si>
    <t>Bore</t>
  </si>
  <si>
    <t>{t1:argent;division:{division:perChevronReversed;t:vert;line:straight};charges:[{charge:fusil;t:azure;p:mok;divided:counter;size:0.5}];shield:roman}</t>
  </si>
  <si>
    <t>https://watabou.github.io/city-generator/?name=Bore&amp;population=2401&amp;size=18&amp;seed=3550748350371&amp;river=0&amp;coast=0&amp;farms=1&amp;citadel=0&amp;urban_castle=0&amp;hub=false&amp;plaza=0&amp;temple=0&amp;walls=0&amp;shantytown=0&amp;gates=-1</t>
  </si>
  <si>
    <t>Freygcoast</t>
  </si>
  <si>
    <t>{t1:gules;ordinaries:[{ordinary:chevronReversed;t:or}];charges:[{charge:inescutcheon;t:or;p:e;size:1.5}];shield:roman}</t>
  </si>
  <si>
    <t>https://watabou.github.io/city-generator/?name=Freygcoast&amp;population=14365&amp;size=35&amp;seed=3550748350373&amp;river=0&amp;coast=0&amp;farms=1&amp;citadel=1&amp;urban_castle=0&amp;hub=false&amp;plaza=1&amp;temple=0&amp;walls=1&amp;shantytown=0&amp;gates=-1</t>
  </si>
  <si>
    <t>Gurgzel</t>
  </si>
  <si>
    <t>{t1:gules;charges:[{charge:crossAnkh;t:or;p:e;size:1.5}];shield:fantasy2}</t>
  </si>
  <si>
    <t>https://watabou.github.io/city-generator/?name=Gurgzel&amp;population=14693&amp;size=36&amp;seed=3550748350375&amp;river=1&amp;coast=0&amp;farms=1&amp;citadel=1&amp;urban_castle=0&amp;hub=false&amp;plaza=0&amp;temple=0&amp;walls=0&amp;shantytown=0&amp;gates=-1</t>
  </si>
  <si>
    <t>Thornwall</t>
  </si>
  <si>
    <t>{t1:gules;division:{division:perPale;t:argent;line:straight};charges:[{charge:crossMaltese;t:or;p:pq;divided:counter;size:0.7}];shield:roman}</t>
  </si>
  <si>
    <t>https://watabou.github.io/city-generator/?name=Thornwall&amp;population=6337&amp;size=26&amp;seed=3550748350394&amp;river=0&amp;coast=0&amp;farms=1&amp;citadel=1&amp;urban_castle=1&amp;hub=false&amp;plaza=0&amp;temple=0&amp;walls=0&amp;shantytown=0&amp;gates=-1</t>
  </si>
  <si>
    <t>Swiftle</t>
  </si>
  <si>
    <t>{t1:sable;charges:[{charge:attire;t:argent;p:jln;size:0.7}];shield:roman}</t>
  </si>
  <si>
    <t>https://watabou.github.io/city-generator/?name=Swiftle&amp;population=5290&amp;size=24&amp;seed=3550748350408&amp;river=0&amp;coast=0&amp;farms=1&amp;citadel=1&amp;urban_castle=1&amp;hub=false&amp;plaza=1&amp;temple=0&amp;walls=0&amp;shantytown=0&amp;gates=-1</t>
  </si>
  <si>
    <t>Zrula</t>
  </si>
  <si>
    <t>{t1:or;ordinaries:[{ordinary:terrace;t:azure;line:straight}];charges:[{charge:annulet;t:purpure;p:e;size:1.5}];shield:fantasy2}</t>
  </si>
  <si>
    <t>https://watabou.github.io/city-generator/?name=Zrula&amp;population=14585&amp;size=36&amp;seed=3550748350424&amp;river=0&amp;coast=0&amp;farms=1&amp;citadel=0&amp;urban_castle=0&amp;hub=false&amp;plaza=0&amp;temple=0&amp;walls=1&amp;shantytown=0&amp;gates=-1</t>
  </si>
  <si>
    <t>Coldford</t>
  </si>
  <si>
    <t>{t1:sable;charges:[{charge:mallet;t:or;p:e;size:1.5}];shield:roman}</t>
  </si>
  <si>
    <t>https://watabou.github.io/city-generator/?name=Coldford&amp;population=20955&amp;size=41&amp;seed=3550748350430&amp;river=1&amp;coast=0&amp;farms=1&amp;citadel=1&amp;urban_castle=1&amp;hub=false&amp;plaza=1&amp;temple=1&amp;walls=1&amp;shantytown=0&amp;gates=-1</t>
  </si>
  <si>
    <t>Dird</t>
  </si>
  <si>
    <t>{t1:argent;ordinaries:[{ordinary:chief;t:azure;line:straight}];charges:[{charge:mullet6;t:sable;p:emoz;size:0.5}];shield:fantasy2}</t>
  </si>
  <si>
    <t>https://watabou.github.io/city-generator/?name=Dird&amp;population=4759&amp;size=23&amp;seed=3550748350446&amp;river=0&amp;coast=0&amp;farms=1&amp;citadel=1&amp;urban_castle=1&amp;hub=false&amp;plaza=0&amp;temple=0&amp;walls=0&amp;shantytown=0&amp;gates=-1</t>
  </si>
  <si>
    <t>Ralevilmide</t>
  </si>
  <si>
    <t>{t1:purpure;charges:[{charge:key;t:or;p:e;size:1.5}];shield:roman}</t>
  </si>
  <si>
    <t>https://watabou.github.io/city-generator/?name=Ralevilmide&amp;population=12579&amp;size=34&amp;seed=3550748350465&amp;river=0&amp;coast=0&amp;farms=1&amp;citadel=1&amp;urban_castle=0&amp;hub=false&amp;plaza=0&amp;temple=0&amp;walls=0&amp;shantytown=0&amp;gates=-1</t>
  </si>
  <si>
    <t>Evercrest</t>
  </si>
  <si>
    <t>{t1:sable;ordinaries:[{ordinary:saltire;t:argent;line:urdy}];charges:[{charge:inescutcheon;t:sable;p:e;size:0.7};{charge:mascle;t:argent;p:e;size:0.35}];shield:roman}</t>
  </si>
  <si>
    <t>https://watabou.github.io/city-generator/?name=Evercrest&amp;population=8667&amp;size=29&amp;seed=3550748350491&amp;river=0&amp;coast=0&amp;farms=1&amp;citadel=1&amp;urban_castle=0&amp;hub=false&amp;plaza=0&amp;temple=0&amp;walls=0&amp;shantytown=0&amp;gates=-1</t>
  </si>
  <si>
    <t>Ibredh</t>
  </si>
  <si>
    <t>61°F</t>
  </si>
  <si>
    <t>Dubrovnik</t>
  </si>
  <si>
    <t>{t1:or;division:{division:perPale;t:counterVair-argent-azure;line:straight};charges:[{charge:fleurDeLis;t:sable;p:p;size:0.7};{charge:cowHorns;t:sable;p:q;size:0.7}];shield:fantasy2}</t>
  </si>
  <si>
    <t>https://watabou.github.io/city-generator/?name=Ibredh&amp;population=3731&amp;size=21&amp;seed=3550748350498&amp;river=0&amp;coast=0&amp;farms=1&amp;citadel=1&amp;urban_castle=1&amp;hub=false&amp;plaza=1&amp;temple=0&amp;walls=1&amp;shantytown=0&amp;gates=-1</t>
  </si>
  <si>
    <t>Chugrer</t>
  </si>
  <si>
    <t>{t1:argent;charges:[{charge:lamb;t:azure;p:def;size:0.5}];shield:fantasy2}</t>
  </si>
  <si>
    <t>https://watabou.github.io/city-generator/?name=Chugrer&amp;population=16941&amp;size=38&amp;seed=3550748350501&amp;river=0&amp;coast=0&amp;farms=1&amp;citadel=1&amp;urban_castle=0&amp;hub=false&amp;plaza=1&amp;temple=0&amp;walls=1&amp;shantytown=0&amp;gates=-1</t>
  </si>
  <si>
    <t>Cavehall</t>
  </si>
  <si>
    <t>{t1:argent;ordinaries:[{ordinary:pilesInPoint;t:azure}];charges:[{charge:crossHummetty;t:gules;p:e;size:1.5}];shield:roman}</t>
  </si>
  <si>
    <t>https://watabou.github.io/city-generator/?name=Cavehall&amp;population=15671&amp;size=37&amp;seed=3550748350517&amp;river=1&amp;coast=1&amp;farms=1&amp;citadel=0&amp;urban_castle=0&amp;hub=false&amp;plaza=1&amp;temple=0&amp;walls=1&amp;shantytown=0&amp;gates=-1&amp;sea=1.09</t>
  </si>
  <si>
    <t>Ragvunuc</t>
  </si>
  <si>
    <t>{t1:azure;charges:[{charge:roundel;t:argent;p:e;size:1.5}];shield:fantasy2}</t>
  </si>
  <si>
    <t>https://watabou.github.io/city-generator/?name=Ragvunuc&amp;population=13036&amp;size=34&amp;seed=3550748350520&amp;river=0&amp;coast=0&amp;farms=0&amp;citadel=0&amp;urban_castle=0&amp;hub=false&amp;plaza=0&amp;temple=0&amp;walls=0&amp;shantytown=0&amp;gates=-1</t>
  </si>
  <si>
    <t>Gibor</t>
  </si>
  <si>
    <t>{t1:gules;division:{division:perPale;t:argent;line:wavy};charges:[{charge:castle;t:or;p:p;size:0.7};{charge:headWreathed;t:sable;p:q;size:0.7}];shield:fantasy2}</t>
  </si>
  <si>
    <t>https://watabou.github.io/city-generator/?name=Gibor&amp;population=6789&amp;size=27&amp;seed=3550748350534&amp;river=0&amp;coast=0&amp;farms=1&amp;citadel=1&amp;urban_castle=1&amp;hub=false&amp;plaza=0&amp;temple=0&amp;walls=0&amp;shantytown=0&amp;gates=-1</t>
  </si>
  <si>
    <t>Roghchil</t>
  </si>
  <si>
    <t>{t1:masoned-gules-argent;division:{division:perCross;t:or;line:straight};shield:fantasy2}</t>
  </si>
  <si>
    <t>https://watabou.github.io/city-generator/?name=Roghchil&amp;population=6760&amp;size=27&amp;seed=3550748350535&amp;river=0&amp;coast=0&amp;farms=1&amp;citadel=1&amp;urban_castle=0&amp;hub=false&amp;plaza=0&amp;temple=0&amp;walls=0&amp;shantytown=0&amp;gates=-1</t>
  </si>
  <si>
    <t>Mosshield</t>
  </si>
  <si>
    <t>{t1:purpure;division:{division:perPale;t:argent;line:straight};shield:roman}</t>
  </si>
  <si>
    <t>https://watabou.github.io/village-generator/?pop=1896&amp;name=&amp;seed=3550748350539&amp;width=1600&amp;height=727&amp;tags=dead+end%2Cuncultivated%2Cno+square%2Cdense</t>
  </si>
  <si>
    <t>Griresum</t>
  </si>
  <si>
    <t>{t1:argent;ordinaries:[{ordinary:cross;t:sable;line:nowyReversed}];charges:[{charge:ramsHorn;t:purpure;p:acgi;size:0.5}];shield:roman}</t>
  </si>
  <si>
    <t>https://watabou.github.io/city-generator/?name=Griresum&amp;population=19012&amp;size=39&amp;seed=3550748350540&amp;river=0&amp;coast=0&amp;farms=0&amp;citadel=0&amp;urban_castle=0&amp;hub=false&amp;plaza=1&amp;temple=0&amp;walls=1&amp;shantytown=0&amp;gates=-1</t>
  </si>
  <si>
    <t>Crowgbury</t>
  </si>
  <si>
    <t>{t1:argent;division:{division:perFess;t:sable;line:dancetty};charges:[{charge:inescutcheon;t:gules;p:jlh;size:0.7};{charge:crossSantiago;t:argent;p:jlh;size:0.35}];shield:roman}</t>
  </si>
  <si>
    <t>https://watabou.github.io/city-generator/?name=Crowgbury&amp;population=4047&amp;size=22&amp;seed=3550748350558&amp;river=0&amp;coast=0&amp;farms=1&amp;citadel=0&amp;urban_castle=0&amp;hub=false&amp;plaza=0&amp;temple=0&amp;walls=0&amp;shantytown=0&amp;gates=-1</t>
  </si>
  <si>
    <t>Mosspide</t>
  </si>
  <si>
    <t>{t1:azure;division:{division:perFess;t:argent;line:straight};charges:[{charge:mullet6;t:or;p:k;size:0.7};{charge:dragonPassant;t:gules;p:n;size:0.7}];shield:roman}</t>
  </si>
  <si>
    <t>https://watabou.github.io/city-generator/?name=Mosspide&amp;population=13544&amp;size=35&amp;seed=3550748350571&amp;river=1&amp;coast=0&amp;farms=0&amp;citadel=0&amp;urban_castle=0&amp;hub=false&amp;plaza=1&amp;temple=0&amp;walls=1&amp;shantytown=0&amp;gates=-1</t>
  </si>
  <si>
    <t>Rebun</t>
  </si>
  <si>
    <t>{t1:argent;charges:[{charge:bearRampant;t:azure;p:e;size:1.5}];shield:fantasy2}</t>
  </si>
  <si>
    <t>https://watabou.github.io/city-generator/?name=Rebun&amp;population=1893&amp;size=17&amp;seed=3550748350579&amp;river=0&amp;coast=0&amp;farms=0&amp;citadel=1&amp;urban_castle=0&amp;hub=false&amp;plaza=0&amp;temple=0&amp;walls=0&amp;shantytown=0&amp;gates=-1</t>
  </si>
  <si>
    <t>Oxlight</t>
  </si>
  <si>
    <t>{t1:sable;division:{division:perPale;t:argent;line:straight};charges:[{charge:inescutcheon;t:or;p:e;size:1.5};{charge:billet;t:azure;p:e;size:0.75}];shield:roman}</t>
  </si>
  <si>
    <t>https://watabou.github.io/city-generator/?name=Oxlight&amp;population=8852&amp;size=30&amp;seed=3550748350591&amp;river=0&amp;coast=0&amp;farms=1&amp;citadel=0&amp;urban_castle=0&amp;hub=false&amp;plaza=0&amp;temple=0&amp;walls=0&amp;shantytown=0&amp;gates=-1</t>
  </si>
  <si>
    <t>Sleethgrove</t>
  </si>
  <si>
    <t>{t1:gules;charges:[{charge:monk;t:argent;p:e;size:1.5}];shield:roman}</t>
  </si>
  <si>
    <t>https://watabou.github.io/city-generator/?name=Sleethgrove&amp;population=6909&amp;size=27&amp;seed=3550748350592&amp;river=1&amp;coast=0&amp;farms=1&amp;citadel=1&amp;urban_castle=1&amp;hub=false&amp;plaza=0&amp;temple=0&amp;walls=0&amp;shantytown=0&amp;gates=-1</t>
  </si>
  <si>
    <t>Dograsp</t>
  </si>
  <si>
    <t>{t1:azure;ordinaries:[{ordinary:bordure;t:or;line:straight}];charges:[{charge:inescutcheon;t:gules;p:ABCDEFGHIJKL;size:0.18};{charge:annulet;t:or;p:ABCDEFGHIJKL;size:0.09}];shield:roman}</t>
  </si>
  <si>
    <t>https://watabou.github.io/city-generator/?name=Dograsp&amp;population=4011&amp;size=22&amp;seed=3550748350600&amp;river=0&amp;coast=0&amp;farms=1&amp;citadel=0&amp;urban_castle=0&amp;hub=false&amp;plaza=0&amp;temple=0&amp;walls=0&amp;shantytown=0&amp;gates=-1</t>
  </si>
  <si>
    <t>Dirtstalsum</t>
  </si>
  <si>
    <t>{t1:sable;charges:[{charge:mulletPierced;t:argent;p:jlh;size:0.7}];shield:roman}</t>
  </si>
  <si>
    <t>https://watabou.github.io/city-generator/?name=Dirtstalsum&amp;population=16393&amp;size=37&amp;seed=3550748350601&amp;river=0&amp;coast=0&amp;farms=0&amp;citadel=1&amp;urban_castle=0&amp;hub=false&amp;plaza=1&amp;temple=0&amp;walls=0&amp;shantytown=0&amp;gates=-1</t>
  </si>
  <si>
    <t>Westfront</t>
  </si>
  <si>
    <t>{t1:argent;charges:[{charge:eagle;t:vert;p:e;size:1.5}];shield:roman}</t>
  </si>
  <si>
    <t>https://watabou.github.io/city-generator/?name=Westfront&amp;population=2159&amp;size=17&amp;seed=3550748350605&amp;river=1&amp;coast=0&amp;farms=1&amp;citadel=1&amp;urban_castle=0&amp;hub=false&amp;plaza=0&amp;temple=0&amp;walls=1&amp;shantytown=0&amp;gates=-1</t>
  </si>
  <si>
    <t>Kildmins</t>
  </si>
  <si>
    <t>{t1:vert;charges:[{charge:crescent;t:argent;p:kn;size:0.7}];shield:roman}</t>
  </si>
  <si>
    <t>https://watabou.github.io/city-generator/?name=Kildmins&amp;population=19351&amp;size=40&amp;seed=3550748350623&amp;river=0&amp;coast=0&amp;farms=1&amp;citadel=1&amp;urban_castle=0&amp;hub=false&amp;plaza=0&amp;temple=0&amp;walls=1&amp;shantytown=0&amp;gates=-1</t>
  </si>
  <si>
    <t>Erbriz</t>
  </si>
  <si>
    <t>{t1:or;charges:[{charge:mallet;t:azure;p:e;size:1.5}];shield:fantasy2}</t>
  </si>
  <si>
    <t>https://watabou.github.io/city-generator/?name=Erbriz&amp;population=6348&amp;size=26&amp;seed=3550748350632&amp;river=1&amp;coast=0&amp;farms=1&amp;citadel=0&amp;urban_castle=0&amp;hub=false&amp;plaza=0&amp;temple=0&amp;walls=0&amp;shantytown=0&amp;gates=-1</t>
  </si>
  <si>
    <t>Zolbredh</t>
  </si>
  <si>
    <t>{t1:lozengy-argent-gules;ordinaries:[{ordinary:fess;t:azure;line:straight}];charges:[{charge:crossAnkh;t:argent;p:e;size:0.7}];shield:fantasy2}</t>
  </si>
  <si>
    <t>https://watabou.github.io/city-generator/?name=Zolbredh&amp;population=23709&amp;size=43&amp;seed=3550748350639&amp;river=1&amp;coast=0&amp;farms=1&amp;citadel=0&amp;urban_castle=0&amp;hub=false&amp;plaza=1&amp;temple=1&amp;walls=1&amp;shantytown=0&amp;gates=-1</t>
  </si>
  <si>
    <t>Stormwal</t>
  </si>
  <si>
    <t>{t1:sable;charges:[{charge:roundel;t:or;p:acegi;size:0.4}];shield:roman}</t>
  </si>
  <si>
    <t>https://watabou.github.io/city-generator/?name=Stormwal&amp;population=13635&amp;size=35&amp;seed=3550748350643&amp;river=0&amp;coast=0&amp;farms=0&amp;citadel=1&amp;urban_castle=0&amp;hub=false&amp;plaza=0&amp;temple=0&amp;walls=0&amp;shantytown=0&amp;gates=-1</t>
  </si>
  <si>
    <t>Deerchstal</t>
  </si>
  <si>
    <t>{t1:sable;division:{division:perChevron;t:argent;line:straight};ordinaries:[{ordinary:pall;t:or;divided:counter}];shield:roman}</t>
  </si>
  <si>
    <t>https://watabou.github.io/village-generator/?pop=1996&amp;name=&amp;seed=3550748350683&amp;width=1600&amp;height=727&amp;tags=estuary%2Cdead+end%2Cno+square%2Cdense</t>
  </si>
  <si>
    <t>{t1:sable;ordinaries:[{ordinary:bend;t:argent;line:straight}];charges:[{charge:attire;t:sable;p:jo;size:0.7}];shield:roman}</t>
  </si>
  <si>
    <t>https://watabou.github.io/village-generator/?pop=1897&amp;name=&amp;seed=3550748350684&amp;width=1600&amp;height=727&amp;tags=dead+end%2Cdense</t>
  </si>
  <si>
    <t>Krudh</t>
  </si>
  <si>
    <t>{t1:or;charges:[{charge:bullPassant;t:sable;p:e;size:1.5}];shield:fantasy2}</t>
  </si>
  <si>
    <t>https://watabou.github.io/city-generator/?name=Krudh&amp;population=2005&amp;size=17&amp;seed=3550748350686&amp;river=0&amp;coast=0&amp;farms=1&amp;citadel=0&amp;urban_castle=0&amp;hub=false&amp;plaza=0&amp;temple=0&amp;walls=0&amp;shantytown=0&amp;gates=-1</t>
  </si>
  <si>
    <t>Gholkar</t>
  </si>
  <si>
    <t>{t1:or;ordinaries:[{ordinary:fessCotissed;t:purpure;line:straight}];charges:[{charge:inescutcheon;t:or;p:def;size:0.5};{charge:snake;t:sable;p:def;size:0.25}];shield:fantasy2}</t>
  </si>
  <si>
    <t>https://watabou.github.io/city-generator/?name=Gholkar&amp;population=6531&amp;size=26&amp;seed=3550748350709&amp;river=1&amp;coast=0&amp;farms=1&amp;citadel=1&amp;urban_castle=0&amp;hub=false&amp;plaza=0&amp;temple=0&amp;walls=0&amp;shantytown=0&amp;gates=-1</t>
  </si>
  <si>
    <t>Curcoastti</t>
  </si>
  <si>
    <t>{t1:or;charges:[{charge:fleurDeLis;t:sable;p:acegi;size:0.4}];shield:roman}</t>
  </si>
  <si>
    <t>https://watabou.github.io/city-generator/?name=Curcoastti&amp;population=19269&amp;size=40&amp;seed=3550748350715&amp;river=0&amp;coast=0&amp;farms=1&amp;citadel=1&amp;urban_castle=0&amp;hub=false&amp;plaza=0&amp;temple=0&amp;walls=1&amp;shantytown=0&amp;gates=-1</t>
  </si>
  <si>
    <t>Littmouth</t>
  </si>
  <si>
    <t>{t1:sable;division:{division:perPale;t:or;line:straight};charges:[{charge:sunInSplendour;t:argent;p:p;size:0.7};{charge:elephant;t:sable;p:q;size:0.7}];shield:roman}</t>
  </si>
  <si>
    <t>https://watabou.github.io/city-generator/?name=Littmouth&amp;population=2948&amp;size=20&amp;seed=3550748350716&amp;river=1&amp;coast=0&amp;farms=0&amp;citadel=0&amp;urban_castle=0&amp;hub=false&amp;plaza=0&amp;temple=0&amp;walls=0&amp;shantytown=0&amp;gates=-1</t>
  </si>
  <si>
    <t>Mudfrost</t>
  </si>
  <si>
    <t>{t1:sable;division:{division:chevronny;t:or};charges:[{charge:rustre;t:argent;p:abc;divided:counter;size:0.5}];shield:roman}</t>
  </si>
  <si>
    <t>https://watabou.github.io/city-generator/?name=Mudfrost&amp;population=3002&amp;size=20&amp;seed=3550748350731&amp;river=0&amp;coast=1&amp;farms=0&amp;citadel=1&amp;urban_castle=0&amp;hub=false&amp;plaza=0&amp;temple=0&amp;walls=0&amp;shantytown=0&amp;gates=-1&amp;sea=0.04</t>
  </si>
  <si>
    <t>Nas'tor</t>
  </si>
  <si>
    <t>{t1:or;ordinaries:[{ordinary:canton;t:purpure}];shield:horsehead2}</t>
  </si>
  <si>
    <t>https://watabou.github.io/city-generator/?name=Nas%27tor&amp;population=4069&amp;size=22&amp;seed=3550748350733&amp;river=0&amp;coast=0&amp;farms=1&amp;citadel=1&amp;urban_castle=0&amp;hub=false&amp;plaza=0&amp;temple=0&amp;walls=0&amp;shantytown=0&amp;gates=-1</t>
  </si>
  <si>
    <t>Durkrirg</t>
  </si>
  <si>
    <t>{t1:or;division:{division:gyronny;t:gules};charges:[{charge:crossHummetty;t:purpure;p:e;size:1.5}];shield:fantasy2}</t>
  </si>
  <si>
    <t>https://watabou.github.io/city-generator/?name=Durkrirg&amp;population=18691&amp;size=39&amp;seed=3550748350743&amp;river=0&amp;coast=0&amp;farms=1&amp;citadel=0&amp;urban_castle=0&amp;hub=false&amp;plaza=1&amp;temple=0&amp;walls=0&amp;shantytown=0&amp;gates=-1</t>
  </si>
  <si>
    <t>Azin</t>
  </si>
  <si>
    <t>{t1:azure;ordinaries:[{ordinary:chief;t:argent;line:indented}];charges:[{charge:mullet6;t:purpure;p:abc;size:0.5}];shield:fantasy2}</t>
  </si>
  <si>
    <t>https://watabou.github.io/city-generator/?name=Azin&amp;population=29136&amp;size=46&amp;seed=3550748350744&amp;river=0&amp;coast=0&amp;farms=1&amp;citadel=0&amp;urban_castle=0&amp;hub=false&amp;plaza=1&amp;temple=0&amp;walls=1&amp;shantytown=0&amp;gates=-1</t>
  </si>
  <si>
    <t>Dustcrestme</t>
  </si>
  <si>
    <t>{t1:sable;charges:[{charge:boat2;t:argent;p:e;size:1.5}];shield:roman}</t>
  </si>
  <si>
    <t>https://watabou.github.io/city-generator/?name=Dustcrestme&amp;population=13551&amp;size=35&amp;seed=3550748350762&amp;river=1&amp;coast=0&amp;farms=1&amp;citadel=1&amp;urban_castle=1&amp;hub=false&amp;plaza=1&amp;temple=0&amp;walls=1&amp;shantytown=0&amp;gates=-1</t>
  </si>
  <si>
    <t>Cryshield</t>
  </si>
  <si>
    <t>{t1:argent;charges:[{charge:mullet4;t:gules;p:def;size:0.5}];shield:roman}</t>
  </si>
  <si>
    <t>https://watabou.github.io/city-generator/?name=Cryshield&amp;population=3004&amp;size=20&amp;seed=3550748350764&amp;river=0&amp;coast=1&amp;farms=1&amp;citadel=0&amp;urban_castle=0&amp;hub=false&amp;plaza=0&amp;temple=0&amp;walls=1&amp;shantytown=0&amp;gates=-1&amp;sea=1.42</t>
  </si>
  <si>
    <t>Deercrosspi</t>
  </si>
  <si>
    <t>{t1:argent;charges:[{charge:eagle;t:azure;p:jlh;size:0.7}];shield:roman}</t>
  </si>
  <si>
    <t>https://watabou.github.io/city-generator/?name=Deercrosspi&amp;population=8659&amp;size=29&amp;seed=3550748350775&amp;river=0&amp;coast=0&amp;farms=1&amp;citadel=1&amp;urban_castle=0&amp;hub=false&amp;plaza=1&amp;temple=0&amp;walls=0&amp;shantytown=0&amp;gates=-1</t>
  </si>
  <si>
    <t>Largrudh</t>
  </si>
  <si>
    <t>{t1:azure;division:{division:perCross;t:argent;line:engrailed};charges:[{charge:fusil;t:or;p:e;size:1.5}];shield:fantasy2}</t>
  </si>
  <si>
    <t>https://watabou.github.io/city-generator/?name=Largrudh&amp;population=18438&amp;size=39&amp;seed=3550748350796&amp;river=1&amp;coast=0&amp;farms=1&amp;citadel=1&amp;urban_castle=1&amp;hub=false&amp;plaza=0&amp;temple=0&amp;walls=0&amp;shantytown=0&amp;gates=-1</t>
  </si>
  <si>
    <t>Dawnwell</t>
  </si>
  <si>
    <t>{t1:sable;ordinaries:[{ordinary:bendletSinister;t:or;line:embattled}];charges:[{charge:deerHeadCaboshed;t:gules;p:lem;size:0.3}];shield:roman}</t>
  </si>
  <si>
    <t>https://watabou.github.io/village-generator/?pop=1907&amp;name=&amp;seed=3550748350801&amp;width=1600&amp;height=727&amp;tags=dead+end%2Cno+square%2Cdense</t>
  </si>
  <si>
    <t>Adggor</t>
  </si>
  <si>
    <t>{t1:gules;division:{division:gyronny;t:argent};charges:[{charge:bugleHorn;t:or;p:def;divided:counter;size:0.5}];shield:fantasy2}</t>
  </si>
  <si>
    <t>https://watabou.github.io/city-generator/?name=Adggor&amp;population=2128&amp;size=17&amp;seed=3550748350815&amp;river=0&amp;coast=0&amp;farms=0&amp;citadel=1&amp;urban_castle=0&amp;hub=false&amp;plaza=0&amp;temple=0&amp;walls=0&amp;shantytown=0&amp;gates=-1</t>
  </si>
  <si>
    <t>Rudirg</t>
  </si>
  <si>
    <t>{t1:argent;charges:[{charge:crossMaltese;t:sable;p:jln;size:0.7}];shield:fantasy2}</t>
  </si>
  <si>
    <t>https://watabou.github.io/city-generator/?name=Rudirg&amp;population=7051&amp;size=27&amp;seed=3550748350824&amp;river=0&amp;coast=0&amp;farms=0&amp;citadel=0&amp;urban_castle=0&amp;hub=false&amp;plaza=0&amp;temple=0&amp;walls=1&amp;shantytown=0&amp;gates=-1</t>
  </si>
  <si>
    <t>Deercrest</t>
  </si>
  <si>
    <t>{t1:sable;charges:[{charge:inescutcheon;t:or;p:e;size:1.5};{charge:pegasus;t:vert;p:e;size:0.75}];shield:roman}</t>
  </si>
  <si>
    <t>https://watabou.github.io/city-generator/?name=Deercrest&amp;population=13175&amp;size=34&amp;seed=3550748350827&amp;river=0&amp;coast=0&amp;farms=1&amp;citadel=0&amp;urban_castle=0&amp;hub=false&amp;plaza=1&amp;temple=0&amp;walls=1&amp;shantytown=0&amp;gates=-1</t>
  </si>
  <si>
    <t>Stillderow</t>
  </si>
  <si>
    <t>{t1:gules;charges:[{charge:key;t:argent;p:e;size:1.5}];shield:roman}</t>
  </si>
  <si>
    <t>https://watabou.github.io/city-generator/?name=Stillderow&amp;population=28252&amp;size=46&amp;seed=3550748350839&amp;river=0&amp;coast=0&amp;farms=1&amp;citadel=0&amp;urban_castle=0&amp;hub=false&amp;plaza=1&amp;temple=1&amp;walls=1&amp;shantytown=1&amp;gates=-1</t>
  </si>
  <si>
    <t>Fearsere</t>
  </si>
  <si>
    <t>{t1:sable;division:{division:chevronny;t:or};ordinaries:[{ordinary:bordure;t:argent;line:wavy}];shield:roman}</t>
  </si>
  <si>
    <t>https://watabou.github.io/city-generator/?name=Fearsere&amp;population=2057&amp;size=17&amp;seed=3550748350841&amp;river=1&amp;coast=0&amp;farms=1&amp;citadel=1&amp;urban_castle=0&amp;hub=false&amp;plaza=0&amp;temple=0&amp;walls=0&amp;shantytown=0&amp;gates=-1</t>
  </si>
  <si>
    <t>Merkhul</t>
  </si>
  <si>
    <t>{t1:pally-argent-azure;ordinaries:[{ordinary:pall;t:purpure}];shield:fantasy2}</t>
  </si>
  <si>
    <t>https://watabou.github.io/city-generator/?name=Merkhul&amp;population=3505&amp;size=21&amp;seed=3550748350844&amp;river=0&amp;coast=0&amp;farms=0&amp;citadel=0&amp;urban_castle=0&amp;hub=false&amp;plaza=1&amp;temple=0&amp;walls=0&amp;shantytown=0&amp;gates=-1</t>
  </si>
  <si>
    <t>{t1:gules;ordinaries:[{ordinary:pilesInPoint;t:argent}];charges:[{charge:mullet6;t:or;p:e;size:1.5}];shield:roman}</t>
  </si>
  <si>
    <t>https://watabou.github.io/city-generator/?name=Shimhand&amp;population=31455&amp;size=48&amp;seed=3550748350869&amp;river=0&amp;coast=0&amp;farms=1&amp;citadel=0&amp;urban_castle=0&amp;hub=false&amp;plaza=1&amp;temple=1&amp;walls=1&amp;shantytown=1&amp;gates=-1</t>
  </si>
  <si>
    <t>Faymouth</t>
  </si>
  <si>
    <t>{t1:bendy-or-azure;division:{division:perFess;t:purpure;line:straight};ordinaries:[{ordinary:pale;t:gules;line:straight}];shield:roman}</t>
  </si>
  <si>
    <t>https://watabou.github.io/city-generator/?name=Faymouth&amp;population=2117&amp;size=17&amp;seed=3550748350874&amp;river=0&amp;coast=0&amp;farms=0&amp;citadel=0&amp;urban_castle=0&amp;hub=false&amp;plaza=0&amp;temple=0&amp;walls=0&amp;shantytown=0&amp;gates=-1</t>
  </si>
  <si>
    <t>Cavemond</t>
  </si>
  <si>
    <t>{t1:azure;division:{division:perCross;t:argent;line:straight};charges:[{charge:inescutcheon;t:or;p:jl;divided:counter;size:0.7}];shield:roman}</t>
  </si>
  <si>
    <t>https://watabou.github.io/city-generator/?name=Cavemond&amp;population=15080&amp;size=36&amp;seed=3550748350875&amp;river=0&amp;coast=0&amp;farms=0&amp;citadel=1&amp;urban_castle=0&amp;hub=false&amp;plaza=1&amp;temple=0&amp;walls=0&amp;shantytown=0&amp;gates=-1</t>
  </si>
  <si>
    <t>Seis</t>
  </si>
  <si>
    <t>{t1:sable;ordinaries:[{ordinary:chief;t:or;line:straight}];charges:[{charge:lute;t:vert;p:abc;size:0.5}];shield:horsehead2}</t>
  </si>
  <si>
    <t>https://watabou.github.io/city-generator/?name=Seis&amp;population=10072&amp;size=31&amp;seed=3550748350896&amp;river=0&amp;coast=0&amp;farms=0&amp;citadel=1&amp;urban_castle=1&amp;hub=false&amp;plaza=1&amp;temple=0&amp;walls=0&amp;shantytown=0&amp;gates=-1</t>
  </si>
  <si>
    <t>{t1:gules;charges:[{charge:plough;t:or;p:e;size:1.5}];shield:roman}</t>
  </si>
  <si>
    <t>https://watabou.github.io/city-generator/?name=Scorcross&amp;population=11249&amp;size=32&amp;seed=3550748350898&amp;river=0&amp;coast=0&amp;farms=1&amp;citadel=0&amp;urban_castle=0&amp;hub=false&amp;plaza=0&amp;temple=0&amp;walls=1&amp;shantytown=0&amp;gates=-1</t>
  </si>
  <si>
    <t>Sprinhelm</t>
  </si>
  <si>
    <t>{t1:argent;division:{division:gyronny;t:azure};charges:[{charge:trefle;t:vert;p:abcpqh;divided:counter;size:0.5}];shield:roman}</t>
  </si>
  <si>
    <t>https://watabou.github.io/city-generator/?name=Sprinhelm&amp;population=25335&amp;size=44&amp;seed=3550748350911&amp;river=1&amp;coast=0&amp;farms=1&amp;citadel=1&amp;urban_castle=0&amp;hub=false&amp;plaza=0&amp;temple=0&amp;walls=1&amp;shantytown=1&amp;gates=-1</t>
  </si>
  <si>
    <t>Stormit</t>
  </si>
  <si>
    <t>{t1:masoned-argent-gules-smaller;division:{division:perFess;t:sable;line:straight};ordinaries:[{ordinary:pallReversed;t:purpure}];shield:roman}</t>
  </si>
  <si>
    <t>https://watabou.github.io/city-generator/?name=Stormit&amp;population=10534&amp;size=32&amp;seed=3550748350915&amp;river=0&amp;coast=0&amp;farms=1&amp;citadel=1&amp;urban_castle=0&amp;hub=false&amp;plaza=1&amp;temple=0&amp;walls=0&amp;shantytown=0&amp;gates=-1</t>
  </si>
  <si>
    <t>Sirhir</t>
  </si>
  <si>
    <t>{t1:gules;ordinaries:[{ordinary:cross;t:argent;line:potentySinister}];charges:[{charge:mullet6;t:azure;p:behdf;size:0.3}];shield:horsehead2}</t>
  </si>
  <si>
    <t>https://watabou.github.io/city-generator/?name=Sirhir&amp;population=10006&amp;size=31&amp;seed=3550748350919&amp;river=0&amp;coast=0&amp;farms=0&amp;citadel=0&amp;urban_castle=0&amp;hub=false&amp;plaza=0&amp;temple=0&amp;walls=0&amp;shantytown=0&amp;gates=-1</t>
  </si>
  <si>
    <t>Grinewich</t>
  </si>
  <si>
    <t>{t1:purpure;ordinaries:[{ordinary:fess;t:argent;line:invecked}];charges:[{charge:bell;t:argent;p:abc;size:0.5}];shield:roman}</t>
  </si>
  <si>
    <t>https://watabou.github.io/city-generator/?name=Grinewich&amp;population=17256&amp;size=38&amp;seed=3550748350928&amp;river=0&amp;coast=0&amp;farms=1&amp;citadel=1&amp;urban_castle=1&amp;hub=false&amp;plaza=1&amp;temple=0&amp;walls=1&amp;shantytown=0&amp;gates=-1</t>
  </si>
  <si>
    <t>{t1:sable;charges:[{charge:arrowsSheaf;t:or;p:e;size:1.5}];shield:roman}</t>
  </si>
  <si>
    <t>https://watabou.github.io/city-generator/?name=Shimhand&amp;population=2067&amp;size=17&amp;seed=3550748350946&amp;river=0&amp;coast=0&amp;farms=1&amp;citadel=1&amp;urban_castle=1&amp;hub=false&amp;plaza=0&amp;temple=0&amp;walls=0&amp;shantytown=0&amp;gates=-1</t>
  </si>
  <si>
    <t>Cragcoast</t>
  </si>
  <si>
    <t>{t1:sable;charges:[{charge:lozengePloye;t:argent;p:e;size:1.5}];shield:roman}</t>
  </si>
  <si>
    <t>https://watabou.github.io/city-generator/?name=Cragcoast&amp;population=2068&amp;size=17&amp;seed=3550748350948&amp;river=1&amp;coast=0&amp;farms=1&amp;citadel=1&amp;urban_castle=1&amp;hub=false&amp;plaza=0&amp;temple=0&amp;walls=0&amp;shantytown=0&amp;gates=-1</t>
  </si>
  <si>
    <t>Camemeakew</t>
  </si>
  <si>
    <t>{t1:sable;ordinaries:[{ordinary:chevron;t:argent}];charges:[{charge:attire;t:argent;p:ach;size:0.5}];shield:roman}</t>
  </si>
  <si>
    <t>https://watabou.github.io/city-generator/?name=Camemeakew&amp;population=2066&amp;size=17&amp;seed=3550748350949&amp;river=1&amp;coast=0&amp;farms=1&amp;citadel=0&amp;urban_castle=0&amp;hub=false&amp;plaza=0&amp;temple=0&amp;walls=0&amp;shantytown=0&amp;gates=-1</t>
  </si>
  <si>
    <t>Millpointda</t>
  </si>
  <si>
    <t>{t1:vert;division:{division:gyronny;t:or};charges:[{charge:inescutcheon;t:argent;p:jln;size:0.7};{charge:crossArrowed;t:sable;p:jln;size:0.35}];shield:roman}</t>
  </si>
  <si>
    <t>https://watabou.github.io/city-generator/?name=Millpointda&amp;population=16306&amp;size=37&amp;seed=3550748350951&amp;river=0&amp;coast=0&amp;farms=1&amp;citadel=1&amp;urban_castle=0&amp;hub=false&amp;plaza=1&amp;temple=0&amp;walls=1&amp;shantytown=0&amp;gates=-1</t>
  </si>
  <si>
    <t>Trademouth</t>
  </si>
  <si>
    <t>{t1:ermine-argent-sable;ordinaries:[{ordinary:bordure;t:gules}];shield:roman}</t>
  </si>
  <si>
    <t>https://watabou.github.io/city-generator/?name=Trademouth&amp;population=12798&amp;size=34&amp;seed=3550748350967&amp;river=1&amp;coast=0&amp;farms=1&amp;citadel=1&amp;urban_castle=0&amp;hub=false&amp;plaza=0&amp;temple=0&amp;walls=1&amp;shantytown=0&amp;gates=-1</t>
  </si>
  <si>
    <t>Arbhard</t>
  </si>
  <si>
    <t>{t1:sable;charges:[{charge:mullet;t:argent;p:acegi;size:0.4}];shield:fantasy2}</t>
  </si>
  <si>
    <t>https://watabou.github.io/city-generator/?name=Arbhard&amp;population=16988&amp;size=38&amp;seed=3550748350974&amp;river=0&amp;coast=0&amp;farms=1&amp;citadel=0&amp;urban_castle=0&amp;hub=false&amp;plaza=1&amp;temple=0&amp;walls=1&amp;shantytown=0&amp;gates=-1</t>
  </si>
  <si>
    <t>Sakaisha</t>
  </si>
  <si>
    <t>Oateria</t>
  </si>
  <si>
    <t>Oateria Province</t>
  </si>
  <si>
    <t>{t1:gules;charges:[{charge:griffinPassant;t:or;p:e;size:1.5}];shield:horsehead2}</t>
  </si>
  <si>
    <t>https://watabou.github.io/city-generator/?name=Sakaisha&amp;population=4681&amp;size=23&amp;seed=3550748350981&amp;river=1&amp;coast=0&amp;farms=1&amp;citadel=0&amp;urban_castle=0&amp;hub=false&amp;plaza=1&amp;temple=0&amp;walls=0&amp;shantytown=0&amp;gates=-1</t>
  </si>
  <si>
    <t>Iled</t>
  </si>
  <si>
    <t>{t1:azure;charges:[{charge:basilisk;t:or;p:e;size:1.5}];shield:horsehead2}</t>
  </si>
  <si>
    <t>https://watabou.github.io/city-generator/?name=Iled&amp;population=2084&amp;size=17&amp;seed=3550748350982&amp;river=0&amp;coast=0&amp;farms=0&amp;citadel=0&amp;urban_castle=0&amp;hub=false&amp;plaza=1&amp;temple=0&amp;walls=1&amp;shantytown=0&amp;gates=-1</t>
  </si>
  <si>
    <t>Autere</t>
  </si>
  <si>
    <t>{t1:or;charges:[{charge:rose;t:gules;p:e;size:1.5}];shield:roman}</t>
  </si>
  <si>
    <t>https://watabou.github.io/city-generator/?name=Autere&amp;population=14982&amp;size=36&amp;seed=3550748350986&amp;river=0&amp;coast=0&amp;farms=1&amp;citadel=0&amp;urban_castle=0&amp;hub=false&amp;plaza=0&amp;temple=0&amp;walls=1&amp;shantytown=0&amp;gates=-1</t>
  </si>
  <si>
    <t>Vraredk</t>
  </si>
  <si>
    <t>{t1:vert;division:{division:perChevron;t:argent;line:straight};ordinaries:[{ordinary:gyron;t:or;divided:counter}];shield:fantasy2}</t>
  </si>
  <si>
    <t>https://watabou.github.io/city-generator/?name=Vraredk&amp;population=11609&amp;size=33&amp;seed=3550748351005&amp;river=0&amp;coast=0&amp;farms=1&amp;citadel=1&amp;urban_castle=0&amp;hub=false&amp;plaza=1&amp;temple=0&amp;walls=0&amp;shantytown=0&amp;gates=-1</t>
  </si>
  <si>
    <t>Westhill</t>
  </si>
  <si>
    <t>{t1:gules;charges:[{charge:castle;t:argent;p:e;size:1.5}];shield:roman}</t>
  </si>
  <si>
    <t>https://watabou.github.io/city-generator/?name=Westhill&amp;population=25101&amp;size=44&amp;seed=3550748351031&amp;river=0&amp;coast=0&amp;farms=1&amp;citadel=0&amp;urban_castle=0&amp;hub=false&amp;plaza=0&amp;temple=0&amp;walls=1&amp;shantytown=1&amp;gates=-1</t>
  </si>
  <si>
    <t>Dacamursin</t>
  </si>
  <si>
    <t>Eri</t>
  </si>
  <si>
    <t>City-state of Eri</t>
  </si>
  <si>
    <t>{t1:sable;charges:[{charge:wing;t:argent;p:e;size:1.5}];shield:round}</t>
  </si>
  <si>
    <t>https://watabou.github.io/city-generator/?name=Dacamursin&amp;population=6955&amp;size=27&amp;seed=3550748350112&amp;river=1&amp;coast=0&amp;farms=1&amp;citadel=1&amp;urban_castle=1&amp;hub=false&amp;plaza=0&amp;temple=0&amp;walls=0&amp;shantytown=0&amp;gates=-1</t>
  </si>
  <si>
    <t>Vehir</t>
  </si>
  <si>
    <t>{t1:purpure;division:{division:perCross;t:argent;line:straight};charges:[{charge:crescent;t:or;p:jo;divided:counter;size:0.7}];shield:round}</t>
  </si>
  <si>
    <t>https://watabou.github.io/city-generator/?name=Vehir&amp;population=9063&amp;size=30&amp;seed=3550748350149&amp;river=0&amp;coast=0&amp;farms=1&amp;citadel=1&amp;urban_castle=0&amp;hub=false&amp;plaza=0&amp;temple=0&amp;walls=0&amp;shantytown=0&amp;gates=-1</t>
  </si>
  <si>
    <t>Sirtsaman</t>
  </si>
  <si>
    <t>{t1:or;charges:[{charge:rake;t:azure;p:e;size:1.5}];shield:round}</t>
  </si>
  <si>
    <t>https://watabou.github.io/city-generator/?name=Sirtsaman&amp;population=4966&amp;size=24&amp;seed=3550748350277&amp;river=0&amp;coast=0&amp;farms=1&amp;citadel=1&amp;urban_castle=0&amp;hub=false&amp;plaza=0&amp;temple=0&amp;walls=0&amp;shantytown=0&amp;gates=-1</t>
  </si>
  <si>
    <t>Beysma</t>
  </si>
  <si>
    <t>{t1:or;charges:[{charge:dolphin;t:sable;p:e;size:1.5}];shield:round}</t>
  </si>
  <si>
    <t>https://watabou.github.io/city-generator/?name=Beysma&amp;population=26031&amp;size=44&amp;seed=3550748350300&amp;river=0&amp;coast=1&amp;farms=1&amp;citadel=1&amp;urban_castle=1&amp;hub=false&amp;plaza=0&amp;temple=0&amp;walls=1&amp;shantytown=0&amp;gates=-1&amp;sea=0.26</t>
  </si>
  <si>
    <t>Seycu</t>
  </si>
  <si>
    <t>{t1:argent;division:{division:perFess;t:azure;line:potentySinister};charges:[{charge:pique;t:purpure;p:e;divided:counter;size:1.5}];shield:round}</t>
  </si>
  <si>
    <t>https://watabou.github.io/city-generator/?name=Seycu&amp;population=8888&amp;size=30&amp;seed=3550748350557&amp;river=0&amp;coast=0&amp;farms=1&amp;citadel=1&amp;urban_castle=0&amp;hub=false&amp;plaza=1&amp;temple=0&amp;walls=0&amp;shantytown=0&amp;gates=-1</t>
  </si>
  <si>
    <t>Kinardekse</t>
  </si>
  <si>
    <t>{t1:azure;division:{division:perFess;t:argent;line:straight};ordinaries:[{ordinary:orle;t:or}];shield:round}</t>
  </si>
  <si>
    <t>https://watabou.github.io/city-generator/?name=Kinardekse&amp;population=19389&amp;size=40&amp;seed=3550748350615&amp;river=0&amp;coast=0&amp;farms=1&amp;citadel=1&amp;urban_castle=0&amp;hub=false&amp;plaza=0&amp;temple=0&amp;walls=0&amp;shantytown=0&amp;gates=-1</t>
  </si>
  <si>
    <t>Heartglen</t>
  </si>
  <si>
    <t>Grashandia</t>
  </si>
  <si>
    <t>Principality of Grashandia</t>
  </si>
  <si>
    <t>Illaneri</t>
  </si>
  <si>
    <t>66°F</t>
  </si>
  <si>
    <t>Marrakesh</t>
  </si>
  <si>
    <t>{t1:purpure;charges:[{charge:armillarySphere;t:or;p:e;size:1.5}];shield:fantasy5}</t>
  </si>
  <si>
    <t>https://watabou.github.io/city-generator/?name=Heartglen&amp;population=4701&amp;size=23&amp;seed=3550748350144&amp;river=1&amp;coast=1&amp;farms=1&amp;citadel=0&amp;urban_castle=0&amp;hub=false&amp;plaza=1&amp;temple=0&amp;walls=0&amp;shantytown=0&amp;gates=-1&amp;sea=1.61</t>
  </si>
  <si>
    <t>Pazit</t>
  </si>
  <si>
    <t>{t1:vert;division:{division:perCross;t:masoned-argent-gules;line:straight};charges:[{charge:buckle;t:or;p:j;size:0.6};{charge:bugleHorn2;t:gules;p:l;size:0.6};{charge:crossBiparted;t:gules;p:m;size:0.6};{charge:inescutcheon;t:argent;p:o;size:0.6}];shield:round}</t>
  </si>
  <si>
    <t>https://watabou.github.io/city-generator/?name=Pazit&amp;population=1737&amp;size=16&amp;seed=3550748350359&amp;river=1&amp;coast=0&amp;farms=1&amp;citadel=0&amp;urban_castle=0&amp;hub=false&amp;plaza=0&amp;temple=0&amp;walls=1&amp;shantytown=0&amp;gates=-1</t>
  </si>
  <si>
    <t>Southpeak</t>
  </si>
  <si>
    <t>{t1:argent;division:{division:perChevronReversed;t:azure;line:straight};charges:[{charge:crescent;t:purpure;p:mok;divided:counter;size:0.5}];shield:fantasy5}</t>
  </si>
  <si>
    <t>https://watabou.github.io/city-generator/?name=Southpeak&amp;population=3004&amp;size=20&amp;seed=3550748350404&amp;river=1&amp;coast=1&amp;farms=1&amp;citadel=1&amp;urban_castle=1&amp;hub=false&amp;plaza=0&amp;temple=0&amp;walls=0&amp;shantytown=0&amp;gates=-1&amp;sea=0.79</t>
  </si>
  <si>
    <t>Darilelire</t>
  </si>
  <si>
    <t>{t1:palyBendy-argent-gules;charges:[{charge:bugleHorn2;t:vert;p:e;size:1.5}];shield:round}</t>
  </si>
  <si>
    <t>https://watabou.github.io/city-generator/?name=Darilelire&amp;population=1863&amp;size=16&amp;seed=3550748350497&amp;river=0&amp;coast=0&amp;farms=1&amp;citadel=1&amp;urban_castle=0&amp;hub=false&amp;plaza=0&amp;temple=0&amp;walls=0&amp;shantytown=0&amp;gates=-1</t>
  </si>
  <si>
    <t>Sandford</t>
  </si>
  <si>
    <t>{t1:argent;ordinaries:[{ordinary:orle;t:gules}];charges:[{charge:tower;t:gules;p:e;size:1.1}];shield:fantasy5}</t>
  </si>
  <si>
    <t>https://watabou.github.io/city-generator/?name=Sandford&amp;population=29588&amp;size=47&amp;seed=3550748350687&amp;river=1&amp;coast=0&amp;farms=1&amp;citadel=1&amp;urban_castle=0&amp;hub=false&amp;plaza=0&amp;temple=0&amp;walls=1&amp;shantytown=0&amp;gates=-1</t>
  </si>
  <si>
    <t>{t1:argent;ordinaries:[{ordinary:gemelle;t:gules;line:straight}];charges:[{charge:billet;t:vert;p:abc;size:0.5}];shield:fantasy5}</t>
  </si>
  <si>
    <t>https://watabou.github.io/city-generator/?name=Thornwall&amp;population=3079&amp;size=20&amp;seed=3550748350814&amp;river=0&amp;coast=1&amp;farms=1&amp;citadel=0&amp;urban_castle=0&amp;hub=false&amp;plaza=0&amp;temple=0&amp;walls=0&amp;shantytown=0&amp;gates=-1&amp;sea=1.33</t>
  </si>
  <si>
    <t>Azapaksar</t>
  </si>
  <si>
    <t>{t1:argent;division:{division:perCross;t:purpure;line:dovetailedIndented};shield:round}</t>
  </si>
  <si>
    <t>https://watabou.github.io/city-generator/?name=Azapaksar&amp;population=2413&amp;size=18&amp;seed=3550748350816&amp;river=0&amp;coast=0&amp;farms=1&amp;citadel=0&amp;urban_castle=0&amp;hub=false&amp;plaza=1&amp;temple=0&amp;walls=0&amp;shantytown=0&amp;gates=-1</t>
  </si>
  <si>
    <t>Dirtshearsi</t>
  </si>
  <si>
    <t>{t1:sable;division:{division:perBend;t:or;line:straight};charges:[{charge:roundel2;t:argent;p:e;divided:counter;size:1.5}];shield:fantasy5}</t>
  </si>
  <si>
    <t>https://watabou.github.io/city-generator/?name=Dirtshearsi&amp;population=13507&amp;size=35&amp;seed=3550748350842&amp;river=0&amp;coast=0&amp;farms=1&amp;citadel=1&amp;urban_castle=1&amp;hub=false&amp;plaza=1&amp;temple=0&amp;walls=1&amp;shantytown=0&amp;gates=-1</t>
  </si>
  <si>
    <t>Dakazacara</t>
  </si>
  <si>
    <t>{t1:sable;division:{division:perPale;t:argent;line:straight};charges:[{charge:key;t:or;p:e;size:1.5}];shield:round}</t>
  </si>
  <si>
    <t>https://watabou.github.io/city-generator/?name=Dakazacara&amp;population=39951&amp;size=52&amp;seed=3550748350909&amp;river=0&amp;coast=0&amp;farms=1&amp;citadel=0&amp;urban_castle=0&amp;hub=false&amp;plaza=1&amp;temple=1&amp;walls=1&amp;shantytown=1&amp;gates=-1</t>
  </si>
  <si>
    <t>Kahilimlu</t>
  </si>
  <si>
    <t>Grirere</t>
  </si>
  <si>
    <t>Duchy of Grirere</t>
  </si>
  <si>
    <t>{t1:gules;ordinaries:[{ordinary:chevronReversed;t:or}];charges:[{charge:lionHeadCaboshed;t:or;p:b;size:0.5}];shield:round}</t>
  </si>
  <si>
    <t>https://watabou.github.io/city-generator/?name=Kahilimlu&amp;population=1653&amp;size=16&amp;seed=3550748350164&amp;river=1&amp;coast=0&amp;farms=1&amp;citadel=1&amp;urban_castle=1&amp;hub=false&amp;plaza=0&amp;temple=0&amp;walls=1&amp;shantytown=0&amp;gates=-1</t>
  </si>
  <si>
    <t>{t1:barry-argent-gules;ordinaries:[{ordinary:pale;t:azure;line:straight}];shield:fantasy2}</t>
  </si>
  <si>
    <t>https://watabou.github.io/city-generator/?name=Grirere&amp;population=9540&amp;size=30&amp;seed=3550748350676&amp;river=0&amp;coast=1&amp;farms=0&amp;citadel=0&amp;urban_castle=0&amp;hub=false&amp;plaza=0&amp;temple=0&amp;walls=0&amp;shantytown=0&amp;gates=-1&amp;sea=0.17</t>
  </si>
  <si>
    <t>Cellorthului</t>
  </si>
  <si>
    <t>Afranthiylra</t>
  </si>
  <si>
    <t>Afranthiylra Province</t>
  </si>
  <si>
    <t>Ilanleri</t>
  </si>
  <si>
    <t>Principality of Ilanleri</t>
  </si>
  <si>
    <t>{t1:gules;division:{division:perCross;t:argent;line:potentyDexter};charges:[{charge:pique;t:or;p:j;divided:counter;size:0.6}];shield:hessen}</t>
  </si>
  <si>
    <t>https://watabou.github.io/city-generator/?name=Cellorthului&amp;population=25848&amp;size=44&amp;seed=3550748350026&amp;river=0&amp;coast=0&amp;farms=1&amp;citadel=1&amp;urban_castle=1&amp;hub=false&amp;plaza=0&amp;temple=1&amp;walls=0&amp;shantytown=0&amp;gates=-1</t>
  </si>
  <si>
    <t>Tlauggar</t>
  </si>
  <si>
    <t>{t1:gules;division:{division:perPile;t:argent;line:dentilly};charges:[{charge:heart;t:or;p:e;divided:counter;size:0.7}];shield:hessen}</t>
  </si>
  <si>
    <t>https://watabou.github.io/city-generator/?name=Tlauggar&amp;population=9150&amp;size=30&amp;seed=3550748350031&amp;river=0&amp;coast=1&amp;farms=0&amp;citadel=1&amp;urban_castle=0&amp;hub=false&amp;plaza=0&amp;temple=0&amp;walls=0&amp;shantytown=0&amp;gates=-1&amp;sea=0.79</t>
  </si>
  <si>
    <t>Chedrauth</t>
  </si>
  <si>
    <t>{t1:maily-argent-sable;division:{division:perChevron;t:gules;line:straight};ordinaries:[{ordinary:pall;t:azure}];shield:hessen}</t>
  </si>
  <si>
    <t>https://watabou.github.io/city-generator/?name=Chedrauth&amp;population=2206&amp;size=18&amp;seed=3550748350056&amp;river=1&amp;coast=0&amp;farms=1&amp;citadel=1&amp;urban_castle=1&amp;hub=false&amp;plaza=0&amp;temple=0&amp;walls=0&amp;shantytown=0&amp;gates=-1</t>
  </si>
  <si>
    <t>Utlargalel</t>
  </si>
  <si>
    <t>Leralorui</t>
  </si>
  <si>
    <t>Leralorui Province</t>
  </si>
  <si>
    <t>{t1:pappellony-argent-gules;division:{division:perChevronReversed;t:barry-or-vert;line:straight};shield:hessen}</t>
  </si>
  <si>
    <t>https://watabou.github.io/city-generator/?name=Utlargalel&amp;population=10273&amp;size=31&amp;seed=3550748350077&amp;river=0&amp;coast=0&amp;farms=0&amp;citadel=0&amp;urban_castle=0&amp;hub=false&amp;plaza=1&amp;temple=0&amp;walls=1&amp;shantytown=0&amp;gates=-1</t>
  </si>
  <si>
    <t>Kellamar</t>
  </si>
  <si>
    <t>Aloklos</t>
  </si>
  <si>
    <t>{t1:gules;charges:[{charge:wolfStatant;t:or;p:e;size:1.5}];shield:gondor}</t>
  </si>
  <si>
    <t>https://watabou.github.io/city-generator/?name=Kellamar&amp;population=5166&amp;size=24&amp;seed=3550748350098&amp;river=0&amp;coast=0&amp;farms=1&amp;citadel=1&amp;urban_castle=1&amp;hub=false&amp;plaza=0&amp;temple=0&amp;walls=1&amp;shantytown=0&amp;gates=-1</t>
  </si>
  <si>
    <t>Tydaleier</t>
  </si>
  <si>
    <t>{t1:sable;charges:[{charge:sabresCrossed;t:or;p:e;size:1.5}];shield:hessen}</t>
  </si>
  <si>
    <t>https://watabou.github.io/city-generator/?name=Tydaleier&amp;population=8750&amp;size=29&amp;seed=3550748350165&amp;river=0&amp;coast=0&amp;farms=1&amp;citadel=0&amp;urban_castle=0&amp;hub=false&amp;plaza=0&amp;temple=0&amp;walls=0&amp;shantytown=0&amp;gates=-1</t>
  </si>
  <si>
    <t>Swanmore</t>
  </si>
  <si>
    <t>Freystarde</t>
  </si>
  <si>
    <t>Freystarde Earldom</t>
  </si>
  <si>
    <t>{t1:argent;ordinaries:[{ordinary:cross;t:gules;line:dancetty}];charges:[{charge:fleurDeLis;t:or;p:beh;size:0.3}];shield:fantasy5}</t>
  </si>
  <si>
    <t>https://watabou.github.io/city-generator/?name=Swanmore&amp;population=3624&amp;size=21&amp;seed=3550748350168&amp;river=0&amp;coast=0&amp;farms=1&amp;citadel=0&amp;urban_castle=0&amp;hub=false&amp;plaza=0&amp;temple=0&amp;walls=1&amp;shantytown=0&amp;gates=-1</t>
  </si>
  <si>
    <t>Freykeep</t>
  </si>
  <si>
    <t>{t1:fusily-argent-gules;ordinaries:[{ordinary:point;t:sable}];charges:[{charge:fountain;t:azure;p:bdf;size:0.5}];shield:fantasy5}</t>
  </si>
  <si>
    <t>https://watabou.github.io/city-generator/?name=Freykeep&amp;population=2563&amp;size=19&amp;seed=3550748350179&amp;river=0&amp;coast=1&amp;farms=1&amp;citadel=1&amp;urban_castle=0&amp;hub=false&amp;plaza=1&amp;temple=0&amp;walls=0&amp;shantytown=0&amp;gates=-1&amp;sea=1.59</t>
  </si>
  <si>
    <t>Gonsel'ruhn</t>
  </si>
  <si>
    <t>{t1:argent;charges:[{charge:inescutcheon;t:purpure;p:e;size:1.5};{charge:mullet;t:or;p:e;size:0.75}];shield:hessen}</t>
  </si>
  <si>
    <t>https://watabou.github.io/city-generator/?name=Gonsel%27ruhn&amp;population=12594&amp;size=34&amp;seed=3550748350191&amp;river=0&amp;coast=0&amp;farms=1&amp;citadel=1&amp;urban_castle=0&amp;hub=false&amp;plaza=1&amp;temple=0&amp;walls=1&amp;shantytown=0&amp;gates=-1</t>
  </si>
  <si>
    <t>Kardor</t>
  </si>
  <si>
    <t>{t1:azure;division:{division:perChevron;t:or;line:firTrees};charges:[{charge:cavalier;t:argent;p:e;divided:counter;size:1.5}];shield:hessen}</t>
  </si>
  <si>
    <t>https://watabou.github.io/city-generator/?name=Kardor&amp;population=14000&amp;size=35&amp;seed=3550748350207&amp;river=0&amp;coast=0&amp;farms=1&amp;citadel=0&amp;urban_castle=0&amp;hub=false&amp;plaza=0&amp;temple=0&amp;walls=0&amp;shantytown=0&amp;gates=-1</t>
  </si>
  <si>
    <t>Shroury</t>
  </si>
  <si>
    <t>{t1:or;ordinaries:[{ordinary:fess;t:sable;line:rayonne}];charges:[{charge:mascle;t:gules;p:abc;size:0.5}];shield:fantasy5}</t>
  </si>
  <si>
    <t>https://watabou.github.io/village-generator/?pop=1554&amp;name=&amp;seed=3550748350233&amp;width=1600&amp;height=727&amp;tags=isolated%2Cdense</t>
  </si>
  <si>
    <t>Meridaririlla</t>
  </si>
  <si>
    <t>{t1:argent;ordinaries:[{ordinary:bend;t:sable;line:straight}];charges:[{charge:cavalier;t:gules;p:cg;size:0.5}];shield:hessen}</t>
  </si>
  <si>
    <t>https://watabou.github.io/city-generator/?name=Meridaririlla&amp;population=3675&amp;size=21&amp;seed=3550748350273&amp;river=1&amp;coast=0&amp;farms=1&amp;citadel=1&amp;urban_castle=0&amp;hub=false&amp;plaza=0&amp;temple=0&amp;walls=0&amp;shantytown=0&amp;gates=-1</t>
  </si>
  <si>
    <t>Bodobeth</t>
  </si>
  <si>
    <t>{t1:gules;division:{division:perFess;t:argent;line:straight};ordinaries:[{ordinary:bar;t:or;line:straight}];charges:[{charge:trefle;t:or;p:jlh;size:0.7}];shield:hessen}</t>
  </si>
  <si>
    <t>https://watabou.github.io/city-generator/?name=Bodobeth&amp;population=2226&amp;size=18&amp;seed=3550748350304&amp;river=0&amp;coast=0&amp;farms=1&amp;citadel=0&amp;urban_castle=0&amp;hub=false&amp;plaza=1&amp;temple=0&amp;walls=0&amp;shantytown=0&amp;gates=-1</t>
  </si>
  <si>
    <t>Hethmorrvhei</t>
  </si>
  <si>
    <t>{t1:argent;ordinaries:[{ordinary:pileInBendSinister;t:gules}];charges:[{charge:crossHummetty;t:argent;p:em;size:0.5}];shield:hessen}</t>
  </si>
  <si>
    <t>https://watabou.github.io/village-generator/?pop=1817&amp;name=&amp;seed=3550748350336&amp;width=1600&amp;height=727&amp;tags=dead+end%2Cno+square%2Cdense</t>
  </si>
  <si>
    <t>Bellder</t>
  </si>
  <si>
    <t>{t1:gules;ordinaries:[{ordinary:fess;t:argent;line:embattled}];charges:[{charge:billet;t:argent;p:abc;size:0.5}];shield:fantasy5}</t>
  </si>
  <si>
    <t>https://watabou.github.io/city-generator/?name=Bellder&amp;population=10169&amp;size=31&amp;seed=3550748350339&amp;river=0&amp;coast=0&amp;farms=1&amp;citadel=1&amp;urban_castle=0&amp;hub=false&amp;plaza=1&amp;temple=0&amp;walls=0&amp;shantytown=0&amp;gates=-1</t>
  </si>
  <si>
    <t>Filbennocrin</t>
  </si>
  <si>
    <t>{t1:vert;charges:[{charge:bugleHorn2;t:or;p:e;size:1.5}];shield:hessen}</t>
  </si>
  <si>
    <t>https://watabou.github.io/city-generator/?name=Filbennocrin&amp;population=1704&amp;size=16&amp;seed=3550748350346&amp;river=1&amp;coast=0&amp;farms=1&amp;citadel=0&amp;urban_castle=0&amp;hub=false&amp;plaza=0&amp;temple=0&amp;walls=1&amp;shantytown=0&amp;gates=-1</t>
  </si>
  <si>
    <t>Shanen</t>
  </si>
  <si>
    <t>{t1:argent;charges:[{charge:lionRampant;t:gules;p:jlh;size:0.7}];shield:hessen}</t>
  </si>
  <si>
    <t>https://watabou.github.io/city-generator/?name=Shanen&amp;population=4959&amp;size=24&amp;seed=3550748350377&amp;river=0&amp;coast=0&amp;farms=1&amp;citadel=1&amp;urban_castle=0&amp;hub=false&amp;plaza=1&amp;temple=0&amp;walls=0&amp;shantytown=0&amp;gates=-1</t>
  </si>
  <si>
    <t>Sschipal</t>
  </si>
  <si>
    <t>{t1:gules;charges:[{charge:sunInSplendour;t:argent;p:def;size:0.5}];shield:hessen}</t>
  </si>
  <si>
    <t>https://watabou.github.io/city-generator/?name=Sschipal&amp;population=14685&amp;size=36&amp;seed=3550748350379&amp;river=0&amp;coast=0&amp;farms=1&amp;citadel=0&amp;urban_castle=0&amp;hub=false&amp;plaza=0&amp;temple=0&amp;walls=1&amp;shantytown=0&amp;gates=-1</t>
  </si>
  <si>
    <t>Cel-Ni</t>
  </si>
  <si>
    <t>{t1:argent;ordinaries:[{ordinary:pallReversed;t:azure}];charges:[{charge:roundel;t:argent;p:bemo;size:0.5}];shield:hessen}</t>
  </si>
  <si>
    <t>https://watabou.github.io/city-generator/?name=Cel-Ni&amp;population=5151&amp;size=24&amp;seed=3550748350399&amp;river=1&amp;coast=0&amp;farms=1&amp;citadel=1&amp;urban_castle=0&amp;hub=false&amp;plaza=0&amp;temple=0&amp;walls=0&amp;shantytown=0&amp;gates=-1</t>
  </si>
  <si>
    <t>Illesanyn</t>
  </si>
  <si>
    <t>Filren</t>
  </si>
  <si>
    <t>Filren Province</t>
  </si>
  <si>
    <t>{t1:gules;division:{division:perFess;t:argent;line:wavy};charges:[{charge:key;t:or;p:e;divided:counter;size:1.5}];shield:gondor}</t>
  </si>
  <si>
    <t>https://watabou.github.io/city-generator/?name=Illesanyn&amp;population=7974&amp;size=28&amp;seed=3550748350409&amp;river=0&amp;coast=0&amp;farms=1&amp;citadel=0&amp;urban_castle=0&amp;hub=false&amp;plaza=1&amp;temple=0&amp;walls=0&amp;shantytown=0&amp;gates=-1</t>
  </si>
  <si>
    <t>Chaggar</t>
  </si>
  <si>
    <t>{t1:sable;charges:[{charge:bow;t:argent;p:e;size:1.5}];shield:hessen}</t>
  </si>
  <si>
    <t>https://watabou.github.io/village-generator/?pop=1742&amp;name=&amp;seed=3550748350427&amp;width=1600&amp;height=727&amp;tags=river%2Chighway%2Cdense</t>
  </si>
  <si>
    <t>Chagheilauven</t>
  </si>
  <si>
    <t>{t1:azure;charges:[{charge:crossSaltire;t:argent;p:def;size:0.5}];shield:hessen}</t>
  </si>
  <si>
    <t>https://watabou.github.io/city-generator/?name=Chagheilauven&amp;population=13799&amp;size=35&amp;seed=3550748350433&amp;river=1&amp;coast=0&amp;farms=1&amp;citadel=0&amp;urban_castle=0&amp;hub=false&amp;plaza=1&amp;temple=0&amp;walls=1&amp;shantytown=0&amp;gates=-1</t>
  </si>
  <si>
    <t>Gnilaurthal</t>
  </si>
  <si>
    <t>{t1:gules;charges:[{charge:bullHeadCaboshed;t:or;p:abcpqh;size:0.5}];shield:hessen}</t>
  </si>
  <si>
    <t>https://watabou.github.io/city-generator/?name=Gnilaurthal&amp;population=18516&amp;size=39&amp;seed=3550748350452&amp;river=0&amp;coast=0&amp;farms=1&amp;citadel=0&amp;urban_castle=0&amp;hub=false&amp;plaza=0&amp;temple=0&amp;walls=1&amp;shantytown=0&amp;gates=-1</t>
  </si>
  <si>
    <t>Snowtown</t>
  </si>
  <si>
    <t>{t1:gules;division:{division:perCross;t:argent;line:embattled};charges:[{charge:inescutcheon;t:or;p:jo;size:0.7};{charge:inescutcheon;t:vert;p:jo;size:0.35}];shield:fantasy5}</t>
  </si>
  <si>
    <t>https://watabou.github.io/city-generator/?name=Snowtown&amp;population=21797&amp;size=42&amp;seed=3550748350459&amp;river=0&amp;coast=0&amp;farms=1&amp;citadel=0&amp;urban_castle=0&amp;hub=false&amp;plaza=0&amp;temple=1&amp;walls=0&amp;shantytown=0&amp;gates=-1</t>
  </si>
  <si>
    <t>Doragh</t>
  </si>
  <si>
    <t>{t1:argent;ordinaries:[{ordinary:chief;t:gules;line:wavy}];charges:[{charge:wolfRampant;t:argent;p:abc;size:0.5}];shield:hessen}</t>
  </si>
  <si>
    <t>https://watabou.github.io/city-generator/?name=Doragh&amp;population=1801&amp;size=16&amp;seed=3550748350503&amp;river=0&amp;coast=0&amp;farms=1&amp;citadel=1&amp;urban_castle=0&amp;hub=false&amp;plaza=1&amp;temple=0&amp;walls=0&amp;shantytown=0&amp;gates=-1</t>
  </si>
  <si>
    <t>Neanatharinar</t>
  </si>
  <si>
    <t>{t1:argent;division:{division:chevronny;t:purpure};charges:[{charge:mullet;t:gules;p:e;size:1.5}];shield:hessen}</t>
  </si>
  <si>
    <t>https://watabou.github.io/city-generator/?name=Neanatharinar&amp;population=26127&amp;size=45&amp;seed=3550748350518&amp;river=0&amp;coast=0&amp;farms=1&amp;citadel=1&amp;urban_castle=1&amp;hub=false&amp;plaza=0&amp;temple=0&amp;walls=1&amp;shantytown=1&amp;gates=-1</t>
  </si>
  <si>
    <t>Rauguall</t>
  </si>
  <si>
    <t>{t1:azure;charges:[{charge:inescutcheon;t:argent;p:jln;size:0.7};{charge:crossFitchy;t:gules;p:jln;size:0.35}];shield:hessen}</t>
  </si>
  <si>
    <t>https://watabou.github.io/city-generator/?name=Rauguall&amp;population=1868&amp;size=16&amp;seed=3550748350537&amp;river=0&amp;coast=0&amp;farms=1&amp;citadel=1&amp;urban_castle=0&amp;hub=false&amp;plaza=0&amp;temple=0&amp;walls=0&amp;shantytown=0&amp;gates=-1</t>
  </si>
  <si>
    <t>Enilheidor</t>
  </si>
  <si>
    <t>{t1:sable;ordinaries:[{ordinary:cross;t:or;line:embattledGhibellin}];charges:[{charge:triangle;t:purpure;p:behdf;size:0.3}];shield:hessen}</t>
  </si>
  <si>
    <t>https://watabou.github.io/city-generator/?name=Enilheidor&amp;population=8895&amp;size=30&amp;seed=3550748350575&amp;river=0&amp;coast=0&amp;farms=1&amp;citadel=1&amp;urban_castle=0&amp;hub=false&amp;plaza=0&amp;temple=0&amp;walls=1&amp;shantytown=0&amp;gates=-1</t>
  </si>
  <si>
    <t>Vojharondrinn</t>
  </si>
  <si>
    <t>{t1:ermine-argent-sable-smaller;division:{division:perPale;t:azure;line:straight};charges:[{charge:mullet6Pierced;t:purpure;p:p;size:0.7};{charge:sword;t:or;p:q;size:0.7}];shield:hessen}</t>
  </si>
  <si>
    <t>https://watabou.github.io/city-generator/?name=Vojharondrinn&amp;population=12048&amp;size=33&amp;seed=3550748350577&amp;river=0&amp;coast=0&amp;farms=1&amp;citadel=1&amp;urban_castle=0&amp;hub=false&amp;plaza=1&amp;temple=0&amp;walls=1&amp;shantytown=0&amp;gates=-1</t>
  </si>
  <si>
    <t>Charraha</t>
  </si>
  <si>
    <t>{t1:or;charges:[{charge:bell;t:vert;p:jln;size:0.7}];shield:hessen}</t>
  </si>
  <si>
    <t>https://watabou.github.io/city-generator/?name=Charraha&amp;population=11527&amp;size=33&amp;seed=3550748350578&amp;river=0&amp;coast=0&amp;farms=1&amp;citadel=0&amp;urban_castle=0&amp;hub=false&amp;plaza=1&amp;temple=0&amp;walls=0&amp;shantytown=0&amp;gates=-1</t>
  </si>
  <si>
    <t>Lithryn</t>
  </si>
  <si>
    <t>{t1:gules;ordinaries:[{ordinary:terrace;t:argent;line:straight}];charges:[{charge:bell;t:or;p:bdf;size:0.5}];shield:hessen}</t>
  </si>
  <si>
    <t>https://watabou.github.io/city-generator/?name=Lithryn&amp;population=8596&amp;size=29&amp;seed=3550748350580&amp;river=0&amp;coast=0&amp;farms=1&amp;citadel=0&amp;urban_castle=0&amp;hub=false&amp;plaza=0&amp;temple=0&amp;walls=0&amp;shantytown=0&amp;gates=-1</t>
  </si>
  <si>
    <t>Bumerynd</t>
  </si>
  <si>
    <t>{t1:vert;charges:[{charge:bucket;t:argent;p:e;size:1.5}];shield:hessen}</t>
  </si>
  <si>
    <t>https://watabou.github.io/city-generator/?name=Bumerynd&amp;population=9442&amp;size=30&amp;seed=3550748350586&amp;river=0&amp;coast=0&amp;farms=1&amp;citadel=1&amp;urban_castle=1&amp;hub=false&amp;plaza=0&amp;temple=0&amp;walls=0&amp;shantytown=0&amp;gates=-1</t>
  </si>
  <si>
    <t>Drelmet</t>
  </si>
  <si>
    <t>{t1:chequy-argent-azure;ordinaries:[{ordinary:pallReversed;t:vert}];shield:hessen}</t>
  </si>
  <si>
    <t>https://watabou.github.io/city-generator/?name=Drelmet&amp;population=6160&amp;size=26&amp;seed=3550748350602&amp;river=0&amp;coast=0&amp;farms=0&amp;citadel=1&amp;urban_castle=1&amp;hub=false&amp;plaza=0&amp;temple=0&amp;walls=0&amp;shantytown=0&amp;gates=-1</t>
  </si>
  <si>
    <t>Luilaugmar</t>
  </si>
  <si>
    <t>{t1:azure;charges:[{charge:bell;t:argent;p:e;size:1.5}];shield:hessen}</t>
  </si>
  <si>
    <t>https://watabou.github.io/city-generator/?name=Luilaugmar&amp;population=8655&amp;size=29&amp;seed=3550748350621&amp;river=1&amp;coast=0&amp;farms=1&amp;citadel=0&amp;urban_castle=0&amp;hub=false&amp;plaza=0&amp;temple=0&amp;walls=0&amp;shantytown=0&amp;gates=-1</t>
  </si>
  <si>
    <t>Eldlyn</t>
  </si>
  <si>
    <t>{t1:azure;ordinaries:[{ordinary:chief;t:argent;line:engrailed}];charges:[{charge:goutte;t:argent;p:ez;size:0.5}];shield:hessen}</t>
  </si>
  <si>
    <t>https://watabou.github.io/city-generator/?name=Eldlyn&amp;population=7278&amp;size=27&amp;seed=3550748350641&amp;river=1&amp;coast=0&amp;farms=0&amp;citadel=0&amp;urban_castle=0&amp;hub=false&amp;plaza=0&amp;temple=0&amp;walls=1&amp;shantytown=0&amp;gates=-1</t>
  </si>
  <si>
    <t>Shaullorth</t>
  </si>
  <si>
    <t>{t1:masoned-gules-argent;division:{division:perFess;t:or;line:straight};ordinaries:[{ordinary:cross;t:azure;line:straight}];shield:hessen}</t>
  </si>
  <si>
    <t>https://watabou.github.io/city-generator/?name=Shaullorth&amp;population=6603&amp;size=26&amp;seed=3550748350644&amp;river=1&amp;coast=1&amp;farms=1&amp;citadel=1&amp;urban_castle=1&amp;hub=false&amp;plaza=0&amp;temple=0&amp;walls=0&amp;shantytown=0&amp;gates=-1&amp;sea=1.85</t>
  </si>
  <si>
    <t>Munlandenillu</t>
  </si>
  <si>
    <t>{t1:gules;charges:[{charge:arrowsSheaf;t:argent;p:jeo;size:0.5}];shield:hessen}</t>
  </si>
  <si>
    <t>https://watabou.github.io/city-generator/?name=Munlandenillu&amp;population=3804&amp;size=21&amp;seed=3550748350681&amp;river=0&amp;coast=0&amp;farms=1&amp;citadel=0&amp;urban_castle=0&amp;hub=false&amp;plaza=0&amp;temple=0&amp;walls=0&amp;shantytown=0&amp;gates=-1</t>
  </si>
  <si>
    <t>Kilster</t>
  </si>
  <si>
    <t>{t1:sable;ordinaries:[{ordinary:quarter;t:argent}];charges:[{charge:stagsAttires;t:azure;p:j;size:0.5}];shield:fantasy5}</t>
  </si>
  <si>
    <t>https://watabou.github.io/city-generator/?name=Kilster&amp;population=2007&amp;size=17&amp;seed=3550748350729&amp;river=0&amp;coast=0&amp;farms=1&amp;citadel=1&amp;urban_castle=0&amp;hub=false&amp;plaza=0&amp;temple=0&amp;walls=0&amp;shantytown=0&amp;gates=-1</t>
  </si>
  <si>
    <t>{t1:chainy-gules-or;division:{division:perPale;t:argent;line:straight};charges:[{charge:wolfStatant;t:purpure;p:p;size:0.7};{charge:crescent;t:azure;p:q;size:0.7}];shield:fantasy5}</t>
  </si>
  <si>
    <t>https://watabou.github.io/village-generator/?pop=1979&amp;name=&amp;seed=3550748350730&amp;width=1600&amp;height=727&amp;tags=isolated%2Cno+square%2Cdense</t>
  </si>
  <si>
    <t>Dryndkar</t>
  </si>
  <si>
    <t>{t1:or;ordinaries:[{ordinary:bendlet;t:gules;line:straight}];charges:[{charge:cock;t:purpure;p:cg;size:0.5}];shield:hessen}</t>
  </si>
  <si>
    <t>https://watabou.github.io/city-generator/?name=Dryndkar&amp;population=7217&amp;size=27&amp;seed=3550748350753&amp;river=0&amp;coast=0&amp;farms=1&amp;citadel=0&amp;urban_castle=0&amp;hub=false&amp;plaza=0&amp;temple=0&amp;walls=0&amp;shantytown=0&amp;gates=-1</t>
  </si>
  <si>
    <t>Cergheilaug</t>
  </si>
  <si>
    <t>{t1:or;charges:[{charge:anchor;t:azure;p:e;size:1.5}];shield:hessen}</t>
  </si>
  <si>
    <t>https://watabou.github.io/city-generator/?name=Cergheilaug&amp;population=4926&amp;size=24&amp;seed=3550748350776&amp;river=0&amp;coast=0&amp;farms=1&amp;citadel=1&amp;urban_castle=1&amp;hub=false&amp;plaza=0&amp;temple=0&amp;walls=0&amp;shantytown=0&amp;gates=-1</t>
  </si>
  <si>
    <t>Cloudfordsi</t>
  </si>
  <si>
    <t>{t1:sable;charges:[{charge:orb;t:argent;p:e;size:1.5}];shield:fantasy5}</t>
  </si>
  <si>
    <t>https://watabou.github.io/city-generator/?name=Cloudfordsi&amp;population=8209&amp;size=29&amp;seed=3550748350795&amp;river=0&amp;coast=0&amp;farms=1&amp;citadel=1&amp;urban_castle=0&amp;hub=false&amp;plaza=0&amp;temple=0&amp;walls=1&amp;shantytown=0&amp;gates=-1</t>
  </si>
  <si>
    <t>Yen'tar</t>
  </si>
  <si>
    <t>{t1:or;charges:[{charge:fasces;t:azure;p:e;size:1.5}];shield:hessen}</t>
  </si>
  <si>
    <t>https://watabou.github.io/city-generator/?name=Yen%27tar&amp;population=10125&amp;size=31&amp;seed=3550748350825&amp;river=0&amp;coast=0&amp;farms=1&amp;citadel=1&amp;urban_castle=0&amp;hub=false&amp;plaza=1&amp;temple=0&amp;walls=0&amp;shantytown=0&amp;gates=-1</t>
  </si>
  <si>
    <t>Chagref</t>
  </si>
  <si>
    <t>Base Tax Rate</t>
  </si>
  <si>
    <t>{t1:sable;charges:[{charge:lozengeFaceted;t:argent;p:jlh;size:0.7}];shield:hessen}</t>
  </si>
  <si>
    <t>Average Urban Peasant Income</t>
  </si>
  <si>
    <t>https://watabou.github.io/city-generator/?name=Chagref&amp;population=14286&amp;size=35&amp;seed=3550748350845&amp;river=1&amp;coast=0&amp;farms=0&amp;citadel=0&amp;urban_castle=0&amp;hub=false&amp;plaza=1&amp;temple=0&amp;walls=1&amp;shantytown=0&amp;gates=-1</t>
  </si>
  <si>
    <t>Dalhei</t>
  </si>
  <si>
    <t>Average Rural Peasant Income</t>
  </si>
  <si>
    <t>Price Per Levy</t>
  </si>
  <si>
    <t>{t1:argent;charges:[{charge:pot;t:gules;p:e;size:1.5}];shield:hessen}</t>
  </si>
  <si>
    <t>https://watabou.github.io/city-generator/?name=Dalhei&amp;population=5862&amp;size=25&amp;seed=3550748350870&amp;river=1&amp;coast=0&amp;farms=1&amp;citadel=0&amp;urban_castle=0&amp;hub=false&amp;plaza=1&amp;temple=0&amp;walls=0&amp;shantytown=0&amp;gates=-1</t>
  </si>
  <si>
    <t>Xaalbendravet</t>
  </si>
  <si>
    <t>{t1:argent;ordinaries:[{ordinary:fessDoubleCotissed;t:purpure;line:wavy}];shield:hessen}</t>
  </si>
  <si>
    <t>https://watabou.github.io/city-generator/?name=Xaalbendravet&amp;population=24081&amp;size=43&amp;seed=3550748350871&amp;river=0&amp;coast=0&amp;farms=1&amp;citadel=1&amp;urban_castle=0&amp;hub=false&amp;plaza=1&amp;temple=0&amp;walls=1&amp;shantytown=0&amp;gates=-1</t>
  </si>
  <si>
    <t>Chylath</t>
  </si>
  <si>
    <t>{t1:argent;division:{division:perFess;t:vert;line:straight};charges:[{charge:goutte;t:purpure;p:e;size:1.5}];shield:hessen}</t>
  </si>
  <si>
    <t>https://watabou.github.io/city-generator/?name=Chylath&amp;population=12695&amp;size=34&amp;seed=3550748350872&amp;river=1&amp;coast=0&amp;farms=1&amp;citadel=1&amp;urban_castle=1&amp;hub=false&amp;plaza=0&amp;temple=0&amp;walls=1&amp;shantytown=0&amp;gates=-1</t>
  </si>
  <si>
    <t>Houndwallow</t>
  </si>
  <si>
    <t>{t1:vert;division:{division:perChevron;t:argent;line:nowy};charges:[{charge:hand;t:or;p:e;size:1.5}];shield:fantasy5}</t>
  </si>
  <si>
    <t>https://watabou.github.io/city-generator/?name=Houndwallow&amp;population=15318&amp;size=36&amp;seed=3550748350886&amp;river=1&amp;coast=0&amp;farms=1&amp;citadel=0&amp;urban_castle=0&amp;hub=false&amp;plaza=1&amp;temple=0&amp;walls=1&amp;shantytown=0&amp;gates=-1</t>
  </si>
  <si>
    <t>Fearpeak</t>
  </si>
  <si>
    <t>{t1:gules;ordinaries:[{ordinary:pale;t:or;line:firTrees}];charges:[{charge:lute;t:purpure;p:beh;size:0.5}];shield:fantasy5}</t>
  </si>
  <si>
    <t>https://watabou.github.io/city-generator/?name=Fearpeak&amp;population=12135&amp;size=33&amp;seed=3550748350889&amp;river=0&amp;coast=0&amp;farms=1&amp;citadel=0&amp;urban_castle=0&amp;hub=false&amp;plaza=0&amp;temple=0&amp;walls=1&amp;shantytown=0&amp;gates=-1</t>
  </si>
  <si>
    <t>Ull-Ni</t>
  </si>
  <si>
    <t>{t1:sable;charges:[{charge:owl;t:argent;p:jlh;size:0.7}];shield:hessen}</t>
  </si>
  <si>
    <t>https://watabou.github.io/city-generator/?name=Ull-Ni&amp;population=25129&amp;size=44&amp;seed=3550748350894&amp;river=0&amp;coast=0&amp;farms=1&amp;citadel=1&amp;urban_castle=1&amp;hub=false&amp;plaza=0&amp;temple=1&amp;walls=1&amp;shantytown=0&amp;gates=-1</t>
  </si>
  <si>
    <t>Szithlin</t>
  </si>
  <si>
    <t>{t1:purpure;ordinaries:[{ordinary:saltire;t:argent;line:straight}];charges:[{charge:plough;t:vert;p:e;size:0.7}];shield:hessen}</t>
  </si>
  <si>
    <t>https://watabou.github.io/city-generator/?name=Szithlin&amp;population=2506&amp;size=18&amp;seed=3550748350895&amp;river=0&amp;coast=0&amp;farms=1&amp;citadel=0&amp;urban_castle=0&amp;hub=false&amp;plaza=0&amp;temple=0&amp;walls=0&amp;shantytown=0&amp;gates=-1</t>
  </si>
  <si>
    <t>Gnidan</t>
  </si>
  <si>
    <t>{t1:gules;charges:[{charge:greyhoundSejant;t:argent;p:e;size:1.5;sinister:1}];shield:hessen}</t>
  </si>
  <si>
    <t>https://watabou.github.io/city-generator/?name=Gnidan&amp;population=2284&amp;size=18&amp;seed=3550748350917&amp;river=0&amp;coast=0&amp;farms=1&amp;citadel=1&amp;urban_castle=0&amp;hub=false&amp;plaza=0&amp;temple=0&amp;walls=0&amp;shantytown=0&amp;gates=-1</t>
  </si>
  <si>
    <t>Dradow</t>
  </si>
  <si>
    <t>{t1:azure;ordinaries:[{ordinary:bendlet;t:argent;line:straight}];charges:[{charge:apple;t:argent;p:cg;size:0.5}];shield:fantasy5}</t>
  </si>
  <si>
    <t>https://watabou.github.io/city-generator/?name=Dradow&amp;population=6296&amp;size=26&amp;seed=3550748350944&amp;river=0&amp;coast=0&amp;farms=1&amp;citadel=0&amp;urban_castle=0&amp;hub=false&amp;plaza=0&amp;temple=0&amp;walls=0&amp;shantytown=0&amp;gates=-1</t>
  </si>
  <si>
    <t>Hethroggaust</t>
  </si>
  <si>
    <t>{t1:gules;ordinaries:[{ordinary:chevronReversed;t:or}];charges:[{charge:crossHummetty;t:argent;p:jlh;size:0.7}];shield:hessen}</t>
  </si>
  <si>
    <t>https://watabou.github.io/city-generator/?name=Hethroggaust&amp;population=2164&amp;size=17&amp;seed=3550748350950&amp;river=0&amp;coast=0&amp;farms=1&amp;citadel=0&amp;urban_castle=0&amp;hub=false&amp;plaza=0&amp;temple=0&amp;walls=0&amp;shantytown=0&amp;gates=-1</t>
  </si>
  <si>
    <t>{t1:purpure;ordinaries:[{ordinary:cross;t:argent;line:straight}];charges:[{charge:mullet6;t:sable;p:beh;size:0.3}];shield:fantasy5}</t>
  </si>
  <si>
    <t>https://watabou.github.io/city-generator/?name=Smallver&amp;population=2149&amp;size=17&amp;seed=3550748350969&amp;river=1&amp;coast=0&amp;farms=1&amp;citadel=1&amp;urban_castle=0&amp;hub=false&amp;plaza=0&amp;temple=0&amp;walls=0&amp;shantytown=0&amp;gates=-1</t>
  </si>
  <si>
    <t>Newtownmo</t>
  </si>
  <si>
    <t>{t1:barry-argent-gules;ordinaries:[{ordinary:pale;t:purpure;line:straight}];shield:fantasy5}</t>
  </si>
  <si>
    <t>https://watabou.github.io/city-generator/?name=Newtownmo&amp;population=2206&amp;size=18&amp;seed=3550748350970&amp;river=1&amp;coast=0&amp;farms=1&amp;citadel=0&amp;urban_castle=0&amp;hub=false&amp;plaza=0&amp;temple=0&amp;walls=0&amp;shantytown=0&amp;gates=-1</t>
  </si>
  <si>
    <t>Cadowbay</t>
  </si>
  <si>
    <t>{t1:azure;charges:[{charge:pot;t:argent;p:jln;size:0.7}];shield:fantasy5}</t>
  </si>
  <si>
    <t>https://watabou.github.io/city-generator/?name=Cadowbay&amp;population=2155&amp;size=17&amp;seed=3550748350971&amp;river=0&amp;coast=0&amp;farms=1&amp;citadel=0&amp;urban_castle=0&amp;hub=false&amp;plaza=0&amp;temple=0&amp;walls=0&amp;shantytown=0&amp;gates=-1</t>
  </si>
  <si>
    <t>Raugausthath</t>
  </si>
  <si>
    <t>{t1:argent;charges:[{charge:goutte;t:purpure;p:abcdefgzi;size:0.3}];shield:hessen}</t>
  </si>
  <si>
    <t>https://watabou.github.io/city-generator/?name=Raugausthath&amp;population=2062&amp;size=17&amp;seed=3550748350978&amp;river=0&amp;coast=0&amp;farms=1&amp;citadel=0&amp;urban_castle=0&amp;hub=false&amp;plaza=0&amp;temple=0&amp;walls=0&amp;shantytown=0&amp;gates=-1</t>
  </si>
  <si>
    <t>Tebreridurth</t>
  </si>
  <si>
    <t>{t1:azure;charges:[{charge:greyhoundSejant;t:or;p:jln;size:0.7}];shield:hessen}</t>
  </si>
  <si>
    <t>https://watabou.github.io/city-generator/?name=Tebreridurth&amp;population=5076&amp;size=24&amp;seed=3550748350980&amp;river=0&amp;coast=0&amp;farms=1&amp;citadel=1&amp;urban_castle=1&amp;hub=false&amp;plaza=0&amp;temple=0&amp;walls=0&amp;shantytown=0&amp;gates=-1</t>
  </si>
  <si>
    <t>{t1:sable;charges:[{charge:inescutcheon;t:or;p:e;size:1.5};{charge:fleurDeLis;t:azure;p:e;size:0.75}];shield:fantasy5}</t>
  </si>
  <si>
    <t>https://watabou.github.io/city-generator/?name=Freystarde&amp;population=39565&amp;size=52&amp;seed=3550748351000&amp;river=0&amp;coast=0&amp;farms=1&amp;citadel=0&amp;urban_castle=0&amp;hub=false&amp;plaza=1&amp;temple=1&amp;walls=1&amp;shantytown=0&amp;gates=-1</t>
  </si>
  <si>
    <t>Steamouth</t>
  </si>
  <si>
    <t>{t1:or;charges:[{charge:basilisk;t:sable;p:jln;size:0.7}];shield:fantasy5}</t>
  </si>
  <si>
    <t>https://watabou.github.io/city-generator/?name=Steamouth&amp;population=2098&amp;size=17&amp;seed=3550748351002&amp;river=0&amp;coast=0&amp;farms=1&amp;citadel=1&amp;urban_castle=1&amp;hub=false&amp;plaza=0&amp;temple=0&amp;walls=0&amp;shantytown=0&amp;gates=-1</t>
  </si>
  <si>
    <t>Nautherablyn</t>
  </si>
  <si>
    <t>{t1:sable;charges:[{charge:lionHeadCaboshed;t:argent;p:jln;size:0.7}];shield:hessen}</t>
  </si>
  <si>
    <t>https://watabou.github.io/city-generator/?name=Nautherablyn&amp;population=2042&amp;size=17&amp;seed=3550748351007&amp;river=0&amp;coast=0&amp;farms=1&amp;citadel=1&amp;urban_castle=0&amp;hub=false&amp;plaza=0&amp;temple=0&amp;walls=0&amp;shantytown=0&amp;gates=-1</t>
  </si>
  <si>
    <t>Yen'lario</t>
  </si>
  <si>
    <t>{t1:gules;charges:[{charge:key;t:argent;p:e;size:1.5}];shield:hessen}</t>
  </si>
  <si>
    <t>https://watabou.github.io/city-generator/?name=Yen%27lario&amp;population=27378&amp;size=45&amp;seed=3550748351009&amp;river=1&amp;coast=0&amp;farms=1&amp;citadel=1&amp;urban_castle=0&amp;hub=false&amp;plaza=0&amp;temple=0&amp;walls=1&amp;shantytown=0&amp;gates=-1</t>
  </si>
  <si>
    <t>Ponulabuk</t>
  </si>
  <si>
    <t>Kalgepe</t>
  </si>
  <si>
    <t>Kalgepean City-state</t>
  </si>
  <si>
    <t>{t1:maily-argent-vert;division:{division:perCross;t:purpure;line:straight};shield:round}</t>
  </si>
  <si>
    <t>https://watabou.github.io/city-generator/?name=Ponulabuk&amp;population=2345&amp;size=18&amp;seed=3550748350288&amp;river=1&amp;coast=0&amp;farms=1&amp;citadel=0&amp;urban_castle=0&amp;hub=false&amp;plaza=1&amp;temple=0&amp;walls=1&amp;shantytown=0&amp;gates=-1</t>
  </si>
  <si>
    <t>Kozliyerek</t>
  </si>
  <si>
    <t>{t1:or;division:{division:perFess;t:gules;line:straight};charges:[{charge:fleurDeLis;t:sable;p:k;size:0.7};{charge:inescutcheon;t:argent;p:n;size:0.7}];shield:round}</t>
  </si>
  <si>
    <t>https://watabou.github.io/city-generator/?name=Kozliyerek&amp;population=5652&amp;size=25&amp;seed=3550748350360&amp;river=1&amp;coast=0&amp;farms=1&amp;citadel=1&amp;urban_castle=1&amp;hub=false&amp;plaza=0&amp;temple=0&amp;walls=0&amp;shantytown=0&amp;gates=-1</t>
  </si>
  <si>
    <t>Karkekopi</t>
  </si>
  <si>
    <t>{t1:azure;charges:[{charge:tower;t:or;p:e;size:1.5}];shield:round}</t>
  </si>
  <si>
    <t>https://watabou.github.io/city-generator/?name=Karkekopi&amp;population=23019&amp;size=42&amp;seed=3550748350488&amp;river=1&amp;coast=1&amp;farms=0&amp;citadel=1&amp;urban_castle=1&amp;hub=false&amp;plaza=1&amp;temple=0&amp;walls=1&amp;shantytown=0&amp;gates=-1&amp;sea=0.03</t>
  </si>
  <si>
    <t>Velgvukh</t>
  </si>
  <si>
    <t>Lakes and Rivers</t>
  </si>
  <si>
    <t>Kingdom of  the Lakes and Rivers</t>
  </si>
  <si>
    <t>{t1:purpure;ordinaries:[{ordinary:chief;t:or;line:dovetailedIndented}];charges:[{charge:pike;t:azure;p:abc;size:0.5}];shield:fantasy2}</t>
  </si>
  <si>
    <t>https://watabou.github.io/city-generator/?name=Velgvukh&amp;population=6708&amp;size=27&amp;seed=3550748350150&amp;river=0&amp;coast=1&amp;farms=1&amp;citadel=1&amp;urban_castle=1&amp;hub=false&amp;plaza=1&amp;temple=0&amp;walls=0&amp;shantytown=0&amp;gates=-1&amp;sea=1.92</t>
  </si>
  <si>
    <t>Rarurdle</t>
  </si>
  <si>
    <t>{t1:barry-argent-gules;charges:[{charge:inescutcheon;t:azure;p:jln;size:0.7};{charge:eagleTwoHeards;t:or;p:jln;size:0.35}];shield:fantasy2}</t>
  </si>
  <si>
    <t>https://watabou.github.io/city-generator/?name=Rarurdle&amp;population=23950&amp;size=43&amp;seed=3550748350203&amp;river=0&amp;coast=0&amp;farms=1&amp;citadel=1&amp;urban_castle=0&amp;hub=false&amp;plaza=1&amp;temple=0&amp;walls=1&amp;shantytown=1&amp;gates=-1</t>
  </si>
  <si>
    <t>Radez</t>
  </si>
  <si>
    <t>{t1:or;charges:[{charge:crossHummetty;t:purpure;p:kn;size:0.7}];shield:fantasy2}</t>
  </si>
  <si>
    <t>https://watabou.github.io/city-generator/?name=Radez&amp;population=28229&amp;size=46&amp;seed=3550748350232&amp;river=0&amp;coast=1&amp;farms=1&amp;citadel=0&amp;urban_castle=0&amp;hub=false&amp;plaza=1&amp;temple=1&amp;walls=1&amp;shantytown=1&amp;gates=-1&amp;sea=1.36</t>
  </si>
  <si>
    <t>Qirgolga</t>
  </si>
  <si>
    <t>{t1:or;ordinaries:[{ordinary:saltireParted;t:gules;line:straight}];charges:[{charge:axe;t:or;p:e;size:1.5}];shield:fantasy2}</t>
  </si>
  <si>
    <t>https://watabou.github.io/city-generator/?name=Qirgolga&amp;population=18769&amp;size=39&amp;seed=3550748350242&amp;river=0&amp;coast=1&amp;farms=1&amp;citadel=1&amp;urban_castle=1&amp;hub=false&amp;plaza=1&amp;temple=0&amp;walls=1&amp;shantytown=0&amp;gates=-1&amp;sea=1.17</t>
  </si>
  <si>
    <t>Dhod</t>
  </si>
  <si>
    <t>{t1:purpure;ordinaries:[{ordinary:pale;t:argent;line:straight}];charges:[{charge:dragonRampant;t:purpure;p:e;size:0.7}];shield:fantasy2}</t>
  </si>
  <si>
    <t>https://watabou.github.io/city-generator/?name=Dhod&amp;population=18686&amp;size=39&amp;seed=3550748350320&amp;river=0&amp;coast=0&amp;farms=1&amp;citadel=0&amp;urban_castle=0&amp;hub=false&amp;plaza=1&amp;temple=0&amp;walls=1&amp;shantytown=0&amp;gates=-1</t>
  </si>
  <si>
    <t>Orzazdur</t>
  </si>
  <si>
    <t>{t1:barry-argent-gules;ordinaries:[{ordinary:orle;t:azure;line:straight}];shield:fantasy2}</t>
  </si>
  <si>
    <t>https://watabou.github.io/city-generator/?name=Orzazdur&amp;population=2274&amp;size=18&amp;seed=3550748350471&amp;river=0&amp;coast=0&amp;farms=1&amp;citadel=0&amp;urban_castle=0&amp;hub=false&amp;plaza=0&amp;temple=0&amp;walls=1&amp;shantytown=0&amp;gates=-1</t>
  </si>
  <si>
    <t>Khal</t>
  </si>
  <si>
    <t>{t1:or;charges:[{charge:lozengeFaceted;t:gules;p:kmo;size:0.5}];shield:fantasy2}</t>
  </si>
  <si>
    <t>https://watabou.github.io/city-generator/?name=Khal&amp;population=14562&amp;size=36&amp;seed=3550748350866&amp;river=0&amp;coast=1&amp;farms=1&amp;citadel=0&amp;urban_castle=0&amp;hub=false&amp;plaza=0&amp;temple=0&amp;walls=1&amp;shantytown=0&amp;gates=-1&amp;sea=1.63</t>
  </si>
  <si>
    <t>Dhur</t>
  </si>
  <si>
    <t>{t1:barry-argent-gules;ordinaries:[{ordinary:pall;t:gules}];charges:[{charge:goutte;t:or;p:jleh;size:0.5}];shield:fantasy2}</t>
  </si>
  <si>
    <t>https://watabou.github.io/city-generator/?name=Dhur&amp;population=36053&amp;size=50&amp;seed=3550748350999&amp;river=0&amp;coast=0&amp;farms=1&amp;citadel=0&amp;urban_castle=0&amp;hub=false&amp;plaza=1&amp;temple=1&amp;walls=1&amp;shantytown=0&amp;gates=-1</t>
  </si>
  <si>
    <t>Bolvanta</t>
  </si>
  <si>
    <t>Murlayka</t>
  </si>
  <si>
    <t>Viceroyalty of Murlayka</t>
  </si>
  <si>
    <t>{t1:argent;charges:[{charge:inescutcheon;t:gules;p:e;size:1.5};{charge:horseRampant;t:argent;p:e;size:0.75}];shield:round}</t>
  </si>
  <si>
    <t>https://watabou.github.io/city-generator/?name=Bolvanta&amp;population=70675&amp;size=65&amp;seed=3550748350005&amp;river=0&amp;coast=1&amp;farms=1&amp;citadel=1&amp;urban_castle=0&amp;hub=false&amp;plaza=1&amp;temple=1&amp;walls=1&amp;shantytown=0&amp;gates=-1&amp;sea=0.28</t>
  </si>
  <si>
    <t>Iskishe</t>
  </si>
  <si>
    <t>{t1:purpure;ordinaries:[{ordinary:pall;t:argent}];charges:[{charge:goutte;t:purpure;p:jleh;size:0.5}];shield:round}</t>
  </si>
  <si>
    <t>https://watabou.github.io/city-generator/?name=Iskishe&amp;population=6129&amp;size=26&amp;seed=3550748350018&amp;river=0&amp;coast=0&amp;farms=0&amp;citadel=0&amp;urban_castle=0&amp;hub=false&amp;plaza=1&amp;temple=0&amp;walls=1&amp;shantytown=0&amp;gates=-1</t>
  </si>
  <si>
    <t>Ilolulala</t>
  </si>
  <si>
    <t>{t1:argent;charges:[{charge:crossHummetty;t:vert;p:beh;size:0.5}];shield:round}</t>
  </si>
  <si>
    <t>https://watabou.github.io/city-generator/?name=Ilolulala&amp;population=13159&amp;size=34&amp;seed=3550748350023&amp;river=0&amp;coast=0&amp;farms=1&amp;citadel=1&amp;urban_castle=0&amp;hub=false&amp;plaza=1&amp;temple=1&amp;walls=1&amp;shantytown=0&amp;gates=-1</t>
  </si>
  <si>
    <t>Kushelisar</t>
  </si>
  <si>
    <t>{t1:vert;charges:[{charge:anchor;t:argent;p:e;size:1.5}];shield:round}</t>
  </si>
  <si>
    <t>https://watabou.github.io/city-generator/?name=Kushelisar&amp;population=30686&amp;size=47&amp;seed=3550748350030&amp;river=0&amp;coast=1&amp;farms=1&amp;citadel=0&amp;urban_castle=0&amp;hub=false&amp;plaza=0&amp;temple=1&amp;walls=1&amp;shantytown=0&amp;gates=-1&amp;sea=1.68</t>
  </si>
  <si>
    <t>Dagaan</t>
  </si>
  <si>
    <t>{t1:azure;charges:[{charge:bell;t:argent;p:jln;size:0.7}];shield:easterling}</t>
  </si>
  <si>
    <t>https://watabou.github.io/city-generator/?name=Dagaan&amp;population=2577&amp;size=19&amp;seed=3550748350034&amp;river=0&amp;coast=0&amp;farms=1&amp;citadel=0&amp;urban_castle=0&amp;hub=false&amp;plaza=0&amp;temple=1&amp;walls=0&amp;shantytown=0&amp;gates=-1</t>
  </si>
  <si>
    <t>Batsenzad</t>
  </si>
  <si>
    <t>{t1:gules;ordinaries:[{ordinary:bordure;t:or}];charges:[{charge:mascle;t:gules;p:ABCDEFGHIJKL;size:0.18}];shield:easterling}</t>
  </si>
  <si>
    <t>https://watabou.github.io/city-generator/?name=Batsenzad&amp;population=11378&amp;size=32&amp;seed=3550748350038&amp;river=1&amp;coast=0&amp;farms=1&amp;citadel=0&amp;urban_castle=0&amp;hub=false&amp;plaza=0&amp;temple=0&amp;walls=1&amp;shantytown=0&amp;gates=-1</t>
  </si>
  <si>
    <t>Keshe</t>
  </si>
  <si>
    <t>{t1:or;ordinaries:[{ordinary:saltire;t:sable;line:straight}];charges:[{charge:oak;t:gules;p:jlh;size:0.7}];shield:round}</t>
  </si>
  <si>
    <t>https://watabou.github.io/city-generator/?name=Keshe&amp;population=1676&amp;size=16&amp;seed=3550748350040&amp;river=0&amp;coast=0&amp;farms=1&amp;citadel=1&amp;urban_castle=1&amp;hub=false&amp;plaza=0&amp;temple=1&amp;walls=1&amp;shantytown=0&amp;gates=-1</t>
  </si>
  <si>
    <t>Guallythlin</t>
  </si>
  <si>
    <t>{t1:sable;charges:[{charge:bearPassant;t:argent;p:e;size:1.5;sinister:1}];shield:hessen}</t>
  </si>
  <si>
    <t>https://watabou.github.io/city-generator/?name=Guallythlin&amp;population=2482&amp;size=18&amp;seed=3550748350050&amp;river=1&amp;coast=1&amp;farms=1&amp;citadel=1&amp;urban_castle=1&amp;hub=false&amp;plaza=0&amp;temple=0&amp;walls=0&amp;shantytown=0&amp;gates=-1&amp;sea=1.7</t>
  </si>
  <si>
    <t>Mabatsabat</t>
  </si>
  <si>
    <t>{t1:sable;charges:[{charge:sword;t:or;p:e;size:1.5}];shield:round}</t>
  </si>
  <si>
    <t>https://watabou.github.io/city-generator/?name=Mabatsabat&amp;population=1649&amp;size=16&amp;seed=3550748350055&amp;river=0&amp;coast=0&amp;farms=1&amp;citadel=1&amp;urban_castle=0&amp;hub=false&amp;plaza=0&amp;temple=1&amp;walls=0&amp;shantytown=0&amp;gates=-1</t>
  </si>
  <si>
    <t>Balolu</t>
  </si>
  <si>
    <t>{t1:argent;charges:[{charge:bearRampant;t:vert;p:jln;size:0.7}];shield:round}</t>
  </si>
  <si>
    <t>https://watabou.github.io/city-generator/?name=Balolu&amp;population=1672&amp;size=16&amp;seed=3550748350059&amp;river=1&amp;coast=0&amp;farms=1&amp;citadel=0&amp;urban_castle=0&amp;hub=false&amp;plaza=0&amp;temple=1&amp;walls=0&amp;shantytown=0&amp;gates=-1</t>
  </si>
  <si>
    <t>Rashig</t>
  </si>
  <si>
    <t>{t1:purpure;charges:[{charge:rustre;t:or;p:abcpqh;size:0.5}];shield:easterling}</t>
  </si>
  <si>
    <t>https://watabou.github.io/city-generator/?name=Rashig&amp;population=3092&amp;size=20&amp;seed=3550748350068&amp;river=0&amp;coast=1&amp;farms=1&amp;citadel=0&amp;urban_castle=0&amp;hub=false&amp;plaza=1&amp;temple=0&amp;walls=0&amp;shantytown=0&amp;gates=-1&amp;sea=0.93</t>
  </si>
  <si>
    <t>Yemit</t>
  </si>
  <si>
    <t>{t1:argent;division:{division:perFess;t:gules;line:wavy};charges:[{charge:crossFormee;t:vert;p:e;divided:counter;size:1.5}];shield:round}</t>
  </si>
  <si>
    <t>https://watabou.github.io/city-generator/?name=Yemit&amp;population=7997&amp;size=28&amp;seed=3550748350091&amp;river=0&amp;coast=0&amp;farms=0&amp;citadel=0&amp;urban_castle=0&amp;hub=false&amp;plaza=0&amp;temple=0&amp;walls=0&amp;shantytown=0&amp;gates=-1</t>
  </si>
  <si>
    <t>Khalh</t>
  </si>
  <si>
    <t>{t1:azure;ordinaries:[{ordinary:saltireParted;t:or;line:straight}];charges:[{charge:roundel;t:sable;p:e;size:1.5}];shield:easterling}</t>
  </si>
  <si>
    <t>https://watabou.github.io/city-generator/?name=Khalh&amp;population=1618&amp;size=16&amp;seed=3550748350113&amp;river=0&amp;coast=0&amp;farms=1&amp;citadel=1&amp;urban_castle=0&amp;hub=false&amp;plaza=0&amp;temple=0&amp;walls=0&amp;shantytown=0&amp;gates=-1</t>
  </si>
  <si>
    <t>Shi Ondalger</t>
  </si>
  <si>
    <t>{t1:argent;ordinaries:[{ordinary:fess;t:purpure;line:straight}];charges:[{charge:sun;t:purpure;p:abc;size:0.5}];shield:easterling}</t>
  </si>
  <si>
    <t>https://watabou.github.io/city-generator/?name=Shi+Ondalger&amp;population=1555&amp;size=15&amp;seed=3550748350114&amp;river=0&amp;coast=0&amp;farms=1&amp;citadel=0&amp;urban_castle=0&amp;hub=false&amp;plaza=0&amp;temple=1&amp;walls=0&amp;shantytown=0&amp;gates=-1</t>
  </si>
  <si>
    <t>Shar</t>
  </si>
  <si>
    <t>{t1:argent;division:{division:perCross;t:gules;line:invecked};charges:[{charge:crossFitchy;t:azure;p:j;size:0.6};{charge:snake;t:argent;p:l;size:0.6};{charge:bucket;t:argent;p:m;size:0.6};{charge:oak;t:gules;p:o;size:0.6}];shield:round}</t>
  </si>
  <si>
    <t>https://watabou.github.io/city-generator/?name=Shar&amp;population=4691&amp;size=23&amp;seed=3550748350120&amp;river=0&amp;coast=0&amp;farms=1&amp;citadel=1&amp;urban_castle=1&amp;hub=false&amp;plaza=0&amp;temple=1&amp;walls=0&amp;shantytown=0&amp;gates=-1</t>
  </si>
  <si>
    <t>Silip</t>
  </si>
  <si>
    <t>{t1:sable;charges:[{charge:sword;t:argent;p:e;size:1.5}];shield:round}</t>
  </si>
  <si>
    <t>https://watabou.github.io/city-generator/?name=Silip&amp;population=10667&amp;size=32&amp;seed=3550748350130&amp;river=1&amp;coast=0&amp;farms=1&amp;citadel=0&amp;urban_castle=0&amp;hub=false&amp;plaza=1&amp;temple=1&amp;walls=0&amp;shantytown=0&amp;gates=-1</t>
  </si>
  <si>
    <t>Rashigrog</t>
  </si>
  <si>
    <t>{t1:bendySinister-or-sable;ordinaries:[{ordinary:quarter;t:azure}];charges:[{charge:bell;t:gules;p:e;size:1.5}];shield:easterling}</t>
  </si>
  <si>
    <t>https://watabou.github.io/city-generator/?name=Rashigrog&amp;population=11049&amp;size=32&amp;seed=3550748350131&amp;river=0&amp;coast=0&amp;farms=1&amp;citadel=1&amp;urban_castle=0&amp;hub=false&amp;plaza=1&amp;temple=1&amp;walls=1&amp;shantytown=0&amp;gates=-1</t>
  </si>
  <si>
    <t>Oshe</t>
  </si>
  <si>
    <t>{t1:or;ordinaries:[{ordinary:bend;t:sable;line:straight}];charges:[{charge:cowHorns;t:argent;p:joe;size:0.5}];shield:round}</t>
  </si>
  <si>
    <t>https://watabou.github.io/city-generator/?name=Oshe&amp;population=8358&amp;size=29&amp;seed=3550748350132&amp;river=0&amp;coast=0&amp;farms=1&amp;citadel=0&amp;urban_castle=0&amp;hub=false&amp;plaza=0&amp;temple=1&amp;walls=0&amp;shantytown=0&amp;gates=-1</t>
  </si>
  <si>
    <t>Galanas</t>
  </si>
  <si>
    <t>{t1:gules;charges:[{charge:bugleHorn2;t:argent;p:e;size:1.5}];shield:hessen}</t>
  </si>
  <si>
    <t>https://watabou.github.io/city-generator/?name=Galanas&amp;population=1661&amp;size=16&amp;seed=3550748350145&amp;river=0&amp;coast=0&amp;farms=1&amp;citadel=1&amp;urban_castle=0&amp;hub=false&amp;plaza=0&amp;temple=0&amp;walls=1&amp;shantytown=0&amp;gates=-1</t>
  </si>
  <si>
    <t>Sorne</t>
  </si>
  <si>
    <t>{t1:purpure;charges:[{charge:inescutcheon;t:or;p:e;size:1.5}];shield:round}</t>
  </si>
  <si>
    <t>https://watabou.github.io/city-generator/?name=Sorne&amp;population=15064&amp;size=36&amp;seed=3550748350152&amp;river=0&amp;coast=0&amp;farms=1&amp;citadel=0&amp;urban_castle=0&amp;hub=false&amp;plaza=1&amp;temple=0&amp;walls=1&amp;shantytown=0&amp;gates=-1</t>
  </si>
  <si>
    <t>Kartin</t>
  </si>
  <si>
    <t>{t1:gules;charges:[{charge:serpent;t:or;p:e;size:1.5}];shield:round}</t>
  </si>
  <si>
    <t>https://watabou.github.io/city-generator/?name=Kartin&amp;population=1679&amp;size=16&amp;seed=3550748350174&amp;river=0&amp;coast=0&amp;farms=1&amp;citadel=1&amp;urban_castle=1&amp;hub=false&amp;plaza=0&amp;temple=1&amp;walls=0&amp;shantytown=0&amp;gates=-1</t>
  </si>
  <si>
    <t>Tavs</t>
  </si>
  <si>
    <t>{t1:vert;charges:[{charge:goat;t:or;p:jln;size:0.7}];shield:round}</t>
  </si>
  <si>
    <t>https://watabou.github.io/city-generator/?name=Tavs&amp;population=2608&amp;size=19&amp;seed=3550748350189&amp;river=0&amp;coast=1&amp;farms=1&amp;citadel=1&amp;urban_castle=0&amp;hub=false&amp;plaza=0&amp;temple=1&amp;walls=0&amp;shantytown=0&amp;gates=-1&amp;sea=0.18</t>
  </si>
  <si>
    <t>Idyatsabo</t>
  </si>
  <si>
    <t>{t1:scaly-argent-gules;division:{division:perFess;t:sable;line:straight};ordinaries:[{ordinary:pileInBendSinister;t:azure}];shield:round}</t>
  </si>
  <si>
    <t>https://watabou.github.io/city-generator/?name=Idyatsabo&amp;population=3481&amp;size=21&amp;seed=3550748350220&amp;river=0&amp;coast=0&amp;farms=0&amp;citadel=1&amp;urban_castle=1&amp;hub=false&amp;plaza=1&amp;temple=1&amp;walls=0&amp;shantytown=0&amp;gates=-1</t>
  </si>
  <si>
    <t>{t1:masoned-or-purpure;division:{division:perCross;t:gules;line:straight};shield:round}</t>
  </si>
  <si>
    <t>https://watabou.github.io/city-generator/?name=Tavs&amp;population=3810&amp;size=21&amp;seed=3550748350223&amp;river=0&amp;coast=0&amp;farms=1&amp;citadel=0&amp;urban_castle=0&amp;hub=false&amp;plaza=0&amp;temple=1&amp;walls=0&amp;shantytown=0&amp;gates=-1</t>
  </si>
  <si>
    <t>Charis</t>
  </si>
  <si>
    <t>{t1:pally-argent-azure;division:{division:perCross;t:gules;line:straight};charges:[{charge:arrow;t:purpure;p:e;size:1.5}];shield:round}</t>
  </si>
  <si>
    <t>https://watabou.github.io/city-generator/?name=Charis&amp;population=1675&amp;size=16&amp;seed=3550748350224&amp;river=0&amp;coast=0&amp;farms=1&amp;citadel=1&amp;urban_castle=1&amp;hub=false&amp;plaza=0&amp;temple=1&amp;walls=0&amp;shantytown=0&amp;gates=-1</t>
  </si>
  <si>
    <t>Deadfalls</t>
  </si>
  <si>
    <t>{t1:masoned-or-purpure;division:{division:perChevron;t:vert;line:straight};charges:[{charge:bugleHorn2;t:gules;p:bdefh;size:0.4}];shield:fantasy5}</t>
  </si>
  <si>
    <t>https://watabou.github.io/city-generator/?name=Deadfalls&amp;population=5512&amp;size=25&amp;seed=3550748350225&amp;river=0&amp;coast=0&amp;farms=1&amp;citadel=0&amp;urban_castle=0&amp;hub=false&amp;plaza=0&amp;temple=0&amp;walls=0&amp;shantytown=0&amp;gates=-1</t>
  </si>
  <si>
    <t>Argayan</t>
  </si>
  <si>
    <t>{t1:semy_of_mullet7-argent-sable;division:{division:perFess;t:azure;line:straight};charges:[{charge:anchor;t:purpure;p:k;size:0.7};{charge:crossPatteeAlisee;t:or;p:n;size:0.7}];shield:easterling}</t>
  </si>
  <si>
    <t>https://watabou.github.io/city-generator/?name=Argayan&amp;population=3168&amp;size=20&amp;seed=3550748350234&amp;river=0&amp;coast=1&amp;farms=1&amp;citadel=1&amp;urban_castle=1&amp;hub=false&amp;plaza=0&amp;temple=0&amp;walls=0&amp;shantytown=0&amp;gates=-1&amp;sea=1.49</t>
  </si>
  <si>
    <t>Bomnolon</t>
  </si>
  <si>
    <t>{t1:sable;ordinaries:[{ordinary:saltire;t:or;line:invecked}];charges:[{charge:lozenge;t:sable;p:e;size:0.7}];shield:easterling}</t>
  </si>
  <si>
    <t>https://watabou.github.io/city-generator/?name=Bomnolon&amp;population=1633&amp;size=16&amp;seed=3550748350244&amp;river=0&amp;coast=0&amp;farms=0&amp;citadel=0&amp;urban_castle=0&amp;hub=false&amp;plaza=0&amp;temple=1&amp;walls=0&amp;shantytown=0&amp;gates=-1</t>
  </si>
  <si>
    <t>Fatli</t>
  </si>
  <si>
    <t>{t1:gules;division:{division:perPale;t:argent;line:straight};ordinaries:[{ordinary:terrace;t:or;line:dragonTeeth;divided:counter}];shield:round}</t>
  </si>
  <si>
    <t>https://watabou.github.io/city-generator/?name=Fatli&amp;population=4594&amp;size=23&amp;seed=3550748350250&amp;river=0&amp;coast=0&amp;farms=1&amp;citadel=0&amp;urban_castle=0&amp;hub=false&amp;plaza=0&amp;temple=0&amp;walls=0&amp;shantytown=0&amp;gates=-1</t>
  </si>
  <si>
    <t>Salan</t>
  </si>
  <si>
    <t>{t1:argent;ordinaries:[{ordinary:bendlet;t:vert;line:straight}];charges:[{charge:sword;t:argent;p:joe;size:0.3}];shield:round}</t>
  </si>
  <si>
    <t>https://watabou.github.io/city-generator/?name=Salan&amp;population=1775&amp;size=16&amp;seed=3550748350257&amp;river=0&amp;coast=0&amp;farms=1&amp;citadel=0&amp;urban_castle=0&amp;hub=false&amp;plaza=0&amp;temple=1&amp;walls=0&amp;shantytown=0&amp;gates=-1</t>
  </si>
  <si>
    <t>Earthfield</t>
  </si>
  <si>
    <t>{t1:purpure;ordinaries:[{ordinary:pilesInPoint;t:argent}];charges:[{charge:hand;t:argent;p:jln;size:0.7}];shield:fantasy5}</t>
  </si>
  <si>
    <t>https://watabou.github.io/city-generator/?name=Earthfield&amp;population=11330&amp;size=32&amp;seed=3550748350270&amp;river=0&amp;coast=0&amp;farms=1&amp;citadel=0&amp;urban_castle=0&amp;hub=false&amp;plaza=1&amp;temple=0&amp;walls=1&amp;shantytown=0&amp;gates=-1</t>
  </si>
  <si>
    <t>Tsagaanlai</t>
  </si>
  <si>
    <t>{t1:bendy-argent-vert;ordinaries:[{ordinary:bordure;t:sable}];charges:[{charge:boat2;t:or;p:ABCDEFGHIJKL;size:0.18}];shield:easterling}</t>
  </si>
  <si>
    <t>https://watabou.github.io/city-generator/?name=Tsagaanlai&amp;population=31322&amp;size=48&amp;seed=3550748350279&amp;river=0&amp;coast=0&amp;farms=1&amp;citadel=1&amp;urban_castle=0&amp;hub=false&amp;plaza=1&amp;temple=0&amp;walls=1&amp;shantytown=1&amp;gates=-1</t>
  </si>
  <si>
    <t>Chand</t>
  </si>
  <si>
    <t>{t1:azure;charges:[{charge:sabresCrossed;t:argent;p:e;size:1.5}];shield:easterling}</t>
  </si>
  <si>
    <t>https://watabou.github.io/city-generator/?name=Chand&amp;population=8824&amp;size=30&amp;seed=3550748350290&amp;river=0&amp;coast=0&amp;farms=1&amp;citadel=0&amp;urban_castle=0&amp;hub=false&amp;plaza=0&amp;temple=1&amp;walls=0&amp;shantytown=0&amp;gates=-1</t>
  </si>
  <si>
    <t>Boldak</t>
  </si>
  <si>
    <t>{t1:purpure;charges:[{charge:eagleTwoHeards;t:argent;p:e;size:1.5}];shield:round}</t>
  </si>
  <si>
    <t>https://watabou.github.io/city-generator/?name=Boldak&amp;population=8304&amp;size=29&amp;seed=3550748350291&amp;river=0&amp;coast=0&amp;farms=1&amp;citadel=0&amp;urban_castle=0&amp;hub=false&amp;plaza=0&amp;temple=1&amp;walls=0&amp;shantytown=0&amp;gates=-1</t>
  </si>
  <si>
    <t>Mooncairn</t>
  </si>
  <si>
    <t>{t1:or;charges:[{charge:inescutcheon;t:gules;p:e;size:1.5};{charge:mullet4;t:or;p:e;size:0.75}];shield:fantasy5}</t>
  </si>
  <si>
    <t>https://watabou.github.io/city-generator/?name=Mooncairn&amp;population=2927&amp;size=19&amp;seed=3550748350301&amp;river=0&amp;coast=0&amp;farms=1&amp;citadel=1&amp;urban_castle=0&amp;hub=false&amp;plaza=0&amp;temple=1&amp;walls=1&amp;shantytown=0&amp;gates=-1</t>
  </si>
  <si>
    <t>Binelika</t>
  </si>
  <si>
    <t>{t1:argent;ordinaries:[{ordinary:cross;t:gules;line:straight}];shield:round}</t>
  </si>
  <si>
    <t>https://watabou.github.io/city-generator/?name=Binelika&amp;population=15392&amp;size=36&amp;seed=3550748350302&amp;river=1&amp;coast=0&amp;farms=1&amp;citadel=1&amp;urban_castle=1&amp;hub=false&amp;plaza=1&amp;temple=1&amp;walls=0&amp;shantytown=0&amp;gates=-1</t>
  </si>
  <si>
    <t>Bodrumli</t>
  </si>
  <si>
    <t>{t1:gules;charges:[{charge:oak;t:or;p:e;size:1.5}];shield:round}</t>
  </si>
  <si>
    <t>https://watabou.github.io/city-generator/?name=Bodrumli&amp;population=2686&amp;size=19&amp;seed=3550748350311&amp;river=0&amp;coast=1&amp;farms=1&amp;citadel=1&amp;urban_castle=0&amp;hub=false&amp;plaza=0&amp;temple=1&amp;walls=0&amp;shantytown=0&amp;gates=-1&amp;sea=1.21</t>
  </si>
  <si>
    <t>https://watabou.github.io/city-generator/?name=Swiftle&amp;population=1829&amp;size=16&amp;seed=3550748350313&amp;river=1&amp;coast=0&amp;farms=1&amp;citadel=1&amp;urban_castle=0&amp;hub=false&amp;plaza=0&amp;temple=1&amp;walls=1&amp;shantytown=0&amp;gates=-1</t>
  </si>
  <si>
    <t>Topinar</t>
  </si>
  <si>
    <t>{t1:argent;division:{division:perCross;t:azure;line:straight};charges:[{charge:mullet;t:sable;p:j;size:0.6};{charge:billet;t:argent;p:l;size:0.6};{charge:snake;t:argent;p:m;size:0.6};{charge:boarRampant;t:azure;p:o;size:0.6}];shield:round}</t>
  </si>
  <si>
    <t>https://watabou.github.io/city-generator/?name=Topinar&amp;population=5704&amp;size=25&amp;seed=3550748350324&amp;river=0&amp;coast=0&amp;farms=1&amp;citadel=0&amp;urban_castle=0&amp;hub=false&amp;plaza=1&amp;temple=0&amp;walls=0&amp;shantytown=0&amp;gates=-1</t>
  </si>
  <si>
    <t>Nakil</t>
  </si>
  <si>
    <t>{t1:purpure;division:{division:perCross;t:argent;line:straight};charges:[{charge:roundel2;t:or;p:e;divided:counter;size:1.5}];shield:erebor}</t>
  </si>
  <si>
    <t>https://watabou.github.io/city-generator/?name=Nakil&amp;population=1639&amp;size=16&amp;seed=3550748350325&amp;river=0&amp;coast=0&amp;farms=1&amp;citadel=1&amp;urban_castle=0&amp;hub=false&amp;plaza=1&amp;temple=1&amp;walls=0&amp;shantytown=0&amp;gates=-1</t>
  </si>
  <si>
    <t>Tersuslada</t>
  </si>
  <si>
    <t>{t1:azure;charges:[{charge:tower;t:argent;p:jlh;size:0.7}];shield:round}</t>
  </si>
  <si>
    <t>https://watabou.github.io/city-generator/?name=Tersuslada&amp;population=9502&amp;size=30&amp;seed=3550748350343&amp;river=0&amp;coast=0&amp;farms=1&amp;citadel=1&amp;urban_castle=0&amp;hub=false&amp;plaza=0&amp;temple=1&amp;walls=1&amp;shantytown=0&amp;gates=-1</t>
  </si>
  <si>
    <t>Kocaririk</t>
  </si>
  <si>
    <t>{t1:argent;charges:[{charge:eagle;t:azure;p:e;size:1.5}];shield:round}</t>
  </si>
  <si>
    <t>https://watabou.github.io/city-generator/?name=Kocaririk&amp;population=22035&amp;size=42&amp;seed=3550748350361&amp;river=1&amp;coast=1&amp;farms=1&amp;citadel=0&amp;urban_castle=0&amp;hub=false&amp;plaza=0&amp;temple=1&amp;walls=1&amp;shantytown=1&amp;gates=-1&amp;sea=0.88</t>
  </si>
  <si>
    <t>Ergadin</t>
  </si>
  <si>
    <t>{t1:purpure;ordinaries:[{ordinary:cross;t:argent;line:wavy}];charges:[{charge:mullet8;t:argent;p:acgi;size:0.5}];shield:round}</t>
  </si>
  <si>
    <t>https://watabou.github.io/city-generator/?name=Ergadin&amp;population=6964&amp;size=27&amp;seed=3550748350363&amp;river=0&amp;coast=1&amp;farms=1&amp;citadel=1&amp;urban_castle=0&amp;hub=false&amp;plaza=0&amp;temple=1&amp;walls=0&amp;shantytown=0&amp;gates=-1&amp;sea=1.6</t>
  </si>
  <si>
    <t>Uluunkhan</t>
  </si>
  <si>
    <t>{t1:argent;charges:[{charge:cavalier;t:gules;p:e;size:1.5}];shield:easterling}</t>
  </si>
  <si>
    <t>https://watabou.github.io/city-generator/?name=Uluunkhan&amp;population=25862&amp;size=44&amp;seed=3550748350364&amp;river=0&amp;coast=0&amp;farms=1&amp;citadel=1&amp;urban_castle=1&amp;hub=false&amp;plaza=1&amp;temple=1&amp;walls=1&amp;shantytown=0&amp;gates=-1</t>
  </si>
  <si>
    <t>Elcukli</t>
  </si>
  <si>
    <t>{t1:argent;charges:[{charge:armillarySphere;t:purpure;p:e;size:1.5}];shield:round}</t>
  </si>
  <si>
    <t>https://watabou.github.io/city-generator/?name=Elcukli&amp;population=8328&amp;size=29&amp;seed=3550748350366&amp;river=0&amp;coast=1&amp;farms=1&amp;citadel=0&amp;urban_castle=0&amp;hub=false&amp;plaza=0&amp;temple=1&amp;walls=0&amp;shantytown=0&amp;gates=-1&amp;sea=1.77</t>
  </si>
  <si>
    <t>Emirselvan</t>
  </si>
  <si>
    <t>{t1:sable;charges:[{charge:horseshoe;t:argent;p:jeo;size:0.5}];shield:round}</t>
  </si>
  <si>
    <t>https://watabou.github.io/city-generator/?name=Emirselvan&amp;population=4414&amp;size=23&amp;seed=3550748350374&amp;river=0&amp;coast=0&amp;farms=1&amp;citadel=1&amp;urban_castle=1&amp;hub=false&amp;plaza=0&amp;temple=0&amp;walls=0&amp;shantytown=0&amp;gates=-1</t>
  </si>
  <si>
    <t>Turkurp</t>
  </si>
  <si>
    <t>https://watabou.github.io/city-generator/?name=Turkurp&amp;population=1753&amp;size=16&amp;seed=3550748350389&amp;river=0&amp;coast=0&amp;farms=1&amp;citadel=0&amp;urban_castle=0&amp;hub=false&amp;plaza=0&amp;temple=1&amp;walls=0&amp;shantytown=0&amp;gates=-1</t>
  </si>
  <si>
    <t>Akoma</t>
  </si>
  <si>
    <t>{t1:argent;ordinaries:[{ordinary:fess;t:vert;line:nowyReversed}];charges:[{charge:bugleHorn;t:argent;p:e;size:0.7}];shield:round}</t>
  </si>
  <si>
    <t>https://watabou.github.io/village-generator/?pop=1850&amp;name=&amp;seed=3550748350391&amp;width=1600&amp;height=727&amp;tags=dead+end%2Cno+square%2Cdense</t>
  </si>
  <si>
    <t>Bulag</t>
  </si>
  <si>
    <t>{t1:or;charges:[{charge:ramsHorn;t:azure;p:e;size:1.5}];shield:easterling}</t>
  </si>
  <si>
    <t>https://watabou.github.io/city-generator/?name=Bulag&amp;population=1814&amp;size=16&amp;seed=3550748350392&amp;river=0&amp;coast=0&amp;farms=1&amp;citadel=1&amp;urban_castle=1&amp;hub=false&amp;plaza=1&amp;temple=1&amp;walls=0&amp;shantytown=0&amp;gates=-1</t>
  </si>
  <si>
    <t>Aray</t>
  </si>
  <si>
    <t>{t1:argent;charges:[{charge:cock;t:sable;p:e;size:1.5}];shield:round}</t>
  </si>
  <si>
    <t>https://watabou.github.io/city-generator/?name=Aray&amp;population=1793&amp;size=16&amp;seed=3550748350406&amp;river=1&amp;coast=0&amp;farms=0&amp;citadel=1&amp;urban_castle=1&amp;hub=false&amp;plaza=0&amp;temple=1&amp;walls=0&amp;shantytown=0&amp;gates=-1</t>
  </si>
  <si>
    <t>Kamur</t>
  </si>
  <si>
    <t>{t1:sable;charges:[{charge:mullet;t:argent;p:jlh;size:0.7}];shield:round}</t>
  </si>
  <si>
    <t>https://watabou.github.io/city-generator/?name=Kamur&amp;population=12360&amp;size=34&amp;seed=3550748350407&amp;river=0&amp;coast=0&amp;farms=1&amp;citadel=1&amp;urban_castle=0&amp;hub=false&amp;plaza=1&amp;temple=1&amp;walls=1&amp;shantytown=0&amp;gates=-1</t>
  </si>
  <si>
    <t>Bayhancik</t>
  </si>
  <si>
    <t>{t1:or;division:{division:perCross;t:gules;line:wavy};charges:[{charge:fusil;t:azure;p:j;size:0.6};{charge:elephant;t:argent;p:l;size:0.6};{charge:roundel;t:or;p:m;size:0.6};{charge:fusil;t:purpure;p:o;size:0.6}];shield:round}</t>
  </si>
  <si>
    <t>https://watabou.github.io/city-generator/?name=Bayhancik&amp;population=11092&amp;size=32&amp;seed=3550748350421&amp;river=0&amp;coast=0&amp;farms=1&amp;citadel=0&amp;urban_castle=0&amp;hub=false&amp;plaza=0&amp;temple=0&amp;walls=1&amp;shantytown=0&amp;gates=-1</t>
  </si>
  <si>
    <t>Bozdugh</t>
  </si>
  <si>
    <t>{t1:purpure;ordinaries:[{ordinary:cross;t:argent;line:urdy}];charges:[{charge:lozengePloye;t:azure;p:beh;size:0.3}];shield:fantasy2}</t>
  </si>
  <si>
    <t>https://watabou.github.io/city-generator/?name=Bozdugh&amp;population=16195&amp;size=37&amp;seed=3550748350422&amp;river=0&amp;coast=0&amp;farms=1&amp;citadel=0&amp;urban_castle=0&amp;hub=false&amp;plaza=1&amp;temple=1&amp;walls=1&amp;shantytown=0&amp;gates=-1</t>
  </si>
  <si>
    <t>Vidil</t>
  </si>
  <si>
    <t>{t1:argent;division:{division:perPale;t:azure;line:straight};charges:[{charge:mullet7;t:gules;p:pq;divided:counter;size:0.7}];shield:round}</t>
  </si>
  <si>
    <t>https://watabou.github.io/city-generator/?name=Vidil&amp;population=1930&amp;size=17&amp;seed=3550748350447&amp;river=0&amp;coast=0&amp;farms=1&amp;citadel=1&amp;urban_castle=0&amp;hub=false&amp;plaza=0&amp;temple=1&amp;walls=0&amp;shantytown=0&amp;gates=-1</t>
  </si>
  <si>
    <t>Tsogtsagaan</t>
  </si>
  <si>
    <t>{t1:vairEnPointe-argent-gules;charges:[{charge:orb;t:azure;p:e;size:1.5}];shield:easterling}</t>
  </si>
  <si>
    <t>https://watabou.github.io/city-generator/?name=Tsogtsagaan&amp;population=9251&amp;size=30&amp;seed=3550748350460&amp;river=0&amp;coast=0&amp;farms=1&amp;citadel=1&amp;urban_castle=1&amp;hub=false&amp;plaza=0&amp;temple=1&amp;walls=1&amp;shantytown=0&amp;gates=-1</t>
  </si>
  <si>
    <t>{t1:sable;ordinaries:[{ordinary:chevron;t:argent}];charges:[{charge:axe;t:or;p:ach;size:0.5}];shield:fantasy5}</t>
  </si>
  <si>
    <t>https://watabou.github.io/city-generator/?name=Deercross&amp;population=8275&amp;size=29&amp;seed=3550748350472&amp;river=1&amp;coast=0&amp;farms=1&amp;citadel=1&amp;urban_castle=1&amp;hub=false&amp;plaza=0&amp;temple=1&amp;walls=0&amp;shantytown=0&amp;gates=-1</t>
  </si>
  <si>
    <t>Malkaboya</t>
  </si>
  <si>
    <t>{t1:gules;charges:[{charge:lymphad;t:or;p:e;size:1.5}];shield:round}</t>
  </si>
  <si>
    <t>https://watabou.github.io/city-generator/?name=Malkaboya&amp;population=22337&amp;size=42&amp;seed=3550748350490&amp;river=0&amp;coast=1&amp;farms=1&amp;citadel=0&amp;urban_castle=0&amp;hub=false&amp;plaza=1&amp;temple=1&amp;walls=1&amp;shantytown=0&amp;gates=-1&amp;sea=0.42</t>
  </si>
  <si>
    <t>Akcha</t>
  </si>
  <si>
    <t>{t1:gules;charges:[{charge:fusil;t:argent;p:abc;size:0.5}];shield:round}</t>
  </si>
  <si>
    <t>https://watabou.github.io/city-generator/?name=Akcha&amp;population=1957&amp;size=17&amp;seed=3550748350499&amp;river=0&amp;coast=0&amp;farms=1&amp;citadel=1&amp;urban_castle=0&amp;hub=false&amp;plaza=0&amp;temple=1&amp;walls=0&amp;shantytown=0&amp;gates=-1</t>
  </si>
  <si>
    <t>Khankhetsen</t>
  </si>
  <si>
    <t>{t1:barry-argent-azure;division:{division:perPile;t:gules;line:straight};charges:[{charge:crossSantiago;t:vert;p:abceh;size:0.4}];shield:easterling}</t>
  </si>
  <si>
    <t>https://watabou.github.io/city-generator/?name=Khankhetsen&amp;population=1712&amp;size=16&amp;seed=3550748350515&amp;river=0&amp;coast=0&amp;farms=1&amp;citadel=1&amp;urban_castle=0&amp;hub=false&amp;plaza=0&amp;temple=1&amp;walls=0&amp;shantytown=0&amp;gates=-1</t>
  </si>
  <si>
    <t>Kara</t>
  </si>
  <si>
    <t>{t1:purpure;ordinaries:[{ordinary:cross;t:argent;line:rayonne}];charges:[{charge:cock;t:azure;p:e;size:0.5}];shield:round}</t>
  </si>
  <si>
    <t>https://watabou.github.io/city-generator/?name=Kara&amp;population=19019&amp;size=39&amp;seed=3550748350559&amp;river=0&amp;coast=0&amp;farms=0&amp;citadel=0&amp;urban_castle=0&amp;hub=false&amp;plaza=1&amp;temple=1&amp;walls=1&amp;shantytown=0&amp;gates=-1</t>
  </si>
  <si>
    <t>{t1:lozengy-sable-argent-small;division:{division:perBend;t:or;line:straight};ordinaries:[{ordinary:bendSinister;t:purpure;line:straight}];shield:fantasy5}</t>
  </si>
  <si>
    <t>https://watabou.github.io/city-generator/?name=Clifpass&amp;population=1904&amp;size=17&amp;seed=3550748350574&amp;river=1&amp;coast=0&amp;farms=1&amp;citadel=0&amp;urban_castle=0&amp;hub=false&amp;plaza=0&amp;temple=0&amp;walls=1&amp;shantytown=0&amp;gates=-1</t>
  </si>
  <si>
    <t>Goladlyn</t>
  </si>
  <si>
    <t>{t1:or;ordinaries:[{ordinary:fessCotissed;t:purpure;line:wavy}];shield:hessen}</t>
  </si>
  <si>
    <t>https://watabou.github.io/city-generator/?name=Goladlyn&amp;population=2798&amp;size=19&amp;seed=3550748350576&amp;river=0&amp;coast=1&amp;farms=1&amp;citadel=0&amp;urban_castle=0&amp;hub=false&amp;plaza=1&amp;temple=1&amp;walls=0&amp;shantytown=0&amp;gates=-1&amp;sea=1.25</t>
  </si>
  <si>
    <t>Dali</t>
  </si>
  <si>
    <t>{t1:or;division:{division:perCross;t:vert;line:potentySinister};charges:[{charge:key;t:gules;p:j;size:0.6};{charge:horsePassant;t:argent;p:l;size:0.6};{charge:griffinRampant;t:argent;p:m;size:0.6};{charge:cavalier;t:gules;p:o;size:0.6}];shield:round}</t>
  </si>
  <si>
    <t>https://watabou.github.io/city-generator/?name=Dali&amp;population=11569&amp;size=33&amp;seed=3550748350594&amp;river=1&amp;coast=0&amp;farms=1&amp;citadel=0&amp;urban_castle=0&amp;hub=false&amp;plaza=0&amp;temple=1&amp;walls=1&amp;shantytown=0&amp;gates=-1</t>
  </si>
  <si>
    <t>Ismil</t>
  </si>
  <si>
    <t>{t1:purpure;charges:[{charge:bowWithArrow;t:or;p:e;size:1.5}];shield:round}</t>
  </si>
  <si>
    <t>https://watabou.github.io/city-generator/?name=Ismil&amp;population=6629&amp;size=26&amp;seed=3550748350595&amp;river=0&amp;coast=0&amp;farms=1&amp;citadel=0&amp;urban_castle=0&amp;hub=false&amp;plaza=0&amp;temple=0&amp;walls=0&amp;shantytown=0&amp;gates=-1</t>
  </si>
  <si>
    <t>Bosyari</t>
  </si>
  <si>
    <t>{t1:gules;ordinaries:[{ordinary:cross;t:or;line:embattledGhibellin}];charges:[{charge:pike;t:or;p:acgi;size:0.5}];shield:round}</t>
  </si>
  <si>
    <t>https://watabou.github.io/city-generator/?name=Bosyari&amp;population=7102&amp;size=27&amp;seed=3550748350596&amp;river=0&amp;coast=0&amp;farms=1&amp;citadel=0&amp;urban_castle=0&amp;hub=false&amp;plaza=1&amp;temple=1&amp;walls=0&amp;shantytown=0&amp;gates=-1</t>
  </si>
  <si>
    <t>Sovaramur</t>
  </si>
  <si>
    <t>{t1:azure;charges:[{charge:escallop;t:argent;p:def;size:0.5}];shield:round}</t>
  </si>
  <si>
    <t>https://watabou.github.io/city-generator/?name=Sovaramur&amp;population=15960&amp;size=37&amp;seed=3550748350597&amp;river=0&amp;coast=0&amp;farms=1&amp;citadel=0&amp;urban_castle=0&amp;hub=false&amp;plaza=1&amp;temple=1&amp;walls=0&amp;shantytown=0&amp;gates=-1</t>
  </si>
  <si>
    <t>Khagaandal</t>
  </si>
  <si>
    <t>{t1:argent;ordinaries:[{ordinary:pale;t:azure;line:straight}];charges:[{charge:key;t:argent;p:beh;size:0.5}];shield:easterling}</t>
  </si>
  <si>
    <t>https://watabou.github.io/city-generator/?name=Khagaandal&amp;population=24081&amp;size=43&amp;seed=3550748350598&amp;river=0&amp;coast=0&amp;farms=1&amp;citadel=0&amp;urban_castle=0&amp;hub=false&amp;plaza=1&amp;temple=0&amp;walls=1&amp;shantytown=1&amp;gates=-1</t>
  </si>
  <si>
    <t>Venisha</t>
  </si>
  <si>
    <t>{t1:azure;division:{division:perPile;t:argent;line:straight};ordinaries:[{ordinary:bordure;t:or}];shield:round}</t>
  </si>
  <si>
    <t>https://watabou.github.io/city-generator/?name=Venisha&amp;population=30408&amp;size=47&amp;seed=3550748350616&amp;river=0&amp;coast=0&amp;farms=0&amp;citadel=1&amp;urban_castle=1&amp;hub=false&amp;plaza=1&amp;temple=1&amp;walls=1&amp;shantytown=0&amp;gates=-1</t>
  </si>
  <si>
    <t>Lulubahya</t>
  </si>
  <si>
    <t>{t1:argent;ordinaries:[{ordinary:cross;t:purpure;line:straight}];shield:round}</t>
  </si>
  <si>
    <t>https://watabou.github.io/city-generator/?name=Lulubahya&amp;population=2797&amp;size=19&amp;seed=3550748350633&amp;river=0&amp;coast=1&amp;farms=1&amp;citadel=0&amp;urban_castle=0&amp;hub=false&amp;plaza=0&amp;temple=1&amp;walls=1&amp;shantytown=0&amp;gates=-1&amp;sea=0.76</t>
  </si>
  <si>
    <t>Tsel</t>
  </si>
  <si>
    <t>{t1:azure;division:{division:perCross;t:or;line:straight};charges:[{charge:anchor;t:argent;p:jo;divided:counter;size:0.7}];shield:easterling}</t>
  </si>
  <si>
    <t>https://watabou.github.io/city-generator/?name=Tsel&amp;population=20437&amp;size=41&amp;seed=3550748350636&amp;river=0&amp;coast=0&amp;farms=1&amp;citadel=0&amp;urban_castle=0&amp;hub=false&amp;plaza=1&amp;temple=1&amp;walls=1&amp;shantytown=0&amp;gates=-1</t>
  </si>
  <si>
    <t>Dradeguard</t>
  </si>
  <si>
    <t>{t1:ermine-argent-purpure;ordinaries:[{ordinary:bendSinister;t:sable;line:straight}];charges:[{charge:lozengeFaceted;t:argent;p:lem;size:0.5}];shield:fantasy5}</t>
  </si>
  <si>
    <t>https://watabou.github.io/city-generator/?name=Dradeguard&amp;population=8401&amp;size=29&amp;seed=3550748350640&amp;river=0&amp;coast=0&amp;farms=1&amp;citadel=1&amp;urban_castle=1&amp;hub=false&amp;plaza=0&amp;temple=0&amp;walls=0&amp;shantytown=0&amp;gates=-1</t>
  </si>
  <si>
    <t>{t1:argent;division:{division:perPile;t:gules;line:straight};charges:[{charge:escallop;t:purpure;p:e;divided:counter;size:0.7}];shield:round}</t>
  </si>
  <si>
    <t>https://watabou.github.io/city-generator/?name=Kamur&amp;population=1952&amp;size=17&amp;seed=3550748350655&amp;river=0&amp;coast=0&amp;farms=1&amp;citadel=1&amp;urban_castle=0&amp;hub=false&amp;plaza=1&amp;temple=1&amp;walls=0&amp;shantytown=0&amp;gates=-1</t>
  </si>
  <si>
    <t>Bovalilar</t>
  </si>
  <si>
    <t>{t1:argent;ordinaries:[{ordinary:bordure;t:azure}];charges:[{charge:inescutcheon;t:azure;p:jln;size:0.7};{charge:lozengeFaceted;t:or;p:jln;size:0.35}];shield:round}</t>
  </si>
  <si>
    <t>https://watabou.github.io/city-generator/?name=Bovalilar&amp;population=9282&amp;size=30&amp;seed=3550748350657&amp;river=0&amp;coast=0&amp;farms=1&amp;citadel=1&amp;urban_castle=0&amp;hub=false&amp;plaza=1&amp;temple=1&amp;walls=0&amp;shantytown=0&amp;gates=-1</t>
  </si>
  <si>
    <t>Tuncigara</t>
  </si>
  <si>
    <t>{t1:azure;ordinaries:[{ordinary:chevron;t:or}];charges:[{charge:escallop;t:argent;p:h;size:0.5}];shield:round}</t>
  </si>
  <si>
    <t>https://watabou.github.io/city-generator/?name=Tuncigara&amp;population=20847&amp;size=41&amp;seed=3550748350673&amp;river=0&amp;coast=0&amp;farms=1&amp;citadel=1&amp;urban_castle=0&amp;hub=false&amp;plaza=1&amp;temple=0&amp;walls=1&amp;shantytown=0&amp;gates=-1</t>
  </si>
  <si>
    <t>Shelisaca</t>
  </si>
  <si>
    <t>{t1:argent;charges:[{charge:annulet;t:purpure;p:abc;size:0.5}];shield:round}</t>
  </si>
  <si>
    <t>https://watabou.github.io/city-generator/?name=Shelisaca&amp;population=5944&amp;size=25&amp;seed=3550748350688&amp;river=0&amp;coast=0&amp;farms=1&amp;citadel=0&amp;urban_castle=0&amp;hub=false&amp;plaza=0&amp;temple=1&amp;walls=0&amp;shantytown=0&amp;gates=-1</t>
  </si>
  <si>
    <t>Ikhkhaan</t>
  </si>
  <si>
    <t>{t1:argent;charges:[{charge:orb;t:purpure;p:e;size:1.5}];shield:easterling}</t>
  </si>
  <si>
    <t>https://watabou.github.io/village-generator/?pop=1857&amp;name=&amp;seed=3550748350690&amp;width=1600&amp;height=727&amp;tags=river%2Chighway%2Cfarmland%2Cno+square%2Cdense</t>
  </si>
  <si>
    <t>Stormouth</t>
  </si>
  <si>
    <t>{t1:gules;charges:[{charge:tree;t:or;p:e;size:1.5}];shield:fantasy5}</t>
  </si>
  <si>
    <t>https://watabou.github.io/city-generator/?name=Stormouth&amp;population=21388&amp;size=41&amp;seed=3550748350691&amp;river=0&amp;coast=0&amp;farms=0&amp;citadel=1&amp;urban_castle=0&amp;hub=false&amp;plaza=1&amp;temple=1&amp;walls=1&amp;shantytown=0&amp;gates=-1</t>
  </si>
  <si>
    <t>Selikerik</t>
  </si>
  <si>
    <t>{t1:argent;ordinaries:[{ordinary:chevron;t:purpure}];charges:[{charge:arrow;t:purpure;p:ach;size:0.5}];shield:round}</t>
  </si>
  <si>
    <t>https://watabou.github.io/city-generator/?name=Selikerik&amp;population=46979&amp;size=56&amp;seed=3550748350712&amp;river=1&amp;coast=1&amp;farms=0&amp;citadel=1&amp;urban_castle=1&amp;hub=false&amp;plaza=1&amp;temple=1&amp;walls=1&amp;shantytown=1&amp;gates=-1&amp;sea=1.99</t>
  </si>
  <si>
    <t>Erku</t>
  </si>
  <si>
    <t>{t1:azure;charges:[{charge:eagleTwoHeards;t:or;p:e;size:1.5}];shield:round}</t>
  </si>
  <si>
    <t>https://watabou.github.io/city-generator/?name=Erku&amp;population=17684&amp;size=38&amp;seed=3550748350713&amp;river=0&amp;coast=0&amp;farms=1&amp;citadel=1&amp;urban_castle=0&amp;hub=false&amp;plaza=1&amp;temple=1&amp;walls=1&amp;shantytown=0&amp;gates=-1</t>
  </si>
  <si>
    <t>Pokat</t>
  </si>
  <si>
    <t>{t1:ermine-argent-sable;charges:[{charge:arrow;t:gules;p:e;size:1.5}];shield:round}</t>
  </si>
  <si>
    <t>https://watabou.github.io/city-generator/?name=Pokat&amp;population=2364&amp;size=18&amp;seed=3550748350745&amp;river=0&amp;coast=0&amp;farms=0&amp;citadel=0&amp;urban_castle=0&amp;hub=false&amp;plaza=1&amp;temple=1&amp;walls=0&amp;shantytown=0&amp;gates=-1</t>
  </si>
  <si>
    <t>Tsayan</t>
  </si>
  <si>
    <t>{t1:purpure;ordinaries:[{ordinary:pale;t:or;line:straight}];charges:[{charge:fleurDeLis;t:purpure;p:e;size:0.7}];shield:easterling}</t>
  </si>
  <si>
    <t>https://watabou.github.io/city-generator/?name=Tsayan&amp;population=2041&amp;size=17&amp;seed=3550748350747&amp;river=0&amp;coast=0&amp;farms=0&amp;citadel=0&amp;urban_castle=0&amp;hub=false&amp;plaza=0&amp;temple=0&amp;walls=0&amp;shantytown=0&amp;gates=-1</t>
  </si>
  <si>
    <t>Moroot</t>
  </si>
  <si>
    <t>{t1:argent;ordinaries:[{ordinary:saltireParted;t:sable;line:indented}];charges:[{charge:hatchet;t:argent;p:e;size:1.5}];shield:easterling}</t>
  </si>
  <si>
    <t>https://watabou.github.io/city-generator/?name=Moroot&amp;population=2001&amp;size=17&amp;seed=3550748350771&amp;river=0&amp;coast=0&amp;farms=1&amp;citadel=1&amp;urban_castle=0&amp;hub=false&amp;plaza=0&amp;temple=1&amp;walls=1&amp;shantytown=0&amp;gates=-1</t>
  </si>
  <si>
    <t>Barliova</t>
  </si>
  <si>
    <t>{t1:purpure;division:{division:perFess;t:argent;line:straight};charges:[{charge:mullet6;t:or;p:kn;divided:counter;size:0.7}];shield:round}</t>
  </si>
  <si>
    <t>https://watabou.github.io/city-generator/?name=Barliova&amp;population=2018&amp;size=17&amp;seed=3550748350792&amp;river=0&amp;coast=0&amp;farms=1&amp;citadel=1&amp;urban_castle=1&amp;hub=false&amp;plaza=0&amp;temple=0&amp;walls=0&amp;shantytown=0&amp;gates=-1</t>
  </si>
  <si>
    <t>Dedeburdem</t>
  </si>
  <si>
    <t>{t1:vert;ordinaries:[{ordinary:bar;t:argent;line:straight}];charges:[{charge:mullet4;t:vert;p:def;size:0.3}];shield:round}</t>
  </si>
  <si>
    <t>https://watabou.github.io/city-generator/?name=Dedeburdem&amp;population=4808&amp;size=23&amp;seed=3550748350819&amp;river=0&amp;coast=0&amp;farms=1&amp;citadel=1&amp;urban_castle=0&amp;hub=false&amp;plaza=1&amp;temple=1&amp;walls=0&amp;shantytown=0&amp;gates=-1</t>
  </si>
  <si>
    <t>Curgulch</t>
  </si>
  <si>
    <t>{t1:azure;division:{division:perCross;t:argent;line:straight};ordinaries:[{ordinary:chief;t:or;line:straight}];charges:[{charge:elephant;t:azure;p:abc;size:0.5}];shield:fantasy5}</t>
  </si>
  <si>
    <t>https://watabou.github.io/city-generator/?name=Curgulch&amp;population=5582&amp;size=25&amp;seed=3550748350820&amp;river=0&amp;coast=0&amp;farms=1&amp;citadel=1&amp;urban_castle=1&amp;hub=false&amp;plaza=0&amp;temple=1&amp;walls=1&amp;shantytown=0&amp;gates=-1</t>
  </si>
  <si>
    <t>Sirdkar</t>
  </si>
  <si>
    <t>{t1:sable;ordinaries:[{ordinary:pale;t:argent;line:dancetty}];charges:[{charge:griffinRampant;t:gules;p:beh;size:0.5}];shield:hessen}</t>
  </si>
  <si>
    <t>https://watabou.github.io/city-generator/?name=Sirdkar&amp;population=14244&amp;size=35&amp;seed=3550748350822&amp;river=0&amp;coast=0&amp;farms=1&amp;citadel=0&amp;urban_castle=0&amp;hub=false&amp;plaza=1&amp;temple=0&amp;walls=1&amp;shantytown=0&amp;gates=-1</t>
  </si>
  <si>
    <t>Anav</t>
  </si>
  <si>
    <t>{t1:argent;ordinaries:[{ordinary:saltire;t:gules;line:straight}];charges:[{charge:mallet;t:argent;p:e;size:0.7}];shield:round}</t>
  </si>
  <si>
    <t>https://watabou.github.io/city-generator/?name=Anav&amp;population=16080&amp;size=37&amp;seed=3550748350867&amp;river=0&amp;coast=0&amp;farms=1&amp;citadel=0&amp;urban_castle=0&amp;hub=false&amp;plaza=1&amp;temple=1&amp;walls=1&amp;shantytown=0&amp;gates=-1</t>
  </si>
  <si>
    <t>Kurdur</t>
  </si>
  <si>
    <t>{t1:purpure;ordinaries:[{ordinary:bordure;t:argent}];charges:[{charge:annulet;t:purpure;p:ABCDEFGHIJKL;size:0.18}];shield:round}</t>
  </si>
  <si>
    <t>https://watabou.github.io/city-generator/?name=Kurdur&amp;population=20669&amp;size=41&amp;seed=3550748350884&amp;river=0&amp;coast=1&amp;farms=1&amp;citadel=1&amp;urban_castle=1&amp;hub=false&amp;plaza=0&amp;temple=0&amp;walls=0&amp;shantytown=0&amp;gates=-1&amp;sea=1.9</t>
  </si>
  <si>
    <t>Mari</t>
  </si>
  <si>
    <t>{t1:argent;ordinaries:[{ordinary:bendletSinister;t:gules;line:rayonne}];charges:[{charge:heart;t:or;p:lem;size:0.3}];shield:round}</t>
  </si>
  <si>
    <t>https://watabou.github.io/city-generator/?name=Mari&amp;population=16026&amp;size=37&amp;seed=3550748350887&amp;river=0&amp;coast=0&amp;farms=1&amp;citadel=1&amp;urban_castle=0&amp;hub=false&amp;plaza=1&amp;temple=1&amp;walls=0&amp;shantytown=0&amp;gates=-1</t>
  </si>
  <si>
    <t>Nombelenge</t>
  </si>
  <si>
    <t>{t1:argent;charges:[{charge:wolfStatant;t:azure;p:e;size:1.5}];shield:easterling}</t>
  </si>
  <si>
    <t>https://watabou.github.io/city-generator/?name=Nombelenge&amp;population=2103&amp;size=17&amp;seed=3550748350890&amp;river=0&amp;coast=0&amp;farms=0&amp;citadel=1&amp;urban_castle=1&amp;hub=false&amp;plaza=0&amp;temple=1&amp;walls=0&amp;shantytown=0&amp;gates=-1</t>
  </si>
  <si>
    <t>Orgazluk</t>
  </si>
  <si>
    <t>{t1:argent;charges:[{charge:bucket;t:sable;p:e;size:1.5}];shield:round}</t>
  </si>
  <si>
    <t>https://watabou.github.io/city-generator/?name=Orgazluk&amp;population=2546&amp;size=18&amp;seed=3550748350910&amp;river=0&amp;coast=0&amp;farms=1&amp;citadel=1&amp;urban_castle=1&amp;hub=false&amp;plaza=0&amp;temple=1&amp;walls=0&amp;shantytown=0&amp;gates=-1</t>
  </si>
  <si>
    <t>Nabad</t>
  </si>
  <si>
    <t>{t1:purpure;division:{division:perChevronReversed;t:argent;line:straight};charges:[{charge:oak;t:or;p:dfh;divided:counter;size:0.5}];shield:erebor}</t>
  </si>
  <si>
    <t>https://watabou.github.io/city-generator/?name=Nabad&amp;population=2122&amp;size=17&amp;seed=3550748350912&amp;river=0&amp;coast=0&amp;farms=1&amp;citadel=0&amp;urban_castle=0&amp;hub=false&amp;plaza=0&amp;temple=1&amp;walls=0&amp;shantytown=0&amp;gates=-1</t>
  </si>
  <si>
    <t>Cryshell</t>
  </si>
  <si>
    <t>{t1:argent;charges:[{charge:tower;t:gules;p:e;size:1.5}];shield:fantasy5}</t>
  </si>
  <si>
    <t>https://watabou.github.io/city-generator/?name=Cryshell&amp;population=7828&amp;size=28&amp;seed=3550748350913&amp;river=0&amp;coast=0&amp;farms=1&amp;citadel=0&amp;urban_castle=0&amp;hub=false&amp;plaza=1&amp;temple=1&amp;walls=0&amp;shantytown=0&amp;gates=-1</t>
  </si>
  <si>
    <t>Harlu</t>
  </si>
  <si>
    <t>{t1:argent;division:{division:perBend;t:sable;line:escartely};ordinaries:[{ordinary:cross;t:purpure;line:straight}];charges:[{charge:mullet8;t:azure;p:acgi;size:0.5}];shield:round}</t>
  </si>
  <si>
    <t>https://watabou.github.io/city-generator/?name=Harlu&amp;population=2197&amp;size=17&amp;seed=3550748350941&amp;river=0&amp;coast=0&amp;farms=0&amp;citadel=1&amp;urban_castle=0&amp;hub=false&amp;plaza=0&amp;temple=1&amp;walls=0&amp;shantytown=0&amp;gates=-1</t>
  </si>
  <si>
    <t>Kumli</t>
  </si>
  <si>
    <t>{t1:or;charges:[{charge:unicornRampant;t:sable;p:e;size:1.5}];shield:round}</t>
  </si>
  <si>
    <t>https://watabou.github.io/city-generator/?name=Kumli&amp;population=2108&amp;size=17&amp;seed=3550748350942&amp;river=0&amp;coast=0&amp;farms=1&amp;citadel=0&amp;urban_castle=0&amp;hub=false&amp;plaza=0&amp;temple=1&amp;walls=0&amp;shantytown=0&amp;gates=-1</t>
  </si>
  <si>
    <t>Dinoprury</t>
  </si>
  <si>
    <t>{t1:vairAncien-sable-or-smaller;division:{division:perFess;t:argent;line:straight};charges:[{charge:lute;t:gules;p:e;size:1.5}];shield:round}</t>
  </si>
  <si>
    <t>https://watabou.github.io/city-generator/?name=Dinoprury&amp;population=24126&amp;size=43&amp;seed=3550748350968&amp;river=0&amp;coast=0&amp;farms=1&amp;citadel=0&amp;urban_castle=0&amp;hub=false&amp;plaza=0&amp;temple=1&amp;walls=1&amp;shantytown=0&amp;gates=-1</t>
  </si>
  <si>
    <t>Ogoonbogdgad</t>
  </si>
  <si>
    <t>{t1:azure;ordinaries:[{ordinary:pale;t:argent;line:invecked}];shield:easterling}</t>
  </si>
  <si>
    <t>https://watabou.github.io/city-generator/?name=Ogoonbogdgad&amp;population=2148&amp;size=17&amp;seed=3550748350973&amp;river=0&amp;coast=0&amp;farms=1&amp;citadel=1&amp;urban_castle=0&amp;hub=false&amp;plaza=0&amp;temple=1&amp;walls=0&amp;shantytown=0&amp;gates=-1</t>
  </si>
  <si>
    <t>Kadafyon</t>
  </si>
  <si>
    <t>{t1:sable;charges:[{charge:arrow;t:argent;p:e;size:1.5}];shield:round}</t>
  </si>
  <si>
    <t>https://watabou.github.io/city-generator/?name=Kadafyon&amp;population=9777&amp;size=31&amp;seed=3550748350976&amp;river=0&amp;coast=0&amp;farms=1&amp;citadel=0&amp;urban_castle=0&amp;hub=false&amp;plaza=0&amp;temple=1&amp;walls=0&amp;shantytown=0&amp;gates=-1</t>
  </si>
  <si>
    <t>Vancelilis</t>
  </si>
  <si>
    <t>{t1:argent;charges:[{charge:pot;t:purpure;p:jln;size:0.7}];shield:round}</t>
  </si>
  <si>
    <t>https://watabou.github.io/city-generator/?name=Vancelilis&amp;population=2233&amp;size=18&amp;seed=3550748350995&amp;river=0&amp;coast=0&amp;farms=1&amp;citadel=1&amp;urban_castle=0&amp;hub=false&amp;plaza=0&amp;temple=1&amp;walls=0&amp;shantytown=0&amp;gates=-1</t>
  </si>
  <si>
    <t>Kirshamur</t>
  </si>
  <si>
    <t>{t1:gules;charges:[{charge:escallop;t:argent;p:e;size:1.5}];shield:round}</t>
  </si>
  <si>
    <t>https://watabou.github.io/city-generator/?name=Kirshamur&amp;population=26686&amp;size=45&amp;seed=3550748350996&amp;river=0&amp;coast=0&amp;farms=1&amp;citadel=1&amp;urban_castle=1&amp;hub=false&amp;plaza=0&amp;temple=0&amp;walls=0&amp;shantytown=0&amp;gates=-1</t>
  </si>
  <si>
    <t>Mandal</t>
  </si>
  <si>
    <t>{t1:gules;ordinaries:[{ordinary:saltire;t:argent;line:straight}];charges:[{charge:armillarySphere;t:gules;p:e;size:0.7}];shield:easterling}</t>
  </si>
  <si>
    <t>https://watabou.github.io/city-generator/?name=Mandal&amp;population=16691&amp;size=38&amp;seed=3550748351001&amp;river=0&amp;coast=1&amp;farms=1&amp;citadel=0&amp;urban_castle=0&amp;hub=false&amp;plaza=0&amp;temple=1&amp;walls=1&amp;shantytown=0&amp;gates=-1&amp;sea=0.76</t>
  </si>
  <si>
    <t>Tsadardene</t>
  </si>
  <si>
    <t>{t1:azure;charges:[{charge:cavalier;t:argent;p:e;size:1.5}];shield:easterling}</t>
  </si>
  <si>
    <t>https://watabou.github.io/city-generator/?name=Tsadardene&amp;population=13444&amp;size=35&amp;seed=3550748351003&amp;river=0&amp;coast=0&amp;farms=1&amp;citadel=0&amp;urban_castle=0&amp;hub=false&amp;plaza=1&amp;temple=0&amp;walls=0&amp;shantytown=0&amp;gates=-1</t>
  </si>
  <si>
    <t>Nighthclif</t>
  </si>
  <si>
    <t>{t1:vert;division:{division:perPale;t:argent;line:straight};charges:[{charge:mascle;t:or;p:p;size:0.7};{charge:lionRampant;t:gules;p:q;size:0.7}];shield:fantasy5}</t>
  </si>
  <si>
    <t>https://watabou.github.io/city-generator/?name=Nighthclif&amp;population=2345&amp;size=18&amp;seed=3550748351004&amp;river=0&amp;coast=0&amp;farms=1&amp;citadel=1&amp;urban_castle=1&amp;hub=false&amp;plaza=0&amp;temple=1&amp;walls=1&amp;shantytown=0&amp;gates=-1</t>
  </si>
  <si>
    <t>Veryndrera</t>
  </si>
  <si>
    <t>{t1:gules;division:{division:perBendSinister;t:argent;line:straight};charges:[{charge:billet;t:or;p:e;divided:counter;size:1.5}];shield:hessen}</t>
  </si>
  <si>
    <t>https://watabou.github.io/city-generator/?name=Veryndrera&amp;population=2128&amp;size=17&amp;seed=3550748351006&amp;river=0&amp;coast=0&amp;farms=0&amp;citadel=1&amp;urban_castle=1&amp;hub=false&amp;plaza=0&amp;temple=1&amp;walls=0&amp;shantytown=0&amp;gates=-1</t>
  </si>
  <si>
    <t>Vilar</t>
  </si>
  <si>
    <t>{t1:bendySinister-or-azure-small;division:{division:perChevron;t:gules;line:straight};ordinaries:[{ordinary:saltireParted;t:purpure;line:straight}];shield:round}</t>
  </si>
  <si>
    <t>https://watabou.github.io/city-generator/?name=Vilar&amp;population=3193&amp;size=20&amp;seed=3550748351030&amp;river=0&amp;coast=1&amp;farms=1&amp;citadel=1&amp;urban_castle=1&amp;hub=false&amp;plaza=0&amp;temple=1&amp;walls=1&amp;shantytown=0&amp;gates=-1&amp;sea=0.17</t>
  </si>
  <si>
    <t>Stillde</t>
  </si>
  <si>
    <t>{t1:argent;charges:[{charge:bell;t:purpure;p:e;size:1.5}];shield:fantasy5}</t>
  </si>
  <si>
    <t>https://watabou.github.io/city-generator/?name=Stillde&amp;population=13999&amp;size=35&amp;seed=3550748351033&amp;river=0&amp;coast=0&amp;farms=1&amp;citadel=1&amp;urban_castle=0&amp;hub=false&amp;plaza=0&amp;temple=0&amp;walls=1&amp;shantytown=0&amp;gates=-1</t>
  </si>
  <si>
    <t>Freystarde Point</t>
  </si>
  <si>
    <t>{t1:argent;ordinaries:[{ordinary:canton;t:sable}];charges:[{charge:mullet10;t:argent;p:y;size:0.5}];shield:fantasy5}</t>
  </si>
  <si>
    <t>https://watabou.github.io/city-generator/?name=Freystarde+Point&amp;population=9542&amp;size=30&amp;seed=3550748351052&amp;river=0&amp;coast=1&amp;farms=0&amp;citadel=0&amp;urban_castle=0&amp;hub=false&amp;plaza=1&amp;temple=1&amp;walls=0&amp;shantytown=0&amp;gates=-1&amp;sea=1.95</t>
  </si>
  <si>
    <t>Kragri</t>
  </si>
  <si>
    <t>Kragri Province</t>
  </si>
  <si>
    <t>Nuzag</t>
  </si>
  <si>
    <t>Principality of Nuzag</t>
  </si>
  <si>
    <t>{t1:vert;ordinaries:[{ordinary:bend;t:or;line:straight}];charges:[{charge:bow;t:vert;p:e;size:0.7}];shield:fantasy2}</t>
  </si>
  <si>
    <t>https://watabou.github.io/city-generator/?name=Kragri&amp;population=6874&amp;size=27&amp;seed=3550748350007&amp;river=0&amp;coast=0&amp;farms=0&amp;citadel=1&amp;urban_castle=0&amp;hub=false&amp;plaza=0&amp;temple=0&amp;walls=0&amp;shantytown=0&amp;gates=-1</t>
  </si>
  <si>
    <t>Kadedehir</t>
  </si>
  <si>
    <t>{t1:chequy-gules-argent;charges:[{charge:lionRampant;t:or;p:e;size:1.5}];shield:round}</t>
  </si>
  <si>
    <t>https://watabou.github.io/city-generator/?name=Kadedehir&amp;population=24148&amp;size=43&amp;seed=3550748350037&amp;river=0&amp;coast=0&amp;farms=1&amp;citadel=0&amp;urban_castle=0&amp;hub=false&amp;plaza=1&amp;temple=0&amp;walls=1&amp;shantytown=1&amp;gates=-1</t>
  </si>
  <si>
    <t>Murdud</t>
  </si>
  <si>
    <t>Grergkeg</t>
  </si>
  <si>
    <t>Grergkeg Province</t>
  </si>
  <si>
    <t>{t1:barry-argent-gules;charges:[{charge:sword;t:azure;p:e;size:1.5;reversed:1}];shield:fantasy2}</t>
  </si>
  <si>
    <t>https://watabou.github.io/city-generator/?name=Murdud&amp;population=40934&amp;size=53&amp;seed=3550748350044&amp;river=0&amp;coast=0&amp;farms=1&amp;citadel=1&amp;urban_castle=1&amp;hub=false&amp;plaza=1&amp;temple=1&amp;walls=1&amp;shantytown=0&amp;gates=-1</t>
  </si>
  <si>
    <t>Razieqil</t>
  </si>
  <si>
    <t>{t1:or;charges:[{charge:hatchet;t:gules;p:e;size:1.5}];shield:horsehead2}</t>
  </si>
  <si>
    <t>https://watabou.github.io/city-generator/?name=Razieqil&amp;population=5048&amp;size=24&amp;seed=3550748350072&amp;river=0&amp;coast=0&amp;farms=1&amp;citadel=0&amp;urban_castle=0&amp;hub=false&amp;plaza=1&amp;temple=0&amp;walls=0&amp;shantytown=0&amp;gates=-1</t>
  </si>
  <si>
    <t>Qigkrukh</t>
  </si>
  <si>
    <t>Sunhaldia</t>
  </si>
  <si>
    <t>Sunhaldia Province</t>
  </si>
  <si>
    <t>{t1:gules;charges:[{charge:boat2;t:argent;p:beh;size:0.5}];shield:fantasy2}</t>
  </si>
  <si>
    <t>https://watabou.github.io/city-generator/?name=Qigkrukh&amp;population=2428&amp;size=18&amp;seed=3550748350094&amp;river=0&amp;coast=0&amp;farms=0&amp;citadel=1&amp;urban_castle=1&amp;hub=false&amp;plaza=0&amp;temple=0&amp;walls=0&amp;shantytown=0&amp;gates=-1</t>
  </si>
  <si>
    <t>Vucroror</t>
  </si>
  <si>
    <t>{t1:barry-argent-gules;division:{division:perPale;t:gules;line:straight};charges:[{charge:oak;t:azure;p:p;size:0.7};{charge:compassRose;t:argent;p:q;size:0.7}];shield:fantasy2}</t>
  </si>
  <si>
    <t>https://watabou.github.io/city-generator/?name=Vucroror&amp;population=1680&amp;size=16&amp;seed=3550748350201&amp;river=0&amp;coast=0&amp;farms=0&amp;citadel=1&amp;urban_castle=0&amp;hub=false&amp;plaza=1&amp;temple=0&amp;walls=0&amp;shantytown=0&amp;gates=-1</t>
  </si>
  <si>
    <t>Mubragh</t>
  </si>
  <si>
    <t>Mubragh Province</t>
  </si>
  <si>
    <t>{t1:sable;charges:[{charge:lute;t:or;p:e;size:1.5}];shield:fantasy2}</t>
  </si>
  <si>
    <t>https://watabou.github.io/city-generator/?name=Mubragh&amp;population=5501&amp;size=25&amp;seed=3550748350204&amp;river=1&amp;coast=0&amp;farms=1&amp;citadel=0&amp;urban_castle=0&amp;hub=false&amp;plaza=0&amp;temple=0&amp;walls=0&amp;shantytown=0&amp;gates=-1</t>
  </si>
  <si>
    <t>Khincha</t>
  </si>
  <si>
    <t>{t1:pally-vert-or;division:{division:perCross;t:masoned-gules-argent;line:straight};charges:[{charge:rustre;t:azure;p:jlmo;size:0.6}];shield:horsehead2}</t>
  </si>
  <si>
    <t>https://watabou.github.io/city-generator/?name=Khincha&amp;population=1795&amp;size=16&amp;seed=3550748350259&amp;river=1&amp;coast=0&amp;farms=1&amp;citadel=1&amp;urban_castle=0&amp;hub=false&amp;plaza=0&amp;temple=0&amp;walls=0&amp;shantytown=0&amp;gates=-1</t>
  </si>
  <si>
    <t>{t1:barry-argent-gules;division:{division:perBend;t:azure;line:straight};ordinaries:[{ordinary:orle;t:purpure;line:straight}];shield:fantasy2}</t>
  </si>
  <si>
    <t>https://watabou.github.io/city-generator/?name=Grergkeg&amp;population=2464&amp;size=18&amp;seed=3550748350420&amp;river=0&amp;coast=0&amp;farms=1&amp;citadel=0&amp;urban_castle=0&amp;hub=false&amp;plaza=0&amp;temple=0&amp;walls=0&amp;shantytown=0&amp;gates=-1</t>
  </si>
  <si>
    <t>Chogidh</t>
  </si>
  <si>
    <t>{t1:gules;division:{division:perFess;t:argent;line:straight};ordinaries:[{ordinary:fess;t:or;line:straight}];shield:fantasy2}</t>
  </si>
  <si>
    <t>https://watabou.github.io/city-generator/?name=Chogidh&amp;population=7776&amp;size=28&amp;seed=3550748350426&amp;river=0&amp;coast=0&amp;farms=1&amp;citadel=1&amp;urban_castle=1&amp;hub=false&amp;plaza=1&amp;temple=0&amp;walls=0&amp;shantytown=0&amp;gates=-1</t>
  </si>
  <si>
    <t>Sidimraca</t>
  </si>
  <si>
    <t>{t1:purpure;division:{division:perFess;t:argent;line:straight};charges:[{charge:lozengeFaceted;t:or;p:e;divided:counter;size:1.5}];shield:round}</t>
  </si>
  <si>
    <t>https://watabou.github.io/city-generator/?name=Sidimraca&amp;population=6849&amp;size=27&amp;seed=3550748350489&amp;river=0&amp;coast=0&amp;farms=1&amp;citadel=1&amp;urban_castle=0&amp;hub=false&amp;plaza=0&amp;temple=0&amp;walls=0&amp;shantytown=0&amp;gates=-1</t>
  </si>
  <si>
    <t>Zigroz</t>
  </si>
  <si>
    <t>{t1:argent;division:{division:perBend;t:purpure;line:straight};charges:[{charge:bugleHorn;t:gules;p:lm;divided:counter;size:0.7}];shield:fantasy2}</t>
  </si>
  <si>
    <t>https://watabou.github.io/city-generator/?name=Zigroz&amp;population=2565&amp;size=19&amp;seed=3550748350513&amp;river=0&amp;coast=0&amp;farms=1&amp;citadel=0&amp;urban_castle=0&amp;hub=false&amp;plaza=0&amp;temple=0&amp;walls=0&amp;shantytown=0&amp;gates=-1</t>
  </si>
  <si>
    <t>Zabize</t>
  </si>
  <si>
    <t>{t1:argent;division:{division:perFess;t:vert;line:straight};charges:[{charge:stagsAttires;t:azure;p:e;divided:counter;size:1.5}];shield:fantasy2}</t>
  </si>
  <si>
    <t>https://watabou.github.io/city-generator/?name=Zabize&amp;population=1893&amp;size=17&amp;seed=3550748350531&amp;river=0&amp;coast=0&amp;farms=0&amp;citadel=1&amp;urban_castle=0&amp;hub=false&amp;plaza=0&amp;temple=0&amp;walls=0&amp;shantytown=0&amp;gates=-1</t>
  </si>
  <si>
    <t>Noggor</t>
  </si>
  <si>
    <t>{t1:barry-argent-gules;division:{division:perBend;t:azure;line:straight};shield:fantasy2}</t>
  </si>
  <si>
    <t>https://watabou.github.io/city-generator/?name=Noggor&amp;population=5081&amp;size=24&amp;seed=3550748350556&amp;river=0&amp;coast=0&amp;farms=1&amp;citadel=1&amp;urban_castle=1&amp;hub=false&amp;plaza=0&amp;temple=0&amp;walls=1&amp;shantytown=0&amp;gates=-1</t>
  </si>
  <si>
    <t>Ekhkrin</t>
  </si>
  <si>
    <t>{t1:azure;division:{division:perBend;t:argent;line:enclavy};charges:[{charge:attire;t:or;p:e;divided:counter;size:1.5}];shield:fantasy2}</t>
  </si>
  <si>
    <t>https://watabou.github.io/city-generator/?name=Ekhkrin&amp;population=5614&amp;size=25&amp;seed=3550748350613&amp;river=0&amp;coast=0&amp;farms=1&amp;citadel=0&amp;urban_castle=0&amp;hub=false&amp;plaza=0&amp;temple=0&amp;walls=0&amp;shantytown=0&amp;gates=-1</t>
  </si>
  <si>
    <t>Rizeradg</t>
  </si>
  <si>
    <t>{t1:argent;ordinaries:[{ordinary:bendletSinister;t:vert;line:seaWaves}];charges:[{charge:roundel2;t:or;p:lem;size:0.3}];shield:fantasy2}</t>
  </si>
  <si>
    <t>https://watabou.github.io/city-generator/?name=Rizeradg&amp;population=9845&amp;size=31&amp;seed=3550748350674&amp;river=1&amp;coast=0&amp;farms=1&amp;citadel=1&amp;urban_castle=1&amp;hub=false&amp;plaza=0&amp;temple=0&amp;walls=1&amp;shantytown=0&amp;gates=-1</t>
  </si>
  <si>
    <t>Zarrod</t>
  </si>
  <si>
    <t>{t1:barry-argent-gules;charges:[{charge:lamb;t:gules;p:e;size:1.5}];shield:fantasy2}</t>
  </si>
  <si>
    <t>https://watabou.github.io/city-generator/?name=Zarrod&amp;population=17687&amp;size=38&amp;seed=3550748350711&amp;river=0&amp;coast=0&amp;farms=0&amp;citadel=0&amp;urban_castle=0&amp;hub=false&amp;plaza=1&amp;temple=0&amp;walls=1&amp;shantytown=0&amp;gates=-1</t>
  </si>
  <si>
    <t>Lhicievid</t>
  </si>
  <si>
    <t>{t1:gules;charges:[{charge:lymphad;t:argent;p:e;size:1.5}];shield:horsehead2}</t>
  </si>
  <si>
    <t>https://watabou.github.io/city-generator/?name=Lhicievid&amp;population=15629&amp;size=37&amp;seed=3550748350718&amp;river=0&amp;coast=1&amp;farms=1&amp;citadel=1&amp;urban_castle=1&amp;hub=false&amp;plaza=1&amp;temple=0&amp;walls=0&amp;shantytown=0&amp;gates=-1&amp;sea=1.2</t>
  </si>
  <si>
    <t>Liallin</t>
  </si>
  <si>
    <t>{t1:purpure;ordinaries:[{ordinary:cross;t:argent;line:wavy}];charges:[{charge:crossSaltire;t:argent;p:acgi;size:0.5}];shield:horsehead2}</t>
  </si>
  <si>
    <t>https://watabou.github.io/city-generator/?name=Liallin&amp;population=12016&amp;size=33&amp;seed=3550748350755&amp;river=0&amp;coast=0&amp;farms=0&amp;citadel=0&amp;urban_castle=0&amp;hub=false&amp;plaza=1&amp;temple=0&amp;walls=1&amp;shantytown=0&amp;gates=-1</t>
  </si>
  <si>
    <t>Nikesunce</t>
  </si>
  <si>
    <t>{t1:or;charges:[{charge:falchion;t:gules;p:e;size:1.5}];shield:round}</t>
  </si>
  <si>
    <t>https://watabou.github.io/city-generator/?name=Nikesunce&amp;population=6813&amp;size=27&amp;seed=3550748350793&amp;river=0&amp;coast=0&amp;farms=1&amp;citadel=1&amp;urban_castle=0&amp;hub=false&amp;plaza=1&amp;temple=0&amp;walls=0&amp;shantytown=0&amp;gates=-1</t>
  </si>
  <si>
    <t>Grod</t>
  </si>
  <si>
    <t>{t1:or;charges:[{charge:deerHeadCaboshed;t:gules;p:e;size:1.5}];shield:fantasy2}</t>
  </si>
  <si>
    <t>https://watabou.github.io/city-generator/?name=Grod&amp;population=2173&amp;size=17&amp;seed=3550748350799&amp;river=1&amp;coast=0&amp;farms=1&amp;citadel=0&amp;urban_castle=0&amp;hub=false&amp;plaza=0&amp;temple=0&amp;walls=0&amp;shantytown=0&amp;gates=-1</t>
  </si>
  <si>
    <t>Varagh</t>
  </si>
  <si>
    <t>{t1:barry-azure-argent-smaller;division:{division:perCross;t:or;line:straight};shield:fantasy2}</t>
  </si>
  <si>
    <t>https://watabou.github.io/city-generator/?name=Varagh&amp;population=9903&amp;size=31&amp;seed=3550748350800&amp;river=0&amp;coast=0&amp;farms=1&amp;citadel=1&amp;urban_castle=1&amp;hub=false&amp;plaza=1&amp;temple=0&amp;walls=0&amp;shantytown=0&amp;gates=-1</t>
  </si>
  <si>
    <t>Lulbur</t>
  </si>
  <si>
    <t>{t1:sable;ordinaries:[{ordinary:orle;t:or}];shield:fantasy2}</t>
  </si>
  <si>
    <t>https://watabou.github.io/city-generator/?name=Lulbur&amp;population=28728&amp;size=46&amp;seed=3550748350817&amp;river=1&amp;coast=0&amp;farms=1&amp;citadel=0&amp;urban_castle=0&amp;hub=false&amp;plaza=1&amp;temple=1&amp;walls=0&amp;shantytown=0&amp;gates=-1</t>
  </si>
  <si>
    <t>Gaghdrer</t>
  </si>
  <si>
    <t>{t1:sable;ordinaries:[{ordinary:pale;t:argent;line:enclavy}];charges:[{charge:tower;t:sable;p:kn;size:0.7}];shield:fantasy2}</t>
  </si>
  <si>
    <t>https://watabou.github.io/city-generator/?name=Gaghdrer&amp;population=3700&amp;size=21&amp;seed=3550748350838&amp;river=0&amp;coast=0&amp;farms=0&amp;citadel=0&amp;urban_castle=0&amp;hub=false&amp;plaza=0&amp;temple=0&amp;walls=1&amp;shantytown=0&amp;gates=-1</t>
  </si>
  <si>
    <t>Murgadh</t>
  </si>
  <si>
    <t>{t1:sable;division:{division:perCross;t:or;line:wavy};charges:[{charge:mascle;t:argent;p:jo;divided:counter;size:0.7}];shield:fantasy2}</t>
  </si>
  <si>
    <t>https://watabou.github.io/city-generator/?name=Murgadh&amp;population=2122&amp;size=17&amp;seed=3550748350840&amp;river=0&amp;coast=0&amp;farms=1&amp;citadel=0&amp;urban_castle=0&amp;hub=false&amp;plaza=1&amp;temple=0&amp;walls=0&amp;shantytown=0&amp;gates=-1</t>
  </si>
  <si>
    <t>Bizrog</t>
  </si>
  <si>
    <t>{t1:purpure;charges:[{charge:anchor;t:or;p:e;size:1.5}];shield:fantasy2}</t>
  </si>
  <si>
    <t>https://watabou.github.io/city-generator/?name=Bizrog&amp;population=21977&amp;size=42&amp;seed=3550748350846&amp;river=1&amp;coast=1&amp;farms=1&amp;citadel=0&amp;urban_castle=0&amp;hub=false&amp;plaza=1&amp;temple=0&amp;walls=1&amp;shantytown=0&amp;gates=-1&amp;sea=0.45</t>
  </si>
  <si>
    <t>Rark'u</t>
  </si>
  <si>
    <t>{t1:or;division:{division:perFess;t:purpure;line:embattledNotched};charges:[{charge:fleurDeLis;t:azure;p:k;size:0.7};{charge:harp;t:argent;p:n;size:0.7}];shield:horsehead2}</t>
  </si>
  <si>
    <t>https://watabou.github.io/city-generator/?name=Rark%27u&amp;population=22126&amp;size=42&amp;seed=3550748350916&amp;river=0&amp;coast=0&amp;farms=0&amp;citadel=1&amp;urban_castle=1&amp;hub=false&amp;plaza=0&amp;temple=1&amp;walls=1&amp;shantytown=1&amp;gates=-1</t>
  </si>
  <si>
    <t>Rild</t>
  </si>
  <si>
    <t>{t1:azure;division:{division:perFess;t:argent;line:indented};ordinaries:[{ordinary:chevron;t:or}];charges:[{charge:crossHummetty;t:or;p:ach;size:0.5}];shield:fantasy2}</t>
  </si>
  <si>
    <t>https://watabou.github.io/city-generator/?name=Rild&amp;population=22465&amp;size=42&amp;seed=3550748351036&amp;river=0&amp;coast=0&amp;farms=0&amp;citadel=0&amp;urban_castle=0&amp;hub=false&amp;plaza=1&amp;temple=1&amp;walls=1&amp;shantytown=1&amp;gates=-1</t>
  </si>
  <si>
    <t>Swanhall Province</t>
  </si>
  <si>
    <t>Madinglia Province</t>
  </si>
  <si>
    <t>Dreghold Province</t>
  </si>
  <si>
    <t>Uzd Province</t>
  </si>
  <si>
    <t>#ffe83f</t>
  </si>
  <si>
    <t>Sirong Lordship</t>
  </si>
  <si>
    <t>Ralim Province</t>
  </si>
  <si>
    <t>Pearlpass Province</t>
  </si>
  <si>
    <t>#ffd732</t>
  </si>
  <si>
    <t>Ig Cost</t>
  </si>
  <si>
    <t>Irl Cost</t>
  </si>
  <si>
    <t>Transfer Rate (Approx.)</t>
  </si>
  <si>
    <t>Cheese</t>
  </si>
  <si>
    <t>Profit</t>
  </si>
  <si>
    <t>Revenue</t>
  </si>
  <si>
    <t>Pounds</t>
  </si>
  <si>
    <t>Tons</t>
  </si>
  <si>
    <t>Sale Per Pound</t>
  </si>
  <si>
    <t>Cost Per Pound</t>
  </si>
  <si>
    <t>Tons of Cheese Per Tick</t>
  </si>
  <si>
    <t>Lbs of Cheese Per Tick</t>
  </si>
  <si>
    <t>People</t>
  </si>
  <si>
    <t>Cheese Per Tick Per Person (lbs)</t>
  </si>
  <si>
    <t>Cheese Per Day</t>
  </si>
  <si>
    <t>Days Per Tick</t>
  </si>
  <si>
    <t>Sword</t>
  </si>
  <si>
    <t>Unit Price</t>
  </si>
  <si>
    <t>Warhorse</t>
  </si>
  <si>
    <t>Paved Road (Per Mile)</t>
  </si>
  <si>
    <t>Gravel Road (Per Mile)</t>
  </si>
  <si>
    <t>80 lbs cheese</t>
  </si>
  <si>
    <t>Redspice</t>
  </si>
  <si>
    <t>Usage --&gt;</t>
  </si>
  <si>
    <t>Lbs of Redspice Per Tick</t>
  </si>
  <si>
    <t>Redspice Per Tick Per Person (lbs)</t>
  </si>
  <si>
    <t>Redspice Per Day</t>
  </si>
  <si>
    <t>Anor</t>
  </si>
  <si>
    <t>Rohand</t>
  </si>
  <si>
    <t xml:space="preserve"> </t>
  </si>
  <si>
    <t>Wood</t>
  </si>
  <si>
    <t>Horses</t>
  </si>
  <si>
    <t>Horses Per Tick</t>
  </si>
  <si>
    <t>Horses Per Tick Per Person (lbs)</t>
  </si>
  <si>
    <t>Horses Per Day</t>
  </si>
  <si>
    <t>Aranvers</t>
  </si>
  <si>
    <t>Sale Per Sword</t>
  </si>
  <si>
    <t>Cost Per Sword</t>
  </si>
  <si>
    <t>Production --&gt;</t>
  </si>
  <si>
    <t>Swords Per Tick</t>
  </si>
  <si>
    <t>Swords Per Tick Per Person (lbs)</t>
  </si>
  <si>
    <t>Freygrorest</t>
  </si>
  <si>
    <t>https://watabou.github.io/city-generator/?name=Freygrorest&amp;population=2563&amp;size=19&amp;seed=3550748350179&amp;river=0&amp;coast=1&amp;farms=1&amp;citadel=1&amp;urban_castle=0&amp;hub=false&amp;plaza=1&amp;temple=0&amp;walls=0&amp;shantytown=0&amp;gates=-1&amp;sea=1.59</t>
  </si>
  <si>
    <t>Timber</t>
  </si>
  <si>
    <t>Shavian</t>
  </si>
  <si>
    <t>Dryvaterga Red</t>
  </si>
  <si>
    <t>Bottles</t>
  </si>
  <si>
    <t>Barrels</t>
  </si>
  <si>
    <t>https://watabou.github.io/city-generator/?name=Karkekopi&amp;population=23019&amp;size=42&amp;seed=3550748350488&amp;river=0&amp;coast=0&amp;farms=1&amp;citadel=1&amp;urban_castle=1&amp;hub=false&amp;plaza=1&amp;temple=0&amp;walls=1&amp;shantytown=0&amp;gates=-1</t>
  </si>
  <si>
    <t>Krargol</t>
  </si>
  <si>
    <t>https://watabou.github.io/city-generator/?name=Krargol&amp;population=9540&amp;size=30&amp;seed=3550748350676&amp;river=0&amp;coast=0&amp;farms=1&amp;citadel=0&amp;urban_castle=0&amp;hub=false&amp;plaza=0&amp;temple=0&amp;walls=0&amp;shantytown=0&amp;gates=-1</t>
  </si>
  <si>
    <t>https://watabou.github.io/city-generator/?name=Brughird&amp;population=6589&amp;size=26&amp;seed=3550748350843&amp;river=0&amp;coast=0&amp;farms=1&amp;citadel=0&amp;urban_castle=0&amp;hub=false&amp;plaza=1&amp;temple=0&amp;walls=1&amp;shantytown=0&amp;gates=-1</t>
  </si>
  <si>
    <t>https://watabou.github.io/city-generator/?name=Shimerme&amp;population=3360&amp;size=20&amp;seed=3550748350019&amp;river=1&amp;coast=1&amp;farms=0&amp;citadel=1&amp;urban_castle=0&amp;hub=false&amp;plaza=0&amp;temple=0&amp;walls=1&amp;shantytown=0&amp;gates=-1&amp;sea=1.23</t>
  </si>
  <si>
    <t>https://watabou.github.io/city-generator/?name=Whitmegulch&amp;population=16601&amp;size=37&amp;seed=3550748350043&amp;river=0&amp;coast=0&amp;farms=1&amp;citadel=1&amp;urban_castle=0&amp;hub=false&amp;plaza=0&amp;temple=0&amp;walls=0&amp;shantytown=0&amp;gates=-1</t>
  </si>
  <si>
    <t>https://watabou.github.io/city-generator/?name=Westleden&amp;population=1956&amp;size=17&amp;seed=3550748350100&amp;river=0&amp;coast=0&amp;farms=1&amp;citadel=1&amp;urban_castle=1&amp;hub=false&amp;plaza=0&amp;temple=0&amp;walls=0&amp;shantytown=0&amp;gates=-1</t>
  </si>
  <si>
    <t>https://watabou.github.io/city-generator/?name=Shroutumn&amp;population=4134&amp;size=22&amp;seed=3550748350108&amp;river=0&amp;coast=1&amp;farms=0&amp;citadel=1&amp;urban_castle=1&amp;hub=false&amp;plaza=0&amp;temple=0&amp;walls=0&amp;shantytown=0&amp;gates=-1&amp;sea=1.06</t>
  </si>
  <si>
    <t>https://watabou.github.io/city-generator/?name=Autumngulf&amp;population=4057&amp;size=22&amp;seed=3550748350210&amp;river=0&amp;coast=1&amp;farms=0&amp;citadel=0&amp;urban_castle=0&amp;hub=false&amp;plaza=0&amp;temple=0&amp;walls=0&amp;shantytown=0&amp;gates=-1&amp;sea=1.85</t>
  </si>
  <si>
    <t>https://watabou.github.io/city-generator/?name=Shaken&amp;population=8656&amp;size=29&amp;seed=3550748350262&amp;river=1&amp;coast=0&amp;farms=0&amp;citadel=1&amp;urban_castle=1&amp;hub=false&amp;plaza=0&amp;temple=0&amp;walls=0&amp;shantytown=0&amp;gates=-1</t>
  </si>
  <si>
    <t>https://watabou.github.io/city-generator/?name=Gnilaurthi&amp;population=9267&amp;size=30&amp;seed=3550748350326&amp;river=0&amp;coast=1&amp;farms=1&amp;citadel=0&amp;urban_castle=0&amp;hub=false&amp;plaza=0&amp;temple=0&amp;walls=0&amp;shantytown=0&amp;gates=-1&amp;sea=0.99</t>
  </si>
  <si>
    <t>https://watabou.github.io/city-generator/?name=Bugausth%27vhala&amp;population=32536&amp;size=48&amp;seed=3550748350380&amp;river=0&amp;coast=0&amp;farms=1&amp;citadel=1&amp;urban_castle=1&amp;hub=false&amp;plaza=1&amp;temple=0&amp;walls=1&amp;shantytown=0&amp;gates=-1</t>
  </si>
  <si>
    <t>https://watabou.github.io/city-generator/?name=Blackstone&amp;population=22577&amp;size=42&amp;seed=3550748350398&amp;river=0&amp;coast=0&amp;farms=0&amp;citadel=1&amp;urban_castle=1&amp;hub=false&amp;plaza=1&amp;temple=0&amp;walls=0&amp;shantytown=0&amp;gates=-1</t>
  </si>
  <si>
    <t>https://watabou.github.io/city-generator/?name=Stovehaven&amp;population=1811&amp;size=16&amp;seed=3550748350401&amp;river=0&amp;coast=0&amp;farms=0&amp;citadel=1&amp;urban_castle=0&amp;hub=false&amp;plaza=1&amp;temple=0&amp;walls=0&amp;shantytown=0&amp;gates=-1</t>
  </si>
  <si>
    <t>https://watabou.github.io/city-generator/?name=Emouth&amp;population=2171&amp;size=17&amp;seed=3550748350451&amp;river=0&amp;coast=0&amp;farms=1&amp;citadel=0&amp;urban_castle=0&amp;hub=false&amp;plaza=0&amp;temple=0&amp;walls=0&amp;shantytown=0&amp;gates=-1</t>
  </si>
  <si>
    <t>https://watabou.github.io/city-generator/?name=Gonagithmorso&amp;population=18184&amp;size=39&amp;seed=3550748350462&amp;river=0&amp;coast=1&amp;farms=1&amp;citadel=0&amp;urban_castle=0&amp;hub=false&amp;plaza=1&amp;temple=0&amp;walls=0&amp;shantytown=0&amp;gates=-1&amp;sea=1.57</t>
  </si>
  <si>
    <t>https://watabou.github.io/city-generator/?name=Flakechpost&amp;population=23430&amp;size=43&amp;seed=3550748350492&amp;river=1&amp;coast=0&amp;farms=0&amp;citadel=1&amp;urban_castle=1&amp;hub=false&amp;plaza=1&amp;temple=0&amp;walls=1&amp;shantytown=0&amp;gates=-1</t>
  </si>
  <si>
    <t>https://watabou.github.io/city-generator/?name=Raterehall&amp;population=2083&amp;size=17&amp;seed=3550748350536&amp;river=0&amp;coast=0&amp;farms=1&amp;citadel=1&amp;urban_castle=1&amp;hub=false&amp;plaza=0&amp;temple=0&amp;walls=0&amp;shantytown=0&amp;gates=-1</t>
  </si>
  <si>
    <t>https://watabou.github.io/city-generator/?name=Shadowtown&amp;population=2159&amp;size=17&amp;seed=3550748350538&amp;river=0&amp;coast=0&amp;farms=1&amp;citadel=1&amp;urban_castle=1&amp;hub=false&amp;plaza=0&amp;temple=0&amp;walls=0&amp;shantytown=0&amp;gates=-1</t>
  </si>
  <si>
    <t>https://watabou.github.io/city-generator/?name=Rorehold&amp;population=2675&amp;size=19&amp;seed=3550748350603&amp;river=0&amp;coast=0&amp;farms=1&amp;citadel=1&amp;urban_castle=0&amp;hub=false&amp;plaza=0&amp;temple=0&amp;walls=0&amp;shantytown=0&amp;gates=-1</t>
  </si>
  <si>
    <t>https://watabou.github.io/city-generator/?name=Efallshield&amp;population=26830&amp;size=45&amp;seed=3550748350692&amp;river=1&amp;coast=0&amp;farms=1&amp;citadel=0&amp;urban_castle=0&amp;hub=false&amp;plaza=0&amp;temple=0&amp;walls=1&amp;shantytown=0&amp;gates=-1</t>
  </si>
  <si>
    <t>https://watabou.github.io/city-generator/?name=Utheinar&amp;population=3202&amp;size=20&amp;seed=3550748350828&amp;river=0&amp;coast=1&amp;farms=1&amp;citadel=1&amp;urban_castle=1&amp;hub=false&amp;plaza=1&amp;temple=0&amp;walls=0&amp;shantytown=0&amp;gates=-1&amp;sea=1.66</t>
  </si>
  <si>
    <t>https://watabou.github.io/city-generator/?name=Shrourestar&amp;population=10356&amp;size=31&amp;seed=3550748350984&amp;river=0&amp;coast=0&amp;farms=0&amp;citadel=0&amp;urban_castle=0&amp;hub=false&amp;plaza=0&amp;temple=0&amp;walls=0&amp;shantytown=0&amp;gates=-1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</si>
</sst>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0.000%"/>
    <numFmt numFmtId="166" formatCode="0.0"/>
  </numFmts>
  <fonts count="16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b/>
      <sz val="11"/>
      <color theme="1"/>
      <name val="Cambria"/>
    </font>
    <font>
      <sz val="11"/>
      <color theme="1"/>
      <name val="Times New Roman"/>
    </font>
    <font>
      <sz val="11"/>
      <color theme="1"/>
      <name val="Cambria"/>
    </font>
    <font>
      <sz val="11"/>
      <color rgb="FF78909C"/>
      <name val="Cambria"/>
    </font>
    <font>
      <sz val="10"/>
      <name val="Arial"/>
    </font>
    <font>
      <b/>
      <sz val="13"/>
      <color theme="1"/>
      <name val="Times New Roman"/>
    </font>
    <font>
      <b/>
      <sz val="17"/>
      <color theme="1"/>
      <name val="Times New Roman"/>
    </font>
    <font>
      <sz val="10"/>
      <color theme="1"/>
      <name val="Arial"/>
      <scheme val="minor"/>
    </font>
    <font>
      <b/>
      <sz val="11"/>
      <color rgb="FF000000"/>
      <name val="Times New Roman"/>
    </font>
    <font>
      <sz val="11"/>
      <color rgb="FF000000"/>
      <name val="Times New Roman"/>
    </font>
    <font>
      <sz val="10"/>
      <color theme="1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CCA677"/>
        <bgColor rgb="FFCCA677"/>
      </patternFill>
    </fill>
    <fill>
      <patternFill patternType="solid">
        <fgColor rgb="FFBDBDBD"/>
        <bgColor rgb="FFBDBDBD"/>
      </patternFill>
    </fill>
    <fill>
      <patternFill patternType="solid">
        <fgColor rgb="FF26A69A"/>
        <bgColor rgb="FF26A69A"/>
      </patternFill>
    </fill>
    <fill>
      <patternFill patternType="solid">
        <fgColor rgb="FF8989EB"/>
        <bgColor rgb="FF8989EB"/>
      </patternFill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3D297"/>
        <bgColor rgb="FF63D297"/>
      </patternFill>
    </fill>
    <fill>
      <patternFill patternType="solid">
        <fgColor rgb="FFCCCCCC"/>
        <bgColor rgb="FFCCCCCC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F7CB4D"/>
        <bgColor rgb="FFF7CB4D"/>
      </patternFill>
    </fill>
    <fill>
      <patternFill patternType="solid">
        <fgColor rgb="FFEBEFF1"/>
        <bgColor rgb="FFEBEFF1"/>
      </patternFill>
    </fill>
    <fill>
      <patternFill patternType="solid">
        <fgColor rgb="FFB7B7B7"/>
        <bgColor rgb="FFB7B7B7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3" fontId="2" fillId="0" borderId="6" xfId="0" applyNumberFormat="1" applyFont="1" applyBorder="1" applyAlignment="1">
      <alignment vertical="center" wrapText="1"/>
    </xf>
    <xf numFmtId="1" fontId="3" fillId="0" borderId="0" xfId="0" applyNumberFormat="1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2" fillId="5" borderId="7" xfId="0" applyFont="1" applyFill="1" applyBorder="1" applyAlignment="1">
      <alignment horizontal="left" vertical="center" wrapText="1"/>
    </xf>
    <xf numFmtId="3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3" fontId="2" fillId="0" borderId="7" xfId="0" applyNumberFormat="1" applyFont="1" applyBorder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3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165" fontId="3" fillId="0" borderId="0" xfId="0" applyNumberFormat="1" applyFont="1" applyAlignment="1">
      <alignment vertical="center" wrapText="1"/>
    </xf>
    <xf numFmtId="0" fontId="5" fillId="6" borderId="0" xfId="0" applyFont="1" applyFill="1"/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horizontal="right" vertical="center"/>
    </xf>
    <xf numFmtId="1" fontId="4" fillId="0" borderId="0" xfId="0" applyNumberFormat="1" applyFont="1"/>
    <xf numFmtId="10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4" fillId="0" borderId="3" xfId="0" applyNumberFormat="1" applyFont="1" applyBorder="1"/>
    <xf numFmtId="3" fontId="4" fillId="0" borderId="3" xfId="0" applyNumberFormat="1" applyFont="1" applyBorder="1"/>
    <xf numFmtId="3" fontId="4" fillId="0" borderId="0" xfId="0" applyNumberFormat="1" applyFont="1"/>
    <xf numFmtId="10" fontId="4" fillId="0" borderId="0" xfId="0" applyNumberFormat="1" applyFont="1"/>
    <xf numFmtId="10" fontId="4" fillId="0" borderId="7" xfId="0" applyNumberFormat="1" applyFont="1" applyBorder="1"/>
    <xf numFmtId="4" fontId="3" fillId="0" borderId="0" xfId="0" applyNumberFormat="1" applyFont="1" applyAlignment="1">
      <alignment vertical="center" wrapText="1"/>
    </xf>
    <xf numFmtId="3" fontId="4" fillId="0" borderId="7" xfId="0" applyNumberFormat="1" applyFont="1" applyBorder="1"/>
    <xf numFmtId="164" fontId="3" fillId="0" borderId="0" xfId="0" applyNumberFormat="1" applyFont="1" applyAlignment="1">
      <alignment vertical="center" wrapText="1"/>
    </xf>
    <xf numFmtId="3" fontId="1" fillId="2" borderId="6" xfId="0" applyNumberFormat="1" applyFont="1" applyFill="1" applyBorder="1" applyAlignment="1">
      <alignment vertical="center" wrapText="1"/>
    </xf>
    <xf numFmtId="3" fontId="3" fillId="0" borderId="6" xfId="0" applyNumberFormat="1" applyFont="1" applyBorder="1" applyAlignment="1">
      <alignment vertical="center"/>
    </xf>
    <xf numFmtId="10" fontId="3" fillId="0" borderId="6" xfId="0" applyNumberFormat="1" applyFont="1" applyBorder="1" applyAlignment="1">
      <alignment vertical="center"/>
    </xf>
    <xf numFmtId="3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166" fontId="4" fillId="0" borderId="0" xfId="0" applyNumberFormat="1" applyFont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3" fillId="0" borderId="0" xfId="0" applyFont="1"/>
    <xf numFmtId="0" fontId="3" fillId="7" borderId="0" xfId="0" applyFont="1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horizontal="right" wrapText="1"/>
    </xf>
    <xf numFmtId="0" fontId="3" fillId="8" borderId="0" xfId="0" applyFont="1" applyFill="1" applyAlignment="1">
      <alignment wrapText="1"/>
    </xf>
    <xf numFmtId="1" fontId="3" fillId="0" borderId="0" xfId="0" applyNumberFormat="1" applyFont="1" applyAlignment="1">
      <alignment horizontal="right" wrapText="1"/>
    </xf>
    <xf numFmtId="0" fontId="3" fillId="0" borderId="7" xfId="0" applyFont="1" applyBorder="1"/>
    <xf numFmtId="0" fontId="3" fillId="7" borderId="0" xfId="0" applyFont="1" applyFill="1" applyAlignment="1">
      <alignment horizontal="right" wrapText="1"/>
    </xf>
    <xf numFmtId="1" fontId="3" fillId="0" borderId="0" xfId="0" applyNumberFormat="1" applyFont="1"/>
    <xf numFmtId="3" fontId="1" fillId="3" borderId="0" xfId="0" applyNumberFormat="1" applyFont="1" applyFill="1" applyAlignment="1">
      <alignment wrapText="1"/>
    </xf>
    <xf numFmtId="3" fontId="3" fillId="0" borderId="0" xfId="0" applyNumberFormat="1" applyFont="1" applyAlignment="1">
      <alignment horizontal="right" wrapText="1"/>
    </xf>
    <xf numFmtId="3" fontId="3" fillId="0" borderId="0" xfId="0" applyNumberFormat="1" applyFont="1"/>
    <xf numFmtId="9" fontId="3" fillId="7" borderId="0" xfId="0" applyNumberFormat="1" applyFont="1" applyFill="1" applyAlignment="1">
      <alignment horizontal="right" wrapText="1"/>
    </xf>
    <xf numFmtId="9" fontId="3" fillId="0" borderId="0" xfId="0" applyNumberFormat="1" applyFont="1"/>
    <xf numFmtId="0" fontId="3" fillId="3" borderId="0" xfId="0" applyFont="1" applyFill="1"/>
    <xf numFmtId="0" fontId="3" fillId="8" borderId="0" xfId="0" applyFont="1" applyFill="1" applyAlignment="1">
      <alignment horizontal="right" wrapText="1"/>
    </xf>
    <xf numFmtId="3" fontId="3" fillId="8" borderId="0" xfId="0" applyNumberFormat="1" applyFont="1" applyFill="1" applyAlignment="1">
      <alignment horizontal="right" wrapText="1"/>
    </xf>
    <xf numFmtId="3" fontId="3" fillId="0" borderId="7" xfId="0" applyNumberFormat="1" applyFont="1" applyBorder="1"/>
    <xf numFmtId="0" fontId="3" fillId="7" borderId="7" xfId="0" applyFont="1" applyFill="1" applyBorder="1" applyAlignment="1">
      <alignment horizontal="right" wrapText="1"/>
    </xf>
    <xf numFmtId="0" fontId="3" fillId="8" borderId="7" xfId="0" applyFont="1" applyFill="1" applyBorder="1" applyAlignment="1">
      <alignment horizontal="right" wrapText="1"/>
    </xf>
    <xf numFmtId="0" fontId="3" fillId="8" borderId="0" xfId="0" applyFont="1" applyFill="1"/>
    <xf numFmtId="0" fontId="3" fillId="7" borderId="0" xfId="0" applyFont="1" applyFill="1"/>
    <xf numFmtId="0" fontId="1" fillId="3" borderId="0" xfId="0" applyFont="1" applyFill="1"/>
    <xf numFmtId="0" fontId="2" fillId="4" borderId="2" xfId="0" applyFont="1" applyFill="1" applyBorder="1" applyAlignment="1">
      <alignment vertical="center" wrapText="1"/>
    </xf>
    <xf numFmtId="0" fontId="4" fillId="0" borderId="2" xfId="0" applyFont="1" applyBorder="1"/>
    <xf numFmtId="1" fontId="4" fillId="0" borderId="2" xfId="0" applyNumberFormat="1" applyFont="1" applyBorder="1"/>
    <xf numFmtId="3" fontId="3" fillId="0" borderId="2" xfId="0" applyNumberFormat="1" applyFont="1" applyBorder="1" applyAlignment="1">
      <alignment horizontal="right" vertical="center"/>
    </xf>
    <xf numFmtId="1" fontId="4" fillId="0" borderId="5" xfId="0" applyNumberFormat="1" applyFont="1" applyBorder="1"/>
    <xf numFmtId="3" fontId="4" fillId="0" borderId="5" xfId="0" applyNumberFormat="1" applyFont="1" applyBorder="1"/>
    <xf numFmtId="3" fontId="4" fillId="0" borderId="2" xfId="0" applyNumberFormat="1" applyFont="1" applyBorder="1"/>
    <xf numFmtId="10" fontId="4" fillId="0" borderId="2" xfId="0" applyNumberFormat="1" applyFont="1" applyBorder="1"/>
    <xf numFmtId="10" fontId="4" fillId="0" borderId="1" xfId="0" applyNumberFormat="1" applyFont="1" applyBorder="1"/>
    <xf numFmtId="4" fontId="3" fillId="0" borderId="2" xfId="0" applyNumberFormat="1" applyFont="1" applyBorder="1" applyAlignment="1">
      <alignment vertical="center" wrapText="1"/>
    </xf>
    <xf numFmtId="3" fontId="4" fillId="0" borderId="6" xfId="0" applyNumberFormat="1" applyFont="1" applyBorder="1"/>
    <xf numFmtId="0" fontId="4" fillId="0" borderId="7" xfId="0" applyFont="1" applyBorder="1"/>
    <xf numFmtId="4" fontId="4" fillId="0" borderId="0" xfId="0" applyNumberFormat="1" applyFont="1"/>
    <xf numFmtId="0" fontId="4" fillId="0" borderId="3" xfId="0" applyFont="1" applyBorder="1"/>
    <xf numFmtId="0" fontId="1" fillId="2" borderId="6" xfId="0" applyFont="1" applyFill="1" applyBorder="1" applyAlignment="1">
      <alignment vertical="center" wrapText="1"/>
    </xf>
    <xf numFmtId="1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2" borderId="0" xfId="0" applyFont="1" applyFill="1"/>
    <xf numFmtId="0" fontId="1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1" fillId="9" borderId="6" xfId="0" applyFont="1" applyFill="1" applyBorder="1" applyAlignment="1">
      <alignment vertical="center" wrapText="1"/>
    </xf>
    <xf numFmtId="1" fontId="3" fillId="0" borderId="6" xfId="0" applyNumberFormat="1" applyFont="1" applyBorder="1" applyAlignment="1">
      <alignment vertical="center" wrapText="1"/>
    </xf>
    <xf numFmtId="0" fontId="3" fillId="10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" fontId="1" fillId="9" borderId="6" xfId="0" applyNumberFormat="1" applyFont="1" applyFill="1" applyBorder="1" applyAlignment="1">
      <alignment vertical="center" wrapText="1"/>
    </xf>
    <xf numFmtId="1" fontId="1" fillId="9" borderId="0" xfId="0" applyNumberFormat="1" applyFont="1" applyFill="1" applyAlignment="1">
      <alignment vertical="center" wrapText="1"/>
    </xf>
    <xf numFmtId="0" fontId="1" fillId="11" borderId="7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7" xfId="0" applyFont="1" applyFill="1" applyBorder="1"/>
    <xf numFmtId="0" fontId="3" fillId="7" borderId="7" xfId="0" applyFont="1" applyFill="1" applyBorder="1"/>
    <xf numFmtId="0" fontId="3" fillId="12" borderId="0" xfId="0" applyFont="1" applyFill="1"/>
    <xf numFmtId="0" fontId="3" fillId="12" borderId="7" xfId="0" applyFont="1" applyFill="1" applyBorder="1"/>
    <xf numFmtId="0" fontId="1" fillId="11" borderId="8" xfId="0" applyFont="1" applyFill="1" applyBorder="1" applyAlignment="1">
      <alignment horizontal="center"/>
    </xf>
    <xf numFmtId="0" fontId="3" fillId="12" borderId="3" xfId="0" applyFont="1" applyFill="1" applyBorder="1"/>
    <xf numFmtId="0" fontId="3" fillId="7" borderId="3" xfId="0" applyFont="1" applyFill="1" applyBorder="1"/>
    <xf numFmtId="0" fontId="1" fillId="11" borderId="7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11" borderId="7" xfId="0" applyFont="1" applyFill="1" applyBorder="1" applyAlignment="1">
      <alignment vertical="top"/>
    </xf>
    <xf numFmtId="0" fontId="2" fillId="11" borderId="7" xfId="0" applyFont="1" applyFill="1" applyBorder="1" applyAlignment="1">
      <alignment vertical="top" wrapText="1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" fillId="11" borderId="2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2" fillId="11" borderId="8" xfId="0" applyFont="1" applyFill="1" applyBorder="1" applyAlignment="1">
      <alignment vertical="top" wrapText="1"/>
    </xf>
    <xf numFmtId="0" fontId="3" fillId="7" borderId="4" xfId="0" applyFont="1" applyFill="1" applyBorder="1" applyAlignment="1">
      <alignment horizontal="right"/>
    </xf>
    <xf numFmtId="0" fontId="3" fillId="7" borderId="6" xfId="0" applyFont="1" applyFill="1" applyBorder="1" applyAlignment="1">
      <alignment horizontal="right"/>
    </xf>
    <xf numFmtId="0" fontId="3" fillId="7" borderId="8" xfId="0" applyFont="1" applyFill="1" applyBorder="1" applyAlignment="1">
      <alignment horizontal="right"/>
    </xf>
    <xf numFmtId="0" fontId="3" fillId="7" borderId="0" xfId="0" applyFont="1" applyFill="1" applyAlignment="1">
      <alignment horizontal="right"/>
    </xf>
    <xf numFmtId="0" fontId="3" fillId="7" borderId="7" xfId="0" applyFont="1" applyFill="1" applyBorder="1" applyAlignment="1">
      <alignment horizontal="right"/>
    </xf>
    <xf numFmtId="0" fontId="2" fillId="11" borderId="1" xfId="0" applyFont="1" applyFill="1" applyBorder="1" applyAlignment="1">
      <alignment vertical="top" wrapText="1"/>
    </xf>
    <xf numFmtId="0" fontId="3" fillId="7" borderId="5" xfId="0" applyFont="1" applyFill="1" applyBorder="1"/>
    <xf numFmtId="0" fontId="3" fillId="7" borderId="2" xfId="0" applyFont="1" applyFill="1" applyBorder="1"/>
    <xf numFmtId="0" fontId="3" fillId="7" borderId="1" xfId="0" applyFont="1" applyFill="1" applyBorder="1"/>
    <xf numFmtId="0" fontId="3" fillId="12" borderId="4" xfId="0" applyFont="1" applyFill="1" applyBorder="1" applyAlignment="1">
      <alignment horizontal="right"/>
    </xf>
    <xf numFmtId="0" fontId="3" fillId="12" borderId="6" xfId="0" applyFont="1" applyFill="1" applyBorder="1" applyAlignment="1">
      <alignment horizontal="right"/>
    </xf>
    <xf numFmtId="0" fontId="3" fillId="12" borderId="8" xfId="0" applyFont="1" applyFill="1" applyBorder="1" applyAlignment="1">
      <alignment horizontal="right"/>
    </xf>
    <xf numFmtId="0" fontId="3" fillId="12" borderId="0" xfId="0" applyFont="1" applyFill="1" applyAlignment="1">
      <alignment horizontal="right"/>
    </xf>
    <xf numFmtId="0" fontId="3" fillId="12" borderId="7" xfId="0" applyFont="1" applyFill="1" applyBorder="1" applyAlignment="1">
      <alignment horizontal="right"/>
    </xf>
    <xf numFmtId="0" fontId="3" fillId="12" borderId="5" xfId="0" applyFont="1" applyFill="1" applyBorder="1"/>
    <xf numFmtId="0" fontId="3" fillId="12" borderId="2" xfId="0" applyFont="1" applyFill="1" applyBorder="1"/>
    <xf numFmtId="0" fontId="3" fillId="12" borderId="1" xfId="0" applyFont="1" applyFill="1" applyBorder="1"/>
    <xf numFmtId="0" fontId="1" fillId="11" borderId="1" xfId="0" applyFont="1" applyFill="1" applyBorder="1" applyAlignment="1">
      <alignment vertical="top"/>
    </xf>
    <xf numFmtId="0" fontId="3" fillId="0" borderId="2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6" xfId="0" applyFont="1" applyBorder="1"/>
    <xf numFmtId="0" fontId="3" fillId="0" borderId="8" xfId="0" applyFont="1" applyBorder="1"/>
    <xf numFmtId="0" fontId="3" fillId="0" borderId="2" xfId="0" applyFont="1" applyBorder="1"/>
    <xf numFmtId="0" fontId="3" fillId="0" borderId="1" xfId="0" applyFont="1" applyBorder="1"/>
    <xf numFmtId="0" fontId="3" fillId="7" borderId="6" xfId="0" applyFont="1" applyFill="1" applyBorder="1"/>
    <xf numFmtId="0" fontId="7" fillId="0" borderId="0" xfId="0" applyFont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horizontal="right" vertical="center"/>
    </xf>
    <xf numFmtId="1" fontId="3" fillId="0" borderId="0" xfId="0" applyNumberFormat="1" applyFont="1" applyAlignment="1">
      <alignment horizontal="right"/>
    </xf>
    <xf numFmtId="1" fontId="3" fillId="0" borderId="7" xfId="0" applyNumberFormat="1" applyFont="1" applyBorder="1"/>
    <xf numFmtId="1" fontId="9" fillId="0" borderId="0" xfId="0" applyNumberFormat="1" applyFont="1"/>
    <xf numFmtId="1" fontId="3" fillId="7" borderId="0" xfId="0" applyNumberFormat="1" applyFont="1" applyFill="1" applyAlignment="1">
      <alignment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11" borderId="7" xfId="0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66" fontId="3" fillId="0" borderId="0" xfId="0" applyNumberFormat="1" applyFont="1" applyAlignment="1">
      <alignment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" fontId="1" fillId="6" borderId="2" xfId="0" applyNumberFormat="1" applyFont="1" applyFill="1" applyBorder="1" applyAlignment="1">
      <alignment vertical="center" wrapText="1"/>
    </xf>
    <xf numFmtId="3" fontId="10" fillId="6" borderId="2" xfId="0" applyNumberFormat="1" applyFont="1" applyFill="1" applyBorder="1" applyAlignment="1">
      <alignment horizontal="left" vertical="center" wrapText="1"/>
    </xf>
    <xf numFmtId="9" fontId="10" fillId="0" borderId="2" xfId="0" applyNumberFormat="1" applyFont="1" applyBorder="1" applyAlignment="1">
      <alignment horizontal="left" vertical="center" wrapText="1"/>
    </xf>
    <xf numFmtId="1" fontId="1" fillId="6" borderId="2" xfId="0" applyNumberFormat="1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9" fontId="1" fillId="6" borderId="2" xfId="0" applyNumberFormat="1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1" fontId="3" fillId="0" borderId="2" xfId="0" applyNumberFormat="1" applyFont="1" applyBorder="1" applyAlignment="1">
      <alignment vertical="center" wrapText="1"/>
    </xf>
    <xf numFmtId="1" fontId="11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vertical="center" wrapText="1"/>
    </xf>
    <xf numFmtId="9" fontId="3" fillId="0" borderId="2" xfId="0" applyNumberFormat="1" applyFont="1" applyBorder="1" applyAlignment="1">
      <alignment vertical="center" wrapText="1"/>
    </xf>
    <xf numFmtId="9" fontId="11" fillId="0" borderId="2" xfId="0" applyNumberFormat="1" applyFont="1" applyBorder="1" applyAlignment="1">
      <alignment horizontal="right" vertical="center" wrapText="1"/>
    </xf>
    <xf numFmtId="9" fontId="11" fillId="14" borderId="2" xfId="0" applyNumberFormat="1" applyFont="1" applyFill="1" applyBorder="1" applyAlignment="1">
      <alignment horizontal="right" vertical="center" wrapText="1"/>
    </xf>
    <xf numFmtId="9" fontId="11" fillId="7" borderId="2" xfId="0" applyNumberFormat="1" applyFont="1" applyFill="1" applyBorder="1" applyAlignment="1">
      <alignment horizontal="right" vertical="center" wrapText="1"/>
    </xf>
    <xf numFmtId="3" fontId="10" fillId="6" borderId="2" xfId="0" applyNumberFormat="1" applyFont="1" applyFill="1" applyBorder="1" applyAlignment="1">
      <alignment vertical="center" wrapText="1"/>
    </xf>
    <xf numFmtId="9" fontId="3" fillId="14" borderId="2" xfId="0" applyNumberFormat="1" applyFont="1" applyFill="1" applyBorder="1" applyAlignment="1">
      <alignment vertical="center" wrapText="1"/>
    </xf>
    <xf numFmtId="0" fontId="12" fillId="0" borderId="0" xfId="0" applyFont="1"/>
    <xf numFmtId="0" fontId="1" fillId="6" borderId="0" xfId="0" applyFont="1" applyFill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0" fontId="9" fillId="0" borderId="0" xfId="0" applyFont="1"/>
    <xf numFmtId="0" fontId="13" fillId="0" borderId="0" xfId="0" applyFont="1"/>
    <xf numFmtId="0" fontId="1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4" fillId="0" borderId="0" xfId="0" applyFont="1"/>
    <xf numFmtId="0" fontId="3" fillId="14" borderId="0" xfId="0" applyFont="1" applyFill="1"/>
    <xf numFmtId="0" fontId="11" fillId="14" borderId="0" xfId="0" applyFont="1" applyFill="1"/>
    <xf numFmtId="0" fontId="9" fillId="14" borderId="0" xfId="0" applyFont="1" applyFill="1"/>
    <xf numFmtId="0" fontId="15" fillId="14" borderId="0" xfId="0" applyFont="1" applyFill="1"/>
    <xf numFmtId="0" fontId="1" fillId="15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3" fontId="3" fillId="0" borderId="7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9" fillId="0" borderId="3" xfId="0" applyFont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3" fontId="9" fillId="0" borderId="2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" fillId="11" borderId="0" xfId="0" applyFont="1" applyFill="1" applyAlignment="1">
      <alignment horizontal="center"/>
    </xf>
    <xf numFmtId="0" fontId="0" fillId="0" borderId="0" xfId="0"/>
    <xf numFmtId="0" fontId="1" fillId="11" borderId="3" xfId="0" applyFont="1" applyFill="1" applyBorder="1" applyAlignment="1">
      <alignment horizontal="center"/>
    </xf>
    <xf numFmtId="0" fontId="6" fillId="0" borderId="7" xfId="0" applyFont="1" applyBorder="1"/>
    <xf numFmtId="0" fontId="1" fillId="11" borderId="6" xfId="0" applyFont="1" applyFill="1" applyBorder="1" applyAlignment="1">
      <alignment horizontal="center"/>
    </xf>
    <xf numFmtId="0" fontId="6" fillId="7" borderId="6" xfId="0" applyFont="1" applyFill="1" applyBorder="1"/>
    <xf numFmtId="0" fontId="6" fillId="7" borderId="8" xfId="0" applyFont="1" applyFill="1" applyBorder="1"/>
    <xf numFmtId="0" fontId="1" fillId="11" borderId="4" xfId="0" applyFont="1" applyFill="1" applyBorder="1" applyAlignment="1">
      <alignment horizontal="center"/>
    </xf>
    <xf numFmtId="0" fontId="1" fillId="11" borderId="8" xfId="0" applyFont="1" applyFill="1" applyBorder="1" applyAlignment="1">
      <alignment vertical="top"/>
    </xf>
    <xf numFmtId="0" fontId="6" fillId="7" borderId="7" xfId="0" applyFont="1" applyFill="1" applyBorder="1"/>
    <xf numFmtId="0" fontId="6" fillId="12" borderId="7" xfId="0" applyFont="1" applyFill="1" applyBorder="1"/>
    <xf numFmtId="0" fontId="6" fillId="12" borderId="1" xfId="0" applyFont="1" applyFill="1" applyBorder="1"/>
    <xf numFmtId="0" fontId="6" fillId="7" borderId="1" xfId="0" applyFont="1" applyFill="1" applyBorder="1"/>
    <xf numFmtId="0" fontId="1" fillId="11" borderId="7" xfId="0" applyFont="1" applyFill="1" applyBorder="1"/>
    <xf numFmtId="0" fontId="1" fillId="11" borderId="0" xfId="0" applyFont="1" applyFill="1" applyAlignment="1">
      <alignment horizontal="center" vertical="top"/>
    </xf>
    <xf numFmtId="0" fontId="6" fillId="11" borderId="7" xfId="0" applyFont="1" applyFill="1" applyBorder="1"/>
  </cellXfs>
  <cellStyles count="1">
    <cellStyle name="Normal" xfId="0" builtinId="0"/>
  </cellStyles>
  <dxfs count="6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22">
    <tableStyle name="Character Index-style" pivot="0" count="3" xr9:uid="{00000000-0011-0000-FFFF-FFFF00000000}">
      <tableStyleElement type="headerRow" dxfId="65"/>
      <tableStyleElement type="firstRowStripe" dxfId="64"/>
      <tableStyleElement type="secondRowStripe" dxfId="63"/>
    </tableStyle>
    <tableStyle name="Knights Breakdown-style" pivot="0" count="3" xr9:uid="{00000000-0011-0000-FFFF-FFFF01000000}">
      <tableStyleElement type="headerRow" dxfId="62"/>
      <tableStyleElement type="firstRowStripe" dxfId="61"/>
      <tableStyleElement type="secondRowStripe" dxfId="60"/>
    </tableStyle>
    <tableStyle name="New Provinces Summary-style" pivot="0" count="3" xr9:uid="{00000000-0011-0000-FFFF-FFFF02000000}">
      <tableStyleElement type="headerRow" dxfId="59"/>
      <tableStyleElement type="firstRowStripe" dxfId="58"/>
      <tableStyleElement type="secondRowStripe" dxfId="57"/>
    </tableStyle>
    <tableStyle name="Duchies Summary-style" pivot="0" count="3" xr9:uid="{00000000-0011-0000-FFFF-FFFF03000000}">
      <tableStyleElement type="headerRow" dxfId="56"/>
      <tableStyleElement type="firstRowStripe" dxfId="55"/>
      <tableStyleElement type="secondRowStripe" dxfId="54"/>
    </tableStyle>
    <tableStyle name="Characters-style" pivot="0" count="3" xr9:uid="{00000000-0011-0000-FFFF-FFFF04000000}">
      <tableStyleElement type="headerRow" dxfId="53"/>
      <tableStyleElement type="firstRowStripe" dxfId="52"/>
      <tableStyleElement type="secondRowStripe" dxfId="51"/>
    </tableStyle>
    <tableStyle name="NPCs-style" pivot="0" count="3" xr9:uid="{00000000-0011-0000-FFFF-FFFF05000000}">
      <tableStyleElement type="headerRow" dxfId="50"/>
      <tableStyleElement type="firstRowStripe" dxfId="49"/>
      <tableStyleElement type="secondRowStripe" dxfId="48"/>
    </tableStyle>
    <tableStyle name="Lesser House Dominions-style" pivot="0" count="3" xr9:uid="{00000000-0011-0000-FFFF-FFFF06000000}">
      <tableStyleElement type="headerRow" dxfId="47"/>
      <tableStyleElement type="firstRowStripe" dxfId="46"/>
      <tableStyleElement type="secondRowStripe" dxfId="45"/>
    </tableStyle>
    <tableStyle name="Economics-style" pivot="0" count="3" xr9:uid="{00000000-0011-0000-FFFF-FFFF07000000}">
      <tableStyleElement type="headerRow" dxfId="44"/>
      <tableStyleElement type="firstRowStripe" dxfId="43"/>
      <tableStyleElement type="secondRowStripe" dxfId="42"/>
    </tableStyle>
    <tableStyle name="New Retinues Summary-style" pivot="0" count="3" xr9:uid="{00000000-0011-0000-FFFF-FFFF08000000}">
      <tableStyleElement type="headerRow" dxfId="41"/>
      <tableStyleElement type="firstRowStripe" dxfId="40"/>
      <tableStyleElement type="secondRowStripe" dxfId="39"/>
    </tableStyle>
    <tableStyle name="Provincial Economics-style" pivot="0" count="3" xr9:uid="{00000000-0011-0000-FFFF-FFFF09000000}">
      <tableStyleElement type="headerRow" dxfId="38"/>
      <tableStyleElement type="firstRowStripe" dxfId="37"/>
      <tableStyleElement type="secondRowStripe" dxfId="36"/>
    </tableStyle>
    <tableStyle name="The Crown-style" pivot="0" count="3" xr9:uid="{00000000-0011-0000-FFFF-FFFF0A000000}">
      <tableStyleElement type="headerRow" dxfId="35"/>
      <tableStyleElement type="firstRowStripe" dxfId="34"/>
      <tableStyleElement type="secondRowStripe" dxfId="33"/>
    </tableStyle>
    <tableStyle name="Ducal Economics-style" pivot="0" count="3" xr9:uid="{00000000-0011-0000-FFFF-FFFF0B000000}">
      <tableStyleElement type="headerRow" dxfId="32"/>
      <tableStyleElement type="firstRowStripe" dxfId="31"/>
      <tableStyleElement type="secondRowStripe" dxfId="30"/>
    </tableStyle>
    <tableStyle name="Provinces-style" pivot="0" count="3" xr9:uid="{00000000-0011-0000-FFFF-FFFF0C000000}">
      <tableStyleElement type="headerRow" dxfId="29"/>
      <tableStyleElement type="firstRowStripe" dxfId="28"/>
      <tableStyleElement type="secondRowStripe" dxfId="27"/>
    </tableStyle>
    <tableStyle name="Provincial Secret Sheet-style" pivot="0" count="2" xr9:uid="{00000000-0011-0000-FFFF-FFFF0D000000}">
      <tableStyleElement type="firstRowStripe" dxfId="26"/>
      <tableStyleElement type="secondRowStripe" dxfId="25"/>
    </tableStyle>
    <tableStyle name="Provincial Secret Sheet-style 2" pivot="0" count="2" xr9:uid="{00000000-0011-0000-FFFF-FFFF0E000000}">
      <tableStyleElement type="firstRowStripe" dxfId="24"/>
      <tableStyleElement type="secondRowStripe" dxfId="23"/>
    </tableStyle>
    <tableStyle name="Provincial Secret Sheet-style 3" pivot="0" count="2" xr9:uid="{00000000-0011-0000-FFFF-FFFF0F000000}">
      <tableStyleElement type="firstRowStripe" dxfId="22"/>
      <tableStyleElement type="secondRowStripe" dxfId="21"/>
    </tableStyle>
    <tableStyle name="Household Guard Breakdown-style" pivot="0" count="3" xr9:uid="{00000000-0011-0000-FFFF-FFFF10000000}">
      <tableStyleElement type="headerRow" dxfId="20"/>
      <tableStyleElement type="firstRowStripe" dxfId="19"/>
      <tableStyleElement type="secondRowStripe" dxfId="18"/>
    </tableStyle>
    <tableStyle name="New Cities-style" pivot="0" count="3" xr9:uid="{00000000-0011-0000-FFFF-FFFF11000000}">
      <tableStyleElement type="headerRow" dxfId="17"/>
      <tableStyleElement type="firstRowStripe" dxfId="16"/>
      <tableStyleElement type="secondRowStripe" dxfId="15"/>
    </tableStyle>
    <tableStyle name="Cities-style" pivot="0" count="3" xr9:uid="{00000000-0011-0000-FFFF-FFFF12000000}">
      <tableStyleElement type="headerRow" dxfId="14"/>
      <tableStyleElement type="firstRowStripe" dxfId="13"/>
      <tableStyleElement type="secondRowStripe" dxfId="12"/>
    </tableStyle>
    <tableStyle name="CityFilter(Ignore)-style" pivot="0" count="3" xr9:uid="{00000000-0011-0000-FFFF-FFFF13000000}">
      <tableStyleElement type="headerRow" dxfId="11"/>
      <tableStyleElement type="firstRowStripe" dxfId="10"/>
      <tableStyleElement type="secondRowStripe" dxfId="9"/>
    </tableStyle>
    <tableStyle name="Price Sheet (Ignore)-style" pivot="0" count="3" xr9:uid="{00000000-0011-0000-FFFF-FFFF14000000}">
      <tableStyleElement type="headerRow" dxfId="8"/>
      <tableStyleElement type="firstRowStripe" dxfId="7"/>
      <tableStyleElement type="secondRowStripe" dxfId="6"/>
    </tableStyle>
    <tableStyle name="Cities Import (Ignore)-style" pivot="0" count="3" xr9:uid="{00000000-0011-0000-FFFF-FFFF15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A27" headerRowCount="0">
  <tableColumns count="2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</tableColumns>
  <tableStyleInfo name="New Provinces Summa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_4" displayName="Table_4" ref="A1:AA1000" headerRowCount="0">
  <tableColumns count="2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</tableColumns>
  <tableStyleInfo name="Duchies Summa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A57" headerRowCount="0">
  <tableColumns count="2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</tableColumns>
  <tableStyleInfo name="Knights Breakdow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_2" displayName="Table_2" ref="A1:AB1002" headerRowCount="0">
  <tableColumns count="28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</tableColumns>
  <tableStyleInfo name="Character Index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AA1002" headerRowCount="0">
  <tableColumns count="2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</tableColumns>
  <tableStyleInfo name="Character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Z998" headerRowCount="0">
  <tableColumns count="26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</tableColumns>
  <tableStyleInfo name="NPC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AA1000" headerRowCount="0">
  <tableColumns count="27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</tableColumns>
  <tableStyleInfo name="Lesser House Dominion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L12" headerRowCount="0">
  <tableColumns count="12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</tableColumns>
  <tableStyleInfo name="Economic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2:S1009" headerRowCount="0">
  <tableColumns count="19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</tableColumns>
  <tableStyleInfo name="New Retinues Summa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:N9" headerRowCount="0">
  <tableColumns count="1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</tableColumns>
  <tableStyleInfo name="Provincial Economic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AA2" headerRowCount="0">
  <tableColumns count="27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</tableColumns>
  <tableStyleInfo name="The Crow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:T62" headerRowCount="0">
  <tableColumns count="20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  <tableColumn id="18" xr3:uid="{00000000-0010-0000-0B00-000012000000}" name="Column18"/>
    <tableColumn id="19" xr3:uid="{00000000-0010-0000-0B00-000013000000}" name="Column19"/>
    <tableColumn id="20" xr3:uid="{00000000-0010-0000-0B00-000014000000}" name="Column20"/>
  </tableColumns>
  <tableStyleInfo name="Ducal Economic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:AA28" headerRowCount="0">
  <tableColumns count="27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  <tableColumn id="24" xr3:uid="{00000000-0010-0000-0C00-000018000000}" name="Column24"/>
    <tableColumn id="25" xr3:uid="{00000000-0010-0000-0C00-000019000000}" name="Column25"/>
    <tableColumn id="26" xr3:uid="{00000000-0010-0000-0C00-00001A000000}" name="Column26"/>
    <tableColumn id="27" xr3:uid="{00000000-0010-0000-0C00-00001B000000}" name="Column27"/>
  </tableColumns>
  <tableStyleInfo name="Provinc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C1:C6" headerRowCount="0">
  <tableColumns count="1">
    <tableColumn id="1" xr3:uid="{00000000-0010-0000-0D00-000001000000}" name="Column1"/>
  </tableColumns>
  <tableStyleInfo name="Provincial Secret Sheet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E1:E6" headerRowCount="0">
  <tableColumns count="1">
    <tableColumn id="1" xr3:uid="{00000000-0010-0000-0E00-000001000000}" name="Column1"/>
  </tableColumns>
  <tableStyleInfo name="Provincial Secret Sheet-style 2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G1:G6" headerRowCount="0">
  <tableColumns count="1">
    <tableColumn id="1" xr3:uid="{00000000-0010-0000-0F00-000001000000}" name="Column1"/>
  </tableColumns>
  <tableStyleInfo name="Provincial Secret Sheet-style 3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1:G6">
  <tableColumns count="7">
    <tableColumn id="1" xr3:uid="{00000000-0010-0000-1000-000001000000}" name="House"/>
    <tableColumn id="2" xr3:uid="{00000000-0010-0000-1000-000002000000}" name="Count"/>
    <tableColumn id="3" xr3:uid="{00000000-0010-0000-1000-000003000000}" name="Quality"/>
    <tableColumn id="4" xr3:uid="{00000000-0010-0000-1000-000004000000}" name="Budget"/>
    <tableColumn id="5" xr3:uid="{00000000-0010-0000-1000-000005000000}" name="Pay Per Guards"/>
    <tableColumn id="6" xr3:uid="{00000000-0010-0000-1000-000006000000}" name="Houshold Members"/>
    <tableColumn id="7" xr3:uid="{00000000-0010-0000-1000-000007000000}" name="Guards Per Household Member"/>
  </tableColumns>
  <tableStyleInfo name="Household Guard Breakdown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1:Z1000" headerRowCount="0">
  <tableColumns count="26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  <tableColumn id="18" xr3:uid="{00000000-0010-0000-1300-000012000000}" name="Column18"/>
    <tableColumn id="19" xr3:uid="{00000000-0010-0000-1300-000013000000}" name="Column19"/>
    <tableColumn id="20" xr3:uid="{00000000-0010-0000-1300-000014000000}" name="Column20"/>
    <tableColumn id="21" xr3:uid="{00000000-0010-0000-1300-000015000000}" name="Column21"/>
    <tableColumn id="22" xr3:uid="{00000000-0010-0000-1300-000016000000}" name="Column22"/>
    <tableColumn id="23" xr3:uid="{00000000-0010-0000-1300-000017000000}" name="Column23"/>
    <tableColumn id="24" xr3:uid="{00000000-0010-0000-1300-000018000000}" name="Column24"/>
    <tableColumn id="25" xr3:uid="{00000000-0010-0000-1300-000019000000}" name="Column25"/>
    <tableColumn id="26" xr3:uid="{00000000-0010-0000-1300-00001A000000}" name="Column26"/>
  </tableColumns>
  <tableStyleInfo name="CityFilter(Ignore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1:J2">
  <tableColumns count="10">
    <tableColumn id="1" xr3:uid="{00000000-0010-0000-1400-000001000000}" name="Port"/>
    <tableColumn id="2" xr3:uid="{00000000-0010-0000-1400-000002000000}" name="Citadel"/>
    <tableColumn id="3" xr3:uid="{00000000-0010-0000-1400-000003000000}" name="Walls"/>
    <tableColumn id="4" xr3:uid="{00000000-0010-0000-1400-000004000000}" name="Plaza"/>
    <tableColumn id="5" xr3:uid="{00000000-0010-0000-1400-000005000000}" name="Temple"/>
    <tableColumn id="6" xr3:uid="{00000000-0010-0000-1400-000006000000}" name="Shanty Town"/>
    <tableColumn id="7" xr3:uid="{00000000-0010-0000-1400-000007000000}" name="Base Tax Rate"/>
    <tableColumn id="8" xr3:uid="{00000000-0010-0000-1400-000008000000}" name="Average Urban Peasant Income"/>
    <tableColumn id="9" xr3:uid="{00000000-0010-0000-1400-000009000000}" name="Average Rural Peasant Income"/>
    <tableColumn id="10" xr3:uid="{00000000-0010-0000-1400-00000A000000}" name="Price Per Levy"/>
  </tableColumns>
  <tableStyleInfo name="Price Sheet (Ignore)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1:Y999">
  <tableColumns count="25">
    <tableColumn id="1" xr3:uid="{00000000-0010-0000-1500-000001000000}" name="Id"/>
    <tableColumn id="2" xr3:uid="{00000000-0010-0000-1500-000002000000}" name="Burg"/>
    <tableColumn id="3" xr3:uid="{00000000-0010-0000-1500-000003000000}" name="Province"/>
    <tableColumn id="4" xr3:uid="{00000000-0010-0000-1500-000004000000}" name="Province Full Name"/>
    <tableColumn id="5" xr3:uid="{00000000-0010-0000-1500-000005000000}" name="State"/>
    <tableColumn id="6" xr3:uid="{00000000-0010-0000-1500-000006000000}" name="State Full Name"/>
    <tableColumn id="7" xr3:uid="{00000000-0010-0000-1500-000007000000}" name="Culture"/>
    <tableColumn id="8" xr3:uid="{00000000-0010-0000-1500-000008000000}" name="Religion"/>
    <tableColumn id="9" xr3:uid="{00000000-0010-0000-1500-000009000000}" name="Population"/>
    <tableColumn id="10" xr3:uid="{00000000-0010-0000-1500-00000A000000}" name="X"/>
    <tableColumn id="11" xr3:uid="{00000000-0010-0000-1500-00000B000000}" name="Y"/>
    <tableColumn id="12" xr3:uid="{00000000-0010-0000-1500-00000C000000}" name="Latitude"/>
    <tableColumn id="13" xr3:uid="{00000000-0010-0000-1500-00000D000000}" name="Longitude"/>
    <tableColumn id="14" xr3:uid="{00000000-0010-0000-1500-00000E000000}" name="Elevation (ft)"/>
    <tableColumn id="15" xr3:uid="{00000000-0010-0000-1500-00000F000000}" name="Temperature"/>
    <tableColumn id="16" xr3:uid="{00000000-0010-0000-1500-000010000000}" name="Temperature likeness"/>
    <tableColumn id="17" xr3:uid="{00000000-0010-0000-1500-000011000000}" name="Capital"/>
    <tableColumn id="18" xr3:uid="{00000000-0010-0000-1500-000012000000}" name="Port"/>
    <tableColumn id="19" xr3:uid="{00000000-0010-0000-1500-000013000000}" name="Citadel"/>
    <tableColumn id="20" xr3:uid="{00000000-0010-0000-1500-000014000000}" name="Walls"/>
    <tableColumn id="21" xr3:uid="{00000000-0010-0000-1500-000015000000}" name="Plaza"/>
    <tableColumn id="22" xr3:uid="{00000000-0010-0000-1500-000016000000}" name="Temple"/>
    <tableColumn id="23" xr3:uid="{00000000-0010-0000-1500-000017000000}" name="Shanty Town"/>
    <tableColumn id="24" xr3:uid="{00000000-0010-0000-1500-000018000000}" name="Emblem"/>
    <tableColumn id="25" xr3:uid="{00000000-0010-0000-1500-000019000000}" name="City Generator Link"/>
  </tableColumns>
  <tableStyleInfo name="Cities Import (Ignore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tabou.github.io/city-generator/?name=Shaven&amp;population=1971&amp;size=17&amp;seed=3550748350763&amp;river=0&amp;coast=0&amp;farms=1&amp;citadel=1&amp;urban_castle=0&amp;hub=false&amp;plaza=0&amp;temple=0&amp;walls=0&amp;shantytown=0&amp;gates=-1" TargetMode="External"/><Relationship Id="rId21" Type="http://schemas.openxmlformats.org/officeDocument/2006/relationships/hyperlink" Target="https://watabou.github.io/city-generator/?name=Pearldfair&amp;population=7044&amp;size=27&amp;seed=3550748350117&amp;river=0&amp;coast=1&amp;farms=0&amp;citadel=0&amp;urban_castle=0&amp;hub=false&amp;plaza=1&amp;temple=0&amp;walls=0&amp;shantytown=0&amp;gates=-1&amp;sea=1.93" TargetMode="External"/><Relationship Id="rId42" Type="http://schemas.openxmlformats.org/officeDocument/2006/relationships/hyperlink" Target="https://watabou.github.io/city-generator/?name=Pondhol&amp;population=23261&amp;size=43&amp;seed=3550748350247&amp;river=0&amp;coast=0&amp;farms=1&amp;citadel=0&amp;urban_castle=0&amp;hub=false&amp;plaza=0&amp;temple=1&amp;walls=1&amp;shantytown=0&amp;gates=-1" TargetMode="External"/><Relationship Id="rId63" Type="http://schemas.openxmlformats.org/officeDocument/2006/relationships/hyperlink" Target="https://watabou.github.io/city-generator/?name=Blackstone&amp;population=22577&amp;size=42&amp;seed=3550748350398&amp;river=0&amp;coast=0&amp;farms=0&amp;citadel=1&amp;urban_castle=1&amp;hub=false&amp;plaza=1&amp;temple=0&amp;walls=0&amp;shantytown=0&amp;gates=-1" TargetMode="External"/><Relationship Id="rId84" Type="http://schemas.openxmlformats.org/officeDocument/2006/relationships/hyperlink" Target="https://watabou.github.io/city-generator/?name=Jaallugausthei&amp;population=25544&amp;size=44&amp;seed=3550748350543&amp;river=0&amp;coast=0&amp;farms=1&amp;citadel=1&amp;urban_castle=0&amp;hub=false&amp;plaza=0&amp;temple=1&amp;walls=1&amp;shantytown=1&amp;gates=-1" TargetMode="External"/><Relationship Id="rId138" Type="http://schemas.openxmlformats.org/officeDocument/2006/relationships/hyperlink" Target="https://watabou.github.io/city-generator/?name=Mightfall&amp;population=5362&amp;size=24&amp;seed=3550748350924&amp;river=0&amp;coast=0&amp;farms=0&amp;citadel=1&amp;urban_castle=1&amp;hub=false&amp;plaza=0&amp;temple=0&amp;walls=0&amp;shantytown=0&amp;gates=-1" TargetMode="External"/><Relationship Id="rId159" Type="http://schemas.openxmlformats.org/officeDocument/2006/relationships/hyperlink" Target="https://watabou.github.io/city-generator/?name=Nilbog&amp;population=2947&amp;size=20&amp;seed=3550748351044&amp;river=1&amp;coast=0&amp;farms=1&amp;citadel=0&amp;urban_castle=0&amp;hub=false&amp;plaza=1&amp;temple=0&amp;walls=0&amp;shantytown=0&amp;gates=-1" TargetMode="External"/><Relationship Id="rId107" Type="http://schemas.openxmlformats.org/officeDocument/2006/relationships/hyperlink" Target="https://watabou.github.io/city-generator/?name=Lastspell&amp;population=15815&amp;size=37&amp;seed=3550748350735&amp;river=1&amp;coast=0&amp;farms=0&amp;citadel=1&amp;urban_castle=0&amp;hub=false&amp;plaza=0&amp;temple=0&amp;walls=1&amp;shantytown=0&amp;gates=-1" TargetMode="External"/><Relationship Id="rId11" Type="http://schemas.openxmlformats.org/officeDocument/2006/relationships/hyperlink" Target="https://watabou.github.io/city-generator/?name=Sirong&amp;population=29657&amp;size=47&amp;seed=3550748350070&amp;river=0&amp;coast=1&amp;farms=0&amp;citadel=1&amp;urban_castle=1&amp;hub=false&amp;plaza=0&amp;temple=0&amp;walls=0&amp;shantytown=0&amp;gates=-1&amp;sea=0.79" TargetMode="External"/><Relationship Id="rId32" Type="http://schemas.openxmlformats.org/officeDocument/2006/relationships/hyperlink" Target="https://watabou.github.io/city-generator/?name=Eagportford&amp;population=14971&amp;size=36&amp;seed=3550748350192&amp;river=0&amp;coast=0&amp;farms=1&amp;citadel=1&amp;urban_castle=1&amp;hub=false&amp;plaza=1&amp;temple=0&amp;walls=1&amp;shantytown=0&amp;gates=-1" TargetMode="External"/><Relationship Id="rId53" Type="http://schemas.openxmlformats.org/officeDocument/2006/relationships/hyperlink" Target="https://watabou.github.io/city-generator/?name=Grideborn&amp;population=1850&amp;size=16&amp;seed=3550748350315&amp;river=0&amp;coast=0&amp;farms=0&amp;citadel=1&amp;urban_castle=0&amp;hub=false&amp;plaza=0&amp;temple=0&amp;walls=0&amp;shantytown=0&amp;gates=-1" TargetMode="External"/><Relationship Id="rId74" Type="http://schemas.openxmlformats.org/officeDocument/2006/relationships/hyperlink" Target="https://watabou.github.io/city-generator/?name=Wilvernyard&amp;population=9340&amp;size=30&amp;seed=3550748350464&amp;river=0&amp;coast=0&amp;farms=1&amp;citadel=1&amp;urban_castle=1&amp;hub=false&amp;plaza=0&amp;temple=0&amp;walls=0&amp;shantytown=0&amp;gates=-1" TargetMode="External"/><Relationship Id="rId128" Type="http://schemas.openxmlformats.org/officeDocument/2006/relationships/hyperlink" Target="https://watabou.github.io/city-generator/?name=Mudfair&amp;population=10742&amp;size=32&amp;seed=3550748350849&amp;river=0&amp;coast=0&amp;farms=0&amp;citadel=1&amp;urban_castle=0&amp;hub=false&amp;plaza=0&amp;temple=0&amp;walls=0&amp;shantytown=0&amp;gates=-1" TargetMode="External"/><Relationship Id="rId149" Type="http://schemas.openxmlformats.org/officeDocument/2006/relationships/hyperlink" Target="https://watabou.github.io/city-generator/?name=Edenhelmer&amp;population=5151&amp;size=24&amp;seed=3550748351011&amp;river=0&amp;coast=0&amp;farms=1&amp;citadel=0&amp;urban_castle=0&amp;hub=false&amp;plaza=0&amp;temple=0&amp;walls=0&amp;shantytown=0&amp;gates=-1" TargetMode="External"/><Relationship Id="rId5" Type="http://schemas.openxmlformats.org/officeDocument/2006/relationships/hyperlink" Target="https://watabou.github.io/city-generator/?name=Banashel%27lalos&amp;population=5892&amp;size=25&amp;seed=3550748350039&amp;river=1&amp;coast=0&amp;farms=0&amp;citadel=1&amp;urban_castle=0&amp;hub=false&amp;plaza=0&amp;temple=0&amp;walls=0&amp;shantytown=0&amp;gates=-1" TargetMode="External"/><Relationship Id="rId95" Type="http://schemas.openxmlformats.org/officeDocument/2006/relationships/hyperlink" Target="https://watabou.github.io/city-generator/?name=Rusthtown&amp;population=16602&amp;size=37&amp;seed=3550748350624&amp;river=0&amp;coast=0&amp;farms=1&amp;citadel=1&amp;urban_castle=1&amp;hub=false&amp;plaza=1&amp;temple=0&amp;walls=0&amp;shantytown=0&amp;gates=-1" TargetMode="External"/><Relationship Id="rId160" Type="http://schemas.openxmlformats.org/officeDocument/2006/relationships/hyperlink" Target="https://watabou.github.io/city-generator/?name=Newtown&amp;population=3250&amp;size=20&amp;seed=3550748351045&amp;river=1&amp;coast=0&amp;farms=1&amp;citadel=1&amp;urban_castle=0&amp;hub=false&amp;plaza=1&amp;temple=0&amp;walls=0&amp;shantytown=0&amp;gates=-1" TargetMode="External"/><Relationship Id="rId22" Type="http://schemas.openxmlformats.org/officeDocument/2006/relationships/hyperlink" Target="https://watabou.github.io/city-generator/?name=Bearsimeg&amp;population=1784&amp;size=16&amp;seed=3550748350121&amp;river=0&amp;coast=0&amp;farms=1&amp;citadel=1&amp;urban_castle=0&amp;hub=false&amp;plaza=0&amp;temple=0&amp;walls=0&amp;shantytown=0&amp;gates=-1" TargetMode="External"/><Relationship Id="rId43" Type="http://schemas.openxmlformats.org/officeDocument/2006/relationships/hyperlink" Target="https://watabou.github.io/village-generator/?pop=1875&amp;name=&amp;seed=3550748350260&amp;width=1600&amp;height=727&amp;tags=highway%2Cdense" TargetMode="External"/><Relationship Id="rId64" Type="http://schemas.openxmlformats.org/officeDocument/2006/relationships/hyperlink" Target="https://watabou.github.io/village-generator/?pop=1801&amp;name=&amp;seed=3550748350400&amp;width=1600&amp;height=727&amp;tags=highway%2Cuncultivated%2Cdense" TargetMode="External"/><Relationship Id="rId118" Type="http://schemas.openxmlformats.org/officeDocument/2006/relationships/hyperlink" Target="https://watabou.github.io/city-generator/?name=Dawngview&amp;population=11051&amp;size=32&amp;seed=3550748350780&amp;river=1&amp;coast=0&amp;farms=0&amp;citadel=1&amp;urban_castle=1&amp;hub=false&amp;plaza=0&amp;temple=0&amp;walls=1&amp;shantytown=0&amp;gates=-1" TargetMode="External"/><Relationship Id="rId139" Type="http://schemas.openxmlformats.org/officeDocument/2006/relationships/hyperlink" Target="https://watabou.github.io/city-generator/?name=Shimhand&amp;population=10406&amp;size=31&amp;seed=3550748350925&amp;river=0&amp;coast=0&amp;farms=1&amp;citadel=0&amp;urban_castle=0&amp;hub=false&amp;plaza=0&amp;temple=0&amp;walls=0&amp;shantytown=0&amp;gates=-1" TargetMode="External"/><Relationship Id="rId85" Type="http://schemas.openxmlformats.org/officeDocument/2006/relationships/hyperlink" Target="https://watabou.github.io/city-generator/?name=Eldhembenlean&amp;population=12339&amp;size=34&amp;seed=3550748350544&amp;river=1&amp;coast=1&amp;farms=0&amp;citadel=1&amp;urban_castle=1&amp;hub=false&amp;plaza=1&amp;temple=0&amp;walls=0&amp;shantytown=0&amp;gates=-1&amp;sea=0.71" TargetMode="External"/><Relationship Id="rId150" Type="http://schemas.openxmlformats.org/officeDocument/2006/relationships/hyperlink" Target="https://watabou.github.io/city-generator/?name=Mythspell&amp;population=13544&amp;size=35&amp;seed=3550748351012&amp;river=1&amp;coast=0&amp;farms=0&amp;citadel=0&amp;urban_castle=0&amp;hub=false&amp;plaza=1&amp;temple=0&amp;walls=1&amp;shantytown=0&amp;gates=-1" TargetMode="External"/><Relationship Id="rId12" Type="http://schemas.openxmlformats.org/officeDocument/2006/relationships/hyperlink" Target="https://watabou.github.io/city-generator/?name=Mistmorest&amp;population=1773&amp;size=16&amp;seed=3550748350074&amp;river=1&amp;coast=0&amp;farms=1&amp;citadel=1&amp;urban_castle=1&amp;hub=false&amp;plaza=0&amp;temple=0&amp;walls=0&amp;shantytown=0&amp;gates=-1" TargetMode="External"/><Relationship Id="rId17" Type="http://schemas.openxmlformats.org/officeDocument/2006/relationships/hyperlink" Target="https://watabou.github.io/city-generator/?name=Westleden&amp;population=1956&amp;size=17&amp;seed=3550748350100&amp;river=0&amp;coast=0&amp;farms=1&amp;citadel=1&amp;urban_castle=1&amp;hub=false&amp;plaza=0&amp;temple=0&amp;walls=0&amp;shantytown=0&amp;gates=-1" TargetMode="External"/><Relationship Id="rId33" Type="http://schemas.openxmlformats.org/officeDocument/2006/relationships/hyperlink" Target="https://watabou.github.io/village-generator/?pop=1784&amp;name=&amp;seed=3550748350195&amp;width=1600&amp;height=727&amp;tags=highway%2Cuncultivated%2Cdense" TargetMode="External"/><Relationship Id="rId38" Type="http://schemas.openxmlformats.org/officeDocument/2006/relationships/hyperlink" Target="https://watabou.github.io/city-generator/?name=Drakefair&amp;population=2200&amp;size=17&amp;seed=3550748350222&amp;river=1&amp;coast=0&amp;farms=1&amp;citadel=1&amp;urban_castle=1&amp;hub=false&amp;plaza=1&amp;temple=0&amp;walls=0&amp;shantytown=0&amp;gates=-1" TargetMode="External"/><Relationship Id="rId59" Type="http://schemas.openxmlformats.org/officeDocument/2006/relationships/hyperlink" Target="https://watabou.github.io/city-generator/?name=Bugausth%27vhala&amp;population=32536&amp;size=48&amp;seed=3550748350380&amp;river=0&amp;coast=0&amp;farms=1&amp;citadel=1&amp;urban_castle=1&amp;hub=false&amp;plaza=1&amp;temple=0&amp;walls=1&amp;shantytown=0&amp;gates=-1" TargetMode="External"/><Relationship Id="rId103" Type="http://schemas.openxmlformats.org/officeDocument/2006/relationships/hyperlink" Target="https://watabou.github.io/city-generator/?name=Efallshield&amp;population=26830&amp;size=45&amp;seed=3550748350692&amp;river=1&amp;coast=0&amp;farms=1&amp;citadel=0&amp;urban_castle=0&amp;hub=false&amp;plaza=0&amp;temple=0&amp;walls=1&amp;shantytown=0&amp;gates=-1" TargetMode="External"/><Relationship Id="rId108" Type="http://schemas.openxmlformats.org/officeDocument/2006/relationships/hyperlink" Target="https://watabou.github.io/city-generator/?name=Houndford&amp;population=2220&amp;size=18&amp;seed=3550748350736&amp;river=0&amp;coast=0&amp;farms=0&amp;citadel=0&amp;urban_castle=0&amp;hub=false&amp;plaza=0&amp;temple=0&amp;walls=0&amp;shantytown=0&amp;gates=-1" TargetMode="External"/><Relationship Id="rId124" Type="http://schemas.openxmlformats.org/officeDocument/2006/relationships/hyperlink" Target="https://watabou.github.io/city-generator/?name=Elreach&amp;population=10378&amp;size=31&amp;seed=3550748350826&amp;river=0&amp;coast=0&amp;farms=0&amp;citadel=1&amp;urban_castle=1&amp;hub=false&amp;plaza=0&amp;temple=0&amp;walls=0&amp;shantytown=0&amp;gates=-1" TargetMode="External"/><Relationship Id="rId129" Type="http://schemas.openxmlformats.org/officeDocument/2006/relationships/hyperlink" Target="https://watabou.github.io/city-generator/?name=Anhelm&amp;population=14188&amp;size=35&amp;seed=3550748350850&amp;river=1&amp;coast=0&amp;farms=1&amp;citadel=1&amp;urban_castle=1&amp;hub=false&amp;plaza=1&amp;temple=0&amp;walls=0&amp;shantytown=0&amp;gates=-1" TargetMode="External"/><Relationship Id="rId54" Type="http://schemas.openxmlformats.org/officeDocument/2006/relationships/hyperlink" Target="https://watabou.github.io/city-generator/?name=Gnilaurthi&amp;population=9267&amp;size=30&amp;seed=3550748350326&amp;river=0&amp;coast=1&amp;farms=1&amp;citadel=0&amp;urban_castle=0&amp;hub=false&amp;plaza=0&amp;temple=0&amp;walls=0&amp;shantytown=0&amp;gates=-1&amp;sea=0.99" TargetMode="External"/><Relationship Id="rId70" Type="http://schemas.openxmlformats.org/officeDocument/2006/relationships/hyperlink" Target="https://watabou.github.io/city-generator/?name=Emouth&amp;population=2171&amp;size=17&amp;seed=3550748350451&amp;river=0&amp;coast=0&amp;farms=1&amp;citadel=0&amp;urban_castle=0&amp;hub=false&amp;plaza=0&amp;temple=0&amp;walls=0&amp;shantytown=0&amp;gates=-1" TargetMode="External"/><Relationship Id="rId75" Type="http://schemas.openxmlformats.org/officeDocument/2006/relationships/hyperlink" Target="https://watabou.github.io/city-generator/?name=Flakechpost&amp;population=23430&amp;size=43&amp;seed=3550748350492&amp;river=1&amp;coast=0&amp;farms=0&amp;citadel=1&amp;urban_castle=1&amp;hub=false&amp;plaza=1&amp;temple=0&amp;walls=1&amp;shantytown=0&amp;gates=-1" TargetMode="External"/><Relationship Id="rId91" Type="http://schemas.openxmlformats.org/officeDocument/2006/relationships/hyperlink" Target="https://watabou.github.io/city-generator/?name=Lirelona&amp;population=4459&amp;size=23&amp;seed=3550748350587&amp;river=0&amp;coast=0&amp;farms=1&amp;citadel=0&amp;urban_castle=0&amp;hub=false&amp;plaza=1&amp;temple=0&amp;walls=0&amp;shantytown=0&amp;gates=-1" TargetMode="External"/><Relationship Id="rId96" Type="http://schemas.openxmlformats.org/officeDocument/2006/relationships/hyperlink" Target="https://watabou.github.io/city-generator/?name=Chaunzandyn&amp;population=4974&amp;size=24&amp;seed=3550748350625&amp;river=0&amp;coast=0&amp;farms=1&amp;citadel=0&amp;urban_castle=0&amp;hub=false&amp;plaza=0&amp;temple=0&amp;walls=1&amp;shantytown=0&amp;gates=-1" TargetMode="External"/><Relationship Id="rId140" Type="http://schemas.openxmlformats.org/officeDocument/2006/relationships/hyperlink" Target="https://watabou.github.io/city-generator/?name=Swanhall&amp;population=19219&amp;size=40&amp;seed=3550748350926&amp;river=0&amp;coast=1&amp;farms=1&amp;citadel=1&amp;urban_castle=1&amp;hub=false&amp;plaza=1&amp;temple=0&amp;walls=1&amp;shantytown=0&amp;gates=-1&amp;sea=0.81" TargetMode="External"/><Relationship Id="rId145" Type="http://schemas.openxmlformats.org/officeDocument/2006/relationships/hyperlink" Target="https://watabou.github.io/city-generator/?name=Dogport&amp;population=2286&amp;size=18&amp;seed=3550748350979&amp;river=0&amp;coast=0&amp;farms=0&amp;citadel=0&amp;urban_castle=0&amp;hub=false&amp;plaza=0&amp;temple=0&amp;walls=0&amp;shantytown=0&amp;gates=-1" TargetMode="External"/><Relationship Id="rId161" Type="http://schemas.openxmlformats.org/officeDocument/2006/relationships/hyperlink" Target="https://watabou.github.io/city-generator/?name=Rordgoz&amp;population=1849&amp;size=16&amp;seed=3550748351046&amp;river=0&amp;coast=0&amp;farms=0&amp;citadel=1&amp;urban_castle=1&amp;hub=false&amp;plaza=0&amp;temple=0&amp;walls=1&amp;shantytown=0&amp;gates=-1" TargetMode="External"/><Relationship Id="rId166" Type="http://schemas.openxmlformats.org/officeDocument/2006/relationships/table" Target="../tables/table18.xml"/><Relationship Id="rId1" Type="http://schemas.openxmlformats.org/officeDocument/2006/relationships/hyperlink" Target="https://watabou.github.io/city-generator/?name=Heartwell&amp;population=100109&amp;size=74&amp;seed=3550748350006&amp;river=1&amp;coast=1&amp;farms=0&amp;citadel=1&amp;urban_castle=1&amp;hub=false&amp;plaza=1&amp;temple=1&amp;walls=1&amp;shantytown=1&amp;gates=-1&amp;sea=0.67" TargetMode="External"/><Relationship Id="rId6" Type="http://schemas.openxmlformats.org/officeDocument/2006/relationships/hyperlink" Target="https://watabou.github.io/city-generator/?name=Whitmegulch&amp;population=16601&amp;size=37&amp;seed=3550748350043&amp;river=0&amp;coast=0&amp;farms=1&amp;citadel=1&amp;urban_castle=0&amp;hub=false&amp;plaza=0&amp;temple=0&amp;walls=0&amp;shantytown=0&amp;gates=-1" TargetMode="External"/><Relationship Id="rId23" Type="http://schemas.openxmlformats.org/officeDocument/2006/relationships/hyperlink" Target="https://watabou.github.io/city-generator/?name=Wingmire&amp;population=3608&amp;size=21&amp;seed=3550748350122&amp;river=1&amp;coast=0&amp;farms=0&amp;citadel=1&amp;urban_castle=1&amp;hub=false&amp;plaza=1&amp;temple=0&amp;walls=0&amp;shantytown=0&amp;gates=-1" TargetMode="External"/><Relationship Id="rId28" Type="http://schemas.openxmlformats.org/officeDocument/2006/relationships/hyperlink" Target="https://watabou.github.io/city-generator/?name=Sirongrasp&amp;population=4343&amp;size=23&amp;seed=3550748350157&amp;river=0&amp;coast=0&amp;farms=1&amp;citadel=0&amp;urban_castle=0&amp;hub=false&amp;plaza=0&amp;temple=0&amp;walls=0&amp;shantytown=0&amp;gates=-1" TargetMode="External"/><Relationship Id="rId49" Type="http://schemas.openxmlformats.org/officeDocument/2006/relationships/hyperlink" Target="https://watabou.github.io/city-generator/?name=Scorchill&amp;population=2212&amp;size=18&amp;seed=3550748350282&amp;river=0&amp;coast=0&amp;farms=0&amp;citadel=1&amp;urban_castle=1&amp;hub=false&amp;plaza=1&amp;temple=0&amp;walls=0&amp;shantytown=0&amp;gates=-1" TargetMode="External"/><Relationship Id="rId114" Type="http://schemas.openxmlformats.org/officeDocument/2006/relationships/hyperlink" Target="https://watabou.github.io/city-generator/?name=Bronholrock&amp;population=3795&amp;size=21&amp;seed=3550748350759&amp;river=0&amp;coast=0&amp;farms=0&amp;citadel=1&amp;urban_castle=0&amp;hub=false&amp;plaza=0&amp;temple=0&amp;walls=0&amp;shantytown=0&amp;gates=-1" TargetMode="External"/><Relationship Id="rId119" Type="http://schemas.openxmlformats.org/officeDocument/2006/relationships/hyperlink" Target="https://watabou.github.io/city-generator/?name=Shameverun&amp;population=14779&amp;size=36&amp;seed=3550748350782&amp;river=0&amp;coast=0&amp;farms=1&amp;citadel=0&amp;urban_castle=0&amp;hub=false&amp;plaza=0&amp;temple=0&amp;walls=1&amp;shantytown=0&amp;gates=-1" TargetMode="External"/><Relationship Id="rId44" Type="http://schemas.openxmlformats.org/officeDocument/2006/relationships/hyperlink" Target="https://watabou.github.io/city-generator/?name=Deercross&amp;population=2192&amp;size=17&amp;seed=3550748350261&amp;river=1&amp;coast=0&amp;farms=1&amp;citadel=1&amp;urban_castle=0&amp;hub=false&amp;plaza=0&amp;temple=0&amp;walls=1&amp;shantytown=0&amp;gates=-1" TargetMode="External"/><Relationship Id="rId60" Type="http://schemas.openxmlformats.org/officeDocument/2006/relationships/hyperlink" Target="https://watabou.github.io/village-generator/?pop=1799&amp;name=&amp;seed=3550748350381&amp;width=1600&amp;height=727&amp;tags=dead+end%2Cno+square%2Cdense" TargetMode="External"/><Relationship Id="rId65" Type="http://schemas.openxmlformats.org/officeDocument/2006/relationships/hyperlink" Target="https://watabou.github.io/city-generator/?name=Stovehaven&amp;population=1811&amp;size=16&amp;seed=3550748350401&amp;river=0&amp;coast=0&amp;farms=0&amp;citadel=1&amp;urban_castle=0&amp;hub=false&amp;plaza=1&amp;temple=0&amp;walls=0&amp;shantytown=0&amp;gates=-1" TargetMode="External"/><Relationship Id="rId81" Type="http://schemas.openxmlformats.org/officeDocument/2006/relationships/hyperlink" Target="https://watabou.github.io/city-generator/?name=Shadowtown&amp;population=2159&amp;size=17&amp;seed=3550748350538&amp;river=0&amp;coast=0&amp;farms=1&amp;citadel=1&amp;urban_castle=1&amp;hub=false&amp;plaza=0&amp;temple=0&amp;walls=0&amp;shantytown=0&amp;gates=-1" TargetMode="External"/><Relationship Id="rId86" Type="http://schemas.openxmlformats.org/officeDocument/2006/relationships/hyperlink" Target="https://watabou.github.io/city-generator/?name=Storewell&amp;population=11612&amp;size=33&amp;seed=3550748350563&amp;river=0&amp;coast=0&amp;farms=1&amp;citadel=0&amp;urban_castle=0&amp;hub=false&amp;plaza=1&amp;temple=0&amp;walls=0&amp;shantytown=0&amp;gates=-1" TargetMode="External"/><Relationship Id="rId130" Type="http://schemas.openxmlformats.org/officeDocument/2006/relationships/hyperlink" Target="https://watabou.github.io/city-generator/?name=Mondhol&amp;population=14504&amp;size=36&amp;seed=3550748350851&amp;river=0&amp;coast=0&amp;farms=1&amp;citadel=1&amp;urban_castle=0&amp;hub=false&amp;plaza=0&amp;temple=0&amp;walls=0&amp;shantytown=0&amp;gates=-1" TargetMode="External"/><Relationship Id="rId135" Type="http://schemas.openxmlformats.org/officeDocument/2006/relationships/hyperlink" Target="https://watabou.github.io/city-generator/?name=Brimegcoast&amp;population=21754&amp;size=42&amp;seed=3550748350899&amp;river=0&amp;coast=0&amp;farms=0&amp;citadel=1&amp;urban_castle=0&amp;hub=false&amp;plaza=0&amp;temple=1&amp;walls=1&amp;shantytown=0&amp;gates=-1" TargetMode="External"/><Relationship Id="rId151" Type="http://schemas.openxmlformats.org/officeDocument/2006/relationships/hyperlink" Target="https://watabou.github.io/city-generator/?name=Grirevein&amp;population=2337&amp;size=18&amp;seed=3550748351013&amp;river=1&amp;coast=0&amp;farms=1&amp;citadel=0&amp;urban_castle=0&amp;hub=false&amp;plaza=0&amp;temple=0&amp;walls=0&amp;shantytown=0&amp;gates=-1" TargetMode="External"/><Relationship Id="rId156" Type="http://schemas.openxmlformats.org/officeDocument/2006/relationships/hyperlink" Target="https://watabou.github.io/city-generator/?name=Thornwell&amp;population=3288&amp;size=20&amp;seed=3550748351041&amp;river=0&amp;coast=0&amp;farms=0&amp;citadel=1&amp;urban_castle=0&amp;hub=false&amp;plaza=0&amp;temple=0&amp;walls=0&amp;shantytown=0&amp;gates=-1" TargetMode="External"/><Relationship Id="rId13" Type="http://schemas.openxmlformats.org/officeDocument/2006/relationships/hyperlink" Target="https://watabou.github.io/city-generator/?name=Moonpasshi&amp;population=9554&amp;size=30&amp;seed=3550748350078&amp;river=0&amp;coast=0&amp;farms=0&amp;citadel=0&amp;urban_castle=0&amp;hub=false&amp;plaza=1&amp;temple=0&amp;walls=0&amp;shantytown=0&amp;gates=-1" TargetMode="External"/><Relationship Id="rId18" Type="http://schemas.openxmlformats.org/officeDocument/2006/relationships/hyperlink" Target="https://watabou.github.io/city-generator/?name=Draven&amp;population=3268&amp;size=20&amp;seed=3550748350103&amp;river=1&amp;coast=1&amp;farms=0&amp;citadel=1&amp;urban_castle=0&amp;hub=false&amp;plaza=0&amp;temple=0&amp;walls=1&amp;shantytown=0&amp;gates=-1&amp;sea=0.69" TargetMode="External"/><Relationship Id="rId39" Type="http://schemas.openxmlformats.org/officeDocument/2006/relationships/hyperlink" Target="https://watabou.github.io/city-generator/?name=Casthclif&amp;population=18673&amp;size=39&amp;seed=3550748350226&amp;river=1&amp;coast=0&amp;farms=1&amp;citadel=1&amp;urban_castle=1&amp;hub=false&amp;plaza=0&amp;temple=0&amp;walls=0&amp;shantytown=0&amp;gates=-1" TargetMode="External"/><Relationship Id="rId109" Type="http://schemas.openxmlformats.org/officeDocument/2006/relationships/hyperlink" Target="https://watabou.github.io/city-generator/?name=Silcairn&amp;population=19306&amp;size=40&amp;seed=3550748350737&amp;river=0&amp;coast=0&amp;farms=0&amp;citadel=1&amp;urban_castle=0&amp;hub=false&amp;plaza=1&amp;temple=0&amp;walls=0&amp;shantytown=0&amp;gates=-1" TargetMode="External"/><Relationship Id="rId34" Type="http://schemas.openxmlformats.org/officeDocument/2006/relationships/hyperlink" Target="https://watabou.github.io/city-generator/?name=Eldefones&amp;population=4216&amp;size=22&amp;seed=3550748350208&amp;river=0&amp;coast=0&amp;farms=1&amp;citadel=1&amp;urban_castle=1&amp;hub=false&amp;plaza=0&amp;temple=0&amp;walls=0&amp;shantytown=0&amp;gates=-1" TargetMode="External"/><Relationship Id="rId50" Type="http://schemas.openxmlformats.org/officeDocument/2006/relationships/hyperlink" Target="https://watabou.github.io/city-generator/?name=Brittvault&amp;population=19837&amp;size=40&amp;seed=3550748350283&amp;river=1&amp;coast=0&amp;farms=0&amp;citadel=0&amp;urban_castle=0&amp;hub=false&amp;plaza=0&amp;temple=0&amp;walls=0&amp;shantytown=0&amp;gates=-1" TargetMode="External"/><Relationship Id="rId55" Type="http://schemas.openxmlformats.org/officeDocument/2006/relationships/hyperlink" Target="https://watabou.github.io/city-generator/?name=Goldbrook&amp;population=2822&amp;size=19&amp;seed=3550748350349&amp;river=0&amp;coast=1&amp;farms=1&amp;citadel=1&amp;urban_castle=0&amp;hub=false&amp;plaza=1&amp;temple=0&amp;walls=0&amp;shantytown=0&amp;gates=-1&amp;sea=0.01" TargetMode="External"/><Relationship Id="rId76" Type="http://schemas.openxmlformats.org/officeDocument/2006/relationships/hyperlink" Target="https://watabou.github.io/city-generator/?name=Sungelrock&amp;population=17058&amp;size=38&amp;seed=3550748350493&amp;river=1&amp;coast=0&amp;farms=1&amp;citadel=1&amp;urban_castle=0&amp;hub=false&amp;plaza=0&amp;temple=0&amp;walls=0&amp;shantytown=0&amp;gates=-1" TargetMode="External"/><Relationship Id="rId97" Type="http://schemas.openxmlformats.org/officeDocument/2006/relationships/hyperlink" Target="https://watabou.github.io/city-generator/?name=Earthtligh&amp;population=13225&amp;size=34&amp;seed=3550748350646&amp;river=1&amp;coast=0&amp;farms=1&amp;citadel=0&amp;urban_castle=0&amp;hub=false&amp;plaza=0&amp;temple=0&amp;walls=0&amp;shantytown=0&amp;gates=-1" TargetMode="External"/><Relationship Id="rId104" Type="http://schemas.openxmlformats.org/officeDocument/2006/relationships/hyperlink" Target="https://watabou.github.io/city-generator/?name=Snowstorm&amp;population=12238&amp;size=33&amp;seed=3550748350720&amp;river=0&amp;coast=0&amp;farms=1&amp;citadel=0&amp;urban_castle=0&amp;hub=false&amp;plaza=0&amp;temple=0&amp;walls=0&amp;shantytown=0&amp;gates=-1" TargetMode="External"/><Relationship Id="rId120" Type="http://schemas.openxmlformats.org/officeDocument/2006/relationships/hyperlink" Target="https://watabou.github.io/city-generator/?name=Earthilld&amp;population=1968&amp;size=17&amp;seed=3550748350783&amp;river=0&amp;coast=0&amp;farms=1&amp;citadel=1&amp;urban_castle=0&amp;hub=false&amp;plaza=0&amp;temple=0&amp;walls=0&amp;shantytown=0&amp;gates=-1" TargetMode="External"/><Relationship Id="rId125" Type="http://schemas.openxmlformats.org/officeDocument/2006/relationships/hyperlink" Target="https://watabou.github.io/city-generator/?name=Utheinar&amp;population=3202&amp;size=20&amp;seed=3550748350828&amp;river=0&amp;coast=1&amp;farms=1&amp;citadel=1&amp;urban_castle=1&amp;hub=false&amp;plaza=1&amp;temple=0&amp;walls=0&amp;shantytown=0&amp;gates=-1&amp;sea=1.66" TargetMode="External"/><Relationship Id="rId141" Type="http://schemas.openxmlformats.org/officeDocument/2006/relationships/hyperlink" Target="https://watabou.github.io/city-generator/?name=Dregrefrant&amp;population=6191&amp;size=26&amp;seed=3550748350927&amp;river=0&amp;coast=0&amp;farms=1&amp;citadel=1&amp;urban_castle=0&amp;hub=false&amp;plaza=1&amp;temple=0&amp;walls=1&amp;shantytown=0&amp;gates=-1" TargetMode="External"/><Relationship Id="rId146" Type="http://schemas.openxmlformats.org/officeDocument/2006/relationships/hyperlink" Target="https://watabou.github.io/city-generator/?name=Shrourestar&amp;population=10356&amp;size=31&amp;seed=3550748350984&amp;river=0&amp;coast=0&amp;farms=0&amp;citadel=0&amp;urban_castle=0&amp;hub=false&amp;plaza=0&amp;temple=0&amp;walls=0&amp;shantytown=0&amp;gates=-1" TargetMode="External"/><Relationship Id="rId7" Type="http://schemas.openxmlformats.org/officeDocument/2006/relationships/hyperlink" Target="https://watabou.github.io/city-generator/?name=Oaledale&amp;population=18598&amp;size=39&amp;seed=3550748350047&amp;river=1&amp;coast=0&amp;farms=0&amp;citadel=0&amp;urban_castle=0&amp;hub=false&amp;plaza=0&amp;temple=0&amp;walls=1&amp;shantytown=0&amp;gates=-1" TargetMode="External"/><Relationship Id="rId71" Type="http://schemas.openxmlformats.org/officeDocument/2006/relationships/hyperlink" Target="https://watabou.github.io/city-generator/?name=Bearowbay&amp;population=1931&amp;size=17&amp;seed=3550748350453&amp;river=0&amp;coast=0&amp;farms=0&amp;citadel=1&amp;urban_castle=0&amp;hub=false&amp;plaza=0&amp;temple=0&amp;walls=0&amp;shantytown=0&amp;gates=-1" TargetMode="External"/><Relationship Id="rId92" Type="http://schemas.openxmlformats.org/officeDocument/2006/relationships/hyperlink" Target="https://watabou.github.io/city-generator/?name=Rorehold&amp;population=2675&amp;size=19&amp;seed=3550748350603&amp;river=0&amp;coast=0&amp;farms=1&amp;citadel=1&amp;urban_castle=0&amp;hub=false&amp;plaza=0&amp;temple=0&amp;walls=0&amp;shantytown=0&amp;gates=-1" TargetMode="External"/><Relationship Id="rId162" Type="http://schemas.openxmlformats.org/officeDocument/2006/relationships/hyperlink" Target="https://watabou.github.io/city-generator/?name=Persterton&amp;population=1174&amp;size=14&amp;seed=3550748351047&amp;river=0&amp;coast=0&amp;farms=0&amp;citadel=0&amp;urban_castle=0&amp;hub=false&amp;plaza=0&amp;temple=0&amp;walls=1&amp;shantytown=0&amp;gates=-1" TargetMode="External"/><Relationship Id="rId2" Type="http://schemas.openxmlformats.org/officeDocument/2006/relationships/hyperlink" Target="https://watabou.github.io/city-generator/?name=Shimerme&amp;population=3360&amp;size=20&amp;seed=3550748350019&amp;river=1&amp;coast=1&amp;farms=0&amp;citadel=1&amp;urban_castle=0&amp;hub=false&amp;plaza=0&amp;temple=0&amp;walls=1&amp;shantytown=0&amp;gates=-1&amp;sea=1.23" TargetMode="External"/><Relationship Id="rId29" Type="http://schemas.openxmlformats.org/officeDocument/2006/relationships/hyperlink" Target="https://watabou.github.io/city-generator/?name=Dreghold&amp;population=32035&amp;size=48&amp;seed=3550748350169&amp;river=0&amp;coast=1&amp;farms=1&amp;citadel=1&amp;urban_castle=0&amp;hub=false&amp;plaza=1&amp;temple=0&amp;walls=0&amp;shantytown=0&amp;gates=-1&amp;sea=1.68" TargetMode="External"/><Relationship Id="rId24" Type="http://schemas.openxmlformats.org/officeDocument/2006/relationships/hyperlink" Target="https://watabou.github.io/city-generator/?name=Cadeband&amp;population=8105&amp;size=29&amp;seed=3550748350135&amp;river=0&amp;coast=0&amp;farms=1&amp;citadel=0&amp;urban_castle=0&amp;hub=false&amp;plaza=1&amp;temple=0&amp;walls=0&amp;shantytown=0&amp;gates=-1" TargetMode="External"/><Relationship Id="rId40" Type="http://schemas.openxmlformats.org/officeDocument/2006/relationships/hyperlink" Target="https://watabou.github.io/city-generator/?name=Shaterse&amp;population=2831&amp;size=19&amp;seed=3550748350236&amp;river=0&amp;coast=1&amp;farms=1&amp;citadel=1&amp;urban_castle=1&amp;hub=false&amp;plaza=1&amp;temple=0&amp;walls=1&amp;shantytown=0&amp;gates=-1&amp;sea=1.57" TargetMode="External"/><Relationship Id="rId45" Type="http://schemas.openxmlformats.org/officeDocument/2006/relationships/hyperlink" Target="https://watabou.github.io/city-generator/?name=Shaken&amp;population=8656&amp;size=29&amp;seed=3550748350262&amp;river=1&amp;coast=0&amp;farms=0&amp;citadel=1&amp;urban_castle=1&amp;hub=false&amp;plaza=0&amp;temple=0&amp;walls=0&amp;shantytown=0&amp;gates=-1" TargetMode="External"/><Relationship Id="rId66" Type="http://schemas.openxmlformats.org/officeDocument/2006/relationships/hyperlink" Target="https://watabou.github.io/city-generator/?name=Wolfpasstar&amp;population=1905&amp;size=17&amp;seed=3550748350414&amp;river=0&amp;coast=0&amp;farms=1&amp;citadel=0&amp;urban_castle=0&amp;hub=false&amp;plaza=0&amp;temple=0&amp;walls=1&amp;shantytown=0&amp;gates=-1" TargetMode="External"/><Relationship Id="rId87" Type="http://schemas.openxmlformats.org/officeDocument/2006/relationships/hyperlink" Target="https://watabou.github.io/city-generator/?name=Steamhorn&amp;population=16032&amp;size=37&amp;seed=3550748350564&amp;river=0&amp;coast=0&amp;farms=1&amp;citadel=1&amp;urban_castle=1&amp;hub=false&amp;plaza=0&amp;temple=0&amp;walls=0&amp;shantytown=0&amp;gates=-1" TargetMode="External"/><Relationship Id="rId110" Type="http://schemas.openxmlformats.org/officeDocument/2006/relationships/hyperlink" Target="https://watabou.github.io/city-generator/?name=Mudfpasstal&amp;population=4936&amp;size=24&amp;seed=3550748350738&amp;river=0&amp;coast=0&amp;farms=1&amp;citadel=0&amp;urban_castle=0&amp;hub=false&amp;plaza=0&amp;temple=0&amp;walls=1&amp;shantytown=0&amp;gates=-1" TargetMode="External"/><Relationship Id="rId115" Type="http://schemas.openxmlformats.org/officeDocument/2006/relationships/hyperlink" Target="https://watabou.github.io/city-generator/?name=Saltvaven&amp;population=2514&amp;size=18&amp;seed=3550748350760&amp;river=0&amp;coast=0&amp;farms=1&amp;citadel=1&amp;urban_castle=1&amp;hub=false&amp;plaza=0&amp;temple=0&amp;walls=0&amp;shantytown=0&amp;gates=-1" TargetMode="External"/><Relationship Id="rId131" Type="http://schemas.openxmlformats.org/officeDocument/2006/relationships/hyperlink" Target="https://watabou.github.io/city-generator/?name=Dewgcoast&amp;population=22642&amp;size=42&amp;seed=3550748350852&amp;river=1&amp;coast=0&amp;farms=1&amp;citadel=1&amp;urban_castle=1&amp;hub=false&amp;plaza=0&amp;temple=1&amp;walls=1&amp;shantytown=0&amp;gates=-1" TargetMode="External"/><Relationship Id="rId136" Type="http://schemas.openxmlformats.org/officeDocument/2006/relationships/hyperlink" Target="https://watabou.github.io/city-generator/?name=Clifpass&amp;population=27069&amp;size=45&amp;seed=3550748350920&amp;river=0&amp;coast=0&amp;farms=0&amp;citadel=0&amp;urban_castle=0&amp;hub=false&amp;plaza=1&amp;temple=0&amp;walls=1&amp;shantytown=0&amp;gates=-1" TargetMode="External"/><Relationship Id="rId157" Type="http://schemas.openxmlformats.org/officeDocument/2006/relationships/hyperlink" Target="https://watabou.github.io/city-generator/?name=Brimegrore&amp;population=3294&amp;size=20&amp;seed=3550748351042&amp;river=0&amp;coast=0&amp;farms=0&amp;citadel=0&amp;urban_castle=0&amp;hub=false&amp;plaza=1&amp;temple=0&amp;walls=1&amp;shantytown=0&amp;gates=-1" TargetMode="External"/><Relationship Id="rId61" Type="http://schemas.openxmlformats.org/officeDocument/2006/relationships/hyperlink" Target="https://watabou.github.io/city-generator/?name=Boceans&amp;population=5387&amp;size=24&amp;seed=3550748350396&amp;river=1&amp;coast=0&amp;farms=1&amp;citadel=1&amp;urban_castle=1&amp;hub=false&amp;plaza=0&amp;temple=0&amp;walls=0&amp;shantytown=0&amp;gates=-1" TargetMode="External"/><Relationship Id="rId82" Type="http://schemas.openxmlformats.org/officeDocument/2006/relationships/hyperlink" Target="https://watabou.github.io/city-generator/?name=Swangeld&amp;population=13762&amp;size=35&amp;seed=3550748350541&amp;river=0&amp;coast=0&amp;farms=0&amp;citadel=1&amp;urban_castle=0&amp;hub=false&amp;plaza=0&amp;temple=0&amp;walls=1&amp;shantytown=0&amp;gates=-1" TargetMode="External"/><Relationship Id="rId152" Type="http://schemas.openxmlformats.org/officeDocument/2006/relationships/hyperlink" Target="https://watabou.github.io/city-generator/?name=Deadford&amp;population=6982&amp;size=27&amp;seed=3550748351014&amp;river=0&amp;coast=0&amp;farms=1&amp;citadel=1&amp;urban_castle=1&amp;hub=false&amp;plaza=1&amp;temple=0&amp;walls=0&amp;shantytown=0&amp;gates=-1" TargetMode="External"/><Relationship Id="rId19" Type="http://schemas.openxmlformats.org/officeDocument/2006/relationships/hyperlink" Target="https://watabou.github.io/city-generator/?name=Shroutumn&amp;population=4134&amp;size=22&amp;seed=3550748350108&amp;river=0&amp;coast=1&amp;farms=0&amp;citadel=1&amp;urban_castle=1&amp;hub=false&amp;plaza=0&amp;temple=0&amp;walls=0&amp;shantytown=0&amp;gates=-1&amp;sea=1.06" TargetMode="External"/><Relationship Id="rId14" Type="http://schemas.openxmlformats.org/officeDocument/2006/relationships/hyperlink" Target="https://watabou.github.io/city-generator/?name=Griteshield&amp;population=1705&amp;size=16&amp;seed=3550748350086&amp;river=1&amp;coast=0&amp;farms=1&amp;citadel=1&amp;urban_castle=1&amp;hub=false&amp;plaza=0&amp;temple=0&amp;walls=0&amp;shantytown=0&amp;gates=-1" TargetMode="External"/><Relationship Id="rId30" Type="http://schemas.openxmlformats.org/officeDocument/2006/relationships/hyperlink" Target="https://watabou.github.io/city-generator/?name=Westle&amp;population=19230&amp;size=40&amp;seed=3550748350178&amp;river=0&amp;coast=1&amp;farms=1&amp;citadel=1&amp;urban_castle=1&amp;hub=false&amp;plaza=1&amp;temple=0&amp;walls=1&amp;shantytown=0&amp;gates=-1&amp;sea=1.65" TargetMode="External"/><Relationship Id="rId35" Type="http://schemas.openxmlformats.org/officeDocument/2006/relationships/hyperlink" Target="https://watabou.github.io/village-generator/?pop=1856&amp;name=&amp;seed=3550748350209&amp;width=1600&amp;height=727&amp;tags=river%2Chighway%2Cno+square%2Cdense" TargetMode="External"/><Relationship Id="rId56" Type="http://schemas.openxmlformats.org/officeDocument/2006/relationships/hyperlink" Target="https://watabou.github.io/city-generator/?name=Barondrith&amp;population=8507&amp;size=29&amp;seed=3550748350351&amp;river=0&amp;coast=0&amp;farms=1&amp;citadel=0&amp;urban_castle=0&amp;hub=false&amp;plaza=0&amp;temple=0&amp;walls=0&amp;shantytown=0&amp;gates=-1" TargetMode="External"/><Relationship Id="rId77" Type="http://schemas.openxmlformats.org/officeDocument/2006/relationships/hyperlink" Target="https://watabou.github.io/city-generator/?name=Mythsplain&amp;population=17983&amp;size=39&amp;seed=3550748350494&amp;river=0&amp;coast=0&amp;farms=0&amp;citadel=1&amp;urban_castle=1&amp;hub=false&amp;plaza=1&amp;temple=0&amp;walls=0&amp;shantytown=0&amp;gates=-1" TargetMode="External"/><Relationship Id="rId100" Type="http://schemas.openxmlformats.org/officeDocument/2006/relationships/hyperlink" Target="https://watabou.github.io/city-generator/?name=Dewbaymond&amp;population=12334&amp;size=33&amp;seed=3550748350660&amp;river=0&amp;coast=0&amp;farms=0&amp;citadel=1&amp;urban_castle=1&amp;hub=false&amp;plaza=0&amp;temple=0&amp;walls=0&amp;shantytown=0&amp;gates=-1" TargetMode="External"/><Relationship Id="rId105" Type="http://schemas.openxmlformats.org/officeDocument/2006/relationships/hyperlink" Target="https://watabou.github.io/city-generator/?name=Vidanntyr&amp;population=2191&amp;size=17&amp;seed=3550748350721&amp;river=1&amp;coast=0&amp;farms=1&amp;citadel=1&amp;urban_castle=0&amp;hub=false&amp;plaza=0&amp;temple=0&amp;walls=0&amp;shantytown=0&amp;gates=-1" TargetMode="External"/><Relationship Id="rId126" Type="http://schemas.openxmlformats.org/officeDocument/2006/relationships/hyperlink" Target="https://watabou.github.io/city-generator/?name=Swiftme&amp;population=15417&amp;size=36&amp;seed=3550748350847&amp;river=1&amp;coast=0&amp;farms=1&amp;citadel=1&amp;urban_castle=0&amp;hub=false&amp;plaza=0&amp;temple=0&amp;walls=0&amp;shantytown=0&amp;gates=-1" TargetMode="External"/><Relationship Id="rId147" Type="http://schemas.openxmlformats.org/officeDocument/2006/relationships/hyperlink" Target="https://watabou.github.io/city-generator/?name=Dryvaterga&amp;population=34107&amp;size=49&amp;seed=3550748350985&amp;river=1&amp;coast=1&amp;farms=1&amp;citadel=0&amp;urban_castle=0&amp;hub=false&amp;plaza=1&amp;temple=0&amp;walls=1&amp;shantytown=1&amp;gates=-1&amp;sea=1.81" TargetMode="External"/><Relationship Id="rId8" Type="http://schemas.openxmlformats.org/officeDocument/2006/relationships/hyperlink" Target="https://watabou.github.io/village-generator/?pop=1727&amp;name=&amp;seed=3550748350052&amp;width=1600&amp;height=727&amp;tags=dead+end%2Cuncultivated%2Cno+square%2Cdense" TargetMode="External"/><Relationship Id="rId51" Type="http://schemas.openxmlformats.org/officeDocument/2006/relationships/hyperlink" Target="https://watabou.github.io/city-generator/?name=Eguard&amp;population=31105&amp;size=48&amp;seed=3550748350297&amp;river=1&amp;coast=1&amp;farms=1&amp;citadel=0&amp;urban_castle=0&amp;hub=false&amp;plaza=1&amp;temple=1&amp;walls=1&amp;shantytown=1&amp;gates=-1&amp;sea=1.7" TargetMode="External"/><Relationship Id="rId72" Type="http://schemas.openxmlformats.org/officeDocument/2006/relationships/hyperlink" Target="https://watabou.github.io/city-generator/?name=Deepmoor&amp;population=1923&amp;size=17&amp;seed=3550748350454&amp;river=0&amp;coast=0&amp;farms=0&amp;citadel=1&amp;urban_castle=1&amp;hub=false&amp;plaza=0&amp;temple=0&amp;walls=0&amp;shantytown=0&amp;gates=-1" TargetMode="External"/><Relationship Id="rId93" Type="http://schemas.openxmlformats.org/officeDocument/2006/relationships/hyperlink" Target="https://watabou.github.io/city-generator/?name=Houndwell&amp;population=1954&amp;size=17&amp;seed=3550748350604&amp;river=0&amp;coast=0&amp;farms=1&amp;citadel=1&amp;urban_castle=1&amp;hub=false&amp;plaza=1&amp;temple=0&amp;walls=0&amp;shantytown=0&amp;gates=-1" TargetMode="External"/><Relationship Id="rId98" Type="http://schemas.openxmlformats.org/officeDocument/2006/relationships/hyperlink" Target="https://watabou.github.io/city-generator/?name=Dewgronac&amp;population=17676&amp;size=38&amp;seed=3550748350647&amp;river=0&amp;coast=0&amp;farms=1&amp;citadel=0&amp;urban_castle=0&amp;hub=false&amp;plaza=0&amp;temple=0&amp;walls=1&amp;shantytown=0&amp;gates=-1" TargetMode="External"/><Relationship Id="rId121" Type="http://schemas.openxmlformats.org/officeDocument/2006/relationships/hyperlink" Target="https://watabou.github.io/city-generator/?name=Bridtown&amp;population=13504&amp;size=35&amp;seed=3550748350803&amp;river=1&amp;coast=0&amp;farms=1&amp;citadel=0&amp;urban_castle=0&amp;hub=false&amp;plaza=1&amp;temple=0&amp;walls=0&amp;shantytown=0&amp;gates=-1" TargetMode="External"/><Relationship Id="rId142" Type="http://schemas.openxmlformats.org/officeDocument/2006/relationships/hyperlink" Target="https://watabou.github.io/city-generator/?name=Snagonb&amp;population=18741&amp;size=39&amp;seed=3550748350953&amp;river=0&amp;coast=0&amp;farms=0&amp;citadel=0&amp;urban_castle=0&amp;hub=false&amp;plaza=0&amp;temple=0&amp;walls=0&amp;shantytown=0&amp;gates=-1" TargetMode="External"/><Relationship Id="rId163" Type="http://schemas.openxmlformats.org/officeDocument/2006/relationships/hyperlink" Target="https://watabou.github.io/village-generator/?pop=1857&amp;name=&amp;seed=3550748351048&amp;width=1600&amp;height=727&amp;tags=dead+end%2Cuncultivated%2Cno+orchards%2Cno+square%2Cdense" TargetMode="External"/><Relationship Id="rId3" Type="http://schemas.openxmlformats.org/officeDocument/2006/relationships/hyperlink" Target="https://watabou.github.io/city-generator/?name=Timbergro&amp;population=6916&amp;size=27&amp;seed=3550748350022&amp;river=0&amp;coast=0&amp;farms=0&amp;citadel=1&amp;urban_castle=1&amp;hub=false&amp;plaza=0&amp;temple=0&amp;walls=0&amp;shantytown=0&amp;gates=-1" TargetMode="External"/><Relationship Id="rId25" Type="http://schemas.openxmlformats.org/officeDocument/2006/relationships/hyperlink" Target="https://watabou.github.io/city-generator/?name=Wildcall&amp;population=24844&amp;size=44&amp;seed=3550748350141&amp;river=0&amp;coast=0&amp;farms=0&amp;citadel=0&amp;urban_castle=0&amp;hub=false&amp;plaza=1&amp;temple=1&amp;walls=1&amp;shantytown=0&amp;gates=-1" TargetMode="External"/><Relationship Id="rId46" Type="http://schemas.openxmlformats.org/officeDocument/2006/relationships/hyperlink" Target="https://watabou.github.io/city-generator/?name=Clifrost&amp;population=1634&amp;size=16&amp;seed=3550748350263&amp;river=0&amp;coast=0&amp;farms=0&amp;citadel=1&amp;urban_castle=0&amp;hub=false&amp;plaza=1&amp;temple=0&amp;walls=0&amp;shantytown=0&amp;gates=-1" TargetMode="External"/><Relationship Id="rId67" Type="http://schemas.openxmlformats.org/officeDocument/2006/relationships/hyperlink" Target="https://watabou.github.io/city-generator/?name=Lastshell&amp;population=10701&amp;size=32&amp;seed=3550748350434&amp;river=0&amp;coast=0&amp;farms=0&amp;citadel=1&amp;urban_castle=1&amp;hub=false&amp;plaza=1&amp;temple=0&amp;walls=0&amp;shantytown=0&amp;gates=-1" TargetMode="External"/><Relationship Id="rId116" Type="http://schemas.openxmlformats.org/officeDocument/2006/relationships/hyperlink" Target="https://watabou.github.io/city-generator/?name=Sunrun&amp;population=2154&amp;size=17&amp;seed=3550748350761&amp;river=1&amp;coast=0&amp;farms=1&amp;citadel=0&amp;urban_castle=0&amp;hub=false&amp;plaza=0&amp;temple=0&amp;walls=0&amp;shantytown=0&amp;gates=-1" TargetMode="External"/><Relationship Id="rId137" Type="http://schemas.openxmlformats.org/officeDocument/2006/relationships/hyperlink" Target="https://watabou.github.io/city-generator/?name=Swangarmire&amp;population=24215&amp;size=43&amp;seed=3550748350923&amp;river=0&amp;coast=0&amp;farms=1&amp;citadel=0&amp;urban_castle=0&amp;hub=false&amp;plaza=1&amp;temple=1&amp;walls=1&amp;shantytown=0&amp;gates=-1" TargetMode="External"/><Relationship Id="rId158" Type="http://schemas.openxmlformats.org/officeDocument/2006/relationships/hyperlink" Target="https://watabou.github.io/city-generator/?name=Khuld&amp;population=1472&amp;size=15&amp;seed=3550748351043&amp;river=0&amp;coast=0&amp;farms=0&amp;citadel=1&amp;urban_castle=0&amp;hub=false&amp;plaza=0&amp;temple=0&amp;walls=0&amp;shantytown=0&amp;gates=-1" TargetMode="External"/><Relationship Id="rId20" Type="http://schemas.openxmlformats.org/officeDocument/2006/relationships/hyperlink" Target="https://watabou.github.io/city-generator/?name=Shaledasinf&amp;population=4744&amp;size=23&amp;seed=3550748350115&amp;river=0&amp;coast=0&amp;farms=1&amp;citadel=1&amp;urban_castle=0&amp;hub=false&amp;plaza=0&amp;temple=0&amp;walls=0&amp;shantytown=0&amp;gates=-1" TargetMode="External"/><Relationship Id="rId41" Type="http://schemas.openxmlformats.org/officeDocument/2006/relationships/hyperlink" Target="https://watabou.github.io/city-generator/?name=Rorestle&amp;population=1788&amp;size=16&amp;seed=3550748350246&amp;river=0&amp;coast=0&amp;farms=1&amp;citadel=1&amp;urban_castle=1&amp;hub=false&amp;plaza=0&amp;temple=0&amp;walls=1&amp;shantytown=0&amp;gates=-1" TargetMode="External"/><Relationship Id="rId62" Type="http://schemas.openxmlformats.org/officeDocument/2006/relationships/hyperlink" Target="https://watabou.github.io/village-generator/?pop=1924&amp;name=&amp;seed=3550748350397&amp;width=1600&amp;height=727&amp;tags=dead+end%2Cuncultivated%2Cdense" TargetMode="External"/><Relationship Id="rId83" Type="http://schemas.openxmlformats.org/officeDocument/2006/relationships/hyperlink" Target="https://watabou.github.io/city-generator/?name=Roremice&amp;population=10379&amp;size=31&amp;seed=3550748350542&amp;river=0&amp;coast=0&amp;farms=1&amp;citadel=1&amp;urban_castle=1&amp;hub=false&amp;plaza=0&amp;temple=0&amp;walls=1&amp;shantytown=0&amp;gates=-1" TargetMode="External"/><Relationship Id="rId88" Type="http://schemas.openxmlformats.org/officeDocument/2006/relationships/hyperlink" Target="https://watabou.github.io/city-generator/?name=Heartle&amp;population=25350&amp;size=44&amp;seed=3550748350581&amp;river=1&amp;coast=0&amp;farms=1&amp;citadel=0&amp;urban_castle=0&amp;hub=false&amp;plaza=1&amp;temple=0&amp;walls=1&amp;shantytown=0&amp;gates=-1" TargetMode="External"/><Relationship Id="rId111" Type="http://schemas.openxmlformats.org/officeDocument/2006/relationships/hyperlink" Target="https://watabou.github.io/village-generator/?pop=1961&amp;name=&amp;seed=3550748350739&amp;width=1600&amp;height=727&amp;tags=highway%2Cno+square%2Cdense" TargetMode="External"/><Relationship Id="rId132" Type="http://schemas.openxmlformats.org/officeDocument/2006/relationships/hyperlink" Target="https://watabou.github.io/city-generator/?name=Scorcross&amp;population=17781&amp;size=38&amp;seed=3550748350853&amp;river=0&amp;coast=0&amp;farms=1&amp;citadel=0&amp;urban_castle=0&amp;hub=false&amp;plaza=0&amp;temple=0&amp;walls=1&amp;shantytown=0&amp;gates=-1" TargetMode="External"/><Relationship Id="rId153" Type="http://schemas.openxmlformats.org/officeDocument/2006/relationships/hyperlink" Target="https://watabou.github.io/city-generator/?name=Oatercoast&amp;population=9448&amp;size=30&amp;seed=3550748351015&amp;river=0&amp;coast=0&amp;farms=1&amp;citadel=0&amp;urban_castle=0&amp;hub=false&amp;plaza=0&amp;temple=0&amp;walls=0&amp;shantytown=0&amp;gates=-1" TargetMode="External"/><Relationship Id="rId15" Type="http://schemas.openxmlformats.org/officeDocument/2006/relationships/hyperlink" Target="https://watabou.github.io/city-generator/?name=Cademire&amp;population=14383&amp;size=36&amp;seed=3550748350087&amp;river=0&amp;coast=1&amp;farms=1&amp;citadel=1&amp;urban_castle=0&amp;hub=false&amp;plaza=0&amp;temple=0&amp;walls=1&amp;shantytown=0&amp;gates=-1&amp;sea=0.18" TargetMode="External"/><Relationship Id="rId36" Type="http://schemas.openxmlformats.org/officeDocument/2006/relationships/hyperlink" Target="https://watabou.github.io/city-generator/?name=Autumngulf&amp;population=4057&amp;size=22&amp;seed=3550748350210&amp;river=0&amp;coast=1&amp;farms=0&amp;citadel=0&amp;urban_castle=0&amp;hub=false&amp;plaza=0&amp;temple=0&amp;walls=0&amp;shantytown=0&amp;gates=-1&amp;sea=1.85" TargetMode="External"/><Relationship Id="rId57" Type="http://schemas.openxmlformats.org/officeDocument/2006/relationships/hyperlink" Target="https://watabou.github.io/city-generator/?name=Pearlpass&amp;population=23705&amp;size=43&amp;seed=3550748350376&amp;river=0&amp;coast=0&amp;farms=1&amp;citadel=1&amp;urban_castle=1&amp;hub=false&amp;plaza=1&amp;temple=0&amp;walls=0&amp;shantytown=0&amp;gates=-1" TargetMode="External"/><Relationship Id="rId106" Type="http://schemas.openxmlformats.org/officeDocument/2006/relationships/hyperlink" Target="https://watabou.github.io/city-generator/?name=Mondbaymond&amp;population=11279&amp;size=32&amp;seed=3550748350734&amp;river=0&amp;coast=0&amp;farms=0&amp;citadel=0&amp;urban_castle=0&amp;hub=false&amp;plaza=0&amp;temple=0&amp;walls=1&amp;shantytown=0&amp;gates=-1" TargetMode="External"/><Relationship Id="rId127" Type="http://schemas.openxmlformats.org/officeDocument/2006/relationships/hyperlink" Target="https://watabou.github.io/city-generator/?name=Lostswindge&amp;population=2156&amp;size=17&amp;seed=3550748350848&amp;river=0&amp;coast=0&amp;farms=1&amp;citadel=1&amp;urban_castle=1&amp;hub=false&amp;plaza=1&amp;temple=0&amp;walls=0&amp;shantytown=0&amp;gates=-1" TargetMode="External"/><Relationship Id="rId10" Type="http://schemas.openxmlformats.org/officeDocument/2006/relationships/hyperlink" Target="https://watabou.github.io/city-generator/?name=Drelme&amp;population=11053&amp;size=32&amp;seed=3550748350065&amp;river=0&amp;coast=0&amp;farms=1&amp;citadel=0&amp;urban_castle=0&amp;hub=false&amp;plaza=1&amp;temple=0&amp;walls=1&amp;shantytown=0&amp;gates=-1" TargetMode="External"/><Relationship Id="rId31" Type="http://schemas.openxmlformats.org/officeDocument/2006/relationships/hyperlink" Target="https://watabou.github.io/city-generator/?name=Heartmorest&amp;population=8500&amp;size=29&amp;seed=3550748350182&amp;river=1&amp;coast=0&amp;farms=1&amp;citadel=1&amp;urban_castle=1&amp;hub=false&amp;plaza=1&amp;temple=0&amp;walls=0&amp;shantytown=0&amp;gates=-1" TargetMode="External"/><Relationship Id="rId52" Type="http://schemas.openxmlformats.org/officeDocument/2006/relationships/hyperlink" Target="https://watabou.github.io/city-generator/?name=Borehelmber&amp;population=10757&amp;size=32&amp;seed=3550748350305&amp;river=0&amp;coast=0&amp;farms=1&amp;citadel=1&amp;urban_castle=0&amp;hub=false&amp;plaza=1&amp;temple=0&amp;walls=1&amp;shantytown=0&amp;gates=-1" TargetMode="External"/><Relationship Id="rId73" Type="http://schemas.openxmlformats.org/officeDocument/2006/relationships/hyperlink" Target="https://watabou.github.io/city-generator/?name=Gonagithmorso&amp;population=18184&amp;size=39&amp;seed=3550748350462&amp;river=0&amp;coast=1&amp;farms=1&amp;citadel=0&amp;urban_castle=0&amp;hub=false&amp;plaza=1&amp;temple=0&amp;walls=0&amp;shantytown=0&amp;gates=-1&amp;sea=1.57" TargetMode="External"/><Relationship Id="rId78" Type="http://schemas.openxmlformats.org/officeDocument/2006/relationships/hyperlink" Target="https://watabou.github.io/city-generator/?name=Houndreach&amp;population=3698&amp;size=21&amp;seed=3550748350504&amp;river=0&amp;coast=1&amp;farms=1&amp;citadel=1&amp;urban_castle=1&amp;hub=false&amp;plaza=0&amp;temple=0&amp;walls=0&amp;shantytown=0&amp;gates=-1&amp;sea=0.12" TargetMode="External"/><Relationship Id="rId94" Type="http://schemas.openxmlformats.org/officeDocument/2006/relationships/hyperlink" Target="https://watabou.github.io/city-generator/?name=Brookward&amp;population=53796&amp;size=59&amp;seed=3550748350620&amp;river=0&amp;coast=1&amp;farms=1&amp;citadel=1&amp;urban_castle=1&amp;hub=false&amp;plaza=1&amp;temple=0&amp;walls=0&amp;shantytown=0&amp;gates=-1&amp;sea=1.39" TargetMode="External"/><Relationship Id="rId99" Type="http://schemas.openxmlformats.org/officeDocument/2006/relationships/hyperlink" Target="https://watabou.github.io/city-generator/?name=Metagith&amp;population=1958&amp;size=17&amp;seed=3550748350658&amp;river=0&amp;coast=0&amp;farms=1&amp;citadel=0&amp;urban_castle=0&amp;hub=false&amp;plaza=1&amp;temple=0&amp;walls=1&amp;shantytown=0&amp;gates=-1" TargetMode="External"/><Relationship Id="rId101" Type="http://schemas.openxmlformats.org/officeDocument/2006/relationships/hyperlink" Target="https://watabou.github.io/city-generator/?name=Curcairn&amp;population=19353&amp;size=40&amp;seed=3550748350662&amp;river=0&amp;coast=0&amp;farms=0&amp;citadel=1&amp;urban_castle=1&amp;hub=false&amp;plaza=0&amp;temple=0&amp;walls=1&amp;shantytown=0&amp;gates=-1" TargetMode="External"/><Relationship Id="rId122" Type="http://schemas.openxmlformats.org/officeDocument/2006/relationships/hyperlink" Target="https://watabou.github.io/city-generator/?name=Smallverne&amp;population=14884&amp;size=36&amp;seed=3550748350804&amp;river=1&amp;coast=0&amp;farms=1&amp;citadel=1&amp;urban_castle=1&amp;hub=false&amp;plaza=0&amp;temple=0&amp;walls=1&amp;shantytown=0&amp;gates=-1" TargetMode="External"/><Relationship Id="rId143" Type="http://schemas.openxmlformats.org/officeDocument/2006/relationships/hyperlink" Target="https://watabou.github.io/city-generator/?name=Sprinkeep&amp;population=19714&amp;size=40&amp;seed=3550748350955&amp;river=0&amp;coast=0&amp;farms=0&amp;citadel=0&amp;urban_castle=0&amp;hub=false&amp;plaza=1&amp;temple=0&amp;walls=1&amp;shantytown=0&amp;gates=-1" TargetMode="External"/><Relationship Id="rId148" Type="http://schemas.openxmlformats.org/officeDocument/2006/relationships/hyperlink" Target="https://watabou.github.io/city-generator/?name=Vhalthin&amp;population=2535&amp;size=18&amp;seed=3550748350987&amp;river=1&amp;coast=0&amp;farms=1&amp;citadel=0&amp;urban_castle=0&amp;hub=false&amp;plaza=1&amp;temple=0&amp;walls=0&amp;shantytown=0&amp;gates=-1" TargetMode="External"/><Relationship Id="rId164" Type="http://schemas.openxmlformats.org/officeDocument/2006/relationships/hyperlink" Target="https://watabou.github.io/village-generator/?pop=1506&amp;name=&amp;seed=3550748351049&amp;width=1600&amp;height=727&amp;tags=dead+end%2Cuncultivated%2Cno+orchards%2Cno+square%2Cdense" TargetMode="External"/><Relationship Id="rId4" Type="http://schemas.openxmlformats.org/officeDocument/2006/relationships/hyperlink" Target="https://watabou.github.io/village-generator/?pop=1652&amp;name=&amp;seed=3550748350033&amp;width=1600&amp;height=727&amp;tags=highway%2Cno+square%2Cdense" TargetMode="External"/><Relationship Id="rId9" Type="http://schemas.openxmlformats.org/officeDocument/2006/relationships/hyperlink" Target="https://watabou.github.io/city-generator/?name=Dogport&amp;population=14433&amp;size=36&amp;seed=3550748350058&amp;river=0&amp;coast=0&amp;farms=1&amp;citadel=1&amp;urban_castle=1&amp;hub=false&amp;plaza=1&amp;temple=0&amp;walls=0&amp;shantytown=0&amp;gates=-1" TargetMode="External"/><Relationship Id="rId26" Type="http://schemas.openxmlformats.org/officeDocument/2006/relationships/hyperlink" Target="https://watabou.github.io/city-generator/?name=Nehalle&amp;population=11784&amp;size=33&amp;seed=3550748350143&amp;river=0&amp;coast=0&amp;farms=1&amp;citadel=1&amp;urban_castle=0&amp;hub=false&amp;plaza=0&amp;temple=0&amp;walls=1&amp;shantytown=0&amp;gates=-1" TargetMode="External"/><Relationship Id="rId47" Type="http://schemas.openxmlformats.org/officeDocument/2006/relationships/hyperlink" Target="https://watabou.github.io/city-generator/?name=Direlight&amp;population=1895&amp;size=17&amp;seed=3550748350271&amp;river=0&amp;coast=0&amp;farms=1&amp;citadel=1&amp;urban_castle=0&amp;hub=false&amp;plaza=0&amp;temple=0&amp;walls=0&amp;shantytown=0&amp;gates=-1" TargetMode="External"/><Relationship Id="rId68" Type="http://schemas.openxmlformats.org/officeDocument/2006/relationships/hyperlink" Target="https://watabou.github.io/city-generator/?name=Clifrostle&amp;population=5619&amp;size=25&amp;seed=3550748350449&amp;river=0&amp;coast=0&amp;farms=1&amp;citadel=0&amp;urban_castle=0&amp;hub=false&amp;plaza=0&amp;temple=0&amp;walls=0&amp;shantytown=0&amp;gates=-1" TargetMode="External"/><Relationship Id="rId89" Type="http://schemas.openxmlformats.org/officeDocument/2006/relationships/hyperlink" Target="https://watabou.github.io/city-generator/?name=Eagrasp&amp;population=33357&amp;size=49&amp;seed=3550748350583&amp;river=0&amp;coast=0&amp;farms=0&amp;citadel=1&amp;urban_castle=0&amp;hub=false&amp;plaza=1&amp;temple=0&amp;walls=1&amp;shantytown=1&amp;gates=-1" TargetMode="External"/><Relationship Id="rId112" Type="http://schemas.openxmlformats.org/officeDocument/2006/relationships/hyperlink" Target="https://watabou.github.io/city-generator/?name=Nauthmorcane&amp;population=12031&amp;size=33&amp;seed=3550748350751&amp;river=0&amp;coast=0&amp;farms=1&amp;citadel=1&amp;urban_castle=0&amp;hub=false&amp;plaza=0&amp;temple=0&amp;walls=0&amp;shantytown=0&amp;gates=-1" TargetMode="External"/><Relationship Id="rId133" Type="http://schemas.openxmlformats.org/officeDocument/2006/relationships/hyperlink" Target="https://watabou.github.io/city-generator/?name=Mondbaypond&amp;population=2093&amp;size=17&amp;seed=3550748350873&amp;river=0&amp;coast=0&amp;farms=1&amp;citadel=0&amp;urban_castle=0&amp;hub=false&amp;plaza=0&amp;temple=0&amp;walls=1&amp;shantytown=0&amp;gates=-1" TargetMode="External"/><Relationship Id="rId154" Type="http://schemas.openxmlformats.org/officeDocument/2006/relationships/hyperlink" Target="https://watabou.github.io/city-generator/?name=Slutiarm&amp;population=20004&amp;size=40&amp;seed=3550748351039&amp;river=0&amp;coast=0&amp;farms=0&amp;citadel=1&amp;urban_castle=0&amp;hub=false&amp;plaza=1&amp;temple=0&amp;walls=1&amp;shantytown=1&amp;gates=-1" TargetMode="External"/><Relationship Id="rId16" Type="http://schemas.openxmlformats.org/officeDocument/2006/relationships/hyperlink" Target="https://watabou.github.io/city-generator/?name=Quickwatch&amp;population=6128&amp;size=26&amp;seed=3550748350099&amp;river=1&amp;coast=0&amp;farms=1&amp;citadel=1&amp;urban_castle=0&amp;hub=false&amp;plaza=0&amp;temple=0&amp;walls=1&amp;shantytown=0&amp;gates=-1" TargetMode="External"/><Relationship Id="rId37" Type="http://schemas.openxmlformats.org/officeDocument/2006/relationships/hyperlink" Target="https://watabou.github.io/city-generator/?name=Mudband&amp;population=4433&amp;size=23&amp;seed=3550748350211&amp;river=0&amp;coast=0&amp;farms=1&amp;citadel=1&amp;urban_castle=0&amp;hub=false&amp;plaza=0&amp;temple=0&amp;walls=0&amp;shantytown=0&amp;gates=-1" TargetMode="External"/><Relationship Id="rId58" Type="http://schemas.openxmlformats.org/officeDocument/2006/relationships/hyperlink" Target="https://watabou.github.io/city-generator/?name=Clifgasinf&amp;population=2932&amp;size=19&amp;seed=3550748350378&amp;river=0&amp;coast=1&amp;farms=1&amp;citadel=0&amp;urban_castle=0&amp;hub=false&amp;plaza=0&amp;temple=0&amp;walls=0&amp;shantytown=0&amp;gates=-1&amp;sea=1.85" TargetMode="External"/><Relationship Id="rId79" Type="http://schemas.openxmlformats.org/officeDocument/2006/relationships/hyperlink" Target="https://watabou.github.io/village-generator/?pop=1974&amp;name=&amp;seed=3550748350522&amp;width=1600&amp;height=727&amp;tags=dead+end%2Cuncultivated%2Cdense" TargetMode="External"/><Relationship Id="rId102" Type="http://schemas.openxmlformats.org/officeDocument/2006/relationships/hyperlink" Target="https://watabou.github.io/city-generator/?name=Belldyard&amp;population=2101&amp;size=17&amp;seed=3550748350682&amp;river=0&amp;coast=0&amp;farms=0&amp;citadel=1&amp;urban_castle=1&amp;hub=false&amp;plaza=0&amp;temple=0&amp;walls=0&amp;shantytown=0&amp;gates=-1" TargetMode="External"/><Relationship Id="rId123" Type="http://schemas.openxmlformats.org/officeDocument/2006/relationships/hyperlink" Target="https://watabou.github.io/city-generator/?name=Houndtownfo&amp;population=6371&amp;size=26&amp;seed=3550748350805&amp;river=1&amp;coast=0&amp;farms=1&amp;citadel=1&amp;urban_castle=0&amp;hub=false&amp;plaza=0&amp;temple=0&amp;walls=1&amp;shantytown=0&amp;gates=-1" TargetMode="External"/><Relationship Id="rId144" Type="http://schemas.openxmlformats.org/officeDocument/2006/relationships/hyperlink" Target="https://watabou.github.io/city-generator/?name=Drymond&amp;population=16708&amp;size=38&amp;seed=3550748350956&amp;river=0&amp;coast=0&amp;farms=1&amp;citadel=0&amp;urban_castle=0&amp;hub=false&amp;plaza=0&amp;temple=0&amp;walls=0&amp;shantytown=0&amp;gates=-1" TargetMode="External"/><Relationship Id="rId90" Type="http://schemas.openxmlformats.org/officeDocument/2006/relationships/hyperlink" Target="https://watabou.github.io/city-generator/?name=Feargarun&amp;population=6268&amp;size=26&amp;seed=3550748350584&amp;river=0&amp;coast=0&amp;farms=1&amp;citadel=0&amp;urban_castle=0&amp;hub=false&amp;plaza=0&amp;temple=0&amp;walls=0&amp;shantytown=0&amp;gates=-1" TargetMode="External"/><Relationship Id="rId165" Type="http://schemas.openxmlformats.org/officeDocument/2006/relationships/hyperlink" Target="https://watabou.github.io/village-generator/?pop=1867&amp;name=&amp;seed=3550748351050&amp;width=1600&amp;height=727&amp;tags=dead+end%2Cuncultivated%2Cno+square%2Cdense" TargetMode="External"/><Relationship Id="rId27" Type="http://schemas.openxmlformats.org/officeDocument/2006/relationships/hyperlink" Target="https://watabou.github.io/city-generator/?name=Dawnsites&amp;population=11553&amp;size=33&amp;seed=3550748350156&amp;river=0&amp;coast=1&amp;farms=1&amp;citadel=0&amp;urban_castle=0&amp;hub=false&amp;plaza=0&amp;temple=0&amp;walls=0&amp;shantytown=0&amp;gates=-1&amp;sea=1.52" TargetMode="External"/><Relationship Id="rId48" Type="http://schemas.openxmlformats.org/officeDocument/2006/relationships/hyperlink" Target="https://watabou.github.io/city-generator/?name=Clearmire&amp;population=5319&amp;size=24&amp;seed=3550748350281&amp;river=0&amp;coast=0&amp;farms=0&amp;citadel=1&amp;urban_castle=0&amp;hub=false&amp;plaza=0&amp;temple=0&amp;walls=0&amp;shantytown=0&amp;gates=-1" TargetMode="External"/><Relationship Id="rId69" Type="http://schemas.openxmlformats.org/officeDocument/2006/relationships/hyperlink" Target="https://watabou.github.io/city-generator/?name=Cryspide&amp;population=4150&amp;size=22&amp;seed=3550748350450&amp;river=0&amp;coast=0&amp;farms=1&amp;citadel=1&amp;urban_castle=1&amp;hub=false&amp;plaza=1&amp;temple=0&amp;walls=0&amp;shantytown=0&amp;gates=-1" TargetMode="External"/><Relationship Id="rId113" Type="http://schemas.openxmlformats.org/officeDocument/2006/relationships/hyperlink" Target="https://watabou.github.io/city-generator/?name=Southtligh&amp;population=2121&amp;size=17&amp;seed=3550748350758&amp;river=0&amp;coast=0&amp;farms=1&amp;citadel=1&amp;urban_castle=1&amp;hub=false&amp;plaza=1&amp;temple=0&amp;walls=0&amp;shantytown=0&amp;gates=-1" TargetMode="External"/><Relationship Id="rId134" Type="http://schemas.openxmlformats.org/officeDocument/2006/relationships/hyperlink" Target="https://watabou.github.io/city-generator/?name=Vojhamenz&amp;population=9654&amp;size=31&amp;seed=3550748350892&amp;river=0&amp;coast=1&amp;farms=1&amp;citadel=0&amp;urban_castle=0&amp;hub=false&amp;plaza=0&amp;temple=0&amp;walls=0&amp;shantytown=0&amp;gates=-1&amp;sea=1.5" TargetMode="External"/><Relationship Id="rId80" Type="http://schemas.openxmlformats.org/officeDocument/2006/relationships/hyperlink" Target="https://watabou.github.io/city-generator/?name=Raterehall&amp;population=2083&amp;size=17&amp;seed=3550748350536&amp;river=0&amp;coast=0&amp;farms=1&amp;citadel=1&amp;urban_castle=1&amp;hub=false&amp;plaza=0&amp;temple=0&amp;walls=0&amp;shantytown=0&amp;gates=-1" TargetMode="External"/><Relationship Id="rId155" Type="http://schemas.openxmlformats.org/officeDocument/2006/relationships/hyperlink" Target="https://watabou.github.io/village-generator/?pop=1115&amp;name=&amp;seed=3550748351040&amp;width=1400&amp;height=636&amp;tags=highway%2Cuncultivated%2Cno+orchards%2Cno+square%2Cdense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defaultColWidth="12.5703125" defaultRowHeight="15.75" customHeight="1" x14ac:dyDescent="0.2"/>
  <cols>
    <col min="2" max="2" width="16.5703125" customWidth="1"/>
    <col min="3" max="4" width="15.28515625" customWidth="1"/>
    <col min="5" max="5" width="15" customWidth="1"/>
    <col min="6" max="6" width="17" customWidth="1"/>
    <col min="7" max="7" width="15.5703125" customWidth="1"/>
    <col min="10" max="10" width="14.140625" customWidth="1"/>
  </cols>
  <sheetData>
    <row r="1" spans="1:27" ht="29.25" customHeight="1" x14ac:dyDescent="0.2">
      <c r="A1" s="1"/>
      <c r="B1" s="3" t="s">
        <v>1</v>
      </c>
      <c r="C1" s="3" t="s">
        <v>4</v>
      </c>
      <c r="D1" s="3" t="s">
        <v>5</v>
      </c>
      <c r="E1" s="3" t="s">
        <v>7</v>
      </c>
      <c r="F1" s="3" t="s">
        <v>9</v>
      </c>
      <c r="G1" s="3" t="s">
        <v>10</v>
      </c>
      <c r="H1" s="3" t="s">
        <v>3</v>
      </c>
      <c r="I1" s="3" t="s">
        <v>13</v>
      </c>
      <c r="J1" s="3" t="s">
        <v>15</v>
      </c>
      <c r="K1" s="3" t="s">
        <v>16</v>
      </c>
      <c r="L1" s="3" t="s">
        <v>18</v>
      </c>
      <c r="M1" s="3" t="s">
        <v>21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9.25" customHeight="1" x14ac:dyDescent="0.2">
      <c r="A2" s="1" t="s">
        <v>35</v>
      </c>
      <c r="B2" s="17">
        <v>201311.58071309485</v>
      </c>
      <c r="C2" s="26">
        <f>'Province Import (Ignore)'!I5</f>
        <v>6198707</v>
      </c>
      <c r="D2" s="26">
        <f ca="1">SUM(Cities!E2:E13)</f>
        <v>211771</v>
      </c>
      <c r="E2" s="26">
        <f t="shared" ref="E2:E7" ca="1" si="0">C2-D2</f>
        <v>5986936</v>
      </c>
      <c r="F2" s="17">
        <f ca="1">'Provincial Economics'!D2-'Provincial Economics'!C2</f>
        <v>-41088.725691428575</v>
      </c>
      <c r="G2" s="30">
        <f>'New Retinues Summary'!S3</f>
        <v>400</v>
      </c>
      <c r="H2" s="23">
        <f ca="1">'Knights Breakdown'!B2</f>
        <v>1942.24764</v>
      </c>
      <c r="I2" s="23">
        <f>SUM('Duchies Secret Sheet'!$C$16:$C$20)</f>
        <v>25946</v>
      </c>
      <c r="J2" s="36" t="str">
        <f ca="1">IFERROR(__xludf.DUMMYFUNCTION("TO_TEXT(round(RANDBETWEEN(1000,10000)+(C2*0.005)))&amp;TO_TEXT(round(RANDBETWEEN(1000,10000)-(C2*0.005)))"),"38714-26229")</f>
        <v>38714-26229</v>
      </c>
      <c r="K2" s="38">
        <f t="shared" ref="K2:K7" ca="1" si="1">D2/C2</f>
        <v>3.4163737695619423E-2</v>
      </c>
      <c r="L2" s="38">
        <f t="shared" ref="L2:L7" ca="1" si="2">E2/C2</f>
        <v>0.96583626230438058</v>
      </c>
      <c r="M2" s="39">
        <f t="shared" ref="M2:M7" ca="1" si="3">F2+B2</f>
        <v>160222.85502166627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ht="29.25" customHeight="1" x14ac:dyDescent="0.2">
      <c r="A3" s="1" t="s">
        <v>50</v>
      </c>
      <c r="B3" s="39">
        <v>42223.454427533361</v>
      </c>
      <c r="C3" s="26">
        <f>'Province Import (Ignore)'!I4</f>
        <v>13047830</v>
      </c>
      <c r="D3" s="26">
        <f ca="1">SUM(Cities!E14:E38)</f>
        <v>210019</v>
      </c>
      <c r="E3" s="26">
        <f t="shared" ca="1" si="0"/>
        <v>12837811</v>
      </c>
      <c r="F3" s="17">
        <f ca="1">'Provincial Economics'!D3-'Provincial Economics'!C3</f>
        <v>-37872.04502304332</v>
      </c>
      <c r="G3" s="30">
        <f>'New Retinues Summary'!S4</f>
        <v>2000</v>
      </c>
      <c r="H3" s="23">
        <f ca="1">'Knights Breakdown'!B3</f>
        <v>3066.8743799999997</v>
      </c>
      <c r="I3" s="23">
        <f>SUM('Duchies Secret Sheet'!$C$4,'Duchies Secret Sheet'!$C21:$C$26)</f>
        <v>26554.640840560391</v>
      </c>
      <c r="J3" s="36" t="str">
        <f ca="1">IFERROR(__xludf.DUMMYFUNCTION("TO_TEXT(round(RANDBETWEEN(1000,10000)+(C3*0.005)))&amp;TO_TEXT(round(RANDBETWEEN(1000,10000)-(C3*0.005)))"),"67842-62827")</f>
        <v>67842-62827</v>
      </c>
      <c r="K3" s="38">
        <f t="shared" ca="1" si="1"/>
        <v>1.6096086475682163E-2</v>
      </c>
      <c r="L3" s="38">
        <f t="shared" ca="1" si="2"/>
        <v>0.98390391352431783</v>
      </c>
      <c r="M3" s="39">
        <f t="shared" ca="1" si="3"/>
        <v>4351.4094044900412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ht="29.25" customHeight="1" x14ac:dyDescent="0.2">
      <c r="A4" s="1" t="s">
        <v>54</v>
      </c>
      <c r="B4" s="39">
        <v>219681.68938488021</v>
      </c>
      <c r="C4" s="26">
        <f>'Province Import (Ignore)'!I3</f>
        <v>3739211</v>
      </c>
      <c r="D4" s="26">
        <f ca="1">SUM(Cities!E39:E50)</f>
        <v>72536</v>
      </c>
      <c r="E4" s="26">
        <f t="shared" ca="1" si="0"/>
        <v>3666675</v>
      </c>
      <c r="F4" s="17">
        <f ca="1">'Provincial Economics'!D4-'Provincial Economics'!C4</f>
        <v>1164.8905339880953</v>
      </c>
      <c r="G4" s="30">
        <f>'New Retinues Summary'!S5</f>
        <v>300</v>
      </c>
      <c r="H4" s="23">
        <f ca="1">'Knights Breakdown'!B4</f>
        <v>383.80462499999999</v>
      </c>
      <c r="I4" s="23">
        <f>SUM('Duchies Secret Sheet'!$C$41:$C$45,'Duchies Secret Sheet'!$C$3)</f>
        <v>0</v>
      </c>
      <c r="J4" s="36" t="str">
        <f ca="1">IFERROR(__xludf.DUMMYFUNCTION("TO_TEXT(round(RANDBETWEEN(1000,10000)+(C4*0.005)))&amp;TO_TEXT(round(RANDBETWEEN(1000,10000)-(C4*0.005)))"),"21221-15914")</f>
        <v>21221-15914</v>
      </c>
      <c r="K4" s="38">
        <f t="shared" ca="1" si="1"/>
        <v>1.9398744815416941E-2</v>
      </c>
      <c r="L4" s="38">
        <f t="shared" ca="1" si="2"/>
        <v>0.98060125518458308</v>
      </c>
      <c r="M4" s="39">
        <f t="shared" ca="1" si="3"/>
        <v>220846.57991886832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29.25" customHeight="1" x14ac:dyDescent="0.2">
      <c r="A5" s="1" t="s">
        <v>58</v>
      </c>
      <c r="B5" s="39">
        <v>185816.12589047625</v>
      </c>
      <c r="C5" s="26">
        <f>'Province Import (Ignore)'!I7</f>
        <v>7694131</v>
      </c>
      <c r="D5" s="26">
        <f ca="1">SUM(Cities!E52:E63)</f>
        <v>132591</v>
      </c>
      <c r="E5" s="26">
        <f t="shared" ca="1" si="0"/>
        <v>7561540</v>
      </c>
      <c r="F5" s="17">
        <f ca="1">'Provincial Economics'!D5-'Provincial Economics'!C5</f>
        <v>-26961.687410952385</v>
      </c>
      <c r="G5" s="30">
        <f>'New Retinues Summary'!S6</f>
        <v>0</v>
      </c>
      <c r="H5" s="23">
        <f ca="1">'Knights Breakdown'!B5</f>
        <v>1353.2702000000002</v>
      </c>
      <c r="I5" s="23">
        <f>SUM('Duchies Secret Sheet'!$C$6,'Duchies Secret Sheet'!$C$13:$C$15)</f>
        <v>15833</v>
      </c>
      <c r="J5" s="36" t="str">
        <f ca="1">IFERROR(__xludf.DUMMYFUNCTION("TO_TEXT(round(RANDBETWEEN(1000,10000)+(C5*0.005)))&amp;TO_TEXT(round(RANDBETWEEN(1000,10000)-(C5*0.005)))"),"43900-31918")</f>
        <v>43900-31918</v>
      </c>
      <c r="K5" s="38">
        <f t="shared" ca="1" si="1"/>
        <v>1.7232745322376238E-2</v>
      </c>
      <c r="L5" s="38">
        <f t="shared" ca="1" si="2"/>
        <v>0.98276725467762371</v>
      </c>
      <c r="M5" s="39">
        <f t="shared" ca="1" si="3"/>
        <v>158854.43847952387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29.25" customHeight="1" x14ac:dyDescent="0.2">
      <c r="A6" s="1" t="s">
        <v>61</v>
      </c>
      <c r="B6" s="39">
        <v>76796.647627618775</v>
      </c>
      <c r="C6" s="26">
        <f>'Province Import (Ignore)'!I6</f>
        <v>16040936</v>
      </c>
      <c r="D6" s="26">
        <f ca="1">SUM(Cities!E65:E104)</f>
        <v>460501</v>
      </c>
      <c r="E6" s="26">
        <f t="shared" ca="1" si="0"/>
        <v>15580435</v>
      </c>
      <c r="F6" s="17">
        <f ca="1">'Provincial Economics'!D6-'Provincial Economics'!C6</f>
        <v>-76847.919046547613</v>
      </c>
      <c r="G6" s="30">
        <f>'New Retinues Summary'!S7</f>
        <v>200</v>
      </c>
      <c r="H6" s="23">
        <f ca="1">'Knights Breakdown'!B6</f>
        <v>4214.3773499999998</v>
      </c>
      <c r="I6" s="23">
        <f>SUM('Duchies Secret Sheet'!$C$5,'Duchies Secret Sheet'!$C$7:$C$12)</f>
        <v>41000</v>
      </c>
      <c r="J6" s="36" t="str">
        <f ca="1">IFERROR(__xludf.DUMMYFUNCTION("TO_TEXT(round(RANDBETWEEN(1000,10000)+(C6*0.005)))&amp;TO_TEXT(round(RANDBETWEEN(1000,10000)-(C6*0.005)))"),"85311-76707")</f>
        <v>85311-76707</v>
      </c>
      <c r="K6" s="38">
        <f t="shared" ca="1" si="1"/>
        <v>2.8707863431410737E-2</v>
      </c>
      <c r="L6" s="38">
        <f t="shared" ca="1" si="2"/>
        <v>0.97129213656858926</v>
      </c>
      <c r="M6" s="39">
        <f t="shared" ca="1" si="3"/>
        <v>-51.271418928838102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29.25" customHeight="1" x14ac:dyDescent="0.2">
      <c r="A7" s="1" t="s">
        <v>64</v>
      </c>
      <c r="B7" s="39">
        <v>68991.166818116108</v>
      </c>
      <c r="C7" s="26">
        <f>'Province Import (Ignore)'!I2</f>
        <v>17007036</v>
      </c>
      <c r="D7" s="26">
        <f ca="1">SUM(Cities!E105:E166)</f>
        <v>579594</v>
      </c>
      <c r="E7" s="26">
        <f t="shared" ca="1" si="0"/>
        <v>16427442</v>
      </c>
      <c r="F7" s="17">
        <f ca="1">'Provincial Economics'!D7-'Provincial Economics'!C7</f>
        <v>-37545.637229870088</v>
      </c>
      <c r="G7" s="30">
        <f>'New Retinues Summary'!S8</f>
        <v>0</v>
      </c>
      <c r="H7" s="23">
        <f ca="1">'Knights Breakdown'!B7</f>
        <v>5603.8644000000004</v>
      </c>
      <c r="I7" s="23">
        <f>SUM('Duchies Secret Sheet'!$C$2,'Duchies Secret Sheet'!$C$27:$C$40)</f>
        <v>21849.359853615821</v>
      </c>
      <c r="J7" s="36" t="str">
        <f ca="1">IFERROR(__xludf.DUMMYFUNCTION("TO_TEXT(round(RANDBETWEEN(1000,10000)+(C7*0.005)))&amp;TO_TEXT(round(RANDBETWEEN(1000,10000)-(C7*0.005)))"),"89956-82393")</f>
        <v>89956-82393</v>
      </c>
      <c r="K7" s="38">
        <f t="shared" ca="1" si="1"/>
        <v>3.4079659736123334E-2</v>
      </c>
      <c r="L7" s="38">
        <f t="shared" ca="1" si="2"/>
        <v>0.96592034026387663</v>
      </c>
      <c r="M7" s="39">
        <f t="shared" ca="1" si="3"/>
        <v>31445.52958824602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29.25" customHeight="1" x14ac:dyDescent="0.2">
      <c r="A8" s="48" t="s">
        <v>75</v>
      </c>
      <c r="B8" s="49">
        <f t="shared" ref="B8:I8" si="4">SUM(B2:B7)</f>
        <v>794820.66486171959</v>
      </c>
      <c r="C8" s="49">
        <f t="shared" si="4"/>
        <v>63727851</v>
      </c>
      <c r="D8" s="49">
        <f t="shared" ca="1" si="4"/>
        <v>1667012</v>
      </c>
      <c r="E8" s="49">
        <f t="shared" ca="1" si="4"/>
        <v>62060839</v>
      </c>
      <c r="F8" s="49">
        <f t="shared" ca="1" si="4"/>
        <v>-219151.12386785389</v>
      </c>
      <c r="G8" s="49">
        <f t="shared" si="4"/>
        <v>2900</v>
      </c>
      <c r="H8" s="49">
        <f t="shared" ca="1" si="4"/>
        <v>16564.438595</v>
      </c>
      <c r="I8" s="49">
        <f t="shared" si="4"/>
        <v>131183.00069417621</v>
      </c>
      <c r="J8" s="49">
        <f>SUM('Provincial Secret Sheet'!E1:E6)</f>
        <v>302999.67530226626</v>
      </c>
      <c r="K8" s="50"/>
      <c r="L8" s="50"/>
      <c r="M8" s="49">
        <f ca="1">SUM(M2:M7)</f>
        <v>575669.54099386558</v>
      </c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ht="29.25" customHeight="1" x14ac:dyDescent="0.2">
      <c r="A9" s="51" t="s">
        <v>81</v>
      </c>
      <c r="B9" s="26">
        <f t="shared" ref="B9:I9" si="5">AVERAGE(B2:B7)</f>
        <v>132470.1108102866</v>
      </c>
      <c r="C9" s="26">
        <f t="shared" si="5"/>
        <v>10621308.5</v>
      </c>
      <c r="D9" s="26">
        <f t="shared" ca="1" si="5"/>
        <v>277835.33333333331</v>
      </c>
      <c r="E9" s="26">
        <f t="shared" ca="1" si="5"/>
        <v>10343473.166666666</v>
      </c>
      <c r="F9" s="26">
        <f t="shared" ca="1" si="5"/>
        <v>-36525.187311308982</v>
      </c>
      <c r="G9" s="26">
        <f t="shared" si="5"/>
        <v>483.33333333333331</v>
      </c>
      <c r="H9" s="26">
        <f t="shared" ca="1" si="5"/>
        <v>2760.7397658333334</v>
      </c>
      <c r="I9" s="26">
        <f t="shared" si="5"/>
        <v>21863.833449029367</v>
      </c>
      <c r="J9" s="26">
        <f>J8/6</f>
        <v>50499.945883711043</v>
      </c>
      <c r="K9" s="38">
        <f t="shared" ref="K9:M9" ca="1" si="6">AVERAGE(K2:K7)</f>
        <v>2.4946472912771477E-2</v>
      </c>
      <c r="L9" s="38">
        <f t="shared" ca="1" si="6"/>
        <v>0.97505352708722848</v>
      </c>
      <c r="M9" s="26">
        <f t="shared" ca="1" si="6"/>
        <v>95944.923498977601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29.25" customHeight="1" x14ac:dyDescent="0.2">
      <c r="A10" s="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ht="29.25" customHeight="1" x14ac:dyDescent="0.2">
      <c r="A11" s="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29.25" customHeight="1" x14ac:dyDescent="0.2">
      <c r="A12" s="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ht="29.25" customHeight="1" x14ac:dyDescent="0.2">
      <c r="A13" s="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29.25" customHeight="1" x14ac:dyDescent="0.2">
      <c r="A14" s="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29.25" customHeight="1" x14ac:dyDescent="0.2">
      <c r="A15" s="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ht="29.25" customHeight="1" x14ac:dyDescent="0.2">
      <c r="A16" s="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ht="29.25" customHeight="1" x14ac:dyDescent="0.2">
      <c r="A17" s="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ht="29.25" customHeight="1" x14ac:dyDescent="0.2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29.25" customHeight="1" x14ac:dyDescent="0.2">
      <c r="A19" s="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ht="29.25" customHeight="1" x14ac:dyDescent="0.2">
      <c r="A20" s="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29.25" customHeight="1" x14ac:dyDescent="0.2">
      <c r="A21" s="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ht="29.25" customHeight="1" x14ac:dyDescent="0.2">
      <c r="A22" s="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ht="29.25" customHeight="1" x14ac:dyDescent="0.2">
      <c r="A23" s="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29.25" customHeight="1" x14ac:dyDescent="0.2">
      <c r="A24" s="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29.25" customHeight="1" x14ac:dyDescent="0.2">
      <c r="A25" s="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29.25" customHeight="1" x14ac:dyDescent="0.2">
      <c r="A26" s="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ht="29.25" customHeight="1" x14ac:dyDescent="0.2">
      <c r="A27" s="1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</sheetData>
  <conditionalFormatting sqref="A1">
    <cfRule type="notContainsBlanks" dxfId="2" priority="1">
      <formula>LEN(TRIM(A1))&gt;0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ignoredErrors>
    <ignoredError sqref="J9" formula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14.140625" customWidth="1"/>
    <col min="2" max="2" width="14.7109375" customWidth="1"/>
    <col min="4" max="5" width="13.42578125" customWidth="1"/>
    <col min="6" max="6" width="10.28515625" customWidth="1"/>
    <col min="7" max="7" width="14.42578125" customWidth="1"/>
    <col min="9" max="9" width="11.5703125" customWidth="1"/>
    <col min="10" max="10" width="15.140625" customWidth="1"/>
    <col min="11" max="11" width="16.140625" customWidth="1"/>
    <col min="12" max="12" width="15.42578125" customWidth="1"/>
  </cols>
  <sheetData>
    <row r="1" spans="1:27" x14ac:dyDescent="0.2">
      <c r="A1" s="5" t="s">
        <v>0</v>
      </c>
      <c r="B1" s="7" t="s">
        <v>11</v>
      </c>
      <c r="C1" s="7" t="s">
        <v>17</v>
      </c>
      <c r="D1" s="7" t="s">
        <v>19</v>
      </c>
      <c r="E1" s="7" t="s">
        <v>22</v>
      </c>
      <c r="F1" s="7" t="s">
        <v>25</v>
      </c>
      <c r="G1" s="7" t="s">
        <v>28</v>
      </c>
      <c r="H1" s="11" t="s">
        <v>32</v>
      </c>
      <c r="I1" s="7" t="s">
        <v>38</v>
      </c>
      <c r="J1" s="12" t="s">
        <v>4</v>
      </c>
      <c r="K1" s="14" t="s">
        <v>5</v>
      </c>
      <c r="L1" s="16" t="s">
        <v>7</v>
      </c>
      <c r="M1" s="14" t="s">
        <v>45</v>
      </c>
      <c r="N1" s="18" t="s">
        <v>46</v>
      </c>
      <c r="O1" s="20" t="s">
        <v>3</v>
      </c>
      <c r="P1" s="22" t="s">
        <v>6</v>
      </c>
      <c r="Q1" s="20" t="s">
        <v>33</v>
      </c>
      <c r="R1" s="24" t="s">
        <v>26</v>
      </c>
      <c r="S1" s="7"/>
      <c r="T1" s="7" t="s">
        <v>21</v>
      </c>
      <c r="U1" s="7"/>
      <c r="V1" s="7"/>
      <c r="W1" s="7"/>
      <c r="X1" s="7"/>
      <c r="Y1" s="7"/>
      <c r="Z1" s="7"/>
      <c r="AA1" s="7"/>
    </row>
    <row r="2" spans="1:27" x14ac:dyDescent="0.2">
      <c r="A2" s="5" t="str">
        <f>'Duchies Import'!B:B</f>
        <v>Swanhall</v>
      </c>
      <c r="B2" s="31" t="str">
        <f>'Duchies Import'!C:C</f>
        <v>Swanhall</v>
      </c>
      <c r="C2" s="31" t="str">
        <f>'Ducal Economics'!B2</f>
        <v>Swanhall</v>
      </c>
      <c r="D2" s="33"/>
      <c r="E2" s="33">
        <v>1</v>
      </c>
      <c r="F2" s="37">
        <f>'Duchies Secret Sheet'!C2:C45</f>
        <v>2949.3598536158202</v>
      </c>
      <c r="G2" s="36" t="str">
        <f ca="1">IFERROR(__xludf.DUMMYFUNCTION("TO_TEXT(round(RANDBETWEEN(100,3000)+('Duchies Secret Sheet'!E2)))&amp;TO_TEXT(round(RANDBETWEEN(100,1500)-('Duchies Secret Sheet'!E2)))"),"5569-2449")</f>
        <v>5569-2449</v>
      </c>
      <c r="H2" s="40">
        <f t="shared" ref="H2:I2" si="0">K2/3.5</f>
        <v>12258.571428571429</v>
      </c>
      <c r="I2" s="37">
        <f t="shared" si="0"/>
        <v>244303.14285714287</v>
      </c>
      <c r="J2" s="41">
        <f>'Duchies Import'!I2</f>
        <v>897966</v>
      </c>
      <c r="K2" s="42">
        <f>'Duchies Import'!K2</f>
        <v>42905</v>
      </c>
      <c r="L2" s="42">
        <f>'Duchies Import'!J2</f>
        <v>855061</v>
      </c>
      <c r="M2" s="43">
        <f t="shared" ref="M2:M45" si="1">K2/J2</f>
        <v>4.7780205486621985E-2</v>
      </c>
      <c r="N2" s="44">
        <f t="shared" ref="N2:N45" si="2">L2/J2</f>
        <v>0.95221979451337802</v>
      </c>
      <c r="O2" s="42">
        <f t="shared" ref="O2:O45" si="3">Q2+R2</f>
        <v>342.63220000000001</v>
      </c>
      <c r="P2" s="45">
        <v>0.8</v>
      </c>
      <c r="Q2" s="42">
        <f t="shared" ref="Q2:Q45" si="4">L2*P2*0.00025</f>
        <v>171.01220000000001</v>
      </c>
      <c r="R2" s="46">
        <f t="shared" ref="R2:R45" si="5">P2*K2*0.005</f>
        <v>171.62</v>
      </c>
      <c r="S2" s="31"/>
      <c r="T2" s="31">
        <f t="shared" ref="T2:T45" si="6">E2+D2</f>
        <v>1</v>
      </c>
      <c r="U2" s="31"/>
      <c r="V2" s="31"/>
      <c r="W2" s="31"/>
      <c r="X2" s="31"/>
      <c r="Y2" s="31"/>
      <c r="Z2" s="31"/>
      <c r="AA2" s="31"/>
    </row>
    <row r="3" spans="1:27" x14ac:dyDescent="0.2">
      <c r="A3" s="5" t="str">
        <f>'Duchies Import'!B:B</f>
        <v>Slutiarm</v>
      </c>
      <c r="B3" s="31" t="str">
        <f>'Duchies Import'!C:C</f>
        <v>Slutiarm</v>
      </c>
      <c r="C3" s="31" t="str">
        <f>'Ducal Economics'!B3</f>
        <v>Madinglia</v>
      </c>
      <c r="D3" s="33"/>
      <c r="E3" s="33">
        <v>1</v>
      </c>
      <c r="F3" s="37">
        <f>'Duchies Secret Sheet'!C3:C46</f>
        <v>0</v>
      </c>
      <c r="G3" s="36" t="str">
        <f ca="1">IFERROR(__xludf.DUMMYFUNCTION("TO_TEXT(round(RANDBETWEEN(100,3000)+('Duchies Secret Sheet'!E3)))&amp;TO_TEXT(round(RANDBETWEEN(100,1500)-('Duchies Secret Sheet'!E3)))"),"3542-638")</f>
        <v>3542-638</v>
      </c>
      <c r="H3" s="40">
        <f t="shared" ref="H3:I3" si="7">K3/3.5</f>
        <v>6136</v>
      </c>
      <c r="I3" s="37">
        <f t="shared" si="7"/>
        <v>79026</v>
      </c>
      <c r="J3" s="41">
        <f>'Duchies Import'!I3</f>
        <v>298067</v>
      </c>
      <c r="K3" s="42">
        <f>'Duchies Import'!K3</f>
        <v>21476</v>
      </c>
      <c r="L3" s="42">
        <f>'Duchies Import'!J3</f>
        <v>276591</v>
      </c>
      <c r="M3" s="43">
        <f t="shared" si="1"/>
        <v>7.2050914727225759E-2</v>
      </c>
      <c r="N3" s="44">
        <f t="shared" si="2"/>
        <v>0.9279490852727742</v>
      </c>
      <c r="O3" s="42">
        <f t="shared" si="3"/>
        <v>52.958325000000002</v>
      </c>
      <c r="P3" s="45">
        <v>0.3</v>
      </c>
      <c r="Q3" s="42">
        <f t="shared" si="4"/>
        <v>20.744325</v>
      </c>
      <c r="R3" s="46">
        <f t="shared" si="5"/>
        <v>32.213999999999999</v>
      </c>
      <c r="S3" s="31"/>
      <c r="T3" s="31">
        <f t="shared" si="6"/>
        <v>1</v>
      </c>
      <c r="U3" s="31"/>
      <c r="V3" s="31"/>
      <c r="W3" s="31"/>
      <c r="X3" s="31"/>
      <c r="Y3" s="31"/>
      <c r="Z3" s="31"/>
      <c r="AA3" s="31"/>
    </row>
    <row r="4" spans="1:27" x14ac:dyDescent="0.2">
      <c r="A4" s="5" t="str">
        <f>'Duchies Import'!B:B</f>
        <v>Dreghold</v>
      </c>
      <c r="B4" s="31" t="str">
        <f>'Duchies Import'!C:C</f>
        <v>Dreghold</v>
      </c>
      <c r="C4" s="31" t="str">
        <f>'Ducal Economics'!B4</f>
        <v>Dreghold</v>
      </c>
      <c r="D4" s="33"/>
      <c r="E4" s="33">
        <v>1</v>
      </c>
      <c r="F4" s="31">
        <v>2000</v>
      </c>
      <c r="G4" s="36" t="str">
        <f ca="1">IFERROR(__xludf.DUMMYFUNCTION("TO_TEXT(round(RANDBETWEEN(100,3000)+('Duchies Secret Sheet'!E4)))&amp;TO_TEXT(round(RANDBETWEEN(100,1500)-('Duchies Secret Sheet'!E4)))"),"4633-2213")</f>
        <v>4633-2213</v>
      </c>
      <c r="H4" s="40">
        <f t="shared" ref="H4:I4" si="8">K4/3.5</f>
        <v>28761.714285714286</v>
      </c>
      <c r="I4" s="37">
        <f t="shared" si="8"/>
        <v>414572.85714285716</v>
      </c>
      <c r="J4" s="41">
        <f>'Duchies Import'!I4</f>
        <v>1551671</v>
      </c>
      <c r="K4" s="42">
        <f>'Duchies Import'!K4</f>
        <v>100666</v>
      </c>
      <c r="L4" s="42">
        <f>'Duchies Import'!J4</f>
        <v>1451005</v>
      </c>
      <c r="M4" s="43">
        <f t="shared" si="1"/>
        <v>6.4875866082436284E-2</v>
      </c>
      <c r="N4" s="44">
        <f t="shared" si="2"/>
        <v>0.93512413391756366</v>
      </c>
      <c r="O4" s="42">
        <f t="shared" si="3"/>
        <v>623.57850000000008</v>
      </c>
      <c r="P4" s="45">
        <v>0.72</v>
      </c>
      <c r="Q4" s="42">
        <f t="shared" si="4"/>
        <v>261.18090000000001</v>
      </c>
      <c r="R4" s="46">
        <f t="shared" si="5"/>
        <v>362.39760000000001</v>
      </c>
      <c r="S4" s="31"/>
      <c r="T4" s="31">
        <f t="shared" si="6"/>
        <v>1</v>
      </c>
      <c r="U4" s="31"/>
      <c r="V4" s="31"/>
      <c r="W4" s="31"/>
      <c r="X4" s="31"/>
      <c r="Y4" s="31"/>
      <c r="Z4" s="31"/>
      <c r="AA4" s="31"/>
    </row>
    <row r="5" spans="1:27" x14ac:dyDescent="0.2">
      <c r="A5" s="5" t="str">
        <f>'Duchies Import'!B:B</f>
        <v>Sirong</v>
      </c>
      <c r="B5" s="31" t="str">
        <f>'Duchies Import'!C:C</f>
        <v>Sirong</v>
      </c>
      <c r="C5" s="31" t="str">
        <f>'Ducal Economics'!B5</f>
        <v>Sirong</v>
      </c>
      <c r="D5" s="37">
        <f>'Ducal Economics'!C5-'Ducal Economics'!D5</f>
        <v>-17003.810794285717</v>
      </c>
      <c r="E5" s="37">
        <v>-7034.2971485714261</v>
      </c>
      <c r="F5" s="37">
        <f>'Duchies Secret Sheet'!C5:C48</f>
        <v>10000</v>
      </c>
      <c r="G5" s="36" t="str">
        <f ca="1">IFERROR(__xludf.DUMMYFUNCTION("TO_TEXT(round(RANDBETWEEN(100,3000)+('Duchies Secret Sheet'!E5)))&amp;TO_TEXT(round(RANDBETWEEN(100,1500)-('Duchies Secret Sheet'!E5)))"),"13640-10136")</f>
        <v>13640-10136</v>
      </c>
      <c r="H5" s="40">
        <f t="shared" ref="H5:I5" si="9">K5/3.5</f>
        <v>16931.142857142859</v>
      </c>
      <c r="I5" s="37">
        <f t="shared" si="9"/>
        <v>629376.57142857148</v>
      </c>
      <c r="J5" s="41">
        <f>'Duchies Import'!I5</f>
        <v>2262077</v>
      </c>
      <c r="K5" s="42">
        <f>'Duchies Import'!K5</f>
        <v>59259</v>
      </c>
      <c r="L5" s="42">
        <f>'Duchies Import'!J5</f>
        <v>2202818</v>
      </c>
      <c r="M5" s="43">
        <f t="shared" si="1"/>
        <v>2.619672097810994E-2</v>
      </c>
      <c r="N5" s="44">
        <f t="shared" si="2"/>
        <v>0.97380327902189001</v>
      </c>
      <c r="O5" s="42">
        <f t="shared" si="3"/>
        <v>575.9596600000001</v>
      </c>
      <c r="P5" s="45">
        <v>0.68</v>
      </c>
      <c r="Q5" s="42">
        <f t="shared" si="4"/>
        <v>374.47906000000006</v>
      </c>
      <c r="R5" s="46">
        <f t="shared" si="5"/>
        <v>201.48060000000001</v>
      </c>
      <c r="S5" s="31"/>
      <c r="T5" s="37">
        <f t="shared" si="6"/>
        <v>-24038.107942857143</v>
      </c>
      <c r="U5" s="31"/>
      <c r="V5" s="31"/>
      <c r="W5" s="31"/>
      <c r="X5" s="31"/>
      <c r="Y5" s="31"/>
      <c r="Z5" s="31"/>
      <c r="AA5" s="31"/>
    </row>
    <row r="6" spans="1:27" x14ac:dyDescent="0.2">
      <c r="A6" s="5" t="str">
        <f>'Duchies Import'!B:B</f>
        <v>Brookward</v>
      </c>
      <c r="B6" s="31" t="str">
        <f>'Duchies Import'!C:C</f>
        <v>Brookward</v>
      </c>
      <c r="C6" s="31" t="str">
        <f>'Ducal Economics'!B6</f>
        <v>Ralim</v>
      </c>
      <c r="D6" s="33"/>
      <c r="E6" s="33">
        <v>1</v>
      </c>
      <c r="F6" s="37">
        <f>'Duchies Secret Sheet'!C6:C49</f>
        <v>6528</v>
      </c>
      <c r="G6" s="36" t="str">
        <f ca="1">IFERROR(__xludf.DUMMYFUNCTION("TO_TEXT(round(RANDBETWEEN(100,3000)+('Duchies Secret Sheet'!E6)))&amp;TO_TEXT(round(RANDBETWEEN(100,1500)-('Duchies Secret Sheet'!E6)))"),"9182-5954")</f>
        <v>9182-5954</v>
      </c>
      <c r="H6" s="40">
        <f t="shared" ref="H6:I6" si="10">K6/3.5</f>
        <v>23154.571428571428</v>
      </c>
      <c r="I6" s="37">
        <f t="shared" si="10"/>
        <v>349852.85714285716</v>
      </c>
      <c r="J6" s="41">
        <f>'Duchies Import'!I6</f>
        <v>1305527</v>
      </c>
      <c r="K6" s="42">
        <f>'Duchies Import'!K6</f>
        <v>81041</v>
      </c>
      <c r="L6" s="42">
        <f>'Duchies Import'!J6</f>
        <v>1224485</v>
      </c>
      <c r="M6" s="43">
        <f t="shared" si="1"/>
        <v>6.2075315179234133E-2</v>
      </c>
      <c r="N6" s="44">
        <f t="shared" si="2"/>
        <v>0.93792391884656545</v>
      </c>
      <c r="O6" s="42">
        <f t="shared" si="3"/>
        <v>377.00291250000004</v>
      </c>
      <c r="P6" s="45">
        <v>0.53</v>
      </c>
      <c r="Q6" s="42">
        <f t="shared" si="4"/>
        <v>162.24426250000002</v>
      </c>
      <c r="R6" s="46">
        <f t="shared" si="5"/>
        <v>214.75865000000002</v>
      </c>
      <c r="S6" s="31"/>
      <c r="T6" s="31">
        <f t="shared" si="6"/>
        <v>1</v>
      </c>
      <c r="U6" s="31"/>
      <c r="V6" s="31"/>
      <c r="W6" s="31"/>
      <c r="X6" s="31"/>
      <c r="Y6" s="31"/>
      <c r="Z6" s="31"/>
      <c r="AA6" s="31"/>
    </row>
    <row r="7" spans="1:27" x14ac:dyDescent="0.2">
      <c r="A7" s="5" t="str">
        <f>'Duchies Import'!B:B</f>
        <v>Vhalian Marches</v>
      </c>
      <c r="B7" s="31" t="str">
        <f>'Duchies Import'!C:C</f>
        <v>Vhalthin</v>
      </c>
      <c r="C7" s="31" t="str">
        <f>'Ducal Economics'!B7</f>
        <v>Sirong</v>
      </c>
      <c r="D7" s="33"/>
      <c r="E7" s="33">
        <v>1</v>
      </c>
      <c r="F7" s="37">
        <f>'Duchies Secret Sheet'!C7:C50</f>
        <v>20000</v>
      </c>
      <c r="G7" s="36" t="str">
        <f ca="1">IFERROR(__xludf.DUMMYFUNCTION("TO_TEXT(round(RANDBETWEEN(100,3000)+('Duchies Secret Sheet'!E7)))&amp;TO_TEXT(round(RANDBETWEEN(100,1500)-('Duchies Secret Sheet'!E7)))"),"28820-26375")</f>
        <v>28820-26375</v>
      </c>
      <c r="H7" s="40">
        <f t="shared" ref="H7:I7" si="11">K7/3.5</f>
        <v>19134.571428571428</v>
      </c>
      <c r="I7" s="37">
        <f t="shared" si="11"/>
        <v>1549696.2857142857</v>
      </c>
      <c r="J7" s="41">
        <f>'Duchies Import'!I7</f>
        <v>5490909</v>
      </c>
      <c r="K7" s="42">
        <f>'Duchies Import'!K7</f>
        <v>66971</v>
      </c>
      <c r="L7" s="42">
        <f>'Duchies Import'!J7</f>
        <v>5423937</v>
      </c>
      <c r="M7" s="43">
        <f t="shared" si="1"/>
        <v>1.2196705499945455E-2</v>
      </c>
      <c r="N7" s="44">
        <f t="shared" si="2"/>
        <v>0.98780311238084628</v>
      </c>
      <c r="O7" s="42">
        <f t="shared" si="3"/>
        <v>1149.7706900000001</v>
      </c>
      <c r="P7" s="45">
        <v>0.68</v>
      </c>
      <c r="Q7" s="42">
        <f t="shared" si="4"/>
        <v>922.06929000000002</v>
      </c>
      <c r="R7" s="46">
        <f t="shared" si="5"/>
        <v>227.70140000000004</v>
      </c>
      <c r="S7" s="31"/>
      <c r="T7" s="31">
        <f t="shared" si="6"/>
        <v>1</v>
      </c>
      <c r="U7" s="31"/>
      <c r="V7" s="31"/>
      <c r="W7" s="31"/>
      <c r="X7" s="31"/>
      <c r="Y7" s="31"/>
      <c r="Z7" s="31"/>
      <c r="AA7" s="31"/>
    </row>
    <row r="8" spans="1:27" x14ac:dyDescent="0.2">
      <c r="A8" s="5" t="str">
        <f>'Duchies Import'!B:B</f>
        <v>Southern Shores</v>
      </c>
      <c r="B8" s="31" t="str">
        <f>'Duchies Import'!C:C</f>
        <v>Alhas</v>
      </c>
      <c r="C8" s="31" t="str">
        <f>'Ducal Economics'!B8</f>
        <v>Sirong</v>
      </c>
      <c r="D8" s="37">
        <f>'Ducal Economics'!C8-'Ducal Economics'!D8</f>
        <v>-8550.6549299999988</v>
      </c>
      <c r="E8" s="37">
        <v>-955.89436999999998</v>
      </c>
      <c r="F8" s="37">
        <f>'Duchies Secret Sheet'!C8:C51</f>
        <v>5000</v>
      </c>
      <c r="G8" s="36" t="str">
        <f ca="1">IFERROR(__xludf.DUMMYFUNCTION("TO_TEXT(round(RANDBETWEEN(100,3000)+('Duchies Secret Sheet'!E8)))&amp;TO_TEXT(round(RANDBETWEEN(100,1500)-('Duchies Secret Sheet'!E8)))"),"8332-4977")</f>
        <v>8332-4977</v>
      </c>
      <c r="H8" s="40">
        <f t="shared" ref="H8:I8" si="12">K8/3.5</f>
        <v>9194</v>
      </c>
      <c r="I8" s="37">
        <f t="shared" si="12"/>
        <v>340568</v>
      </c>
      <c r="J8" s="41">
        <f>'Duchies Import'!I8</f>
        <v>1224167</v>
      </c>
      <c r="K8" s="42">
        <f>'Duchies Import'!K8</f>
        <v>32179</v>
      </c>
      <c r="L8" s="42">
        <f>'Duchies Import'!J8</f>
        <v>1191988</v>
      </c>
      <c r="M8" s="43">
        <f t="shared" si="1"/>
        <v>2.6286446211995586E-2</v>
      </c>
      <c r="N8" s="44">
        <f t="shared" si="2"/>
        <v>0.97371355378800439</v>
      </c>
      <c r="O8" s="42">
        <f t="shared" si="3"/>
        <v>312.04656</v>
      </c>
      <c r="P8" s="45">
        <v>0.68</v>
      </c>
      <c r="Q8" s="42">
        <f t="shared" si="4"/>
        <v>202.63796000000002</v>
      </c>
      <c r="R8" s="46">
        <f t="shared" si="5"/>
        <v>109.40860000000001</v>
      </c>
      <c r="S8" s="31"/>
      <c r="T8" s="37">
        <f t="shared" si="6"/>
        <v>-9506.5492999999988</v>
      </c>
      <c r="U8" s="31"/>
      <c r="V8" s="31"/>
      <c r="W8" s="31"/>
      <c r="X8" s="31"/>
      <c r="Y8" s="31"/>
      <c r="Z8" s="31"/>
      <c r="AA8" s="31"/>
    </row>
    <row r="9" spans="1:27" x14ac:dyDescent="0.2">
      <c r="A9" s="5" t="str">
        <f>'Duchies Import'!B:B</f>
        <v>Dregsten Bay</v>
      </c>
      <c r="B9" s="31" t="str">
        <f>'Duchies Import'!C:C</f>
        <v>Dryvaterga</v>
      </c>
      <c r="C9" s="31" t="str">
        <f>'Ducal Economics'!B9</f>
        <v>Sirong</v>
      </c>
      <c r="D9" s="37">
        <f>'Ducal Economics'!C9-'Ducal Economics'!D9</f>
        <v>3227.3489385714292</v>
      </c>
      <c r="E9" s="37">
        <v>7654.6978771428585</v>
      </c>
      <c r="F9" s="37">
        <f>'Duchies Secret Sheet'!C9:C52</f>
        <v>0</v>
      </c>
      <c r="G9" s="36" t="str">
        <f ca="1">IFERROR(__xludf.DUMMYFUNCTION("TO_TEXT(round(RANDBETWEEN(100,3000)+('Duchies Secret Sheet'!E9)))&amp;TO_TEXT(round(RANDBETWEEN(100,1500)-('Duchies Secret Sheet'!E9)))"),"11465-9705")</f>
        <v>11465-9705</v>
      </c>
      <c r="H9" s="40">
        <f t="shared" ref="H9:I9" si="13">K9/3.5</f>
        <v>18818.285714285714</v>
      </c>
      <c r="I9" s="37">
        <f t="shared" si="13"/>
        <v>601768.85714285716</v>
      </c>
      <c r="J9" s="41">
        <f>'Duchies Import'!I9</f>
        <v>2172056</v>
      </c>
      <c r="K9" s="42">
        <f>'Duchies Import'!K9</f>
        <v>65864</v>
      </c>
      <c r="L9" s="42">
        <f>'Duchies Import'!J9</f>
        <v>2106191</v>
      </c>
      <c r="M9" s="43">
        <f t="shared" si="1"/>
        <v>3.0323343412877016E-2</v>
      </c>
      <c r="N9" s="44">
        <f t="shared" si="2"/>
        <v>0.9696761961938366</v>
      </c>
      <c r="O9" s="42">
        <f t="shared" si="3"/>
        <v>581.99007000000006</v>
      </c>
      <c r="P9" s="45">
        <v>0.68</v>
      </c>
      <c r="Q9" s="42">
        <f t="shared" si="4"/>
        <v>358.05247000000003</v>
      </c>
      <c r="R9" s="46">
        <f t="shared" si="5"/>
        <v>223.93760000000003</v>
      </c>
      <c r="S9" s="31"/>
      <c r="T9" s="37">
        <f t="shared" si="6"/>
        <v>10882.046815714288</v>
      </c>
      <c r="U9" s="31"/>
      <c r="V9" s="31"/>
      <c r="W9" s="31"/>
      <c r="X9" s="31"/>
      <c r="Y9" s="31"/>
      <c r="Z9" s="31"/>
      <c r="AA9" s="31"/>
    </row>
    <row r="10" spans="1:27" x14ac:dyDescent="0.2">
      <c r="A10" s="5" t="str">
        <f>'Duchies Import'!B:B</f>
        <v>Amber Shores</v>
      </c>
      <c r="B10" s="31" t="str">
        <f>'Duchies Import'!C:C</f>
        <v>Amber Waters</v>
      </c>
      <c r="C10" s="31" t="str">
        <f>'Ducal Economics'!B10</f>
        <v>Sirong</v>
      </c>
      <c r="D10" s="37">
        <f>'Ducal Economics'!C10-'Ducal Economics'!D10</f>
        <v>813.2807499999999</v>
      </c>
      <c r="E10" s="37">
        <v>13319.526749999999</v>
      </c>
      <c r="F10" s="37">
        <f>'Duchies Secret Sheet'!C10:C53</f>
        <v>0</v>
      </c>
      <c r="G10" s="36" t="str">
        <f ca="1">IFERROR(__xludf.DUMMYFUNCTION("TO_TEXT(round(RANDBETWEEN(100,3000)+('Duchies Secret Sheet'!E10)))&amp;TO_TEXT(round(RANDBETWEEN(100,1500)-('Duchies Secret Sheet'!E10)))"),"5658-3243")</f>
        <v>5658-3243</v>
      </c>
      <c r="H10" s="40">
        <f t="shared" ref="H10:I10" si="14">K10/3.5</f>
        <v>2838.2857142857142</v>
      </c>
      <c r="I10" s="37">
        <f t="shared" si="14"/>
        <v>253476</v>
      </c>
      <c r="J10" s="41">
        <f>'Duchies Import'!I10</f>
        <v>897100</v>
      </c>
      <c r="K10" s="42">
        <f>'Duchies Import'!K10</f>
        <v>9934</v>
      </c>
      <c r="L10" s="42">
        <f>'Duchies Import'!J10</f>
        <v>887166</v>
      </c>
      <c r="M10" s="43">
        <f t="shared" si="1"/>
        <v>1.1073458923196968E-2</v>
      </c>
      <c r="N10" s="44">
        <f t="shared" si="2"/>
        <v>0.988926541076803</v>
      </c>
      <c r="O10" s="42">
        <f t="shared" si="3"/>
        <v>184.59381999999999</v>
      </c>
      <c r="P10" s="45">
        <v>0.68</v>
      </c>
      <c r="Q10" s="42">
        <f t="shared" si="4"/>
        <v>150.81822</v>
      </c>
      <c r="R10" s="46">
        <f t="shared" si="5"/>
        <v>33.775600000000004</v>
      </c>
      <c r="S10" s="31"/>
      <c r="T10" s="37">
        <f t="shared" si="6"/>
        <v>14132.807499999999</v>
      </c>
      <c r="U10" s="31"/>
      <c r="V10" s="31"/>
      <c r="W10" s="31"/>
      <c r="X10" s="31"/>
      <c r="Y10" s="31"/>
      <c r="Z10" s="31"/>
      <c r="AA10" s="31"/>
    </row>
    <row r="11" spans="1:27" x14ac:dyDescent="0.2">
      <c r="A11" s="5" t="str">
        <f>'Duchies Import'!B:B</f>
        <v>Griffin's Bay</v>
      </c>
      <c r="B11" s="31" t="str">
        <f>'Duchies Import'!C:C</f>
        <v>Ulport</v>
      </c>
      <c r="C11" s="37" t="str">
        <f>'Ducal Economics'!B11</f>
        <v>Sirong</v>
      </c>
      <c r="D11" s="37">
        <f>'Ducal Economics'!C11-'Ducal Economics'!D11</f>
        <v>-9.0832771428572414</v>
      </c>
      <c r="E11" s="37">
        <v>33918.250505714292</v>
      </c>
      <c r="F11" s="37">
        <f>'Duchies Secret Sheet'!C11:C54</f>
        <v>2000</v>
      </c>
      <c r="G11" s="36" t="str">
        <f ca="1">IFERROR(__xludf.DUMMYFUNCTION("TO_TEXT(round(RANDBETWEEN(100,3000)+('Duchies Secret Sheet'!E11)))&amp;TO_TEXT(round(RANDBETWEEN(100,1500)-('Duchies Secret Sheet'!E11)))"),"11397-10320")</f>
        <v>11397-10320</v>
      </c>
      <c r="H11" s="40">
        <f t="shared" ref="H11:I11" si="15">K11/3.5</f>
        <v>33452.857142857145</v>
      </c>
      <c r="I11" s="37">
        <f t="shared" si="15"/>
        <v>609732.28571428568</v>
      </c>
      <c r="J11" s="41">
        <f>'Duchies Import'!I11</f>
        <v>2251148</v>
      </c>
      <c r="K11" s="42">
        <f>'Duchies Import'!K11</f>
        <v>117085</v>
      </c>
      <c r="L11" s="42">
        <f>'Duchies Import'!J11</f>
        <v>2134063</v>
      </c>
      <c r="M11" s="43">
        <f t="shared" si="1"/>
        <v>5.2011240487075928E-2</v>
      </c>
      <c r="N11" s="44">
        <f t="shared" si="2"/>
        <v>0.94798875951292405</v>
      </c>
      <c r="O11" s="42">
        <f t="shared" si="3"/>
        <v>760.87971000000005</v>
      </c>
      <c r="P11" s="45">
        <v>0.68</v>
      </c>
      <c r="Q11" s="42">
        <f t="shared" si="4"/>
        <v>362.79071000000005</v>
      </c>
      <c r="R11" s="46">
        <f t="shared" si="5"/>
        <v>398.089</v>
      </c>
      <c r="S11" s="31"/>
      <c r="T11" s="37">
        <f t="shared" si="6"/>
        <v>33909.167228571438</v>
      </c>
      <c r="U11" s="31"/>
      <c r="V11" s="31"/>
      <c r="W11" s="31"/>
      <c r="X11" s="31"/>
      <c r="Y11" s="31"/>
      <c r="Z11" s="31"/>
      <c r="AA11" s="31"/>
    </row>
    <row r="12" spans="1:27" x14ac:dyDescent="0.2">
      <c r="A12" s="5" t="str">
        <f>'Duchies Import'!B:B</f>
        <v>Lesserlands</v>
      </c>
      <c r="B12" s="31" t="str">
        <f>'Duchies Import'!C:C</f>
        <v>Sirongrasp</v>
      </c>
      <c r="C12" s="37" t="str">
        <f>'Ducal Economics'!B12</f>
        <v>Sirong</v>
      </c>
      <c r="D12" s="37">
        <f>'Ducal Economics'!C12-'Ducal Economics'!D12</f>
        <v>-6290.9464957142864</v>
      </c>
      <c r="E12" s="37">
        <v>5381.4815385714246</v>
      </c>
      <c r="F12" s="37">
        <f>'Duchies Secret Sheet'!C12:C55</f>
        <v>4000</v>
      </c>
      <c r="G12" s="36" t="str">
        <f ca="1">IFERROR(__xludf.DUMMYFUNCTION("TO_TEXT(round(RANDBETWEEN(100,3000)+('Duchies Secret Sheet'!E12)))&amp;TO_TEXT(round(RANDBETWEEN(100,1500)-('Duchies Secret Sheet'!E12)))"),"10709-7423")</f>
        <v>10709-7423</v>
      </c>
      <c r="H12" s="40">
        <f t="shared" ref="H12:I12" si="16">K12/3.5</f>
        <v>8498.5714285714294</v>
      </c>
      <c r="I12" s="37">
        <f t="shared" si="16"/>
        <v>470965.42857142858</v>
      </c>
      <c r="J12" s="41">
        <f>'Duchies Import'!I12</f>
        <v>1678124</v>
      </c>
      <c r="K12" s="42">
        <f>'Duchies Import'!K12</f>
        <v>29745</v>
      </c>
      <c r="L12" s="42">
        <f>'Duchies Import'!J12</f>
        <v>1648379</v>
      </c>
      <c r="M12" s="43">
        <f t="shared" si="1"/>
        <v>1.7725150227277602E-2</v>
      </c>
      <c r="N12" s="44">
        <f t="shared" si="2"/>
        <v>0.98227484977272239</v>
      </c>
      <c r="O12" s="42">
        <f t="shared" si="3"/>
        <v>381.35743000000002</v>
      </c>
      <c r="P12" s="45">
        <v>0.68</v>
      </c>
      <c r="Q12" s="42">
        <f t="shared" si="4"/>
        <v>280.22442999999998</v>
      </c>
      <c r="R12" s="46">
        <f t="shared" si="5"/>
        <v>101.13300000000001</v>
      </c>
      <c r="S12" s="31"/>
      <c r="T12" s="37">
        <f t="shared" si="6"/>
        <v>-909.46495714286175</v>
      </c>
      <c r="U12" s="31"/>
      <c r="V12" s="31"/>
      <c r="W12" s="31"/>
      <c r="X12" s="31"/>
      <c r="Y12" s="31"/>
      <c r="Z12" s="31"/>
      <c r="AA12" s="31"/>
    </row>
    <row r="13" spans="1:27" x14ac:dyDescent="0.2">
      <c r="A13" s="5" t="str">
        <f>'Duchies Import'!B:B</f>
        <v>ShadowWood</v>
      </c>
      <c r="B13" s="31" t="str">
        <f>'Duchies Import'!C:C</f>
        <v>Shadowtown</v>
      </c>
      <c r="C13" s="37" t="str">
        <f>'Ducal Economics'!B13</f>
        <v>Ralim</v>
      </c>
      <c r="D13" s="37">
        <f>'Ducal Economics'!C13-'Ducal Economics'!D13</f>
        <v>-1090.5649057142857</v>
      </c>
      <c r="E13" s="37">
        <v>12984.915848571431</v>
      </c>
      <c r="F13" s="37">
        <f>'Duchies Secret Sheet'!C13:C56</f>
        <v>1200</v>
      </c>
      <c r="G13" s="36" t="str">
        <f ca="1">IFERROR(__xludf.DUMMYFUNCTION("TO_TEXT(round(RANDBETWEEN(100,3000)+('Duchies Secret Sheet'!E13)))&amp;TO_TEXT(round(RANDBETWEEN(100,1500)-('Duchies Secret Sheet'!E13)))"),"10722-8888")</f>
        <v>10722-8888</v>
      </c>
      <c r="H13" s="40">
        <f t="shared" ref="H13:I13" si="17">K13/3.5</f>
        <v>616.85714285714289</v>
      </c>
      <c r="I13" s="37">
        <f t="shared" si="17"/>
        <v>582255.42857142852</v>
      </c>
      <c r="J13" s="41">
        <f>'Duchies Import'!I13</f>
        <v>2040053</v>
      </c>
      <c r="K13" s="42">
        <f>'Duchies Import'!K13</f>
        <v>2159</v>
      </c>
      <c r="L13" s="42">
        <f>'Duchies Import'!J13</f>
        <v>2037894</v>
      </c>
      <c r="M13" s="43">
        <f t="shared" si="1"/>
        <v>1.0583058381326367E-3</v>
      </c>
      <c r="N13" s="44">
        <f t="shared" si="2"/>
        <v>0.9989416941618674</v>
      </c>
      <c r="O13" s="42">
        <f t="shared" si="3"/>
        <v>275.74230499999999</v>
      </c>
      <c r="P13" s="45">
        <v>0.53</v>
      </c>
      <c r="Q13" s="42">
        <f t="shared" si="4"/>
        <v>270.02095500000001</v>
      </c>
      <c r="R13" s="46">
        <f t="shared" si="5"/>
        <v>5.7213500000000002</v>
      </c>
      <c r="S13" s="31"/>
      <c r="T13" s="37">
        <f t="shared" si="6"/>
        <v>11894.350942857145</v>
      </c>
      <c r="U13" s="31"/>
      <c r="V13" s="31"/>
      <c r="W13" s="31"/>
      <c r="X13" s="31"/>
      <c r="Y13" s="31"/>
      <c r="Z13" s="31"/>
      <c r="AA13" s="31"/>
    </row>
    <row r="14" spans="1:27" x14ac:dyDescent="0.2">
      <c r="A14" s="5" t="str">
        <f>'Duchies Import'!B:B</f>
        <v>Mondwatch</v>
      </c>
      <c r="B14" s="31" t="str">
        <f>'Duchies Import'!C:C</f>
        <v>Bear Hall</v>
      </c>
      <c r="C14" s="37" t="str">
        <f>'Ducal Economics'!B14</f>
        <v>Ralim</v>
      </c>
      <c r="D14" s="37">
        <f>'Ducal Economics'!C14-'Ducal Economics'!D14</f>
        <v>-4505.7730057142862</v>
      </c>
      <c r="E14" s="37">
        <v>13118.042948571423</v>
      </c>
      <c r="F14" s="37">
        <f>'Duchies Secret Sheet'!C14:C57</f>
        <v>3405</v>
      </c>
      <c r="G14" s="36" t="str">
        <f ca="1">IFERROR(__xludf.DUMMYFUNCTION("TO_TEXT(round(RANDBETWEEN(100,3000)+('Duchies Secret Sheet'!E14)))&amp;TO_TEXT(round(RANDBETWEEN(100,1500)-('Duchies Secret Sheet'!E14)))"),"10854-9114")</f>
        <v>10854-9114</v>
      </c>
      <c r="H14" s="40">
        <f t="shared" ref="H14:I14" si="18">K14/3.5</f>
        <v>10846.571428571429</v>
      </c>
      <c r="I14" s="37">
        <f t="shared" si="18"/>
        <v>590251.42857142852</v>
      </c>
      <c r="J14" s="41">
        <f>'Duchies Import'!I14</f>
        <v>2103843</v>
      </c>
      <c r="K14" s="42">
        <f>'Duchies Import'!K14</f>
        <v>37963</v>
      </c>
      <c r="L14" s="42">
        <f>'Duchies Import'!J14</f>
        <v>2065880</v>
      </c>
      <c r="M14" s="43">
        <f t="shared" si="1"/>
        <v>1.8044597434314254E-2</v>
      </c>
      <c r="N14" s="44">
        <f t="shared" si="2"/>
        <v>0.9819554025656857</v>
      </c>
      <c r="O14" s="42">
        <f t="shared" si="3"/>
        <v>374.33105</v>
      </c>
      <c r="P14" s="45">
        <v>0.53</v>
      </c>
      <c r="Q14" s="42">
        <f t="shared" si="4"/>
        <v>273.72910000000002</v>
      </c>
      <c r="R14" s="46">
        <f t="shared" si="5"/>
        <v>100.60195</v>
      </c>
      <c r="S14" s="31"/>
      <c r="T14" s="37">
        <f t="shared" si="6"/>
        <v>8612.2699428571359</v>
      </c>
      <c r="U14" s="31"/>
      <c r="V14" s="31"/>
      <c r="W14" s="31"/>
      <c r="X14" s="31"/>
      <c r="Y14" s="31"/>
      <c r="Z14" s="31"/>
      <c r="AA14" s="31"/>
    </row>
    <row r="15" spans="1:27" x14ac:dyDescent="0.2">
      <c r="A15" s="5" t="str">
        <f>'Duchies Import'!B:B</f>
        <v>Ratermarch</v>
      </c>
      <c r="B15" s="31" t="str">
        <f>'Duchies Import'!C:C</f>
        <v>Raterehall</v>
      </c>
      <c r="C15" s="37" t="str">
        <f>'Ducal Economics'!B15</f>
        <v>Ralim</v>
      </c>
      <c r="D15" s="37">
        <f>'Ducal Economics'!C15-'Ducal Economics'!D15</f>
        <v>-7564.9251457142855</v>
      </c>
      <c r="E15" s="37">
        <v>3715.6736885714308</v>
      </c>
      <c r="F15" s="37">
        <f>'Duchies Secret Sheet'!C15:C58</f>
        <v>4700</v>
      </c>
      <c r="G15" s="36" t="str">
        <f ca="1">IFERROR(__xludf.DUMMYFUNCTION("TO_TEXT(round(RANDBETWEEN(100,3000)+('Duchies Secret Sheet'!E15)))&amp;TO_TEXT(round(RANDBETWEEN(100,1500)-('Duchies Secret Sheet'!E15)))"),"11643-9460")</f>
        <v>11643-9460</v>
      </c>
      <c r="H15" s="40">
        <f t="shared" ref="H15:I15" si="19">K15/3.5</f>
        <v>6225.7142857142853</v>
      </c>
      <c r="I15" s="37">
        <f t="shared" si="19"/>
        <v>611941.42857142852</v>
      </c>
      <c r="J15" s="41">
        <f>'Duchies Import'!I15</f>
        <v>2163584</v>
      </c>
      <c r="K15" s="42">
        <f>'Duchies Import'!K15</f>
        <v>21790</v>
      </c>
      <c r="L15" s="42">
        <f>'Duchies Import'!J15</f>
        <v>2141795</v>
      </c>
      <c r="M15" s="43">
        <f t="shared" si="1"/>
        <v>1.0071252144589718E-2</v>
      </c>
      <c r="N15" s="44">
        <f t="shared" si="2"/>
        <v>0.98992921005147017</v>
      </c>
      <c r="O15" s="42">
        <f t="shared" si="3"/>
        <v>341.53133750000001</v>
      </c>
      <c r="P15" s="45">
        <v>0.53</v>
      </c>
      <c r="Q15" s="42">
        <f t="shared" si="4"/>
        <v>283.78783750000002</v>
      </c>
      <c r="R15" s="46">
        <f t="shared" si="5"/>
        <v>57.743500000000004</v>
      </c>
      <c r="S15" s="31"/>
      <c r="T15" s="37">
        <f t="shared" si="6"/>
        <v>-3849.2514571428546</v>
      </c>
      <c r="U15" s="31"/>
      <c r="V15" s="31"/>
      <c r="W15" s="31"/>
      <c r="X15" s="31"/>
      <c r="Y15" s="31"/>
      <c r="Z15" s="31"/>
      <c r="AA15" s="31"/>
    </row>
    <row r="16" spans="1:27" x14ac:dyDescent="0.2">
      <c r="A16" s="5" t="str">
        <f>'Duchies Import'!B:B</f>
        <v>Vinh</v>
      </c>
      <c r="B16" s="31" t="str">
        <f>'Duchies Import'!C:C</f>
        <v>Vinh</v>
      </c>
      <c r="C16" s="37" t="str">
        <f>'Ducal Economics'!B16</f>
        <v>Crownlands</v>
      </c>
      <c r="D16" s="37">
        <f>'Ducal Economics'!C16-'Ducal Economics'!D16</f>
        <v>-10656.277872857143</v>
      </c>
      <c r="E16" s="37">
        <v>-5976.5008557142864</v>
      </c>
      <c r="F16" s="37">
        <f>'Duchies Secret Sheet'!C16:C59</f>
        <v>5995</v>
      </c>
      <c r="G16" s="36" t="str">
        <f ca="1">IFERROR(__xludf.DUMMYFUNCTION("TO_TEXT(round(RANDBETWEEN(100,3000)+('Duchies Secret Sheet'!E16)))&amp;TO_TEXT(round(RANDBETWEEN(100,1500)-('Duchies Secret Sheet'!E16)))"),"8869-5829")</f>
        <v>8869-5829</v>
      </c>
      <c r="H16" s="40">
        <f t="shared" ref="H16:I16" si="20">K16/3.5</f>
        <v>6925.1428571428569</v>
      </c>
      <c r="I16" s="37">
        <f t="shared" si="20"/>
        <v>335663.71428571426</v>
      </c>
      <c r="J16" s="41">
        <f>'Duchies Import'!I16</f>
        <v>1199062</v>
      </c>
      <c r="K16" s="42">
        <f>'Duchies Import'!K16</f>
        <v>24238</v>
      </c>
      <c r="L16" s="42">
        <f>'Duchies Import'!J16</f>
        <v>1174823</v>
      </c>
      <c r="M16" s="43">
        <f t="shared" si="1"/>
        <v>2.0214134048114275E-2</v>
      </c>
      <c r="N16" s="44">
        <f t="shared" si="2"/>
        <v>0.9797850319666539</v>
      </c>
      <c r="O16" s="42">
        <f t="shared" si="3"/>
        <v>315.32077000000004</v>
      </c>
      <c r="P16" s="45">
        <v>0.76</v>
      </c>
      <c r="Q16" s="42">
        <f t="shared" si="4"/>
        <v>223.21637000000001</v>
      </c>
      <c r="R16" s="46">
        <f t="shared" si="5"/>
        <v>92.104400000000012</v>
      </c>
      <c r="S16" s="31"/>
      <c r="T16" s="37">
        <f t="shared" si="6"/>
        <v>-16632.778728571429</v>
      </c>
      <c r="U16" s="31"/>
      <c r="V16" s="31"/>
      <c r="W16" s="31"/>
      <c r="X16" s="31"/>
      <c r="Y16" s="31"/>
      <c r="Z16" s="31"/>
      <c r="AA16" s="31"/>
    </row>
    <row r="17" spans="1:27" x14ac:dyDescent="0.2">
      <c r="A17" s="5" t="str">
        <f>'Duchies Import'!B:B</f>
        <v>Drelme</v>
      </c>
      <c r="B17" s="31" t="str">
        <f>'Duchies Import'!C:C</f>
        <v>Drelme</v>
      </c>
      <c r="C17" s="37" t="str">
        <f>'Ducal Economics'!B17</f>
        <v>Crownlands</v>
      </c>
      <c r="D17" s="37">
        <f>'Ducal Economics'!C17-'Ducal Economics'!D17</f>
        <v>-9277.9969542857143</v>
      </c>
      <c r="E17" s="37">
        <v>-2041.9725885714288</v>
      </c>
      <c r="F17" s="37">
        <f>'Duchies Secret Sheet'!C17:C60</f>
        <v>5390</v>
      </c>
      <c r="G17" s="36" t="str">
        <f ca="1">IFERROR(__xludf.DUMMYFUNCTION("TO_TEXT(round(RANDBETWEEN(100,3000)+('Duchies Secret Sheet'!E17)))&amp;TO_TEXT(round(RANDBETWEEN(100,1500)-('Duchies Secret Sheet'!E17)))"),"6900-3954")</f>
        <v>6900-3954</v>
      </c>
      <c r="H17" s="40">
        <f t="shared" ref="H17:I17" si="21">K17/3.5</f>
        <v>9776.5714285714294</v>
      </c>
      <c r="I17" s="37">
        <f t="shared" si="21"/>
        <v>298210.57142857142</v>
      </c>
      <c r="J17" s="41">
        <f>'Duchies Import'!I17</f>
        <v>1077956</v>
      </c>
      <c r="K17" s="42">
        <f>'Duchies Import'!K17</f>
        <v>34218</v>
      </c>
      <c r="L17" s="42">
        <f>'Duchies Import'!J17</f>
        <v>1043737</v>
      </c>
      <c r="M17" s="43">
        <f t="shared" si="1"/>
        <v>3.1743410677244711E-2</v>
      </c>
      <c r="N17" s="44">
        <f t="shared" si="2"/>
        <v>0.96825566164110599</v>
      </c>
      <c r="O17" s="42">
        <f t="shared" si="3"/>
        <v>328.33843000000002</v>
      </c>
      <c r="P17" s="45">
        <v>0.76</v>
      </c>
      <c r="Q17" s="42">
        <f t="shared" si="4"/>
        <v>198.31003000000001</v>
      </c>
      <c r="R17" s="46">
        <f t="shared" si="5"/>
        <v>130.0284</v>
      </c>
      <c r="S17" s="31"/>
      <c r="T17" s="37">
        <f t="shared" si="6"/>
        <v>-11319.969542857143</v>
      </c>
      <c r="U17" s="31"/>
      <c r="V17" s="31"/>
      <c r="W17" s="31"/>
      <c r="X17" s="31"/>
      <c r="Y17" s="31"/>
      <c r="Z17" s="31"/>
      <c r="AA17" s="31"/>
    </row>
    <row r="18" spans="1:27" x14ac:dyDescent="0.2">
      <c r="A18" s="5" t="str">
        <f>'Duchies Import'!B:B</f>
        <v>Oal's Reach</v>
      </c>
      <c r="B18" s="31" t="str">
        <f>'Duchies Import'!C:C</f>
        <v>Oaledale</v>
      </c>
      <c r="C18" s="37" t="str">
        <f>'Ducal Economics'!B18</f>
        <v>Crownlands</v>
      </c>
      <c r="D18" s="37">
        <f>'Ducal Economics'!C18-'Ducal Economics'!D18</f>
        <v>-11058.49732</v>
      </c>
      <c r="E18" s="37">
        <v>-8672.4758800000036</v>
      </c>
      <c r="F18" s="37">
        <f>'Duchies Secret Sheet'!C18:C61</f>
        <v>6061</v>
      </c>
      <c r="G18" s="36" t="str">
        <f ca="1">IFERROR(__xludf.DUMMYFUNCTION("TO_TEXT(round(RANDBETWEEN(100,3000)+('Duchies Secret Sheet'!E18)))&amp;TO_TEXT(round(RANDBETWEEN(100,1500)-('Duchies Secret Sheet'!E18)))"),"6540-5589")</f>
        <v>6540-5589</v>
      </c>
      <c r="H18" s="40">
        <f t="shared" ref="H18:I18" si="22">K18/3.5</f>
        <v>7175.7142857142853</v>
      </c>
      <c r="I18" s="37">
        <f t="shared" si="22"/>
        <v>339148</v>
      </c>
      <c r="J18" s="41">
        <f>'Duchies Import'!I18</f>
        <v>1212133</v>
      </c>
      <c r="K18" s="42">
        <f>'Duchies Import'!K18</f>
        <v>25115</v>
      </c>
      <c r="L18" s="42">
        <f>'Duchies Import'!J18</f>
        <v>1187018</v>
      </c>
      <c r="M18" s="43">
        <f t="shared" si="1"/>
        <v>2.07196735011752E-2</v>
      </c>
      <c r="N18" s="44">
        <f t="shared" si="2"/>
        <v>0.97928032649882479</v>
      </c>
      <c r="O18" s="42">
        <f t="shared" si="3"/>
        <v>320.97041999999999</v>
      </c>
      <c r="P18" s="45">
        <v>0.76</v>
      </c>
      <c r="Q18" s="42">
        <f t="shared" si="4"/>
        <v>225.53342000000001</v>
      </c>
      <c r="R18" s="46">
        <f t="shared" si="5"/>
        <v>95.437000000000012</v>
      </c>
      <c r="S18" s="31"/>
      <c r="T18" s="37">
        <f t="shared" si="6"/>
        <v>-19730.973200000004</v>
      </c>
      <c r="U18" s="31"/>
      <c r="V18" s="31"/>
      <c r="W18" s="31"/>
      <c r="X18" s="31"/>
      <c r="Y18" s="31"/>
      <c r="Z18" s="31"/>
      <c r="AA18" s="31"/>
    </row>
    <row r="19" spans="1:27" x14ac:dyDescent="0.2">
      <c r="A19" s="5" t="str">
        <f>'Duchies Import'!B:B</f>
        <v>Swiftme</v>
      </c>
      <c r="B19" s="31" t="str">
        <f>'Duchies Import'!C:C</f>
        <v>Swiftme</v>
      </c>
      <c r="C19" s="37" t="str">
        <f>'Ducal Economics'!B19</f>
        <v>Crownlands</v>
      </c>
      <c r="D19" s="37">
        <f>'Ducal Economics'!C19-'Ducal Economics'!D19</f>
        <v>-12630.654018571429</v>
      </c>
      <c r="E19" s="37">
        <v>-2675.886167142864</v>
      </c>
      <c r="F19" s="37">
        <f>'Duchies Secret Sheet'!C19:C62</f>
        <v>7500</v>
      </c>
      <c r="G19" s="36" t="str">
        <f ca="1">IFERROR(__xludf.DUMMYFUNCTION("TO_TEXT(round(RANDBETWEEN(100,3000)+('Duchies Secret Sheet'!E19)))&amp;TO_TEXT(round(RANDBETWEEN(100,1500)-('Duchies Secret Sheet'!E19)))"),"13124-11430")</f>
        <v>13124-11430</v>
      </c>
      <c r="H19" s="40">
        <f t="shared" ref="H19:I19" si="23">K19/3.5</f>
        <v>10590.857142857143</v>
      </c>
      <c r="I19" s="37">
        <f t="shared" si="23"/>
        <v>701065.14285714284</v>
      </c>
      <c r="J19" s="41">
        <f>'Duchies Import'!I19</f>
        <v>2490796</v>
      </c>
      <c r="K19" s="42">
        <f>'Duchies Import'!K19</f>
        <v>37068</v>
      </c>
      <c r="L19" s="42">
        <f>'Duchies Import'!J19</f>
        <v>2453728</v>
      </c>
      <c r="M19" s="43">
        <f t="shared" si="1"/>
        <v>1.4881989532663453E-2</v>
      </c>
      <c r="N19" s="44">
        <f t="shared" si="2"/>
        <v>0.98511801046733649</v>
      </c>
      <c r="O19" s="42">
        <f t="shared" si="3"/>
        <v>607.06672000000003</v>
      </c>
      <c r="P19" s="45">
        <v>0.76</v>
      </c>
      <c r="Q19" s="42">
        <f t="shared" si="4"/>
        <v>466.20832000000001</v>
      </c>
      <c r="R19" s="46">
        <f t="shared" si="5"/>
        <v>140.85840000000002</v>
      </c>
      <c r="S19" s="31"/>
      <c r="T19" s="37">
        <f t="shared" si="6"/>
        <v>-15306.540185714293</v>
      </c>
      <c r="U19" s="31"/>
      <c r="V19" s="31"/>
      <c r="W19" s="31"/>
      <c r="X19" s="31"/>
      <c r="Y19" s="31"/>
      <c r="Z19" s="31"/>
      <c r="AA19" s="31"/>
    </row>
    <row r="20" spans="1:27" x14ac:dyDescent="0.2">
      <c r="A20" s="5" t="str">
        <f>'Duchies Import'!B:B</f>
        <v>Heartwell</v>
      </c>
      <c r="B20" s="31" t="str">
        <f>'Duchies Import'!C:C</f>
        <v>Heartwell</v>
      </c>
      <c r="C20" s="37" t="str">
        <f>'Ducal Economics'!B20</f>
        <v>Crownlands</v>
      </c>
      <c r="D20" s="37">
        <f>'Ducal Economics'!C20-'Ducal Economics'!D20</f>
        <v>1783.8763099999994</v>
      </c>
      <c r="E20" s="37">
        <v>30054.886789999997</v>
      </c>
      <c r="F20" s="37">
        <f>'Duchies Secret Sheet'!C20:C63</f>
        <v>1000</v>
      </c>
      <c r="G20" s="36" t="str">
        <f ca="1">IFERROR(__xludf.DUMMYFUNCTION("TO_TEXT(round(RANDBETWEEN(100,3000)+('Duchies Secret Sheet'!E20)))&amp;TO_TEXT(round(RANDBETWEEN(100,1500)-('Duchies Secret Sheet'!E20)))"),"2061-1136")</f>
        <v>2061-1136</v>
      </c>
      <c r="H20" s="40">
        <f t="shared" ref="H20:I20" si="24">K20/3.5</f>
        <v>28602.571428571428</v>
      </c>
      <c r="I20" s="37">
        <f t="shared" si="24"/>
        <v>75322</v>
      </c>
      <c r="J20" s="41">
        <f>'Duchies Import'!I20</f>
        <v>363736</v>
      </c>
      <c r="K20" s="42">
        <f>'Duchies Import'!K20</f>
        <v>100109</v>
      </c>
      <c r="L20" s="42">
        <f>'Duchies Import'!J20</f>
        <v>263627</v>
      </c>
      <c r="M20" s="43">
        <f t="shared" si="1"/>
        <v>0.27522433853124245</v>
      </c>
      <c r="N20" s="44">
        <f t="shared" si="2"/>
        <v>0.7247756614687576</v>
      </c>
      <c r="O20" s="42">
        <f t="shared" si="3"/>
        <v>430.50333000000001</v>
      </c>
      <c r="P20" s="45">
        <v>0.76</v>
      </c>
      <c r="Q20" s="42">
        <f t="shared" si="4"/>
        <v>50.089129999999997</v>
      </c>
      <c r="R20" s="46">
        <f t="shared" si="5"/>
        <v>380.41419999999999</v>
      </c>
      <c r="S20" s="31"/>
      <c r="T20" s="37">
        <f t="shared" si="6"/>
        <v>31838.763099999996</v>
      </c>
      <c r="U20" s="31"/>
      <c r="V20" s="31"/>
      <c r="W20" s="31"/>
      <c r="X20" s="31"/>
      <c r="Y20" s="31"/>
      <c r="Z20" s="31"/>
      <c r="AA20" s="31"/>
    </row>
    <row r="21" spans="1:27" x14ac:dyDescent="0.2">
      <c r="A21" s="5" t="str">
        <f>'Duchies Import'!B:B</f>
        <v>Pearlpass</v>
      </c>
      <c r="B21" s="31" t="str">
        <f>'Duchies Import'!C:C</f>
        <v>Pearlpass</v>
      </c>
      <c r="C21" s="37" t="str">
        <f>'Ducal Economics'!B21</f>
        <v>Dreghold</v>
      </c>
      <c r="D21" s="37">
        <f>'Ducal Economics'!C21-'Ducal Economics'!D21</f>
        <v>2734.5407645638511</v>
      </c>
      <c r="E21" s="37">
        <v>29600.767190151557</v>
      </c>
      <c r="F21" s="37">
        <f>'Duchies Secret Sheet'!C21:C64</f>
        <v>0</v>
      </c>
      <c r="G21" s="36" t="str">
        <f ca="1">IFERROR(__xludf.DUMMYFUNCTION("TO_TEXT(round(RANDBETWEEN(100,3000)+('Duchies Secret Sheet'!E21)))&amp;TO_TEXT(round(RANDBETWEEN(100,1500)-('Duchies Secret Sheet'!E21)))"),"7738-5184")</f>
        <v>7738-5184</v>
      </c>
      <c r="H21" s="40">
        <f t="shared" ref="H21:I21" si="25">K21/3.5</f>
        <v>6772.8571428571431</v>
      </c>
      <c r="I21" s="37">
        <f t="shared" si="25"/>
        <v>907391.14285714284</v>
      </c>
      <c r="J21" s="41">
        <f>'Duchies Import'!I21</f>
        <v>3199574</v>
      </c>
      <c r="K21" s="42">
        <f>'Duchies Import'!K21</f>
        <v>23705</v>
      </c>
      <c r="L21" s="42">
        <f>'Duchies Import'!J21</f>
        <v>3175869</v>
      </c>
      <c r="M21" s="43">
        <f t="shared" si="1"/>
        <v>7.4087987963397627E-3</v>
      </c>
      <c r="N21" s="44">
        <f t="shared" si="2"/>
        <v>0.99259120120366029</v>
      </c>
      <c r="O21" s="42">
        <f t="shared" si="3"/>
        <v>656.99441999999988</v>
      </c>
      <c r="P21" s="45">
        <v>0.72</v>
      </c>
      <c r="Q21" s="42">
        <f t="shared" si="4"/>
        <v>571.65641999999991</v>
      </c>
      <c r="R21" s="46">
        <f t="shared" si="5"/>
        <v>85.337999999999994</v>
      </c>
      <c r="S21" s="31"/>
      <c r="T21" s="37">
        <f t="shared" si="6"/>
        <v>32335.307954715408</v>
      </c>
      <c r="U21" s="31"/>
      <c r="V21" s="31"/>
      <c r="W21" s="31"/>
      <c r="X21" s="31"/>
      <c r="Y21" s="31"/>
      <c r="Z21" s="31"/>
      <c r="AA21" s="31"/>
    </row>
    <row r="22" spans="1:27" x14ac:dyDescent="0.2">
      <c r="A22" s="5" t="str">
        <f>'Duchies Import'!B:B</f>
        <v>Prince's Boot</v>
      </c>
      <c r="B22" s="31" t="str">
        <f>'Duchies Import'!C:C</f>
        <v>Draven</v>
      </c>
      <c r="C22" s="37" t="str">
        <f>'Ducal Economics'!B22</f>
        <v>Dreghold</v>
      </c>
      <c r="D22" s="37">
        <f>'Ducal Economics'!C22-'Ducal Economics'!D22</f>
        <v>1000.5226685714287</v>
      </c>
      <c r="E22" s="37">
        <v>1510.7040171428594</v>
      </c>
      <c r="F22" s="37">
        <f>'Duchies Secret Sheet'!C22:C65</f>
        <v>0</v>
      </c>
      <c r="G22" s="36" t="str">
        <f ca="1">IFERROR(__xludf.DUMMYFUNCTION("TO_TEXT(round(RANDBETWEEN(100,3000)+('Duchies Secret Sheet'!E22)))&amp;TO_TEXT(round(RANDBETWEEN(100,1500)-('Duchies Secret Sheet'!E22)))"),"9291-6575")</f>
        <v>9291-6575</v>
      </c>
      <c r="H22" s="40">
        <f t="shared" ref="H22:I22" si="26">K22/3.5</f>
        <v>933.71428571428567</v>
      </c>
      <c r="I22" s="37">
        <f t="shared" si="26"/>
        <v>429714.85714285716</v>
      </c>
      <c r="J22" s="41">
        <f>'Duchies Import'!I22</f>
        <v>1507269</v>
      </c>
      <c r="K22" s="42">
        <f>'Duchies Import'!K22</f>
        <v>3268</v>
      </c>
      <c r="L22" s="42">
        <f>'Duchies Import'!J22</f>
        <v>1504002</v>
      </c>
      <c r="M22" s="43">
        <f t="shared" si="1"/>
        <v>2.1681597644481508E-3</v>
      </c>
      <c r="N22" s="44">
        <f t="shared" si="2"/>
        <v>0.99783250368713217</v>
      </c>
      <c r="O22" s="42">
        <f t="shared" si="3"/>
        <v>282.48515999999995</v>
      </c>
      <c r="P22" s="45">
        <v>0.72</v>
      </c>
      <c r="Q22" s="42">
        <f t="shared" si="4"/>
        <v>270.72035999999997</v>
      </c>
      <c r="R22" s="46">
        <f t="shared" si="5"/>
        <v>11.764800000000001</v>
      </c>
      <c r="S22" s="31"/>
      <c r="T22" s="37">
        <f t="shared" si="6"/>
        <v>2511.2266857142881</v>
      </c>
      <c r="U22" s="31"/>
      <c r="V22" s="31"/>
      <c r="W22" s="31"/>
      <c r="X22" s="31"/>
      <c r="Y22" s="31"/>
      <c r="Z22" s="31"/>
      <c r="AA22" s="31"/>
    </row>
    <row r="23" spans="1:27" x14ac:dyDescent="0.2">
      <c r="A23" s="5" t="str">
        <f>'Duchies Import'!B:B</f>
        <v>Swan's Reach</v>
      </c>
      <c r="B23" s="31" t="str">
        <f>'Duchies Import'!C:C</f>
        <v>Swangeld</v>
      </c>
      <c r="C23" s="37" t="str">
        <f>'Ducal Economics'!B23</f>
        <v>Dreghold</v>
      </c>
      <c r="D23" s="37">
        <f>'Ducal Economics'!C23-'Ducal Economics'!D23</f>
        <v>-6234.1523957142872</v>
      </c>
      <c r="E23" s="37">
        <v>-6741.7715614285698</v>
      </c>
      <c r="F23" s="37">
        <f>'Duchies Secret Sheet'!C23:C66</f>
        <v>4300</v>
      </c>
      <c r="G23" s="36" t="str">
        <f ca="1">IFERROR(__xludf.DUMMYFUNCTION("TO_TEXT(round(RANDBETWEEN(100,3000)+('Duchies Secret Sheet'!E23)))&amp;TO_TEXT(round(RANDBETWEEN(100,1500)-('Duchies Secret Sheet'!E23)))"),"15557-11934")</f>
        <v>15557-11934</v>
      </c>
      <c r="H23" s="40">
        <f t="shared" ref="H23:I23" si="27">K23/3.5</f>
        <v>8056</v>
      </c>
      <c r="I23" s="37">
        <f t="shared" si="27"/>
        <v>799389.42857142852</v>
      </c>
      <c r="J23" s="41">
        <f>'Duchies Import'!I23</f>
        <v>2826059</v>
      </c>
      <c r="K23" s="42">
        <f>'Duchies Import'!K23</f>
        <v>28196</v>
      </c>
      <c r="L23" s="42">
        <f>'Duchies Import'!J23</f>
        <v>2797863</v>
      </c>
      <c r="M23" s="43">
        <f t="shared" si="1"/>
        <v>9.9771448508329096E-3</v>
      </c>
      <c r="N23" s="44">
        <f t="shared" si="2"/>
        <v>0.9900228551491671</v>
      </c>
      <c r="O23" s="42">
        <f t="shared" si="3"/>
        <v>605.12094000000002</v>
      </c>
      <c r="P23" s="45">
        <v>0.72</v>
      </c>
      <c r="Q23" s="42">
        <f t="shared" si="4"/>
        <v>503.61534</v>
      </c>
      <c r="R23" s="46">
        <f t="shared" si="5"/>
        <v>101.5056</v>
      </c>
      <c r="S23" s="31"/>
      <c r="T23" s="37">
        <f t="shared" si="6"/>
        <v>-12975.923957142857</v>
      </c>
      <c r="U23" s="31"/>
      <c r="V23" s="31"/>
      <c r="W23" s="31"/>
      <c r="X23" s="31"/>
      <c r="Y23" s="31"/>
      <c r="Z23" s="31"/>
      <c r="AA23" s="31"/>
    </row>
    <row r="24" spans="1:27" x14ac:dyDescent="0.2">
      <c r="A24" s="5" t="str">
        <f>'Duchies Import'!B:B</f>
        <v>Malhold</v>
      </c>
      <c r="B24" s="31" t="str">
        <f>'Duchies Import'!C:C</f>
        <v>Malhold</v>
      </c>
      <c r="C24" s="37" t="str">
        <f>'Ducal Economics'!B24</f>
        <v>Dreghold</v>
      </c>
      <c r="D24" s="37">
        <f>'Ducal Economics'!C24-'Ducal Economics'!D24</f>
        <v>-11576.387742857143</v>
      </c>
      <c r="E24" s="37">
        <v>2601.310314285709</v>
      </c>
      <c r="F24" s="37">
        <f>'Duchies Secret Sheet'!C24:C67</f>
        <v>6974</v>
      </c>
      <c r="G24" s="36" t="str">
        <f ca="1">IFERROR(__xludf.DUMMYFUNCTION("TO_TEXT(round(RANDBETWEEN(100,3000)+('Duchies Secret Sheet'!E24)))&amp;TO_TEXT(round(RANDBETWEEN(100,1500)-('Duchies Secret Sheet'!E24)))"),"7127-6081")</f>
        <v>7127-6081</v>
      </c>
      <c r="H24" s="40">
        <f t="shared" ref="H24:I24" si="28">K24/3.5</f>
        <v>25764.285714285714</v>
      </c>
      <c r="I24" s="37">
        <f t="shared" si="28"/>
        <v>372775.71428571426</v>
      </c>
      <c r="J24" s="41">
        <f>'Duchies Import'!I24</f>
        <v>1394890</v>
      </c>
      <c r="K24" s="42">
        <f>'Duchies Import'!K24</f>
        <v>90175</v>
      </c>
      <c r="L24" s="42">
        <f>'Duchies Import'!J24</f>
        <v>1304715</v>
      </c>
      <c r="M24" s="43">
        <f t="shared" si="1"/>
        <v>6.464667464818015E-2</v>
      </c>
      <c r="N24" s="44">
        <f t="shared" si="2"/>
        <v>0.93535332535181981</v>
      </c>
      <c r="O24" s="42">
        <f t="shared" si="3"/>
        <v>559.4787</v>
      </c>
      <c r="P24" s="45">
        <v>0.72</v>
      </c>
      <c r="Q24" s="42">
        <f t="shared" si="4"/>
        <v>234.84869999999998</v>
      </c>
      <c r="R24" s="46">
        <f t="shared" si="5"/>
        <v>324.63</v>
      </c>
      <c r="S24" s="31"/>
      <c r="T24" s="37">
        <f t="shared" si="6"/>
        <v>-8975.0774285714342</v>
      </c>
      <c r="U24" s="31"/>
      <c r="V24" s="31"/>
      <c r="W24" s="31"/>
      <c r="X24" s="31"/>
      <c r="Y24" s="31"/>
      <c r="Z24" s="31"/>
      <c r="AA24" s="31"/>
    </row>
    <row r="25" spans="1:27" x14ac:dyDescent="0.2">
      <c r="A25" s="5" t="str">
        <f>'Duchies Import'!B:B</f>
        <v>Westleden</v>
      </c>
      <c r="B25" s="31" t="str">
        <f>'Duchies Import'!C:C</f>
        <v>Westleden</v>
      </c>
      <c r="C25" s="37" t="str">
        <f>'Ducal Economics'!B25</f>
        <v>Dreghold</v>
      </c>
      <c r="D25" s="37">
        <f>'Ducal Economics'!C25-'Ducal Economics'!D25</f>
        <v>-12110.879012857142</v>
      </c>
      <c r="E25" s="37">
        <v>-8193.1111157142841</v>
      </c>
      <c r="F25" s="37">
        <f>'Duchies Secret Sheet'!C25:C68</f>
        <v>6600</v>
      </c>
      <c r="G25" s="36" t="str">
        <f ca="1">IFERROR(__xludf.DUMMYFUNCTION("TO_TEXT(round(RANDBETWEEN(100,3000)+('Duchies Secret Sheet'!E25)))&amp;TO_TEXT(round(RANDBETWEEN(100,1500)-('Duchies Secret Sheet'!E25)))"),"8700-5305")</f>
        <v>8700-5305</v>
      </c>
      <c r="H25" s="40">
        <f t="shared" ref="H25:I25" si="29">K25/3.5</f>
        <v>5765.7142857142853</v>
      </c>
      <c r="I25" s="37">
        <f t="shared" si="29"/>
        <v>372313.71428571426</v>
      </c>
      <c r="J25" s="41">
        <f>'Duchies Import'!I25</f>
        <v>1323278</v>
      </c>
      <c r="K25" s="42">
        <f>'Duchies Import'!K25</f>
        <v>20180</v>
      </c>
      <c r="L25" s="42">
        <f>'Duchies Import'!J25</f>
        <v>1303098</v>
      </c>
      <c r="M25" s="43">
        <f t="shared" si="1"/>
        <v>1.52500079348406E-2</v>
      </c>
      <c r="N25" s="44">
        <f t="shared" si="2"/>
        <v>0.98474999206515945</v>
      </c>
      <c r="O25" s="42">
        <f t="shared" si="3"/>
        <v>307.20564000000002</v>
      </c>
      <c r="P25" s="45">
        <v>0.72</v>
      </c>
      <c r="Q25" s="42">
        <f t="shared" si="4"/>
        <v>234.55763999999999</v>
      </c>
      <c r="R25" s="46">
        <f t="shared" si="5"/>
        <v>72.64800000000001</v>
      </c>
      <c r="S25" s="31"/>
      <c r="T25" s="37">
        <f t="shared" si="6"/>
        <v>-20303.990128571426</v>
      </c>
      <c r="U25" s="31"/>
      <c r="V25" s="31"/>
      <c r="W25" s="31"/>
      <c r="X25" s="31"/>
      <c r="Y25" s="31"/>
      <c r="Z25" s="31"/>
      <c r="AA25" s="31"/>
    </row>
    <row r="26" spans="1:27" x14ac:dyDescent="0.2">
      <c r="A26" s="5" t="str">
        <f>'Duchies Import'!B:B</f>
        <v>Shurestar</v>
      </c>
      <c r="B26" s="31" t="str">
        <f>'Duchies Import'!C:C</f>
        <v>Shurestar</v>
      </c>
      <c r="C26" s="37" t="str">
        <f>'Ducal Economics'!B26</f>
        <v>Dreghold</v>
      </c>
      <c r="D26" s="37">
        <f>'Ducal Economics'!C26-'Ducal Economics'!D26</f>
        <v>-10487.884122857144</v>
      </c>
      <c r="E26" s="37">
        <v>-2954.3171057142881</v>
      </c>
      <c r="F26" s="37">
        <f>'Duchies Secret Sheet'!C26:C69</f>
        <v>5992</v>
      </c>
      <c r="G26" s="36" t="str">
        <f ca="1">IFERROR(__xludf.DUMMYFUNCTION("TO_TEXT(round(RANDBETWEEN(100,3000)+('Duchies Secret Sheet'!E26)))&amp;TO_TEXT(round(RANDBETWEEN(100,1500)-('Duchies Secret Sheet'!E26)))"),"7300-5738")</f>
        <v>7300-5738</v>
      </c>
      <c r="H26" s="40">
        <f t="shared" ref="H26:I26" si="30">K26/3.5</f>
        <v>12832.285714285714</v>
      </c>
      <c r="I26" s="37">
        <f t="shared" si="30"/>
        <v>329549.71428571426</v>
      </c>
      <c r="J26" s="41">
        <f>'Duchies Import'!I26</f>
        <v>1198337</v>
      </c>
      <c r="K26" s="42">
        <f>'Duchies Import'!K26</f>
        <v>44913</v>
      </c>
      <c r="L26" s="42">
        <f>'Duchies Import'!J26</f>
        <v>1153424</v>
      </c>
      <c r="M26" s="43">
        <f t="shared" si="1"/>
        <v>3.7479440257623689E-2</v>
      </c>
      <c r="N26" s="44">
        <f t="shared" si="2"/>
        <v>0.96252055974237627</v>
      </c>
      <c r="O26" s="42">
        <f t="shared" si="3"/>
        <v>369.30311999999998</v>
      </c>
      <c r="P26" s="45">
        <v>0.72</v>
      </c>
      <c r="Q26" s="42">
        <f t="shared" si="4"/>
        <v>207.61631999999997</v>
      </c>
      <c r="R26" s="46">
        <f t="shared" si="5"/>
        <v>161.68680000000001</v>
      </c>
      <c r="S26" s="31"/>
      <c r="T26" s="37">
        <f t="shared" si="6"/>
        <v>-13442.201228571432</v>
      </c>
      <c r="U26" s="31"/>
      <c r="V26" s="31"/>
      <c r="W26" s="31"/>
      <c r="X26" s="31"/>
      <c r="Y26" s="31"/>
      <c r="Z26" s="31"/>
      <c r="AA26" s="31"/>
    </row>
    <row r="27" spans="1:27" x14ac:dyDescent="0.2">
      <c r="A27" s="5" t="str">
        <f>'Duchies Import'!B:B</f>
        <v>Raven's Reach</v>
      </c>
      <c r="B27" s="31" t="str">
        <f>'Duchies Import'!C:C</f>
        <v>Westle</v>
      </c>
      <c r="C27" s="37" t="str">
        <f>'Ducal Economics'!B27</f>
        <v>Swanhall</v>
      </c>
      <c r="D27" s="37">
        <f>'Ducal Economics'!C27-'Ducal Economics'!D27</f>
        <v>2419.9199971428575</v>
      </c>
      <c r="E27" s="37">
        <v>27779.279974285713</v>
      </c>
      <c r="F27" s="37">
        <f>'Duchies Secret Sheet'!C27:C70</f>
        <v>0</v>
      </c>
      <c r="G27" s="36" t="str">
        <f ca="1">IFERROR(__xludf.DUMMYFUNCTION("TO_TEXT(round(RANDBETWEEN(100,3000)+('Duchies Secret Sheet'!E27)))&amp;TO_TEXT(round(RANDBETWEEN(100,1500)-('Duchies Secret Sheet'!E27)))"),"11613-8176")</f>
        <v>11613-8176</v>
      </c>
      <c r="H27" s="40">
        <f t="shared" ref="H27:I27" si="31">K27/3.5</f>
        <v>11928</v>
      </c>
      <c r="I27" s="37">
        <f t="shared" si="31"/>
        <v>527581.71428571432</v>
      </c>
      <c r="J27" s="41">
        <f>'Duchies Import'!I27</f>
        <v>1888284</v>
      </c>
      <c r="K27" s="42">
        <f>'Duchies Import'!K27</f>
        <v>41748</v>
      </c>
      <c r="L27" s="42">
        <f>'Duchies Import'!J27</f>
        <v>1846536</v>
      </c>
      <c r="M27" s="43">
        <f t="shared" si="1"/>
        <v>2.210896242302535E-2</v>
      </c>
      <c r="N27" s="44">
        <f t="shared" si="2"/>
        <v>0.9778910375769746</v>
      </c>
      <c r="O27" s="42">
        <f t="shared" si="3"/>
        <v>536.29920000000004</v>
      </c>
      <c r="P27" s="45">
        <v>0.8</v>
      </c>
      <c r="Q27" s="42">
        <f t="shared" si="4"/>
        <v>369.30720000000002</v>
      </c>
      <c r="R27" s="46">
        <f t="shared" si="5"/>
        <v>166.99200000000002</v>
      </c>
      <c r="S27" s="31"/>
      <c r="T27" s="37">
        <f t="shared" si="6"/>
        <v>30199.19997142857</v>
      </c>
      <c r="U27" s="31"/>
      <c r="V27" s="31"/>
      <c r="W27" s="31"/>
      <c r="X27" s="31"/>
      <c r="Y27" s="31"/>
      <c r="Z27" s="31"/>
      <c r="AA27" s="31"/>
    </row>
    <row r="28" spans="1:27" x14ac:dyDescent="0.2">
      <c r="A28" s="5" t="str">
        <f>'Duchies Import'!B:B</f>
        <v>Northfold</v>
      </c>
      <c r="B28" s="31" t="str">
        <f>'Duchies Import'!C:C</f>
        <v>Northfold Manor</v>
      </c>
      <c r="C28" s="37" t="str">
        <f>'Ducal Economics'!B28</f>
        <v>Swanhall</v>
      </c>
      <c r="D28" s="37">
        <f>'Ducal Economics'!C28-'Ducal Economics'!D28</f>
        <v>782.41535142857151</v>
      </c>
      <c r="E28" s="37">
        <v>13041.738162857146</v>
      </c>
      <c r="F28" s="37">
        <f>'Duchies Secret Sheet'!C28:C71</f>
        <v>0</v>
      </c>
      <c r="G28" s="36" t="str">
        <f ca="1">IFERROR(__xludf.DUMMYFUNCTION("TO_TEXT(round(RANDBETWEEN(100,3000)+('Duchies Secret Sheet'!E28)))&amp;TO_TEXT(round(RANDBETWEEN(100,1500)-('Duchies Secret Sheet'!E28)))"),"5000-1613")</f>
        <v>5000-1613</v>
      </c>
      <c r="H28" s="40">
        <f t="shared" ref="H28:I28" si="32">K28/3.5</f>
        <v>6694.2857142857147</v>
      </c>
      <c r="I28" s="37">
        <f t="shared" si="32"/>
        <v>121411.14285714286</v>
      </c>
      <c r="J28" s="41">
        <f>'Duchies Import'!I28</f>
        <v>448368</v>
      </c>
      <c r="K28" s="42">
        <f>'Duchies Import'!K28</f>
        <v>23430</v>
      </c>
      <c r="L28" s="42">
        <f>'Duchies Import'!J28</f>
        <v>424939</v>
      </c>
      <c r="M28" s="43">
        <f t="shared" si="1"/>
        <v>5.2256182421582274E-2</v>
      </c>
      <c r="N28" s="44">
        <f t="shared" si="2"/>
        <v>0.94774604788923389</v>
      </c>
      <c r="O28" s="42">
        <f t="shared" si="3"/>
        <v>178.70780000000002</v>
      </c>
      <c r="P28" s="45">
        <v>0.8</v>
      </c>
      <c r="Q28" s="42">
        <f t="shared" si="4"/>
        <v>84.987800000000007</v>
      </c>
      <c r="R28" s="46">
        <f t="shared" si="5"/>
        <v>93.72</v>
      </c>
      <c r="S28" s="31"/>
      <c r="T28" s="37">
        <f t="shared" si="6"/>
        <v>13824.153514285717</v>
      </c>
      <c r="U28" s="31"/>
      <c r="V28" s="31"/>
      <c r="W28" s="31"/>
      <c r="X28" s="31"/>
      <c r="Y28" s="31"/>
      <c r="Z28" s="31"/>
      <c r="AA28" s="31"/>
    </row>
    <row r="29" spans="1:27" x14ac:dyDescent="0.2">
      <c r="A29" s="5" t="str">
        <f>'Duchies Import'!B:B</f>
        <v>Blackstone</v>
      </c>
      <c r="B29" s="31" t="str">
        <f>'Duchies Import'!C:C</f>
        <v>Anhelm</v>
      </c>
      <c r="C29" s="37" t="str">
        <f>'Ducal Economics'!B29</f>
        <v>Swanhall</v>
      </c>
      <c r="D29" s="37">
        <f>'Ducal Economics'!C29-'Ducal Economics'!D29</f>
        <v>2985.5750300000004</v>
      </c>
      <c r="E29" s="37">
        <v>32870.17527</v>
      </c>
      <c r="F29" s="37">
        <f>'Duchies Secret Sheet'!C29:C72</f>
        <v>0</v>
      </c>
      <c r="G29" s="36" t="str">
        <f ca="1">IFERROR(__xludf.DUMMYFUNCTION("TO_TEXT(round(RANDBETWEEN(100,3000)+('Duchies Secret Sheet'!E29)))&amp;TO_TEXT(round(RANDBETWEEN(100,1500)-('Duchies Secret Sheet'!E29)))"),"11584-9048")</f>
        <v>11584-9048</v>
      </c>
      <c r="H29" s="40">
        <f t="shared" ref="H29:I29" si="33">K29/3.5</f>
        <v>16136.571428571429</v>
      </c>
      <c r="I29" s="37">
        <f t="shared" si="33"/>
        <v>585954</v>
      </c>
      <c r="J29" s="41">
        <f>'Duchies Import'!I29</f>
        <v>2107318</v>
      </c>
      <c r="K29" s="42">
        <f>'Duchies Import'!K29</f>
        <v>56478</v>
      </c>
      <c r="L29" s="42">
        <f>'Duchies Import'!J29</f>
        <v>2050839</v>
      </c>
      <c r="M29" s="43">
        <f t="shared" si="1"/>
        <v>2.680089099034887E-2</v>
      </c>
      <c r="N29" s="44">
        <f t="shared" si="2"/>
        <v>0.97319863447282284</v>
      </c>
      <c r="O29" s="42">
        <f t="shared" si="3"/>
        <v>636.07980000000009</v>
      </c>
      <c r="P29" s="45">
        <v>0.8</v>
      </c>
      <c r="Q29" s="42">
        <f t="shared" si="4"/>
        <v>410.16780000000006</v>
      </c>
      <c r="R29" s="46">
        <f t="shared" si="5"/>
        <v>225.91200000000001</v>
      </c>
      <c r="S29" s="31"/>
      <c r="T29" s="37">
        <f t="shared" si="6"/>
        <v>35855.7503</v>
      </c>
      <c r="U29" s="31"/>
      <c r="V29" s="31"/>
      <c r="W29" s="31"/>
      <c r="X29" s="31"/>
      <c r="Y29" s="31"/>
      <c r="Z29" s="31"/>
      <c r="AA29" s="31"/>
    </row>
    <row r="30" spans="1:27" x14ac:dyDescent="0.2">
      <c r="A30" s="5" t="str">
        <f>'Duchies Import'!B:B</f>
        <v>Ravenmark</v>
      </c>
      <c r="B30" s="31" t="str">
        <f>'Duchies Import'!C:C</f>
        <v>Blackfeather Hall</v>
      </c>
      <c r="C30" s="37" t="str">
        <f>'Ducal Economics'!B30</f>
        <v>Swanhall</v>
      </c>
      <c r="D30" s="37">
        <f>'Ducal Economics'!C30-'Ducal Economics'!D30</f>
        <v>1082.1620600000001</v>
      </c>
      <c r="E30" s="37">
        <v>15739.458540000005</v>
      </c>
      <c r="F30" s="37">
        <f>'Duchies Secret Sheet'!C30:C73</f>
        <v>0</v>
      </c>
      <c r="G30" s="36" t="str">
        <f ca="1">IFERROR(__xludf.DUMMYFUNCTION("TO_TEXT(round(RANDBETWEEN(100,3000)+('Duchies Secret Sheet'!E30)))&amp;TO_TEXT(round(RANDBETWEEN(100,1500)-('Duchies Secret Sheet'!E30)))"),"4411-2724")</f>
        <v>4411-2724</v>
      </c>
      <c r="H30" s="40">
        <f t="shared" ref="H30:I30" si="34">K30/3.5</f>
        <v>7136.2857142857147</v>
      </c>
      <c r="I30" s="37">
        <f t="shared" si="34"/>
        <v>225574</v>
      </c>
      <c r="J30" s="41">
        <f>'Duchies Import'!I30</f>
        <v>814486</v>
      </c>
      <c r="K30" s="42">
        <f>'Duchies Import'!K30</f>
        <v>24977</v>
      </c>
      <c r="L30" s="42">
        <f>'Duchies Import'!J30</f>
        <v>789509</v>
      </c>
      <c r="M30" s="43">
        <f t="shared" si="1"/>
        <v>3.0665966020287642E-2</v>
      </c>
      <c r="N30" s="44">
        <f t="shared" si="2"/>
        <v>0.96933403397971241</v>
      </c>
      <c r="O30" s="42">
        <f t="shared" si="3"/>
        <v>257.8098</v>
      </c>
      <c r="P30" s="45">
        <v>0.8</v>
      </c>
      <c r="Q30" s="42">
        <f t="shared" si="4"/>
        <v>157.90180000000001</v>
      </c>
      <c r="R30" s="46">
        <f t="shared" si="5"/>
        <v>99.908000000000015</v>
      </c>
      <c r="S30" s="31"/>
      <c r="T30" s="37">
        <f t="shared" si="6"/>
        <v>16821.620600000006</v>
      </c>
      <c r="U30" s="31"/>
      <c r="V30" s="31"/>
      <c r="W30" s="31"/>
      <c r="X30" s="31"/>
      <c r="Y30" s="31"/>
      <c r="Z30" s="31"/>
      <c r="AA30" s="31"/>
    </row>
    <row r="31" spans="1:27" x14ac:dyDescent="0.2">
      <c r="A31" s="5" t="str">
        <f>'Duchies Import'!B:B</f>
        <v>Wet Shoor</v>
      </c>
      <c r="B31" s="31" t="str">
        <f>'Duchies Import'!C:C</f>
        <v>Shaterse</v>
      </c>
      <c r="C31" s="37" t="str">
        <f>'Ducal Economics'!B31</f>
        <v>Swanhall</v>
      </c>
      <c r="D31" s="37">
        <f>'Ducal Economics'!C31-'Ducal Economics'!D31</f>
        <v>718.66886000000011</v>
      </c>
      <c r="E31" s="37">
        <v>12468.019739999998</v>
      </c>
      <c r="F31" s="37">
        <f>'Duchies Secret Sheet'!C31:C74</f>
        <v>0</v>
      </c>
      <c r="G31" s="36" t="str">
        <f ca="1">IFERROR(__xludf.DUMMYFUNCTION("TO_TEXT(round(RANDBETWEEN(100,3000)+('Duchies Secret Sheet'!E31)))&amp;TO_TEXT(round(RANDBETWEEN(100,1500)-('Duchies Secret Sheet'!E31)))"),"6819-4762")</f>
        <v>6819-4762</v>
      </c>
      <c r="H31" s="40">
        <f t="shared" ref="H31:I31" si="35">K31/3.5</f>
        <v>4313.1428571428569</v>
      </c>
      <c r="I31" s="37">
        <f t="shared" si="35"/>
        <v>317570</v>
      </c>
      <c r="J31" s="41">
        <f>'Duchies Import'!I31</f>
        <v>1126591</v>
      </c>
      <c r="K31" s="42">
        <f>'Duchies Import'!K31</f>
        <v>15096</v>
      </c>
      <c r="L31" s="42">
        <f>'Duchies Import'!J31</f>
        <v>1111495</v>
      </c>
      <c r="M31" s="43">
        <f t="shared" si="1"/>
        <v>1.3399716489835263E-2</v>
      </c>
      <c r="N31" s="44">
        <f t="shared" si="2"/>
        <v>0.98660028351016471</v>
      </c>
      <c r="O31" s="42">
        <f t="shared" si="3"/>
        <v>282.68299999999999</v>
      </c>
      <c r="P31" s="45">
        <v>0.8</v>
      </c>
      <c r="Q31" s="42">
        <f t="shared" si="4"/>
        <v>222.29900000000001</v>
      </c>
      <c r="R31" s="46">
        <f t="shared" si="5"/>
        <v>60.384000000000007</v>
      </c>
      <c r="S31" s="31"/>
      <c r="T31" s="37">
        <f t="shared" si="6"/>
        <v>13186.688599999998</v>
      </c>
      <c r="U31" s="31"/>
      <c r="V31" s="31"/>
      <c r="W31" s="31"/>
      <c r="X31" s="31"/>
      <c r="Y31" s="31"/>
      <c r="Z31" s="31"/>
      <c r="AA31" s="31"/>
    </row>
    <row r="32" spans="1:27" x14ac:dyDescent="0.2">
      <c r="A32" s="5" t="str">
        <f>'Duchies Import'!B:B</f>
        <v>Quickwatch</v>
      </c>
      <c r="B32" s="31" t="str">
        <f>'Duchies Import'!C:C</f>
        <v>Quickwatch</v>
      </c>
      <c r="C32" s="37" t="str">
        <f>'Ducal Economics'!B32</f>
        <v>Swanhall</v>
      </c>
      <c r="D32" s="37">
        <f>'Ducal Economics'!C32-'Ducal Economics'!D32</f>
        <v>2138.9187728571428</v>
      </c>
      <c r="E32" s="37">
        <v>25250.26895571428</v>
      </c>
      <c r="F32" s="37">
        <f>'Duchies Secret Sheet'!C32:C75</f>
        <v>0</v>
      </c>
      <c r="G32" s="36" t="str">
        <f ca="1">IFERROR(__xludf.DUMMYFUNCTION("TO_TEXT(round(RANDBETWEEN(100,3000)+('Duchies Secret Sheet'!E32)))&amp;TO_TEXT(round(RANDBETWEEN(100,1500)-('Duchies Secret Sheet'!E32)))"),"13409-10257")</f>
        <v>13409-10257</v>
      </c>
      <c r="H32" s="40">
        <f t="shared" ref="H32:I32" si="36">K32/3.5</f>
        <v>13266.285714285714</v>
      </c>
      <c r="I32" s="37">
        <f t="shared" si="36"/>
        <v>591470.28571428568</v>
      </c>
      <c r="J32" s="41">
        <f>'Duchies Import'!I32</f>
        <v>2116578</v>
      </c>
      <c r="K32" s="42">
        <f>'Duchies Import'!K32</f>
        <v>46432</v>
      </c>
      <c r="L32" s="42">
        <f>'Duchies Import'!J32</f>
        <v>2070146</v>
      </c>
      <c r="M32" s="43">
        <f t="shared" si="1"/>
        <v>2.1937296900941046E-2</v>
      </c>
      <c r="N32" s="44">
        <f t="shared" si="2"/>
        <v>0.97806270309905896</v>
      </c>
      <c r="O32" s="42">
        <f t="shared" si="3"/>
        <v>599.75720000000001</v>
      </c>
      <c r="P32" s="45">
        <v>0.8</v>
      </c>
      <c r="Q32" s="42">
        <f t="shared" si="4"/>
        <v>414.0292</v>
      </c>
      <c r="R32" s="46">
        <f t="shared" si="5"/>
        <v>185.72800000000001</v>
      </c>
      <c r="S32" s="31"/>
      <c r="T32" s="37">
        <f t="shared" si="6"/>
        <v>27389.187728571422</v>
      </c>
      <c r="U32" s="31"/>
      <c r="V32" s="31"/>
      <c r="W32" s="31"/>
      <c r="X32" s="31"/>
      <c r="Y32" s="31"/>
      <c r="Z32" s="31"/>
      <c r="AA32" s="31"/>
    </row>
    <row r="33" spans="1:27" x14ac:dyDescent="0.2">
      <c r="A33" s="5" t="str">
        <f>'Duchies Import'!B:B</f>
        <v>The Deepwood</v>
      </c>
      <c r="B33" s="31" t="str">
        <f>'Duchies Import'!C:C</f>
        <v>Deepmoor</v>
      </c>
      <c r="C33" s="37" t="str">
        <f>'Ducal Economics'!B33</f>
        <v>Swanhall</v>
      </c>
      <c r="D33" s="37">
        <f>'Ducal Economics'!C33-'Ducal Economics'!D33</f>
        <v>1601.8739157142859</v>
      </c>
      <c r="E33" s="37">
        <v>20416.865241428572</v>
      </c>
      <c r="F33" s="37">
        <f>'Duchies Secret Sheet'!C33:C76</f>
        <v>0</v>
      </c>
      <c r="G33" s="36" t="str">
        <f ca="1">IFERROR(__xludf.DUMMYFUNCTION("TO_TEXT(round(RANDBETWEEN(100,3000)+('Duchies Secret Sheet'!E33)))&amp;TO_TEXT(round(RANDBETWEEN(100,1500)-('Duchies Secret Sheet'!E33)))"),"6122-3429")</f>
        <v>6122-3429</v>
      </c>
      <c r="H33" s="40">
        <f t="shared" ref="H33:I33" si="37">K33/3.5</f>
        <v>10368.571428571429</v>
      </c>
      <c r="I33" s="37">
        <f t="shared" si="37"/>
        <v>234896.57142857142</v>
      </c>
      <c r="J33" s="41">
        <f>'Duchies Import'!I33</f>
        <v>858428</v>
      </c>
      <c r="K33" s="42">
        <f>'Duchies Import'!K33</f>
        <v>36290</v>
      </c>
      <c r="L33" s="42">
        <f>'Duchies Import'!J33</f>
        <v>822138</v>
      </c>
      <c r="M33" s="43">
        <f t="shared" si="1"/>
        <v>4.2274949092993237E-2</v>
      </c>
      <c r="N33" s="44">
        <f t="shared" si="2"/>
        <v>0.95772505090700677</v>
      </c>
      <c r="O33" s="42">
        <f t="shared" si="3"/>
        <v>309.58760000000001</v>
      </c>
      <c r="P33" s="45">
        <v>0.8</v>
      </c>
      <c r="Q33" s="42">
        <f t="shared" si="4"/>
        <v>164.42760000000001</v>
      </c>
      <c r="R33" s="46">
        <f t="shared" si="5"/>
        <v>145.16</v>
      </c>
      <c r="S33" s="31"/>
      <c r="T33" s="37">
        <f t="shared" si="6"/>
        <v>22018.739157142856</v>
      </c>
      <c r="U33" s="31"/>
      <c r="V33" s="31"/>
      <c r="W33" s="31"/>
      <c r="X33" s="31"/>
      <c r="Y33" s="31"/>
      <c r="Z33" s="31"/>
      <c r="AA33" s="31"/>
    </row>
    <row r="34" spans="1:27" x14ac:dyDescent="0.2">
      <c r="A34" s="5" t="str">
        <f>'Duchies Import'!B:B</f>
        <v>Swan's Shoor</v>
      </c>
      <c r="B34" s="31" t="str">
        <f>'Duchies Import'!C:C</f>
        <v>Swan's Shoor</v>
      </c>
      <c r="C34" s="37" t="str">
        <f>'Ducal Economics'!B34</f>
        <v>Swanhall</v>
      </c>
      <c r="D34" s="37">
        <f>'Ducal Economics'!C34-'Ducal Economics'!D34</f>
        <v>-7670.9127642857147</v>
      </c>
      <c r="E34" s="37">
        <v>16961.785121428577</v>
      </c>
      <c r="F34" s="37">
        <f>'Duchies Secret Sheet'!C34:C77</f>
        <v>5000</v>
      </c>
      <c r="G34" s="36" t="str">
        <f ca="1">IFERROR(__xludf.DUMMYFUNCTION("TO_TEXT(round(RANDBETWEEN(100,3000)+('Duchies Secret Sheet'!E34)))&amp;TO_TEXT(round(RANDBETWEEN(100,1500)-('Duchies Secret Sheet'!E34)))"),"6366-3768")</f>
        <v>6366-3768</v>
      </c>
      <c r="H34" s="40">
        <f t="shared" ref="H34:I34" si="38">K34/3.5</f>
        <v>20429.714285714286</v>
      </c>
      <c r="I34" s="37">
        <f t="shared" si="38"/>
        <v>270154.57142857142</v>
      </c>
      <c r="J34" s="41">
        <f>'Duchies Import'!I34</f>
        <v>1017045</v>
      </c>
      <c r="K34" s="42">
        <f>'Duchies Import'!K34</f>
        <v>71504</v>
      </c>
      <c r="L34" s="42">
        <f>'Duchies Import'!J34</f>
        <v>945541</v>
      </c>
      <c r="M34" s="43">
        <f t="shared" si="1"/>
        <v>7.0305640360062732E-2</v>
      </c>
      <c r="N34" s="44">
        <f t="shared" si="2"/>
        <v>0.9296943596399373</v>
      </c>
      <c r="O34" s="42">
        <f t="shared" si="3"/>
        <v>475.12420000000003</v>
      </c>
      <c r="P34" s="45">
        <v>0.8</v>
      </c>
      <c r="Q34" s="42">
        <f t="shared" si="4"/>
        <v>189.10820000000001</v>
      </c>
      <c r="R34" s="46">
        <f t="shared" si="5"/>
        <v>286.01600000000002</v>
      </c>
      <c r="S34" s="31"/>
      <c r="T34" s="37">
        <f t="shared" si="6"/>
        <v>9290.8723571428618</v>
      </c>
      <c r="U34" s="31"/>
      <c r="V34" s="31"/>
      <c r="W34" s="31"/>
      <c r="X34" s="31"/>
      <c r="Y34" s="31"/>
      <c r="Z34" s="31"/>
      <c r="AA34" s="31"/>
    </row>
    <row r="35" spans="1:27" x14ac:dyDescent="0.2">
      <c r="A35" s="5" t="str">
        <f>'Duchies Import'!B:B</f>
        <v>The Shield</v>
      </c>
      <c r="B35" s="31" t="str">
        <f>'Duchies Import'!C:C</f>
        <v>The Shield</v>
      </c>
      <c r="C35" s="37" t="str">
        <f>'Ducal Economics'!B35</f>
        <v>Swanhall</v>
      </c>
      <c r="D35" s="37">
        <f>'Ducal Economics'!C35-'Ducal Economics'!D35</f>
        <v>1735.081317142857</v>
      </c>
      <c r="E35" s="37">
        <v>21615.73185428571</v>
      </c>
      <c r="F35" s="37">
        <f>'Duchies Secret Sheet'!C35:C78</f>
        <v>0</v>
      </c>
      <c r="G35" s="36" t="str">
        <f ca="1">IFERROR(__xludf.DUMMYFUNCTION("TO_TEXT(round(RANDBETWEEN(100,3000)+('Duchies Secret Sheet'!E35)))&amp;TO_TEXT(round(RANDBETWEEN(100,1500)-('Duchies Secret Sheet'!E35)))"),"6663-5391")</f>
        <v>6663-5391</v>
      </c>
      <c r="H35" s="40">
        <f t="shared" ref="H35:I35" si="39">K35/3.5</f>
        <v>9838.5714285714294</v>
      </c>
      <c r="I35" s="37">
        <f t="shared" si="39"/>
        <v>358161.71428571426</v>
      </c>
      <c r="J35" s="41">
        <f>'Duchies Import'!I35</f>
        <v>1288001</v>
      </c>
      <c r="K35" s="42">
        <f>'Duchies Import'!K35</f>
        <v>34435</v>
      </c>
      <c r="L35" s="42">
        <f>'Duchies Import'!J35</f>
        <v>1253566</v>
      </c>
      <c r="M35" s="43">
        <f t="shared" si="1"/>
        <v>2.6735227690040612E-2</v>
      </c>
      <c r="N35" s="44">
        <f t="shared" si="2"/>
        <v>0.97326477230995934</v>
      </c>
      <c r="O35" s="42">
        <f t="shared" si="3"/>
        <v>388.45320000000004</v>
      </c>
      <c r="P35" s="45">
        <v>0.8</v>
      </c>
      <c r="Q35" s="42">
        <f t="shared" si="4"/>
        <v>250.71320000000003</v>
      </c>
      <c r="R35" s="46">
        <f t="shared" si="5"/>
        <v>137.74</v>
      </c>
      <c r="S35" s="31"/>
      <c r="T35" s="37">
        <f t="shared" si="6"/>
        <v>23350.813171428566</v>
      </c>
      <c r="U35" s="31"/>
      <c r="V35" s="31"/>
      <c r="W35" s="31"/>
      <c r="X35" s="31"/>
      <c r="Y35" s="31"/>
      <c r="Z35" s="31"/>
      <c r="AA35" s="31"/>
    </row>
    <row r="36" spans="1:27" x14ac:dyDescent="0.2">
      <c r="A36" s="5" t="str">
        <f>'Duchies Import'!B:B</f>
        <v>Elreach</v>
      </c>
      <c r="B36" s="31" t="str">
        <f>'Duchies Import'!C:C</f>
        <v>Elreach</v>
      </c>
      <c r="C36" s="37" t="str">
        <f>'Ducal Economics'!B36</f>
        <v>Swanhall</v>
      </c>
      <c r="D36" s="37">
        <f>'Ducal Economics'!C36-'Ducal Economics'!D36</f>
        <v>1678.5851857142861</v>
      </c>
      <c r="E36" s="37">
        <v>21107.266671428573</v>
      </c>
      <c r="F36" s="37">
        <f>'Duchies Secret Sheet'!C36:C79</f>
        <v>0</v>
      </c>
      <c r="G36" s="36" t="str">
        <f ca="1">IFERROR(__xludf.DUMMYFUNCTION("TO_TEXT(round(RANDBETWEEN(100,3000)+('Duchies Secret Sheet'!E36)))&amp;TO_TEXT(round(RANDBETWEEN(100,1500)-('Duchies Secret Sheet'!E36)))"),"7735-6755")</f>
        <v>7735-6755</v>
      </c>
      <c r="H36" s="40">
        <f t="shared" ref="H36:I36" si="40">K36/3.5</f>
        <v>12170.857142857143</v>
      </c>
      <c r="I36" s="37">
        <f t="shared" si="40"/>
        <v>419140.57142857142</v>
      </c>
      <c r="J36" s="41">
        <f>'Duchies Import'!I36</f>
        <v>1509590</v>
      </c>
      <c r="K36" s="42">
        <f>'Duchies Import'!K36</f>
        <v>42598</v>
      </c>
      <c r="L36" s="42">
        <f>'Duchies Import'!J36</f>
        <v>1466992</v>
      </c>
      <c r="M36" s="43">
        <f t="shared" si="1"/>
        <v>2.8218257937585704E-2</v>
      </c>
      <c r="N36" s="44">
        <f t="shared" si="2"/>
        <v>0.9717817420624143</v>
      </c>
      <c r="O36" s="42">
        <f t="shared" si="3"/>
        <v>463.79040000000009</v>
      </c>
      <c r="P36" s="45">
        <v>0.8</v>
      </c>
      <c r="Q36" s="42">
        <f t="shared" si="4"/>
        <v>293.39840000000004</v>
      </c>
      <c r="R36" s="46">
        <f t="shared" si="5"/>
        <v>170.39200000000002</v>
      </c>
      <c r="S36" s="31"/>
      <c r="T36" s="37">
        <f t="shared" si="6"/>
        <v>22785.851857142858</v>
      </c>
      <c r="U36" s="31"/>
      <c r="V36" s="31"/>
      <c r="W36" s="31"/>
      <c r="X36" s="31"/>
      <c r="Y36" s="31"/>
      <c r="Z36" s="31"/>
      <c r="AA36" s="31"/>
    </row>
    <row r="37" spans="1:27" x14ac:dyDescent="0.2">
      <c r="A37" s="5" t="str">
        <f>'Duchies Import'!B:B</f>
        <v>Mightkeep</v>
      </c>
      <c r="B37" s="31" t="str">
        <f>'Duchies Import'!C:C</f>
        <v>Mightkeep</v>
      </c>
      <c r="C37" s="37" t="str">
        <f>'Ducal Economics'!B37</f>
        <v>Swanhall</v>
      </c>
      <c r="D37" s="37">
        <f>'Ducal Economics'!C37-'Ducal Economics'!D37</f>
        <v>-8242.7007442857139</v>
      </c>
      <c r="E37" s="37">
        <v>19815.693301428575</v>
      </c>
      <c r="F37" s="37">
        <f>'Duchies Secret Sheet'!C37:C80</f>
        <v>5500</v>
      </c>
      <c r="G37" s="36" t="str">
        <f ca="1">IFERROR(__xludf.DUMMYFUNCTION("TO_TEXT(round(RANDBETWEEN(100,3000)+('Duchies Secret Sheet'!E37)))&amp;TO_TEXT(round(RANDBETWEEN(100,1500)-('Duchies Secret Sheet'!E37)))"),"5824-4504")</f>
        <v>5824-4504</v>
      </c>
      <c r="H37" s="40">
        <f t="shared" ref="H37:I37" si="41">K37/3.5</f>
        <v>25851.714285714286</v>
      </c>
      <c r="I37" s="37">
        <f t="shared" si="41"/>
        <v>293600.57142857142</v>
      </c>
      <c r="J37" s="41">
        <f>'Duchies Import'!I37</f>
        <v>1118082</v>
      </c>
      <c r="K37" s="42">
        <f>'Duchies Import'!K37</f>
        <v>90481</v>
      </c>
      <c r="L37" s="42">
        <f>'Duchies Import'!J37</f>
        <v>1027602</v>
      </c>
      <c r="M37" s="43">
        <f t="shared" si="1"/>
        <v>8.0925191533358018E-2</v>
      </c>
      <c r="N37" s="44">
        <f t="shared" si="2"/>
        <v>0.91907570285542561</v>
      </c>
      <c r="O37" s="42">
        <f t="shared" si="3"/>
        <v>567.44440000000009</v>
      </c>
      <c r="P37" s="45">
        <v>0.8</v>
      </c>
      <c r="Q37" s="42">
        <f t="shared" si="4"/>
        <v>205.52040000000002</v>
      </c>
      <c r="R37" s="46">
        <f t="shared" si="5"/>
        <v>361.92400000000004</v>
      </c>
      <c r="S37" s="31"/>
      <c r="T37" s="37">
        <f t="shared" si="6"/>
        <v>11572.992557142861</v>
      </c>
      <c r="U37" s="31"/>
      <c r="V37" s="31"/>
      <c r="W37" s="31"/>
      <c r="X37" s="31"/>
      <c r="Y37" s="31"/>
      <c r="Z37" s="31"/>
      <c r="AA37" s="31"/>
    </row>
    <row r="38" spans="1:27" x14ac:dyDescent="0.2">
      <c r="A38" s="5" t="str">
        <f>'Duchies Import'!B:B</f>
        <v>Mightfall</v>
      </c>
      <c r="B38" s="31" t="str">
        <f>'Duchies Import'!C:C</f>
        <v>Mightfall</v>
      </c>
      <c r="C38" s="37" t="str">
        <f>'Ducal Economics'!B38</f>
        <v>Swanhall</v>
      </c>
      <c r="D38" s="37">
        <f>'Ducal Economics'!C38-'Ducal Economics'!D38</f>
        <v>-8599.2327571428577</v>
      </c>
      <c r="E38" s="37">
        <v>8606.9051857142804</v>
      </c>
      <c r="F38" s="37">
        <f>'Duchies Secret Sheet'!C38:C81</f>
        <v>5000</v>
      </c>
      <c r="G38" s="36" t="str">
        <f ca="1">IFERROR(__xludf.DUMMYFUNCTION("TO_TEXT(round(RANDBETWEEN(100,3000)+('Duchies Secret Sheet'!E38)))&amp;TO_TEXT(round(RANDBETWEEN(100,1500)-('Duchies Secret Sheet'!E38)))"),"7553-4744")</f>
        <v>7553-4744</v>
      </c>
      <c r="H38" s="40">
        <f t="shared" ref="H38:I38" si="42">K38/3.5</f>
        <v>11254.857142857143</v>
      </c>
      <c r="I38" s="37">
        <f t="shared" si="42"/>
        <v>294712.28571428574</v>
      </c>
      <c r="J38" s="41">
        <f>'Duchies Import'!I38</f>
        <v>1070885</v>
      </c>
      <c r="K38" s="42">
        <f>'Duchies Import'!K38</f>
        <v>39392</v>
      </c>
      <c r="L38" s="42">
        <f>'Duchies Import'!J38</f>
        <v>1031493</v>
      </c>
      <c r="M38" s="43">
        <f t="shared" si="1"/>
        <v>3.678452868421913E-2</v>
      </c>
      <c r="N38" s="44">
        <f t="shared" si="2"/>
        <v>0.96321547131578089</v>
      </c>
      <c r="O38" s="42">
        <f t="shared" si="3"/>
        <v>363.86660000000006</v>
      </c>
      <c r="P38" s="45">
        <v>0.8</v>
      </c>
      <c r="Q38" s="42">
        <f t="shared" si="4"/>
        <v>206.29860000000002</v>
      </c>
      <c r="R38" s="46">
        <f t="shared" si="5"/>
        <v>157.56800000000001</v>
      </c>
      <c r="S38" s="31"/>
      <c r="T38" s="37">
        <f t="shared" si="6"/>
        <v>7.6724285714226426</v>
      </c>
      <c r="U38" s="31"/>
      <c r="V38" s="31"/>
      <c r="W38" s="31"/>
      <c r="X38" s="31"/>
      <c r="Y38" s="31"/>
      <c r="Z38" s="31"/>
      <c r="AA38" s="31"/>
    </row>
    <row r="39" spans="1:27" x14ac:dyDescent="0.2">
      <c r="A39" s="5" t="str">
        <f>'Duchies Import'!B:B</f>
        <v>Eguard</v>
      </c>
      <c r="B39" s="31" t="str">
        <f>'Duchies Import'!C:C</f>
        <v>Eguard</v>
      </c>
      <c r="C39" s="37" t="str">
        <f>'Ducal Economics'!B39</f>
        <v>Swanhall</v>
      </c>
      <c r="D39" s="37">
        <f>'Ducal Economics'!C39-'Ducal Economics'!D39</f>
        <v>-5163.0210442857151</v>
      </c>
      <c r="E39" s="37">
        <v>13932.810601428575</v>
      </c>
      <c r="F39" s="37">
        <f>'Duchies Secret Sheet'!C39:C82</f>
        <v>3400</v>
      </c>
      <c r="G39" s="36" t="str">
        <f ca="1">IFERROR(__xludf.DUMMYFUNCTION("TO_TEXT(round(RANDBETWEEN(100,3000)+('Duchies Secret Sheet'!E39)))&amp;TO_TEXT(round(RANDBETWEEN(100,1500)-('Duchies Secret Sheet'!E39)))"),"6122-2125")</f>
        <v>6122-2125</v>
      </c>
      <c r="H39" s="40">
        <f t="shared" ref="H39:I39" si="43">K39/3.5</f>
        <v>10153.714285714286</v>
      </c>
      <c r="I39" s="37">
        <f t="shared" si="43"/>
        <v>189582.57142857142</v>
      </c>
      <c r="J39" s="41">
        <f>'Duchies Import'!I39</f>
        <v>699077</v>
      </c>
      <c r="K39" s="42">
        <f>'Duchies Import'!K39</f>
        <v>35538</v>
      </c>
      <c r="L39" s="42">
        <f>'Duchies Import'!J39</f>
        <v>663539</v>
      </c>
      <c r="M39" s="43">
        <f t="shared" si="1"/>
        <v>5.0835601800660012E-2</v>
      </c>
      <c r="N39" s="44">
        <f t="shared" si="2"/>
        <v>0.94916439819933995</v>
      </c>
      <c r="O39" s="42">
        <f t="shared" si="3"/>
        <v>274.85980000000006</v>
      </c>
      <c r="P39" s="45">
        <v>0.8</v>
      </c>
      <c r="Q39" s="42">
        <f t="shared" si="4"/>
        <v>132.70780000000002</v>
      </c>
      <c r="R39" s="46">
        <f t="shared" si="5"/>
        <v>142.15200000000002</v>
      </c>
      <c r="S39" s="31"/>
      <c r="T39" s="37">
        <f t="shared" si="6"/>
        <v>8769.7895571428598</v>
      </c>
      <c r="U39" s="31"/>
      <c r="V39" s="31"/>
      <c r="W39" s="31"/>
      <c r="X39" s="31"/>
      <c r="Y39" s="31"/>
      <c r="Z39" s="31"/>
      <c r="AA39" s="31"/>
    </row>
    <row r="40" spans="1:27" x14ac:dyDescent="0.2">
      <c r="A40" s="5" t="str">
        <f>'Duchies Import'!B:B</f>
        <v>Lonely Light</v>
      </c>
      <c r="B40" s="31" t="str">
        <f>'Duchies Import'!C:C</f>
        <v>Lonely Light</v>
      </c>
      <c r="C40" s="37" t="str">
        <f>'Ducal Economics'!B40</f>
        <v>Swanhall</v>
      </c>
      <c r="D40" s="37">
        <f>'Ducal Economics'!C40-'Ducal Economics'!D40</f>
        <v>246.94898285714288</v>
      </c>
      <c r="E40" s="37">
        <v>8222.5408457142876</v>
      </c>
      <c r="F40" s="37">
        <f>'Duchies Secret Sheet'!C40:C83</f>
        <v>0</v>
      </c>
      <c r="G40" s="36" t="str">
        <f ca="1">IFERROR(__xludf.DUMMYFUNCTION("TO_TEXT(round(RANDBETWEEN(100,3000)+('Duchies Secret Sheet'!E40)))&amp;TO_TEXT(round(RANDBETWEEN(100,1000)-('Duchies Secret Sheet'!E40)))"),"2080176")</f>
        <v>2080176</v>
      </c>
      <c r="H40" s="40">
        <f t="shared" ref="H40:I40" si="44">K40/3.5</f>
        <v>2473.1428571428573</v>
      </c>
      <c r="I40" s="37">
        <f t="shared" si="44"/>
        <v>14642.285714285714</v>
      </c>
      <c r="J40" s="41">
        <f>'Duchies Import'!I40</f>
        <v>59904</v>
      </c>
      <c r="K40" s="42">
        <f>'Duchies Import'!K40</f>
        <v>8656</v>
      </c>
      <c r="L40" s="42">
        <f>'Duchies Import'!J40</f>
        <v>51248</v>
      </c>
      <c r="M40" s="43">
        <f t="shared" si="1"/>
        <v>0.14449786324786323</v>
      </c>
      <c r="N40" s="44">
        <f t="shared" si="2"/>
        <v>0.85550213675213671</v>
      </c>
      <c r="O40" s="42">
        <f t="shared" si="3"/>
        <v>44.873600000000003</v>
      </c>
      <c r="P40" s="45">
        <v>0.8</v>
      </c>
      <c r="Q40" s="42">
        <f t="shared" si="4"/>
        <v>10.249600000000001</v>
      </c>
      <c r="R40" s="46">
        <f t="shared" si="5"/>
        <v>34.624000000000002</v>
      </c>
      <c r="S40" s="31"/>
      <c r="T40" s="37">
        <f t="shared" si="6"/>
        <v>8469.4898285714298</v>
      </c>
      <c r="U40" s="31"/>
      <c r="V40" s="31"/>
      <c r="W40" s="31"/>
      <c r="X40" s="31"/>
      <c r="Y40" s="31"/>
      <c r="Z40" s="31"/>
      <c r="AA40" s="31"/>
    </row>
    <row r="41" spans="1:27" x14ac:dyDescent="0.2">
      <c r="A41" s="5" t="str">
        <f>'Duchies Import'!B:B</f>
        <v>The Valley</v>
      </c>
      <c r="B41" s="31" t="str">
        <f>'Duchies Import'!C:C</f>
        <v>Yeobury</v>
      </c>
      <c r="C41" s="37" t="str">
        <f>'Ducal Economics'!B41</f>
        <v>Madinglia</v>
      </c>
      <c r="D41" s="37">
        <f>'Ducal Economics'!C41-'Ducal Economics'!D41</f>
        <v>643.87652714285707</v>
      </c>
      <c r="E41" s="37">
        <v>11794.888744285712</v>
      </c>
      <c r="F41" s="37">
        <f>'Duchies Secret Sheet'!C41:C84</f>
        <v>0</v>
      </c>
      <c r="G41" s="36" t="str">
        <f ca="1">IFERROR(__xludf.DUMMYFUNCTION("TO_TEXT(round(RANDBETWEEN(100,3000)+('Duchies Secret Sheet'!E41)))&amp;TO_TEXT(round(RANDBETWEEN(100,1500)-('Duchies Secret Sheet'!E41)))"),"7107-4959")</f>
        <v>7107-4959</v>
      </c>
      <c r="H41" s="40">
        <f t="shared" ref="H41:I41" si="45">K41/3.5</f>
        <v>318.57142857142856</v>
      </c>
      <c r="I41" s="37">
        <f t="shared" si="45"/>
        <v>295267.71428571426</v>
      </c>
      <c r="J41" s="41">
        <f>'Duchies Import'!I41</f>
        <v>1034552</v>
      </c>
      <c r="K41" s="42">
        <f>'Duchies Import'!K41</f>
        <v>1115</v>
      </c>
      <c r="L41" s="42">
        <f>'Duchies Import'!J41</f>
        <v>1033437</v>
      </c>
      <c r="M41" s="43">
        <f t="shared" si="1"/>
        <v>1.0777611951840024E-3</v>
      </c>
      <c r="N41" s="44">
        <f t="shared" si="2"/>
        <v>0.99892223880481601</v>
      </c>
      <c r="O41" s="42">
        <f t="shared" si="3"/>
        <v>79.180274999999995</v>
      </c>
      <c r="P41" s="45">
        <v>0.3</v>
      </c>
      <c r="Q41" s="42">
        <f t="shared" si="4"/>
        <v>77.507774999999995</v>
      </c>
      <c r="R41" s="46">
        <f t="shared" si="5"/>
        <v>1.6725000000000001</v>
      </c>
      <c r="S41" s="31"/>
      <c r="T41" s="37">
        <f t="shared" si="6"/>
        <v>12438.765271428569</v>
      </c>
      <c r="U41" s="31"/>
      <c r="V41" s="31"/>
      <c r="W41" s="31"/>
      <c r="X41" s="31"/>
      <c r="Y41" s="31"/>
      <c r="Z41" s="31"/>
      <c r="AA41" s="31"/>
    </row>
    <row r="42" spans="1:27" x14ac:dyDescent="0.2">
      <c r="A42" s="5" t="str">
        <f>'Duchies Import'!B:B</f>
        <v>The Knolls</v>
      </c>
      <c r="B42" s="31" t="str">
        <f>'Duchies Import'!C:C</f>
        <v>Newtown</v>
      </c>
      <c r="C42" s="37" t="str">
        <f>'Ducal Economics'!B42</f>
        <v>Madinglia</v>
      </c>
      <c r="D42" s="37">
        <f>'Ducal Economics'!C42-'Ducal Economics'!D42</f>
        <v>931.68479428571425</v>
      </c>
      <c r="E42" s="37">
        <v>14385.163148571432</v>
      </c>
      <c r="F42" s="37">
        <f>'Duchies Secret Sheet'!C42:C85</f>
        <v>0</v>
      </c>
      <c r="G42" s="36" t="str">
        <f ca="1">IFERROR(__xludf.DUMMYFUNCTION("TO_TEXT(round(RANDBETWEEN(100,3000)+('Duchies Secret Sheet'!E42)))&amp;TO_TEXT(round(RANDBETWEEN(100,1500)-('Duchies Secret Sheet'!E42)))"),"7805-4792")</f>
        <v>7805-4792</v>
      </c>
      <c r="H42" s="40">
        <f t="shared" ref="H42:I42" si="46">K42/3.5</f>
        <v>2808.8571428571427</v>
      </c>
      <c r="I42" s="37">
        <f t="shared" si="46"/>
        <v>329283.42857142858</v>
      </c>
      <c r="J42" s="41">
        <f>'Duchies Import'!I42</f>
        <v>1162323</v>
      </c>
      <c r="K42" s="42">
        <f>'Duchies Import'!K42</f>
        <v>9831</v>
      </c>
      <c r="L42" s="42">
        <f>'Duchies Import'!J42</f>
        <v>1152492</v>
      </c>
      <c r="M42" s="43">
        <f t="shared" si="1"/>
        <v>8.4580620016983226E-3</v>
      </c>
      <c r="N42" s="44">
        <f t="shared" si="2"/>
        <v>0.9915419379983017</v>
      </c>
      <c r="O42" s="42">
        <f t="shared" si="3"/>
        <v>101.18339999999999</v>
      </c>
      <c r="P42" s="45">
        <v>0.3</v>
      </c>
      <c r="Q42" s="42">
        <f t="shared" si="4"/>
        <v>86.436899999999994</v>
      </c>
      <c r="R42" s="46">
        <f t="shared" si="5"/>
        <v>14.746499999999999</v>
      </c>
      <c r="S42" s="31"/>
      <c r="T42" s="37">
        <f t="shared" si="6"/>
        <v>15316.847942857146</v>
      </c>
      <c r="U42" s="31"/>
      <c r="V42" s="31"/>
      <c r="W42" s="31"/>
      <c r="X42" s="31"/>
      <c r="Y42" s="31"/>
      <c r="Z42" s="31"/>
      <c r="AA42" s="31"/>
    </row>
    <row r="43" spans="1:27" x14ac:dyDescent="0.2">
      <c r="A43" s="5" t="str">
        <f>'Duchies Import'!B:B</f>
        <v>Persterton Pass</v>
      </c>
      <c r="B43" s="31" t="str">
        <f>'Duchies Import'!C:C</f>
        <v>Persterton</v>
      </c>
      <c r="C43" s="37" t="str">
        <f>'Ducal Economics'!B43</f>
        <v>Madinglia</v>
      </c>
      <c r="D43" s="37">
        <f>'Ducal Economics'!C43-'Ducal Economics'!D43</f>
        <v>330.65433571428571</v>
      </c>
      <c r="E43" s="37">
        <v>8975.8890214285693</v>
      </c>
      <c r="F43" s="37">
        <f>'Duchies Secret Sheet'!C43:C86</f>
        <v>0</v>
      </c>
      <c r="G43" s="36" t="str">
        <f ca="1">IFERROR(__xludf.DUMMYFUNCTION("TO_TEXT(round(RANDBETWEEN(100,3000)+('Duchies Secret Sheet'!E43)))&amp;TO_TEXT(round(RANDBETWEEN(100,1500)-('Duchies Secret Sheet'!E43)))"),"3433-1324")</f>
        <v>3433-1324</v>
      </c>
      <c r="H43" s="40">
        <f t="shared" ref="H43:I43" si="47">K43/3.5</f>
        <v>2138.2857142857142</v>
      </c>
      <c r="I43" s="37">
        <f t="shared" si="47"/>
        <v>86484.571428571435</v>
      </c>
      <c r="J43" s="41">
        <f>'Duchies Import'!I43</f>
        <v>310180</v>
      </c>
      <c r="K43" s="42">
        <f>'Duchies Import'!K43</f>
        <v>7484</v>
      </c>
      <c r="L43" s="42">
        <f>'Duchies Import'!J43</f>
        <v>302696</v>
      </c>
      <c r="M43" s="43">
        <f t="shared" si="1"/>
        <v>2.4127925720549358E-2</v>
      </c>
      <c r="N43" s="44">
        <f t="shared" si="2"/>
        <v>0.97587207427945066</v>
      </c>
      <c r="O43" s="42">
        <f t="shared" si="3"/>
        <v>33.928200000000004</v>
      </c>
      <c r="P43" s="45">
        <v>0.3</v>
      </c>
      <c r="Q43" s="42">
        <f t="shared" si="4"/>
        <v>22.702200000000001</v>
      </c>
      <c r="R43" s="46">
        <f t="shared" si="5"/>
        <v>11.225999999999999</v>
      </c>
      <c r="S43" s="31"/>
      <c r="T43" s="37">
        <f t="shared" si="6"/>
        <v>9306.5433571428548</v>
      </c>
      <c r="U43" s="31"/>
      <c r="V43" s="31"/>
      <c r="W43" s="31"/>
      <c r="X43" s="31"/>
      <c r="Y43" s="31"/>
      <c r="Z43" s="31"/>
      <c r="AA43" s="31"/>
    </row>
    <row r="44" spans="1:27" x14ac:dyDescent="0.2">
      <c r="A44" s="5" t="str">
        <f>'Duchies Import'!B:B</f>
        <v>Rordgoz</v>
      </c>
      <c r="B44" s="31" t="str">
        <f>'Duchies Import'!C:C</f>
        <v>Rordgoz</v>
      </c>
      <c r="C44" s="37" t="str">
        <f>'Ducal Economics'!B44</f>
        <v>Madinglia</v>
      </c>
      <c r="D44" s="37">
        <f>'Ducal Economics'!C44-'Ducal Economics'!D44</f>
        <v>365.00954428571424</v>
      </c>
      <c r="E44" s="37">
        <v>9285.0858985714312</v>
      </c>
      <c r="F44" s="37">
        <f>'Duchies Secret Sheet'!C44:C87</f>
        <v>0</v>
      </c>
      <c r="G44" s="36" t="str">
        <f ca="1">IFERROR(__xludf.DUMMYFUNCTION("TO_TEXT(round(RANDBETWEEN(100,3000)+('Duchies Secret Sheet'!E44)))&amp;TO_TEXT(round(RANDBETWEEN(100,1500)-('Duchies Secret Sheet'!E44)))"),"3037-2468")</f>
        <v>3037-2468</v>
      </c>
      <c r="H44" s="40">
        <f t="shared" ref="H44:I44" si="48">K44/3.5</f>
        <v>528.28571428571433</v>
      </c>
      <c r="I44" s="37">
        <f t="shared" si="48"/>
        <v>158785.42857142858</v>
      </c>
      <c r="J44" s="41">
        <f>'Duchies Import'!I44</f>
        <v>557598</v>
      </c>
      <c r="K44" s="42">
        <f>'Duchies Import'!K44</f>
        <v>1849</v>
      </c>
      <c r="L44" s="42">
        <f>'Duchies Import'!J44</f>
        <v>555749</v>
      </c>
      <c r="M44" s="43">
        <f t="shared" si="1"/>
        <v>3.3160090244226128E-3</v>
      </c>
      <c r="N44" s="44">
        <f t="shared" si="2"/>
        <v>0.99668399097557736</v>
      </c>
      <c r="O44" s="42">
        <f t="shared" si="3"/>
        <v>44.454674999999995</v>
      </c>
      <c r="P44" s="45">
        <v>0.3</v>
      </c>
      <c r="Q44" s="42">
        <f t="shared" si="4"/>
        <v>41.681174999999996</v>
      </c>
      <c r="R44" s="46">
        <f t="shared" si="5"/>
        <v>2.7734999999999999</v>
      </c>
      <c r="S44" s="31"/>
      <c r="T44" s="37">
        <f t="shared" si="6"/>
        <v>9650.0954428571458</v>
      </c>
      <c r="U44" s="31"/>
      <c r="V44" s="31"/>
      <c r="W44" s="31"/>
      <c r="X44" s="31"/>
      <c r="Y44" s="31"/>
      <c r="Z44" s="31"/>
      <c r="AA44" s="31"/>
    </row>
    <row r="45" spans="1:27" x14ac:dyDescent="0.2">
      <c r="A45" s="80" t="str">
        <f>'Duchies Import'!B:B</f>
        <v>Briduan</v>
      </c>
      <c r="B45" s="81" t="str">
        <f>'Duchies Import'!C:C</f>
        <v>Brid</v>
      </c>
      <c r="C45" s="82" t="str">
        <f>'Ducal Economics'!B45</f>
        <v>Madinglia</v>
      </c>
      <c r="D45" s="82">
        <f>'Ducal Economics'!C45-'Ducal Economics'!D45</f>
        <v>265.50698428571434</v>
      </c>
      <c r="E45" s="82">
        <v>8389.5628585714312</v>
      </c>
      <c r="F45" s="82">
        <f>'Duchies Secret Sheet'!C45:C88</f>
        <v>0</v>
      </c>
      <c r="G45" s="83" t="str">
        <f ca="1">IFERROR(__xludf.DUMMYFUNCTION("TO_TEXT(round(RANDBETWEEN(100,3000)+('Duchies Secret Sheet'!E45)))&amp;TO_TEXT(round(RANDBETWEEN(100,1500)-('Duchies Secret Sheet'!E45)))"),"3868-1121")</f>
        <v>3868-1121</v>
      </c>
      <c r="H45" s="84">
        <f t="shared" ref="H45:I45" si="49">K45/3.5</f>
        <v>533.42857142857144</v>
      </c>
      <c r="I45" s="82">
        <f t="shared" si="49"/>
        <v>109277.42857142857</v>
      </c>
      <c r="J45" s="85">
        <f>'Duchies Import'!I45</f>
        <v>384337</v>
      </c>
      <c r="K45" s="86">
        <f>'Duchies Import'!K45</f>
        <v>1867</v>
      </c>
      <c r="L45" s="86">
        <f>'Duchies Import'!J45</f>
        <v>382471</v>
      </c>
      <c r="M45" s="87">
        <f t="shared" si="1"/>
        <v>4.8577160148515494E-3</v>
      </c>
      <c r="N45" s="88">
        <f t="shared" si="2"/>
        <v>0.99514488586839156</v>
      </c>
      <c r="O45" s="86">
        <f t="shared" si="3"/>
        <v>31.485825000000002</v>
      </c>
      <c r="P45" s="89">
        <v>0.3</v>
      </c>
      <c r="Q45" s="42">
        <f t="shared" si="4"/>
        <v>28.685325000000002</v>
      </c>
      <c r="R45" s="46">
        <f t="shared" si="5"/>
        <v>2.8005</v>
      </c>
      <c r="S45" s="81"/>
      <c r="T45" s="82">
        <f t="shared" si="6"/>
        <v>8655.069842857145</v>
      </c>
      <c r="U45" s="81"/>
      <c r="V45" s="81"/>
      <c r="W45" s="81"/>
      <c r="X45" s="81"/>
      <c r="Y45" s="81"/>
      <c r="Z45" s="81"/>
      <c r="AA45" s="81"/>
    </row>
    <row r="46" spans="1:27" x14ac:dyDescent="0.2">
      <c r="A46" s="5" t="s">
        <v>75</v>
      </c>
      <c r="B46" s="31"/>
      <c r="C46" s="31"/>
      <c r="D46" s="42">
        <f t="shared" ref="D46:E46" si="50">SUM(D2:D45)</f>
        <v>-131237.90421400758</v>
      </c>
      <c r="E46" s="90">
        <f t="shared" si="50"/>
        <v>419278.15981300868</v>
      </c>
      <c r="F46" s="31"/>
      <c r="G46" s="91"/>
      <c r="H46" s="37">
        <f t="shared" ref="H46:L46" si="51">SUM(H2:H45)</f>
        <v>488406.57142857142</v>
      </c>
      <c r="I46" s="37">
        <f t="shared" si="51"/>
        <v>17711881.428571429</v>
      </c>
      <c r="J46" s="42">
        <f t="shared" si="51"/>
        <v>63701009</v>
      </c>
      <c r="K46" s="42">
        <f t="shared" si="51"/>
        <v>1709423</v>
      </c>
      <c r="L46" s="42">
        <f t="shared" si="51"/>
        <v>61991585</v>
      </c>
      <c r="M46" s="31"/>
      <c r="N46" s="31"/>
      <c r="O46" s="42">
        <f>SUM(O2:O45)</f>
        <v>16786.731194999997</v>
      </c>
      <c r="P46" s="92"/>
      <c r="Q46" s="42">
        <f t="shared" ref="Q46:R46" si="52">SUM(Q2:Q45)</f>
        <v>10648.293745000003</v>
      </c>
      <c r="R46" s="46">
        <f t="shared" si="52"/>
        <v>6138.4374500000004</v>
      </c>
      <c r="S46" s="31"/>
      <c r="T46" s="31"/>
      <c r="U46" s="31"/>
      <c r="V46" s="31"/>
      <c r="W46" s="31"/>
      <c r="X46" s="31"/>
      <c r="Y46" s="31"/>
      <c r="Z46" s="31"/>
      <c r="AA46" s="31"/>
    </row>
    <row r="47" spans="1:27" x14ac:dyDescent="0.2">
      <c r="A47" s="5" t="s">
        <v>81</v>
      </c>
      <c r="B47" s="31"/>
      <c r="C47" s="31"/>
      <c r="D47" s="42">
        <f t="shared" ref="D47:E47" si="53">AVERAGE(D2:D45)</f>
        <v>-3365.0744670258355</v>
      </c>
      <c r="E47" s="42">
        <f t="shared" si="53"/>
        <v>9529.0490866592882</v>
      </c>
      <c r="F47" s="31"/>
      <c r="G47" s="91"/>
      <c r="H47" s="37">
        <f t="shared" ref="H47:O47" si="54">AVERAGE(H2:H45)</f>
        <v>11100.14935064935</v>
      </c>
      <c r="I47" s="37">
        <f t="shared" si="54"/>
        <v>402542.75974025973</v>
      </c>
      <c r="J47" s="42">
        <f t="shared" si="54"/>
        <v>1447750.2045454546</v>
      </c>
      <c r="K47" s="42">
        <f t="shared" si="54"/>
        <v>38850.522727272728</v>
      </c>
      <c r="L47" s="42">
        <f t="shared" si="54"/>
        <v>1408899.6590909092</v>
      </c>
      <c r="M47" s="43">
        <f t="shared" si="54"/>
        <v>3.7296978289210178E-2</v>
      </c>
      <c r="N47" s="43">
        <f t="shared" si="54"/>
        <v>0.9627030946094276</v>
      </c>
      <c r="O47" s="42">
        <f t="shared" si="54"/>
        <v>381.51661806818174</v>
      </c>
      <c r="P47" s="92"/>
      <c r="Q47" s="42">
        <f t="shared" ref="Q47:R47" si="55">AVERAGE(Q2:Q45)</f>
        <v>242.00667602272733</v>
      </c>
      <c r="R47" s="46">
        <f t="shared" si="55"/>
        <v>139.50994204545455</v>
      </c>
      <c r="S47" s="31"/>
      <c r="T47" s="31"/>
      <c r="U47" s="31"/>
      <c r="V47" s="31"/>
      <c r="W47" s="31"/>
      <c r="X47" s="31"/>
      <c r="Y47" s="31"/>
      <c r="Z47" s="31"/>
      <c r="AA47" s="31"/>
    </row>
    <row r="48" spans="1:27" x14ac:dyDescent="0.2">
      <c r="A48" s="5"/>
      <c r="B48" s="31"/>
      <c r="C48" s="31"/>
      <c r="D48" s="31"/>
      <c r="E48" s="31"/>
      <c r="F48" s="31"/>
      <c r="G48" s="31"/>
      <c r="H48" s="93"/>
      <c r="I48" s="31"/>
      <c r="J48" s="31"/>
      <c r="K48" s="31"/>
      <c r="L48" s="42"/>
      <c r="M48" s="31"/>
      <c r="N48" s="31"/>
      <c r="O48" s="42"/>
      <c r="P48" s="92"/>
      <c r="Q48" s="42"/>
      <c r="R48" s="46"/>
      <c r="S48" s="31"/>
      <c r="T48" s="31"/>
      <c r="U48" s="31"/>
      <c r="V48" s="31"/>
      <c r="W48" s="31"/>
      <c r="X48" s="31"/>
      <c r="Y48" s="31"/>
      <c r="Z48" s="31"/>
      <c r="AA48" s="31"/>
    </row>
    <row r="49" spans="1:27" x14ac:dyDescent="0.2">
      <c r="A49" s="5"/>
      <c r="B49" s="31"/>
      <c r="C49" s="31"/>
      <c r="D49" s="31"/>
      <c r="E49" s="31"/>
      <c r="F49" s="31"/>
      <c r="G49" s="31"/>
      <c r="H49" s="93"/>
      <c r="I49" s="31"/>
      <c r="J49" s="31"/>
      <c r="K49" s="31"/>
      <c r="L49" s="42"/>
      <c r="M49" s="31"/>
      <c r="N49" s="31"/>
      <c r="O49" s="42"/>
      <c r="P49" s="92"/>
      <c r="Q49" s="42"/>
      <c r="R49" s="46"/>
      <c r="S49" s="31"/>
      <c r="T49" s="31"/>
      <c r="U49" s="31"/>
      <c r="V49" s="31"/>
      <c r="W49" s="31"/>
      <c r="X49" s="31"/>
      <c r="Y49" s="31"/>
      <c r="Z49" s="31"/>
      <c r="AA49" s="31"/>
    </row>
    <row r="50" spans="1:27" x14ac:dyDescent="0.2">
      <c r="A50" s="5"/>
      <c r="B50" s="31"/>
      <c r="C50" s="31"/>
      <c r="D50" s="31"/>
      <c r="E50" s="31"/>
      <c r="F50" s="31"/>
      <c r="G50" s="31"/>
      <c r="H50" s="93"/>
      <c r="I50" s="31"/>
      <c r="J50" s="31"/>
      <c r="K50" s="31"/>
      <c r="L50" s="42"/>
      <c r="M50" s="31"/>
      <c r="N50" s="31"/>
      <c r="O50" s="42"/>
      <c r="P50" s="92"/>
      <c r="Q50" s="42"/>
      <c r="R50" s="46"/>
      <c r="S50" s="31"/>
      <c r="T50" s="31"/>
      <c r="U50" s="31"/>
      <c r="V50" s="31"/>
      <c r="W50" s="31"/>
      <c r="X50" s="31"/>
      <c r="Y50" s="31"/>
      <c r="Z50" s="31"/>
      <c r="AA50" s="31"/>
    </row>
    <row r="51" spans="1:27" x14ac:dyDescent="0.2">
      <c r="A51" s="5"/>
      <c r="B51" s="31"/>
      <c r="C51" s="31"/>
      <c r="D51" s="31"/>
      <c r="E51" s="31"/>
      <c r="F51" s="31"/>
      <c r="G51" s="31"/>
      <c r="H51" s="93"/>
      <c r="I51" s="31"/>
      <c r="J51" s="31"/>
      <c r="K51" s="31"/>
      <c r="L51" s="42"/>
      <c r="M51" s="31"/>
      <c r="N51" s="31"/>
      <c r="O51" s="42"/>
      <c r="P51" s="92"/>
      <c r="Q51" s="42"/>
      <c r="R51" s="46"/>
      <c r="S51" s="31"/>
      <c r="T51" s="31"/>
      <c r="U51" s="31"/>
      <c r="V51" s="31"/>
      <c r="W51" s="31"/>
      <c r="X51" s="31"/>
      <c r="Y51" s="31"/>
      <c r="Z51" s="31"/>
      <c r="AA51" s="31"/>
    </row>
    <row r="52" spans="1:27" x14ac:dyDescent="0.2">
      <c r="A52" s="5"/>
      <c r="B52" s="31"/>
      <c r="C52" s="31"/>
      <c r="D52" s="31"/>
      <c r="E52" s="31"/>
      <c r="F52" s="31"/>
      <c r="G52" s="31"/>
      <c r="H52" s="93"/>
      <c r="I52" s="31"/>
      <c r="J52" s="31"/>
      <c r="K52" s="31"/>
      <c r="L52" s="42"/>
      <c r="M52" s="31"/>
      <c r="N52" s="31"/>
      <c r="O52" s="42"/>
      <c r="P52" s="92"/>
      <c r="Q52" s="42"/>
      <c r="R52" s="46"/>
      <c r="S52" s="31"/>
      <c r="T52" s="31"/>
      <c r="U52" s="31"/>
      <c r="V52" s="31"/>
      <c r="W52" s="31"/>
      <c r="X52" s="31"/>
      <c r="Y52" s="31"/>
      <c r="Z52" s="31"/>
      <c r="AA52" s="31"/>
    </row>
    <row r="53" spans="1:27" x14ac:dyDescent="0.2">
      <c r="A53" s="5"/>
      <c r="B53" s="31"/>
      <c r="C53" s="31"/>
      <c r="D53" s="31"/>
      <c r="E53" s="31"/>
      <c r="F53" s="31"/>
      <c r="G53" s="31"/>
      <c r="H53" s="93"/>
      <c r="I53" s="31"/>
      <c r="J53" s="31"/>
      <c r="K53" s="31"/>
      <c r="L53" s="42"/>
      <c r="M53" s="31"/>
      <c r="N53" s="31"/>
      <c r="O53" s="42"/>
      <c r="P53" s="92"/>
      <c r="Q53" s="42"/>
      <c r="R53" s="46"/>
      <c r="S53" s="31"/>
      <c r="T53" s="31"/>
      <c r="U53" s="31"/>
      <c r="V53" s="31"/>
      <c r="W53" s="31"/>
      <c r="X53" s="31"/>
      <c r="Y53" s="31"/>
      <c r="Z53" s="31"/>
      <c r="AA53" s="31"/>
    </row>
    <row r="54" spans="1:27" x14ac:dyDescent="0.2">
      <c r="A54" s="5"/>
      <c r="B54" s="31"/>
      <c r="C54" s="31"/>
      <c r="D54" s="31"/>
      <c r="E54" s="31"/>
      <c r="F54" s="31"/>
      <c r="G54" s="31"/>
      <c r="H54" s="93"/>
      <c r="I54" s="31"/>
      <c r="J54" s="31"/>
      <c r="K54" s="31"/>
      <c r="L54" s="42"/>
      <c r="M54" s="31"/>
      <c r="N54" s="31"/>
      <c r="O54" s="42"/>
      <c r="P54" s="92"/>
      <c r="Q54" s="42"/>
      <c r="R54" s="46"/>
      <c r="S54" s="31"/>
      <c r="T54" s="31"/>
      <c r="U54" s="31"/>
      <c r="V54" s="31"/>
      <c r="W54" s="31"/>
      <c r="X54" s="31"/>
      <c r="Y54" s="31"/>
      <c r="Z54" s="31"/>
      <c r="AA54" s="31"/>
    </row>
    <row r="55" spans="1:27" x14ac:dyDescent="0.2">
      <c r="A55" s="5"/>
      <c r="B55" s="31"/>
      <c r="C55" s="31"/>
      <c r="D55" s="31"/>
      <c r="E55" s="31"/>
      <c r="F55" s="31"/>
      <c r="G55" s="31"/>
      <c r="H55" s="93"/>
      <c r="I55" s="31"/>
      <c r="J55" s="31"/>
      <c r="K55" s="31"/>
      <c r="L55" s="42"/>
      <c r="M55" s="31"/>
      <c r="N55" s="31"/>
      <c r="O55" s="42"/>
      <c r="P55" s="92"/>
      <c r="Q55" s="42"/>
      <c r="R55" s="46"/>
      <c r="S55" s="31"/>
      <c r="T55" s="31"/>
      <c r="U55" s="31"/>
      <c r="V55" s="31"/>
      <c r="W55" s="31"/>
      <c r="X55" s="31"/>
      <c r="Y55" s="31"/>
      <c r="Z55" s="31"/>
      <c r="AA55" s="31"/>
    </row>
    <row r="56" spans="1:27" x14ac:dyDescent="0.2">
      <c r="A56" s="5"/>
      <c r="B56" s="31"/>
      <c r="C56" s="31"/>
      <c r="D56" s="31"/>
      <c r="E56" s="31"/>
      <c r="F56" s="31"/>
      <c r="G56" s="31"/>
      <c r="H56" s="93"/>
      <c r="I56" s="31"/>
      <c r="J56" s="31"/>
      <c r="K56" s="31"/>
      <c r="L56" s="42"/>
      <c r="M56" s="31"/>
      <c r="N56" s="31"/>
      <c r="O56" s="42"/>
      <c r="P56" s="92"/>
      <c r="Q56" s="42"/>
      <c r="R56" s="46"/>
      <c r="S56" s="31"/>
      <c r="T56" s="31"/>
      <c r="U56" s="31"/>
      <c r="V56" s="31"/>
      <c r="W56" s="31"/>
      <c r="X56" s="31"/>
      <c r="Y56" s="31"/>
      <c r="Z56" s="31"/>
      <c r="AA56" s="31"/>
    </row>
    <row r="57" spans="1:27" x14ac:dyDescent="0.2">
      <c r="A57" s="5"/>
      <c r="B57" s="31"/>
      <c r="C57" s="31"/>
      <c r="D57" s="31"/>
      <c r="E57" s="31"/>
      <c r="F57" s="31"/>
      <c r="G57" s="31"/>
      <c r="H57" s="93"/>
      <c r="I57" s="31"/>
      <c r="J57" s="31"/>
      <c r="K57" s="31"/>
      <c r="L57" s="42"/>
      <c r="M57" s="31"/>
      <c r="N57" s="31"/>
      <c r="O57" s="42"/>
      <c r="P57" s="92"/>
      <c r="Q57" s="42"/>
      <c r="R57" s="46"/>
      <c r="S57" s="31"/>
      <c r="T57" s="31"/>
      <c r="U57" s="31"/>
      <c r="V57" s="31"/>
      <c r="W57" s="31"/>
      <c r="X57" s="31"/>
      <c r="Y57" s="31"/>
      <c r="Z57" s="31"/>
      <c r="AA57" s="31"/>
    </row>
    <row r="58" spans="1:27" x14ac:dyDescent="0.2">
      <c r="A58" s="5"/>
      <c r="B58" s="31"/>
      <c r="C58" s="31"/>
      <c r="D58" s="31"/>
      <c r="E58" s="31"/>
      <c r="F58" s="31"/>
      <c r="G58" s="31"/>
      <c r="H58" s="93"/>
      <c r="I58" s="31"/>
      <c r="J58" s="31"/>
      <c r="K58" s="31"/>
      <c r="L58" s="42"/>
      <c r="M58" s="31"/>
      <c r="N58" s="31"/>
      <c r="O58" s="42"/>
      <c r="P58" s="92"/>
      <c r="Q58" s="42"/>
      <c r="R58" s="46"/>
      <c r="S58" s="31"/>
      <c r="T58" s="31"/>
      <c r="U58" s="31"/>
      <c r="V58" s="31"/>
      <c r="W58" s="31"/>
      <c r="X58" s="31"/>
      <c r="Y58" s="31"/>
      <c r="Z58" s="31"/>
      <c r="AA58" s="31"/>
    </row>
    <row r="59" spans="1:27" x14ac:dyDescent="0.2">
      <c r="A59" s="5"/>
      <c r="B59" s="31"/>
      <c r="C59" s="31"/>
      <c r="D59" s="31"/>
      <c r="E59" s="31"/>
      <c r="F59" s="31"/>
      <c r="G59" s="31"/>
      <c r="H59" s="93"/>
      <c r="I59" s="31"/>
      <c r="J59" s="31"/>
      <c r="K59" s="31"/>
      <c r="L59" s="42"/>
      <c r="M59" s="31"/>
      <c r="N59" s="31"/>
      <c r="O59" s="42"/>
      <c r="P59" s="92"/>
      <c r="Q59" s="42"/>
      <c r="R59" s="46"/>
      <c r="S59" s="31"/>
      <c r="T59" s="31"/>
      <c r="U59" s="31"/>
      <c r="V59" s="31"/>
      <c r="W59" s="31"/>
      <c r="X59" s="31"/>
      <c r="Y59" s="31"/>
      <c r="Z59" s="31"/>
      <c r="AA59" s="31"/>
    </row>
    <row r="60" spans="1:27" x14ac:dyDescent="0.2">
      <c r="A60" s="5"/>
      <c r="B60" s="31"/>
      <c r="C60" s="31"/>
      <c r="D60" s="31"/>
      <c r="E60" s="31"/>
      <c r="F60" s="31"/>
      <c r="G60" s="31"/>
      <c r="H60" s="93"/>
      <c r="I60" s="31"/>
      <c r="J60" s="31"/>
      <c r="K60" s="31"/>
      <c r="L60" s="42"/>
      <c r="M60" s="31"/>
      <c r="N60" s="31"/>
      <c r="O60" s="42"/>
      <c r="P60" s="92"/>
      <c r="Q60" s="42"/>
      <c r="R60" s="46"/>
      <c r="S60" s="31"/>
      <c r="T60" s="31"/>
      <c r="U60" s="31"/>
      <c r="V60" s="31"/>
      <c r="W60" s="31"/>
      <c r="X60" s="31"/>
      <c r="Y60" s="31"/>
      <c r="Z60" s="31"/>
      <c r="AA60" s="31"/>
    </row>
    <row r="61" spans="1:27" x14ac:dyDescent="0.2">
      <c r="A61" s="5"/>
      <c r="B61" s="31"/>
      <c r="C61" s="31"/>
      <c r="D61" s="31"/>
      <c r="E61" s="31"/>
      <c r="F61" s="31"/>
      <c r="G61" s="31"/>
      <c r="H61" s="93"/>
      <c r="I61" s="31"/>
      <c r="J61" s="31"/>
      <c r="K61" s="31"/>
      <c r="L61" s="42"/>
      <c r="M61" s="31"/>
      <c r="N61" s="31"/>
      <c r="O61" s="42"/>
      <c r="P61" s="92"/>
      <c r="Q61" s="42"/>
      <c r="R61" s="46"/>
      <c r="S61" s="31"/>
      <c r="T61" s="31"/>
      <c r="U61" s="31"/>
      <c r="V61" s="31"/>
      <c r="W61" s="31"/>
      <c r="X61" s="31"/>
      <c r="Y61" s="31"/>
      <c r="Z61" s="31"/>
      <c r="AA61" s="31"/>
    </row>
    <row r="62" spans="1:27" x14ac:dyDescent="0.2">
      <c r="A62" s="5"/>
      <c r="B62" s="31"/>
      <c r="C62" s="31"/>
      <c r="D62" s="31"/>
      <c r="E62" s="31"/>
      <c r="F62" s="31"/>
      <c r="G62" s="31"/>
      <c r="H62" s="93"/>
      <c r="I62" s="31"/>
      <c r="J62" s="31"/>
      <c r="K62" s="31"/>
      <c r="L62" s="42"/>
      <c r="M62" s="31"/>
      <c r="N62" s="31"/>
      <c r="O62" s="42"/>
      <c r="P62" s="92"/>
      <c r="Q62" s="42"/>
      <c r="R62" s="46"/>
      <c r="S62" s="31"/>
      <c r="T62" s="31"/>
      <c r="U62" s="31"/>
      <c r="V62" s="31"/>
      <c r="W62" s="31"/>
      <c r="X62" s="31"/>
      <c r="Y62" s="31"/>
      <c r="Z62" s="31"/>
      <c r="AA62" s="31"/>
    </row>
    <row r="63" spans="1:27" x14ac:dyDescent="0.2">
      <c r="A63" s="5"/>
      <c r="B63" s="31"/>
      <c r="C63" s="31"/>
      <c r="D63" s="31"/>
      <c r="E63" s="31"/>
      <c r="F63" s="31"/>
      <c r="G63" s="31"/>
      <c r="H63" s="93"/>
      <c r="I63" s="31"/>
      <c r="J63" s="31"/>
      <c r="K63" s="31"/>
      <c r="L63" s="42"/>
      <c r="M63" s="31"/>
      <c r="N63" s="31"/>
      <c r="O63" s="42"/>
      <c r="P63" s="92"/>
      <c r="Q63" s="42"/>
      <c r="R63" s="46"/>
      <c r="S63" s="31"/>
      <c r="T63" s="31"/>
      <c r="U63" s="31"/>
      <c r="V63" s="31"/>
      <c r="W63" s="31"/>
      <c r="X63" s="31"/>
      <c r="Y63" s="31"/>
      <c r="Z63" s="31"/>
      <c r="AA63" s="31"/>
    </row>
    <row r="64" spans="1:27" x14ac:dyDescent="0.2">
      <c r="A64" s="5"/>
      <c r="B64" s="31"/>
      <c r="C64" s="31"/>
      <c r="D64" s="31"/>
      <c r="E64" s="31"/>
      <c r="F64" s="31"/>
      <c r="G64" s="31"/>
      <c r="H64" s="93"/>
      <c r="I64" s="31"/>
      <c r="J64" s="31"/>
      <c r="K64" s="31"/>
      <c r="L64" s="42"/>
      <c r="M64" s="31"/>
      <c r="N64" s="31"/>
      <c r="O64" s="42"/>
      <c r="P64" s="92"/>
      <c r="Q64" s="42"/>
      <c r="R64" s="46"/>
      <c r="S64" s="31"/>
      <c r="T64" s="31"/>
      <c r="U64" s="31"/>
      <c r="V64" s="31"/>
      <c r="W64" s="31"/>
      <c r="X64" s="31"/>
      <c r="Y64" s="31"/>
      <c r="Z64" s="31"/>
      <c r="AA64" s="31"/>
    </row>
    <row r="65" spans="1:27" x14ac:dyDescent="0.2">
      <c r="A65" s="5"/>
      <c r="B65" s="31"/>
      <c r="C65" s="31"/>
      <c r="D65" s="31"/>
      <c r="E65" s="31"/>
      <c r="F65" s="31"/>
      <c r="G65" s="31"/>
      <c r="H65" s="93"/>
      <c r="I65" s="31"/>
      <c r="J65" s="31"/>
      <c r="K65" s="31"/>
      <c r="L65" s="42"/>
      <c r="M65" s="31"/>
      <c r="N65" s="31"/>
      <c r="O65" s="42"/>
      <c r="P65" s="92"/>
      <c r="Q65" s="42"/>
      <c r="R65" s="46"/>
      <c r="S65" s="31"/>
      <c r="T65" s="31"/>
      <c r="U65" s="31"/>
      <c r="V65" s="31"/>
      <c r="W65" s="31"/>
      <c r="X65" s="31"/>
      <c r="Y65" s="31"/>
      <c r="Z65" s="31"/>
      <c r="AA65" s="31"/>
    </row>
    <row r="66" spans="1:27" x14ac:dyDescent="0.2">
      <c r="A66" s="5"/>
      <c r="B66" s="31"/>
      <c r="C66" s="31"/>
      <c r="D66" s="31"/>
      <c r="E66" s="31"/>
      <c r="F66" s="31"/>
      <c r="G66" s="31"/>
      <c r="H66" s="93"/>
      <c r="I66" s="31"/>
      <c r="J66" s="31"/>
      <c r="K66" s="31"/>
      <c r="L66" s="42"/>
      <c r="M66" s="31"/>
      <c r="N66" s="31"/>
      <c r="O66" s="42"/>
      <c r="P66" s="92"/>
      <c r="Q66" s="42"/>
      <c r="R66" s="46"/>
      <c r="S66" s="31"/>
      <c r="T66" s="31"/>
      <c r="U66" s="31"/>
      <c r="V66" s="31"/>
      <c r="W66" s="31"/>
      <c r="X66" s="31"/>
      <c r="Y66" s="31"/>
      <c r="Z66" s="31"/>
      <c r="AA66" s="31"/>
    </row>
    <row r="67" spans="1:27" x14ac:dyDescent="0.2">
      <c r="A67" s="5"/>
      <c r="B67" s="31"/>
      <c r="C67" s="31"/>
      <c r="D67" s="31"/>
      <c r="E67" s="31"/>
      <c r="F67" s="31"/>
      <c r="G67" s="31"/>
      <c r="H67" s="93"/>
      <c r="I67" s="31"/>
      <c r="J67" s="31"/>
      <c r="K67" s="31"/>
      <c r="L67" s="42"/>
      <c r="M67" s="31"/>
      <c r="N67" s="31"/>
      <c r="O67" s="42"/>
      <c r="P67" s="92"/>
      <c r="Q67" s="42"/>
      <c r="R67" s="46"/>
      <c r="S67" s="31"/>
      <c r="T67" s="31"/>
      <c r="U67" s="31"/>
      <c r="V67" s="31"/>
      <c r="W67" s="31"/>
      <c r="X67" s="31"/>
      <c r="Y67" s="31"/>
      <c r="Z67" s="31"/>
      <c r="AA67" s="31"/>
    </row>
    <row r="68" spans="1:27" x14ac:dyDescent="0.2">
      <c r="A68" s="5"/>
      <c r="B68" s="31"/>
      <c r="C68" s="31"/>
      <c r="D68" s="31"/>
      <c r="E68" s="31"/>
      <c r="F68" s="31"/>
      <c r="G68" s="31"/>
      <c r="H68" s="93"/>
      <c r="I68" s="31"/>
      <c r="J68" s="31"/>
      <c r="K68" s="31"/>
      <c r="L68" s="42"/>
      <c r="M68" s="31"/>
      <c r="N68" s="31"/>
      <c r="O68" s="42"/>
      <c r="P68" s="92"/>
      <c r="Q68" s="42"/>
      <c r="R68" s="46"/>
      <c r="S68" s="31"/>
      <c r="T68" s="31"/>
      <c r="U68" s="31"/>
      <c r="V68" s="31"/>
      <c r="W68" s="31"/>
      <c r="X68" s="31"/>
      <c r="Y68" s="31"/>
      <c r="Z68" s="31"/>
      <c r="AA68" s="31"/>
    </row>
    <row r="69" spans="1:27" x14ac:dyDescent="0.2">
      <c r="A69" s="5"/>
      <c r="B69" s="31"/>
      <c r="C69" s="31"/>
      <c r="D69" s="31"/>
      <c r="E69" s="31"/>
      <c r="F69" s="31"/>
      <c r="G69" s="31"/>
      <c r="H69" s="93"/>
      <c r="I69" s="31"/>
      <c r="J69" s="31"/>
      <c r="K69" s="31"/>
      <c r="L69" s="42"/>
      <c r="M69" s="31"/>
      <c r="N69" s="31"/>
      <c r="O69" s="42"/>
      <c r="P69" s="92"/>
      <c r="Q69" s="42"/>
      <c r="R69" s="46"/>
      <c r="S69" s="31"/>
      <c r="T69" s="31"/>
      <c r="U69" s="31"/>
      <c r="V69" s="31"/>
      <c r="W69" s="31"/>
      <c r="X69" s="31"/>
      <c r="Y69" s="31"/>
      <c r="Z69" s="31"/>
      <c r="AA69" s="31"/>
    </row>
    <row r="70" spans="1:27" x14ac:dyDescent="0.2">
      <c r="A70" s="5"/>
      <c r="B70" s="31"/>
      <c r="C70" s="31"/>
      <c r="D70" s="31"/>
      <c r="E70" s="31"/>
      <c r="F70" s="31"/>
      <c r="G70" s="31"/>
      <c r="H70" s="93"/>
      <c r="I70" s="31"/>
      <c r="J70" s="31"/>
      <c r="K70" s="31"/>
      <c r="L70" s="42"/>
      <c r="M70" s="31"/>
      <c r="N70" s="31"/>
      <c r="O70" s="42"/>
      <c r="P70" s="92"/>
      <c r="Q70" s="42"/>
      <c r="R70" s="46"/>
      <c r="S70" s="31"/>
      <c r="T70" s="31"/>
      <c r="U70" s="31"/>
      <c r="V70" s="31"/>
      <c r="W70" s="31"/>
      <c r="X70" s="31"/>
      <c r="Y70" s="31"/>
      <c r="Z70" s="31"/>
      <c r="AA70" s="31"/>
    </row>
    <row r="71" spans="1:27" x14ac:dyDescent="0.2">
      <c r="A71" s="5"/>
      <c r="B71" s="31"/>
      <c r="C71" s="31"/>
      <c r="D71" s="31"/>
      <c r="E71" s="31"/>
      <c r="F71" s="31"/>
      <c r="G71" s="31"/>
      <c r="H71" s="93"/>
      <c r="I71" s="31"/>
      <c r="J71" s="31"/>
      <c r="K71" s="31"/>
      <c r="L71" s="42"/>
      <c r="M71" s="31"/>
      <c r="N71" s="31"/>
      <c r="O71" s="42"/>
      <c r="P71" s="92"/>
      <c r="Q71" s="42"/>
      <c r="R71" s="46"/>
      <c r="S71" s="31"/>
      <c r="T71" s="31"/>
      <c r="U71" s="31"/>
      <c r="V71" s="31"/>
      <c r="W71" s="31"/>
      <c r="X71" s="31"/>
      <c r="Y71" s="31"/>
      <c r="Z71" s="31"/>
      <c r="AA71" s="31"/>
    </row>
    <row r="72" spans="1:27" x14ac:dyDescent="0.2">
      <c r="A72" s="5"/>
      <c r="B72" s="31"/>
      <c r="C72" s="31"/>
      <c r="D72" s="31"/>
      <c r="E72" s="31"/>
      <c r="F72" s="31"/>
      <c r="G72" s="31"/>
      <c r="H72" s="93"/>
      <c r="I72" s="31"/>
      <c r="J72" s="31"/>
      <c r="K72" s="31"/>
      <c r="L72" s="42"/>
      <c r="M72" s="31"/>
      <c r="N72" s="31"/>
      <c r="O72" s="42"/>
      <c r="P72" s="92"/>
      <c r="Q72" s="42"/>
      <c r="R72" s="46"/>
      <c r="S72" s="31"/>
      <c r="T72" s="31"/>
      <c r="U72" s="31"/>
      <c r="V72" s="31"/>
      <c r="W72" s="31"/>
      <c r="X72" s="31"/>
      <c r="Y72" s="31"/>
      <c r="Z72" s="31"/>
      <c r="AA72" s="31"/>
    </row>
    <row r="73" spans="1:27" x14ac:dyDescent="0.2">
      <c r="A73" s="5"/>
      <c r="B73" s="31"/>
      <c r="C73" s="31"/>
      <c r="D73" s="31"/>
      <c r="E73" s="31"/>
      <c r="F73" s="31"/>
      <c r="G73" s="31"/>
      <c r="H73" s="93"/>
      <c r="I73" s="31"/>
      <c r="J73" s="31"/>
      <c r="K73" s="31"/>
      <c r="L73" s="42"/>
      <c r="M73" s="31"/>
      <c r="N73" s="31"/>
      <c r="O73" s="42"/>
      <c r="P73" s="92"/>
      <c r="Q73" s="42"/>
      <c r="R73" s="46"/>
      <c r="S73" s="31"/>
      <c r="T73" s="31"/>
      <c r="U73" s="31"/>
      <c r="V73" s="31"/>
      <c r="W73" s="31"/>
      <c r="X73" s="31"/>
      <c r="Y73" s="31"/>
      <c r="Z73" s="31"/>
      <c r="AA73" s="31"/>
    </row>
    <row r="74" spans="1:27" x14ac:dyDescent="0.2">
      <c r="A74" s="5"/>
      <c r="B74" s="31"/>
      <c r="C74" s="31"/>
      <c r="D74" s="31"/>
      <c r="E74" s="31"/>
      <c r="F74" s="31"/>
      <c r="G74" s="31"/>
      <c r="H74" s="93"/>
      <c r="I74" s="31"/>
      <c r="J74" s="31"/>
      <c r="K74" s="31"/>
      <c r="L74" s="42"/>
      <c r="M74" s="31"/>
      <c r="N74" s="31"/>
      <c r="O74" s="42"/>
      <c r="P74" s="92"/>
      <c r="Q74" s="42"/>
      <c r="R74" s="46"/>
      <c r="S74" s="31"/>
      <c r="T74" s="31"/>
      <c r="U74" s="31"/>
      <c r="V74" s="31"/>
      <c r="W74" s="31"/>
      <c r="X74" s="31"/>
      <c r="Y74" s="31"/>
      <c r="Z74" s="31"/>
      <c r="AA74" s="31"/>
    </row>
    <row r="75" spans="1:27" x14ac:dyDescent="0.2">
      <c r="A75" s="5"/>
      <c r="B75" s="31"/>
      <c r="C75" s="31"/>
      <c r="D75" s="31"/>
      <c r="E75" s="31"/>
      <c r="F75" s="31"/>
      <c r="G75" s="31"/>
      <c r="H75" s="93"/>
      <c r="I75" s="31"/>
      <c r="J75" s="31"/>
      <c r="K75" s="31"/>
      <c r="L75" s="42"/>
      <c r="M75" s="31"/>
      <c r="N75" s="31"/>
      <c r="O75" s="42"/>
      <c r="P75" s="92"/>
      <c r="Q75" s="42"/>
      <c r="R75" s="46"/>
      <c r="S75" s="31"/>
      <c r="T75" s="31"/>
      <c r="U75" s="31"/>
      <c r="V75" s="31"/>
      <c r="W75" s="31"/>
      <c r="X75" s="31"/>
      <c r="Y75" s="31"/>
      <c r="Z75" s="31"/>
      <c r="AA75" s="31"/>
    </row>
    <row r="76" spans="1:27" x14ac:dyDescent="0.2">
      <c r="A76" s="5"/>
      <c r="B76" s="31"/>
      <c r="C76" s="31"/>
      <c r="D76" s="31"/>
      <c r="E76" s="31"/>
      <c r="F76" s="31"/>
      <c r="G76" s="31"/>
      <c r="H76" s="93"/>
      <c r="I76" s="31"/>
      <c r="J76" s="31"/>
      <c r="K76" s="31"/>
      <c r="L76" s="42"/>
      <c r="M76" s="31"/>
      <c r="N76" s="31"/>
      <c r="O76" s="42"/>
      <c r="P76" s="92"/>
      <c r="Q76" s="42"/>
      <c r="R76" s="46"/>
      <c r="S76" s="31"/>
      <c r="T76" s="31"/>
      <c r="U76" s="31"/>
      <c r="V76" s="31"/>
      <c r="W76" s="31"/>
      <c r="X76" s="31"/>
      <c r="Y76" s="31"/>
      <c r="Z76" s="31"/>
      <c r="AA76" s="31"/>
    </row>
    <row r="77" spans="1:27" x14ac:dyDescent="0.2">
      <c r="A77" s="5"/>
      <c r="B77" s="31"/>
      <c r="C77" s="31"/>
      <c r="D77" s="31"/>
      <c r="E77" s="31"/>
      <c r="F77" s="31"/>
      <c r="G77" s="31"/>
      <c r="H77" s="93"/>
      <c r="I77" s="31"/>
      <c r="J77" s="31"/>
      <c r="K77" s="31"/>
      <c r="L77" s="42"/>
      <c r="M77" s="31"/>
      <c r="N77" s="31"/>
      <c r="O77" s="42"/>
      <c r="P77" s="92"/>
      <c r="Q77" s="42"/>
      <c r="R77" s="46"/>
      <c r="S77" s="31"/>
      <c r="T77" s="31"/>
      <c r="U77" s="31"/>
      <c r="V77" s="31"/>
      <c r="W77" s="31"/>
      <c r="X77" s="31"/>
      <c r="Y77" s="31"/>
      <c r="Z77" s="31"/>
      <c r="AA77" s="31"/>
    </row>
    <row r="78" spans="1:27" x14ac:dyDescent="0.2">
      <c r="A78" s="5"/>
      <c r="B78" s="31"/>
      <c r="C78" s="31"/>
      <c r="D78" s="31"/>
      <c r="E78" s="31"/>
      <c r="F78" s="31"/>
      <c r="G78" s="31"/>
      <c r="H78" s="93"/>
      <c r="I78" s="31"/>
      <c r="J78" s="31"/>
      <c r="K78" s="31"/>
      <c r="L78" s="42"/>
      <c r="M78" s="31"/>
      <c r="N78" s="31"/>
      <c r="O78" s="42"/>
      <c r="P78" s="92"/>
      <c r="Q78" s="42"/>
      <c r="R78" s="46"/>
      <c r="S78" s="31"/>
      <c r="T78" s="31"/>
      <c r="U78" s="31"/>
      <c r="V78" s="31"/>
      <c r="W78" s="31"/>
      <c r="X78" s="31"/>
      <c r="Y78" s="31"/>
      <c r="Z78" s="31"/>
      <c r="AA78" s="31"/>
    </row>
    <row r="79" spans="1:27" x14ac:dyDescent="0.2">
      <c r="A79" s="5"/>
      <c r="B79" s="31"/>
      <c r="C79" s="31"/>
      <c r="D79" s="31"/>
      <c r="E79" s="31"/>
      <c r="F79" s="31"/>
      <c r="G79" s="31"/>
      <c r="H79" s="93"/>
      <c r="I79" s="31"/>
      <c r="J79" s="31"/>
      <c r="K79" s="31"/>
      <c r="L79" s="42"/>
      <c r="M79" s="31"/>
      <c r="N79" s="31"/>
      <c r="O79" s="42"/>
      <c r="P79" s="92"/>
      <c r="Q79" s="42"/>
      <c r="R79" s="46"/>
      <c r="S79" s="31"/>
      <c r="T79" s="31"/>
      <c r="U79" s="31"/>
      <c r="V79" s="31"/>
      <c r="W79" s="31"/>
      <c r="X79" s="31"/>
      <c r="Y79" s="31"/>
      <c r="Z79" s="31"/>
      <c r="AA79" s="31"/>
    </row>
    <row r="80" spans="1:27" x14ac:dyDescent="0.2">
      <c r="A80" s="5"/>
      <c r="B80" s="31"/>
      <c r="C80" s="31"/>
      <c r="D80" s="31"/>
      <c r="E80" s="31"/>
      <c r="F80" s="31"/>
      <c r="G80" s="31"/>
      <c r="H80" s="93"/>
      <c r="I80" s="31"/>
      <c r="J80" s="31"/>
      <c r="K80" s="31"/>
      <c r="L80" s="42"/>
      <c r="M80" s="31"/>
      <c r="N80" s="31"/>
      <c r="O80" s="42"/>
      <c r="P80" s="92"/>
      <c r="Q80" s="42"/>
      <c r="R80" s="46"/>
      <c r="S80" s="31"/>
      <c r="T80" s="31"/>
      <c r="U80" s="31"/>
      <c r="V80" s="31"/>
      <c r="W80" s="31"/>
      <c r="X80" s="31"/>
      <c r="Y80" s="31"/>
      <c r="Z80" s="31"/>
      <c r="AA80" s="31"/>
    </row>
    <row r="81" spans="1:27" x14ac:dyDescent="0.2">
      <c r="A81" s="5"/>
      <c r="B81" s="31"/>
      <c r="C81" s="31"/>
      <c r="D81" s="31"/>
      <c r="E81" s="31"/>
      <c r="F81" s="31"/>
      <c r="G81" s="31"/>
      <c r="H81" s="93"/>
      <c r="I81" s="31"/>
      <c r="J81" s="31"/>
      <c r="K81" s="31"/>
      <c r="L81" s="42"/>
      <c r="M81" s="31"/>
      <c r="N81" s="31"/>
      <c r="O81" s="42"/>
      <c r="P81" s="92"/>
      <c r="Q81" s="42"/>
      <c r="R81" s="46"/>
      <c r="S81" s="31"/>
      <c r="T81" s="31"/>
      <c r="U81" s="31"/>
      <c r="V81" s="31"/>
      <c r="W81" s="31"/>
      <c r="X81" s="31"/>
      <c r="Y81" s="31"/>
      <c r="Z81" s="31"/>
      <c r="AA81" s="31"/>
    </row>
    <row r="82" spans="1:27" x14ac:dyDescent="0.2">
      <c r="A82" s="5"/>
      <c r="B82" s="31"/>
      <c r="C82" s="31"/>
      <c r="D82" s="31"/>
      <c r="E82" s="31"/>
      <c r="F82" s="31"/>
      <c r="G82" s="31"/>
      <c r="H82" s="93"/>
      <c r="I82" s="31"/>
      <c r="J82" s="31"/>
      <c r="K82" s="31"/>
      <c r="L82" s="42"/>
      <c r="M82" s="31"/>
      <c r="N82" s="31"/>
      <c r="O82" s="42"/>
      <c r="P82" s="92"/>
      <c r="Q82" s="42"/>
      <c r="R82" s="46"/>
      <c r="S82" s="31"/>
      <c r="T82" s="31"/>
      <c r="U82" s="31"/>
      <c r="V82" s="31"/>
      <c r="W82" s="31"/>
      <c r="X82" s="31"/>
      <c r="Y82" s="31"/>
      <c r="Z82" s="31"/>
      <c r="AA82" s="31"/>
    </row>
    <row r="83" spans="1:27" x14ac:dyDescent="0.2">
      <c r="A83" s="5"/>
      <c r="B83" s="31"/>
      <c r="C83" s="31"/>
      <c r="D83" s="31"/>
      <c r="E83" s="31"/>
      <c r="F83" s="31"/>
      <c r="G83" s="31"/>
      <c r="H83" s="93"/>
      <c r="I83" s="31"/>
      <c r="J83" s="31"/>
      <c r="K83" s="31"/>
      <c r="L83" s="42"/>
      <c r="M83" s="31"/>
      <c r="N83" s="31"/>
      <c r="O83" s="42"/>
      <c r="P83" s="92"/>
      <c r="Q83" s="42"/>
      <c r="R83" s="46"/>
      <c r="S83" s="31"/>
      <c r="T83" s="31"/>
      <c r="U83" s="31"/>
      <c r="V83" s="31"/>
      <c r="W83" s="31"/>
      <c r="X83" s="31"/>
      <c r="Y83" s="31"/>
      <c r="Z83" s="31"/>
      <c r="AA83" s="31"/>
    </row>
    <row r="84" spans="1:27" x14ac:dyDescent="0.2">
      <c r="A84" s="5"/>
      <c r="B84" s="31"/>
      <c r="C84" s="31"/>
      <c r="D84" s="31"/>
      <c r="E84" s="31"/>
      <c r="F84" s="31"/>
      <c r="G84" s="31"/>
      <c r="H84" s="93"/>
      <c r="I84" s="31"/>
      <c r="J84" s="31"/>
      <c r="K84" s="31"/>
      <c r="L84" s="42"/>
      <c r="M84" s="31"/>
      <c r="N84" s="31"/>
      <c r="O84" s="42"/>
      <c r="P84" s="92"/>
      <c r="Q84" s="42"/>
      <c r="R84" s="46"/>
      <c r="S84" s="31"/>
      <c r="T84" s="31"/>
      <c r="U84" s="31"/>
      <c r="V84" s="31"/>
      <c r="W84" s="31"/>
      <c r="X84" s="31"/>
      <c r="Y84" s="31"/>
      <c r="Z84" s="31"/>
      <c r="AA84" s="31"/>
    </row>
    <row r="85" spans="1:27" x14ac:dyDescent="0.2">
      <c r="A85" s="5"/>
      <c r="B85" s="31"/>
      <c r="C85" s="31"/>
      <c r="D85" s="31"/>
      <c r="E85" s="31"/>
      <c r="F85" s="31"/>
      <c r="G85" s="31"/>
      <c r="H85" s="93"/>
      <c r="I85" s="31"/>
      <c r="J85" s="31"/>
      <c r="K85" s="31"/>
      <c r="L85" s="42"/>
      <c r="M85" s="31"/>
      <c r="N85" s="31"/>
      <c r="O85" s="42"/>
      <c r="P85" s="92"/>
      <c r="Q85" s="42"/>
      <c r="R85" s="46"/>
      <c r="S85" s="31"/>
      <c r="T85" s="31"/>
      <c r="U85" s="31"/>
      <c r="V85" s="31"/>
      <c r="W85" s="31"/>
      <c r="X85" s="31"/>
      <c r="Y85" s="31"/>
      <c r="Z85" s="31"/>
      <c r="AA85" s="31"/>
    </row>
    <row r="86" spans="1:27" x14ac:dyDescent="0.2">
      <c r="A86" s="5"/>
      <c r="B86" s="31"/>
      <c r="C86" s="31"/>
      <c r="D86" s="31"/>
      <c r="E86" s="31"/>
      <c r="F86" s="31"/>
      <c r="G86" s="31"/>
      <c r="H86" s="93"/>
      <c r="I86" s="31"/>
      <c r="J86" s="31"/>
      <c r="K86" s="31"/>
      <c r="L86" s="42"/>
      <c r="M86" s="31"/>
      <c r="N86" s="31"/>
      <c r="O86" s="42"/>
      <c r="P86" s="92"/>
      <c r="Q86" s="42"/>
      <c r="R86" s="46"/>
      <c r="S86" s="31"/>
      <c r="T86" s="31"/>
      <c r="U86" s="31"/>
      <c r="V86" s="31"/>
      <c r="W86" s="31"/>
      <c r="X86" s="31"/>
      <c r="Y86" s="31"/>
      <c r="Z86" s="31"/>
      <c r="AA86" s="31"/>
    </row>
    <row r="87" spans="1:27" x14ac:dyDescent="0.2">
      <c r="A87" s="5"/>
      <c r="B87" s="31"/>
      <c r="C87" s="31"/>
      <c r="D87" s="31"/>
      <c r="E87" s="31"/>
      <c r="F87" s="31"/>
      <c r="G87" s="31"/>
      <c r="H87" s="93"/>
      <c r="I87" s="31"/>
      <c r="J87" s="31"/>
      <c r="K87" s="31"/>
      <c r="L87" s="42"/>
      <c r="M87" s="31"/>
      <c r="N87" s="31"/>
      <c r="O87" s="42"/>
      <c r="P87" s="92"/>
      <c r="Q87" s="42"/>
      <c r="R87" s="46"/>
      <c r="S87" s="31"/>
      <c r="T87" s="31"/>
      <c r="U87" s="31"/>
      <c r="V87" s="31"/>
      <c r="W87" s="31"/>
      <c r="X87" s="31"/>
      <c r="Y87" s="31"/>
      <c r="Z87" s="31"/>
      <c r="AA87" s="31"/>
    </row>
    <row r="88" spans="1:27" x14ac:dyDescent="0.2">
      <c r="A88" s="5"/>
      <c r="B88" s="31"/>
      <c r="C88" s="31"/>
      <c r="D88" s="31"/>
      <c r="E88" s="31"/>
      <c r="F88" s="31"/>
      <c r="G88" s="31"/>
      <c r="H88" s="93"/>
      <c r="I88" s="31"/>
      <c r="J88" s="31"/>
      <c r="K88" s="31"/>
      <c r="L88" s="42"/>
      <c r="M88" s="31"/>
      <c r="N88" s="31"/>
      <c r="O88" s="42"/>
      <c r="P88" s="92"/>
      <c r="Q88" s="42"/>
      <c r="R88" s="46"/>
      <c r="S88" s="31"/>
      <c r="T88" s="31"/>
      <c r="U88" s="31"/>
      <c r="V88" s="31"/>
      <c r="W88" s="31"/>
      <c r="X88" s="31"/>
      <c r="Y88" s="31"/>
      <c r="Z88" s="31"/>
      <c r="AA88" s="31"/>
    </row>
    <row r="89" spans="1:27" x14ac:dyDescent="0.2">
      <c r="A89" s="5"/>
      <c r="B89" s="31"/>
      <c r="C89" s="31"/>
      <c r="D89" s="31"/>
      <c r="E89" s="31"/>
      <c r="F89" s="31"/>
      <c r="G89" s="31"/>
      <c r="H89" s="93"/>
      <c r="I89" s="31"/>
      <c r="J89" s="31"/>
      <c r="K89" s="31"/>
      <c r="L89" s="42"/>
      <c r="M89" s="31"/>
      <c r="N89" s="31"/>
      <c r="O89" s="42"/>
      <c r="P89" s="92"/>
      <c r="Q89" s="42"/>
      <c r="R89" s="46"/>
      <c r="S89" s="31"/>
      <c r="T89" s="31"/>
      <c r="U89" s="31"/>
      <c r="V89" s="31"/>
      <c r="W89" s="31"/>
      <c r="X89" s="31"/>
      <c r="Y89" s="31"/>
      <c r="Z89" s="31"/>
      <c r="AA89" s="31"/>
    </row>
    <row r="90" spans="1:27" x14ac:dyDescent="0.2">
      <c r="A90" s="5"/>
      <c r="B90" s="31"/>
      <c r="C90" s="31"/>
      <c r="D90" s="31"/>
      <c r="E90" s="31"/>
      <c r="F90" s="31"/>
      <c r="G90" s="31"/>
      <c r="H90" s="93"/>
      <c r="I90" s="31"/>
      <c r="J90" s="31"/>
      <c r="K90" s="31"/>
      <c r="L90" s="42"/>
      <c r="M90" s="31"/>
      <c r="N90" s="31"/>
      <c r="O90" s="42"/>
      <c r="P90" s="92"/>
      <c r="Q90" s="42"/>
      <c r="R90" s="46"/>
      <c r="S90" s="31"/>
      <c r="T90" s="31"/>
      <c r="U90" s="31"/>
      <c r="V90" s="31"/>
      <c r="W90" s="31"/>
      <c r="X90" s="31"/>
      <c r="Y90" s="31"/>
      <c r="Z90" s="31"/>
      <c r="AA90" s="31"/>
    </row>
    <row r="91" spans="1:27" x14ac:dyDescent="0.2">
      <c r="A91" s="5"/>
      <c r="B91" s="31"/>
      <c r="C91" s="31"/>
      <c r="D91" s="31"/>
      <c r="E91" s="31"/>
      <c r="F91" s="31"/>
      <c r="G91" s="31"/>
      <c r="H91" s="93"/>
      <c r="I91" s="31"/>
      <c r="J91" s="31"/>
      <c r="K91" s="31"/>
      <c r="L91" s="42"/>
      <c r="M91" s="31"/>
      <c r="N91" s="31"/>
      <c r="O91" s="42"/>
      <c r="P91" s="92"/>
      <c r="Q91" s="42"/>
      <c r="R91" s="46"/>
      <c r="S91" s="31"/>
      <c r="T91" s="31"/>
      <c r="U91" s="31"/>
      <c r="V91" s="31"/>
      <c r="W91" s="31"/>
      <c r="X91" s="31"/>
      <c r="Y91" s="31"/>
      <c r="Z91" s="31"/>
      <c r="AA91" s="31"/>
    </row>
    <row r="92" spans="1:27" x14ac:dyDescent="0.2">
      <c r="A92" s="5"/>
      <c r="B92" s="31"/>
      <c r="C92" s="31"/>
      <c r="D92" s="31"/>
      <c r="E92" s="31"/>
      <c r="F92" s="31"/>
      <c r="G92" s="31"/>
      <c r="H92" s="93"/>
      <c r="I92" s="31"/>
      <c r="J92" s="31"/>
      <c r="K92" s="31"/>
      <c r="L92" s="42"/>
      <c r="M92" s="31"/>
      <c r="N92" s="31"/>
      <c r="O92" s="42"/>
      <c r="P92" s="92"/>
      <c r="Q92" s="42"/>
      <c r="R92" s="46"/>
      <c r="S92" s="31"/>
      <c r="T92" s="31"/>
      <c r="U92" s="31"/>
      <c r="V92" s="31"/>
      <c r="W92" s="31"/>
      <c r="X92" s="31"/>
      <c r="Y92" s="31"/>
      <c r="Z92" s="31"/>
      <c r="AA92" s="31"/>
    </row>
    <row r="93" spans="1:27" x14ac:dyDescent="0.2">
      <c r="A93" s="5"/>
      <c r="B93" s="31"/>
      <c r="C93" s="31"/>
      <c r="D93" s="31"/>
      <c r="E93" s="31"/>
      <c r="F93" s="31"/>
      <c r="G93" s="31"/>
      <c r="H93" s="93"/>
      <c r="I93" s="31"/>
      <c r="J93" s="31"/>
      <c r="K93" s="31"/>
      <c r="L93" s="42"/>
      <c r="M93" s="31"/>
      <c r="N93" s="31"/>
      <c r="O93" s="42"/>
      <c r="P93" s="92"/>
      <c r="Q93" s="42"/>
      <c r="R93" s="46"/>
      <c r="S93" s="31"/>
      <c r="T93" s="31"/>
      <c r="U93" s="31"/>
      <c r="V93" s="31"/>
      <c r="W93" s="31"/>
      <c r="X93" s="31"/>
      <c r="Y93" s="31"/>
      <c r="Z93" s="31"/>
      <c r="AA93" s="31"/>
    </row>
    <row r="94" spans="1:27" x14ac:dyDescent="0.2">
      <c r="A94" s="5"/>
      <c r="B94" s="31"/>
      <c r="C94" s="31"/>
      <c r="D94" s="31"/>
      <c r="E94" s="31"/>
      <c r="F94" s="31"/>
      <c r="G94" s="31"/>
      <c r="H94" s="93"/>
      <c r="I94" s="31"/>
      <c r="J94" s="31"/>
      <c r="K94" s="31"/>
      <c r="L94" s="42"/>
      <c r="M94" s="31"/>
      <c r="N94" s="31"/>
      <c r="O94" s="42"/>
      <c r="P94" s="92"/>
      <c r="Q94" s="42"/>
      <c r="R94" s="46"/>
      <c r="S94" s="31"/>
      <c r="T94" s="31"/>
      <c r="U94" s="31"/>
      <c r="V94" s="31"/>
      <c r="W94" s="31"/>
      <c r="X94" s="31"/>
      <c r="Y94" s="31"/>
      <c r="Z94" s="31"/>
      <c r="AA94" s="31"/>
    </row>
    <row r="95" spans="1:27" x14ac:dyDescent="0.2">
      <c r="A95" s="5"/>
      <c r="B95" s="31"/>
      <c r="C95" s="31"/>
      <c r="D95" s="31"/>
      <c r="E95" s="31"/>
      <c r="F95" s="31"/>
      <c r="G95" s="31"/>
      <c r="H95" s="93"/>
      <c r="I95" s="31"/>
      <c r="J95" s="31"/>
      <c r="K95" s="31"/>
      <c r="L95" s="42"/>
      <c r="M95" s="31"/>
      <c r="N95" s="31"/>
      <c r="O95" s="42"/>
      <c r="P95" s="92"/>
      <c r="Q95" s="42"/>
      <c r="R95" s="46"/>
      <c r="S95" s="31"/>
      <c r="T95" s="31"/>
      <c r="U95" s="31"/>
      <c r="V95" s="31"/>
      <c r="W95" s="31"/>
      <c r="X95" s="31"/>
      <c r="Y95" s="31"/>
      <c r="Z95" s="31"/>
      <c r="AA95" s="31"/>
    </row>
    <row r="96" spans="1:27" x14ac:dyDescent="0.2">
      <c r="A96" s="5"/>
      <c r="B96" s="31"/>
      <c r="C96" s="31"/>
      <c r="D96" s="31"/>
      <c r="E96" s="31"/>
      <c r="F96" s="31"/>
      <c r="G96" s="31"/>
      <c r="H96" s="93"/>
      <c r="I96" s="31"/>
      <c r="J96" s="31"/>
      <c r="K96" s="31"/>
      <c r="L96" s="42"/>
      <c r="M96" s="31"/>
      <c r="N96" s="31"/>
      <c r="O96" s="42"/>
      <c r="P96" s="92"/>
      <c r="Q96" s="42"/>
      <c r="R96" s="46"/>
      <c r="S96" s="31"/>
      <c r="T96" s="31"/>
      <c r="U96" s="31"/>
      <c r="V96" s="31"/>
      <c r="W96" s="31"/>
      <c r="X96" s="31"/>
      <c r="Y96" s="31"/>
      <c r="Z96" s="31"/>
      <c r="AA96" s="31"/>
    </row>
    <row r="97" spans="1:27" x14ac:dyDescent="0.2">
      <c r="A97" s="5"/>
      <c r="B97" s="31"/>
      <c r="C97" s="31"/>
      <c r="D97" s="31"/>
      <c r="E97" s="31"/>
      <c r="F97" s="31"/>
      <c r="G97" s="31"/>
      <c r="H97" s="93"/>
      <c r="I97" s="31"/>
      <c r="J97" s="31"/>
      <c r="K97" s="31"/>
      <c r="L97" s="42"/>
      <c r="M97" s="31"/>
      <c r="N97" s="31"/>
      <c r="O97" s="42"/>
      <c r="P97" s="92"/>
      <c r="Q97" s="42"/>
      <c r="R97" s="46"/>
      <c r="S97" s="31"/>
      <c r="T97" s="31"/>
      <c r="U97" s="31"/>
      <c r="V97" s="31"/>
      <c r="W97" s="31"/>
      <c r="X97" s="31"/>
      <c r="Y97" s="31"/>
      <c r="Z97" s="31"/>
      <c r="AA97" s="31"/>
    </row>
    <row r="98" spans="1:27" x14ac:dyDescent="0.2">
      <c r="A98" s="5"/>
      <c r="B98" s="31"/>
      <c r="C98" s="31"/>
      <c r="D98" s="31"/>
      <c r="E98" s="31"/>
      <c r="F98" s="31"/>
      <c r="G98" s="31"/>
      <c r="H98" s="93"/>
      <c r="I98" s="31"/>
      <c r="J98" s="31"/>
      <c r="K98" s="31"/>
      <c r="L98" s="42"/>
      <c r="M98" s="31"/>
      <c r="N98" s="31"/>
      <c r="O98" s="42"/>
      <c r="P98" s="92"/>
      <c r="Q98" s="42"/>
      <c r="R98" s="46"/>
      <c r="S98" s="31"/>
      <c r="T98" s="31"/>
      <c r="U98" s="31"/>
      <c r="V98" s="31"/>
      <c r="W98" s="31"/>
      <c r="X98" s="31"/>
      <c r="Y98" s="31"/>
      <c r="Z98" s="31"/>
      <c r="AA98" s="31"/>
    </row>
    <row r="99" spans="1:27" x14ac:dyDescent="0.2">
      <c r="A99" s="5"/>
      <c r="B99" s="31"/>
      <c r="C99" s="31"/>
      <c r="D99" s="31"/>
      <c r="E99" s="31"/>
      <c r="F99" s="31"/>
      <c r="G99" s="31"/>
      <c r="H99" s="93"/>
      <c r="I99" s="31"/>
      <c r="J99" s="31"/>
      <c r="K99" s="31"/>
      <c r="L99" s="42"/>
      <c r="M99" s="31"/>
      <c r="N99" s="31"/>
      <c r="O99" s="42"/>
      <c r="P99" s="92"/>
      <c r="Q99" s="42"/>
      <c r="R99" s="46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x14ac:dyDescent="0.2">
      <c r="A100" s="5"/>
      <c r="B100" s="31"/>
      <c r="C100" s="31"/>
      <c r="D100" s="31"/>
      <c r="E100" s="31"/>
      <c r="F100" s="31"/>
      <c r="G100" s="31"/>
      <c r="H100" s="93"/>
      <c r="I100" s="31"/>
      <c r="J100" s="31"/>
      <c r="K100" s="31"/>
      <c r="L100" s="42"/>
      <c r="M100" s="31"/>
      <c r="N100" s="31"/>
      <c r="O100" s="42"/>
      <c r="P100" s="92"/>
      <c r="Q100" s="42"/>
      <c r="R100" s="46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x14ac:dyDescent="0.2">
      <c r="A101" s="5"/>
      <c r="B101" s="31"/>
      <c r="C101" s="31"/>
      <c r="D101" s="31"/>
      <c r="E101" s="31"/>
      <c r="F101" s="31"/>
      <c r="G101" s="31"/>
      <c r="H101" s="93"/>
      <c r="I101" s="31"/>
      <c r="J101" s="31"/>
      <c r="K101" s="31"/>
      <c r="L101" s="42"/>
      <c r="M101" s="31"/>
      <c r="N101" s="31"/>
      <c r="O101" s="42"/>
      <c r="P101" s="92"/>
      <c r="Q101" s="42"/>
      <c r="R101" s="46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x14ac:dyDescent="0.2">
      <c r="A102" s="5"/>
      <c r="B102" s="31"/>
      <c r="C102" s="31"/>
      <c r="D102" s="31"/>
      <c r="E102" s="31"/>
      <c r="F102" s="31"/>
      <c r="G102" s="31"/>
      <c r="H102" s="93"/>
      <c r="I102" s="31"/>
      <c r="J102" s="31"/>
      <c r="K102" s="31"/>
      <c r="L102" s="42"/>
      <c r="M102" s="31"/>
      <c r="N102" s="31"/>
      <c r="O102" s="42"/>
      <c r="P102" s="92"/>
      <c r="Q102" s="42"/>
      <c r="R102" s="46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x14ac:dyDescent="0.2">
      <c r="A103" s="5"/>
      <c r="B103" s="31"/>
      <c r="C103" s="31"/>
      <c r="D103" s="31"/>
      <c r="E103" s="31"/>
      <c r="F103" s="31"/>
      <c r="G103" s="31"/>
      <c r="H103" s="93"/>
      <c r="I103" s="31"/>
      <c r="J103" s="31"/>
      <c r="K103" s="31"/>
      <c r="L103" s="42"/>
      <c r="M103" s="31"/>
      <c r="N103" s="31"/>
      <c r="O103" s="42"/>
      <c r="P103" s="92"/>
      <c r="Q103" s="42"/>
      <c r="R103" s="46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x14ac:dyDescent="0.2">
      <c r="A104" s="5"/>
      <c r="B104" s="31"/>
      <c r="C104" s="31"/>
      <c r="D104" s="31"/>
      <c r="E104" s="31"/>
      <c r="F104" s="31"/>
      <c r="G104" s="31"/>
      <c r="H104" s="93"/>
      <c r="I104" s="31"/>
      <c r="J104" s="31"/>
      <c r="K104" s="31"/>
      <c r="L104" s="42"/>
      <c r="M104" s="31"/>
      <c r="N104" s="31"/>
      <c r="O104" s="42"/>
      <c r="P104" s="92"/>
      <c r="Q104" s="42"/>
      <c r="R104" s="46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x14ac:dyDescent="0.2">
      <c r="A105" s="5"/>
      <c r="B105" s="31"/>
      <c r="C105" s="31"/>
      <c r="D105" s="31"/>
      <c r="E105" s="31"/>
      <c r="F105" s="31"/>
      <c r="G105" s="31"/>
      <c r="H105" s="93"/>
      <c r="I105" s="31"/>
      <c r="J105" s="31"/>
      <c r="K105" s="31"/>
      <c r="L105" s="42"/>
      <c r="M105" s="31"/>
      <c r="N105" s="31"/>
      <c r="O105" s="42"/>
      <c r="P105" s="92"/>
      <c r="Q105" s="42"/>
      <c r="R105" s="46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x14ac:dyDescent="0.2">
      <c r="A106" s="5"/>
      <c r="B106" s="31"/>
      <c r="C106" s="31"/>
      <c r="D106" s="31"/>
      <c r="E106" s="31"/>
      <c r="F106" s="31"/>
      <c r="G106" s="31"/>
      <c r="H106" s="93"/>
      <c r="I106" s="31"/>
      <c r="J106" s="31"/>
      <c r="K106" s="31"/>
      <c r="L106" s="42"/>
      <c r="M106" s="31"/>
      <c r="N106" s="31"/>
      <c r="O106" s="42"/>
      <c r="P106" s="92"/>
      <c r="Q106" s="42"/>
      <c r="R106" s="46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x14ac:dyDescent="0.2">
      <c r="A107" s="5"/>
      <c r="B107" s="31"/>
      <c r="C107" s="31"/>
      <c r="D107" s="31"/>
      <c r="E107" s="31"/>
      <c r="F107" s="31"/>
      <c r="G107" s="31"/>
      <c r="H107" s="93"/>
      <c r="I107" s="31"/>
      <c r="J107" s="31"/>
      <c r="K107" s="31"/>
      <c r="L107" s="42"/>
      <c r="M107" s="31"/>
      <c r="N107" s="31"/>
      <c r="O107" s="42"/>
      <c r="P107" s="92"/>
      <c r="Q107" s="42"/>
      <c r="R107" s="46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x14ac:dyDescent="0.2">
      <c r="A108" s="5"/>
      <c r="B108" s="31"/>
      <c r="C108" s="31"/>
      <c r="D108" s="31"/>
      <c r="E108" s="31"/>
      <c r="F108" s="31"/>
      <c r="G108" s="31"/>
      <c r="H108" s="93"/>
      <c r="I108" s="31"/>
      <c r="J108" s="31"/>
      <c r="K108" s="31"/>
      <c r="L108" s="42"/>
      <c r="M108" s="31"/>
      <c r="N108" s="31"/>
      <c r="O108" s="42"/>
      <c r="P108" s="92"/>
      <c r="Q108" s="42"/>
      <c r="R108" s="46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x14ac:dyDescent="0.2">
      <c r="A109" s="5"/>
      <c r="B109" s="31"/>
      <c r="C109" s="31"/>
      <c r="D109" s="31"/>
      <c r="E109" s="31"/>
      <c r="F109" s="31"/>
      <c r="G109" s="31"/>
      <c r="H109" s="93"/>
      <c r="I109" s="31"/>
      <c r="J109" s="31"/>
      <c r="K109" s="31"/>
      <c r="L109" s="42"/>
      <c r="M109" s="31"/>
      <c r="N109" s="31"/>
      <c r="O109" s="42"/>
      <c r="P109" s="92"/>
      <c r="Q109" s="42"/>
      <c r="R109" s="46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x14ac:dyDescent="0.2">
      <c r="A110" s="5"/>
      <c r="B110" s="31"/>
      <c r="C110" s="31"/>
      <c r="D110" s="31"/>
      <c r="E110" s="31"/>
      <c r="F110" s="31"/>
      <c r="G110" s="31"/>
      <c r="H110" s="93"/>
      <c r="I110" s="31"/>
      <c r="J110" s="31"/>
      <c r="K110" s="31"/>
      <c r="L110" s="42"/>
      <c r="M110" s="31"/>
      <c r="N110" s="31"/>
      <c r="O110" s="42"/>
      <c r="P110" s="92"/>
      <c r="Q110" s="42"/>
      <c r="R110" s="46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x14ac:dyDescent="0.2">
      <c r="A111" s="5"/>
      <c r="B111" s="31"/>
      <c r="C111" s="31"/>
      <c r="D111" s="31"/>
      <c r="E111" s="31"/>
      <c r="F111" s="31"/>
      <c r="G111" s="31"/>
      <c r="H111" s="93"/>
      <c r="I111" s="31"/>
      <c r="J111" s="31"/>
      <c r="K111" s="31"/>
      <c r="L111" s="42"/>
      <c r="M111" s="31"/>
      <c r="N111" s="31"/>
      <c r="O111" s="42"/>
      <c r="P111" s="92"/>
      <c r="Q111" s="42"/>
      <c r="R111" s="46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x14ac:dyDescent="0.2">
      <c r="A112" s="5"/>
      <c r="B112" s="31"/>
      <c r="C112" s="31"/>
      <c r="D112" s="31"/>
      <c r="E112" s="31"/>
      <c r="F112" s="31"/>
      <c r="G112" s="31"/>
      <c r="H112" s="93"/>
      <c r="I112" s="31"/>
      <c r="J112" s="31"/>
      <c r="K112" s="31"/>
      <c r="L112" s="42"/>
      <c r="M112" s="31"/>
      <c r="N112" s="31"/>
      <c r="O112" s="42"/>
      <c r="P112" s="92"/>
      <c r="Q112" s="42"/>
      <c r="R112" s="46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x14ac:dyDescent="0.2">
      <c r="A113" s="5"/>
      <c r="B113" s="31"/>
      <c r="C113" s="31"/>
      <c r="D113" s="31"/>
      <c r="E113" s="31"/>
      <c r="F113" s="31"/>
      <c r="G113" s="31"/>
      <c r="H113" s="93"/>
      <c r="I113" s="31"/>
      <c r="J113" s="31"/>
      <c r="K113" s="31"/>
      <c r="L113" s="42"/>
      <c r="M113" s="31"/>
      <c r="N113" s="31"/>
      <c r="O113" s="42"/>
      <c r="P113" s="92"/>
      <c r="Q113" s="42"/>
      <c r="R113" s="46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x14ac:dyDescent="0.2">
      <c r="A114" s="5"/>
      <c r="B114" s="31"/>
      <c r="C114" s="31"/>
      <c r="D114" s="31"/>
      <c r="E114" s="31"/>
      <c r="F114" s="31"/>
      <c r="G114" s="31"/>
      <c r="H114" s="93"/>
      <c r="I114" s="31"/>
      <c r="J114" s="31"/>
      <c r="K114" s="31"/>
      <c r="L114" s="42"/>
      <c r="M114" s="31"/>
      <c r="N114" s="31"/>
      <c r="O114" s="42"/>
      <c r="P114" s="92"/>
      <c r="Q114" s="42"/>
      <c r="R114" s="46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x14ac:dyDescent="0.2">
      <c r="A115" s="5"/>
      <c r="B115" s="31"/>
      <c r="C115" s="31"/>
      <c r="D115" s="31"/>
      <c r="E115" s="31"/>
      <c r="F115" s="31"/>
      <c r="G115" s="31"/>
      <c r="H115" s="93"/>
      <c r="I115" s="31"/>
      <c r="J115" s="31"/>
      <c r="K115" s="31"/>
      <c r="L115" s="42"/>
      <c r="M115" s="31"/>
      <c r="N115" s="31"/>
      <c r="O115" s="42"/>
      <c r="P115" s="92"/>
      <c r="Q115" s="42"/>
      <c r="R115" s="46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x14ac:dyDescent="0.2">
      <c r="A116" s="5"/>
      <c r="B116" s="31"/>
      <c r="C116" s="31"/>
      <c r="D116" s="31"/>
      <c r="E116" s="31"/>
      <c r="F116" s="31"/>
      <c r="G116" s="31"/>
      <c r="H116" s="93"/>
      <c r="I116" s="31"/>
      <c r="J116" s="31"/>
      <c r="K116" s="31"/>
      <c r="L116" s="42"/>
      <c r="M116" s="31"/>
      <c r="N116" s="31"/>
      <c r="O116" s="42"/>
      <c r="P116" s="92"/>
      <c r="Q116" s="42"/>
      <c r="R116" s="46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x14ac:dyDescent="0.2">
      <c r="A117" s="5"/>
      <c r="B117" s="31"/>
      <c r="C117" s="31"/>
      <c r="D117" s="31"/>
      <c r="E117" s="31"/>
      <c r="F117" s="31"/>
      <c r="G117" s="31"/>
      <c r="H117" s="93"/>
      <c r="I117" s="31"/>
      <c r="J117" s="31"/>
      <c r="K117" s="31"/>
      <c r="L117" s="42"/>
      <c r="M117" s="31"/>
      <c r="N117" s="31"/>
      <c r="O117" s="42"/>
      <c r="P117" s="92"/>
      <c r="Q117" s="42"/>
      <c r="R117" s="46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x14ac:dyDescent="0.2">
      <c r="A118" s="5"/>
      <c r="B118" s="31"/>
      <c r="C118" s="31"/>
      <c r="D118" s="31"/>
      <c r="E118" s="31"/>
      <c r="F118" s="31"/>
      <c r="G118" s="31"/>
      <c r="H118" s="93"/>
      <c r="I118" s="31"/>
      <c r="J118" s="31"/>
      <c r="K118" s="31"/>
      <c r="L118" s="42"/>
      <c r="M118" s="31"/>
      <c r="N118" s="31"/>
      <c r="O118" s="42"/>
      <c r="P118" s="92"/>
      <c r="Q118" s="42"/>
      <c r="R118" s="46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x14ac:dyDescent="0.2">
      <c r="A119" s="5"/>
      <c r="B119" s="31"/>
      <c r="C119" s="31"/>
      <c r="D119" s="31"/>
      <c r="E119" s="31"/>
      <c r="F119" s="31"/>
      <c r="G119" s="31"/>
      <c r="H119" s="93"/>
      <c r="I119" s="31"/>
      <c r="J119" s="31"/>
      <c r="K119" s="31"/>
      <c r="L119" s="42"/>
      <c r="M119" s="31"/>
      <c r="N119" s="31"/>
      <c r="O119" s="42"/>
      <c r="P119" s="92"/>
      <c r="Q119" s="42"/>
      <c r="R119" s="46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x14ac:dyDescent="0.2">
      <c r="A120" s="5"/>
      <c r="B120" s="31"/>
      <c r="C120" s="31"/>
      <c r="D120" s="31"/>
      <c r="E120" s="31"/>
      <c r="F120" s="31"/>
      <c r="G120" s="31"/>
      <c r="H120" s="93"/>
      <c r="I120" s="31"/>
      <c r="J120" s="31"/>
      <c r="K120" s="31"/>
      <c r="L120" s="42"/>
      <c r="M120" s="31"/>
      <c r="N120" s="31"/>
      <c r="O120" s="42"/>
      <c r="P120" s="92"/>
      <c r="Q120" s="42"/>
      <c r="R120" s="46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x14ac:dyDescent="0.2">
      <c r="A121" s="5"/>
      <c r="B121" s="31"/>
      <c r="C121" s="31"/>
      <c r="D121" s="31"/>
      <c r="E121" s="31"/>
      <c r="F121" s="31"/>
      <c r="G121" s="31"/>
      <c r="H121" s="93"/>
      <c r="I121" s="31"/>
      <c r="J121" s="31"/>
      <c r="K121" s="31"/>
      <c r="L121" s="42"/>
      <c r="M121" s="31"/>
      <c r="N121" s="31"/>
      <c r="O121" s="42"/>
      <c r="P121" s="92"/>
      <c r="Q121" s="42"/>
      <c r="R121" s="46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x14ac:dyDescent="0.2">
      <c r="A122" s="5"/>
      <c r="B122" s="31"/>
      <c r="C122" s="31"/>
      <c r="D122" s="31"/>
      <c r="E122" s="31"/>
      <c r="F122" s="31"/>
      <c r="G122" s="31"/>
      <c r="H122" s="93"/>
      <c r="I122" s="31"/>
      <c r="J122" s="31"/>
      <c r="K122" s="31"/>
      <c r="L122" s="42"/>
      <c r="M122" s="31"/>
      <c r="N122" s="31"/>
      <c r="O122" s="42"/>
      <c r="P122" s="92"/>
      <c r="Q122" s="42"/>
      <c r="R122" s="46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x14ac:dyDescent="0.2">
      <c r="A123" s="5"/>
      <c r="B123" s="31"/>
      <c r="C123" s="31"/>
      <c r="D123" s="31"/>
      <c r="E123" s="31"/>
      <c r="F123" s="31"/>
      <c r="G123" s="31"/>
      <c r="H123" s="93"/>
      <c r="I123" s="31"/>
      <c r="J123" s="31"/>
      <c r="K123" s="31"/>
      <c r="L123" s="42"/>
      <c r="M123" s="31"/>
      <c r="N123" s="31"/>
      <c r="O123" s="42"/>
      <c r="P123" s="92"/>
      <c r="Q123" s="42"/>
      <c r="R123" s="46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x14ac:dyDescent="0.2">
      <c r="A124" s="5"/>
      <c r="B124" s="31"/>
      <c r="C124" s="31"/>
      <c r="D124" s="31"/>
      <c r="E124" s="31"/>
      <c r="F124" s="31"/>
      <c r="G124" s="31"/>
      <c r="H124" s="93"/>
      <c r="I124" s="31"/>
      <c r="J124" s="31"/>
      <c r="K124" s="31"/>
      <c r="L124" s="42"/>
      <c r="M124" s="31"/>
      <c r="N124" s="31"/>
      <c r="O124" s="42"/>
      <c r="P124" s="92"/>
      <c r="Q124" s="42"/>
      <c r="R124" s="46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x14ac:dyDescent="0.2">
      <c r="A125" s="5"/>
      <c r="B125" s="31"/>
      <c r="C125" s="31"/>
      <c r="D125" s="31"/>
      <c r="E125" s="31"/>
      <c r="F125" s="31"/>
      <c r="G125" s="31"/>
      <c r="H125" s="93"/>
      <c r="I125" s="31"/>
      <c r="J125" s="31"/>
      <c r="K125" s="31"/>
      <c r="L125" s="42"/>
      <c r="M125" s="31"/>
      <c r="N125" s="31"/>
      <c r="O125" s="42"/>
      <c r="P125" s="92"/>
      <c r="Q125" s="42"/>
      <c r="R125" s="46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x14ac:dyDescent="0.2">
      <c r="A126" s="5"/>
      <c r="B126" s="31"/>
      <c r="C126" s="31"/>
      <c r="D126" s="31"/>
      <c r="E126" s="31"/>
      <c r="F126" s="31"/>
      <c r="G126" s="31"/>
      <c r="H126" s="93"/>
      <c r="I126" s="31"/>
      <c r="J126" s="31"/>
      <c r="K126" s="31"/>
      <c r="L126" s="42"/>
      <c r="M126" s="31"/>
      <c r="N126" s="31"/>
      <c r="O126" s="42"/>
      <c r="P126" s="92"/>
      <c r="Q126" s="42"/>
      <c r="R126" s="46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x14ac:dyDescent="0.2">
      <c r="A127" s="5"/>
      <c r="B127" s="31"/>
      <c r="C127" s="31"/>
      <c r="D127" s="31"/>
      <c r="E127" s="31"/>
      <c r="F127" s="31"/>
      <c r="G127" s="31"/>
      <c r="H127" s="93"/>
      <c r="I127" s="31"/>
      <c r="J127" s="31"/>
      <c r="K127" s="31"/>
      <c r="L127" s="42"/>
      <c r="M127" s="31"/>
      <c r="N127" s="31"/>
      <c r="O127" s="42"/>
      <c r="P127" s="92"/>
      <c r="Q127" s="42"/>
      <c r="R127" s="46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x14ac:dyDescent="0.2">
      <c r="A128" s="5"/>
      <c r="B128" s="31"/>
      <c r="C128" s="31"/>
      <c r="D128" s="31"/>
      <c r="E128" s="31"/>
      <c r="F128" s="31"/>
      <c r="G128" s="31"/>
      <c r="H128" s="93"/>
      <c r="I128" s="31"/>
      <c r="J128" s="31"/>
      <c r="K128" s="31"/>
      <c r="L128" s="42"/>
      <c r="M128" s="31"/>
      <c r="N128" s="31"/>
      <c r="O128" s="42"/>
      <c r="P128" s="92"/>
      <c r="Q128" s="42"/>
      <c r="R128" s="46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x14ac:dyDescent="0.2">
      <c r="A129" s="5"/>
      <c r="B129" s="31"/>
      <c r="C129" s="31"/>
      <c r="D129" s="31"/>
      <c r="E129" s="31"/>
      <c r="F129" s="31"/>
      <c r="G129" s="31"/>
      <c r="H129" s="93"/>
      <c r="I129" s="31"/>
      <c r="J129" s="31"/>
      <c r="K129" s="31"/>
      <c r="L129" s="42"/>
      <c r="M129" s="31"/>
      <c r="N129" s="31"/>
      <c r="O129" s="42"/>
      <c r="P129" s="92"/>
      <c r="Q129" s="42"/>
      <c r="R129" s="46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x14ac:dyDescent="0.2">
      <c r="A130" s="5"/>
      <c r="B130" s="31"/>
      <c r="C130" s="31"/>
      <c r="D130" s="31"/>
      <c r="E130" s="31"/>
      <c r="F130" s="31"/>
      <c r="G130" s="31"/>
      <c r="H130" s="93"/>
      <c r="I130" s="31"/>
      <c r="J130" s="31"/>
      <c r="K130" s="31"/>
      <c r="L130" s="42"/>
      <c r="M130" s="31"/>
      <c r="N130" s="31"/>
      <c r="O130" s="42"/>
      <c r="P130" s="92"/>
      <c r="Q130" s="42"/>
      <c r="R130" s="46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x14ac:dyDescent="0.2">
      <c r="A131" s="5"/>
      <c r="B131" s="31"/>
      <c r="C131" s="31"/>
      <c r="D131" s="31"/>
      <c r="E131" s="31"/>
      <c r="F131" s="31"/>
      <c r="G131" s="31"/>
      <c r="H131" s="93"/>
      <c r="I131" s="31"/>
      <c r="J131" s="31"/>
      <c r="K131" s="31"/>
      <c r="L131" s="42"/>
      <c r="M131" s="31"/>
      <c r="N131" s="31"/>
      <c r="O131" s="42"/>
      <c r="P131" s="92"/>
      <c r="Q131" s="42"/>
      <c r="R131" s="46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x14ac:dyDescent="0.2">
      <c r="A132" s="5"/>
      <c r="B132" s="31"/>
      <c r="C132" s="31"/>
      <c r="D132" s="31"/>
      <c r="E132" s="31"/>
      <c r="F132" s="31"/>
      <c r="G132" s="31"/>
      <c r="H132" s="93"/>
      <c r="I132" s="31"/>
      <c r="J132" s="31"/>
      <c r="K132" s="31"/>
      <c r="L132" s="42"/>
      <c r="M132" s="31"/>
      <c r="N132" s="31"/>
      <c r="O132" s="42"/>
      <c r="P132" s="92"/>
      <c r="Q132" s="42"/>
      <c r="R132" s="46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x14ac:dyDescent="0.2">
      <c r="A133" s="5"/>
      <c r="B133" s="31"/>
      <c r="C133" s="31"/>
      <c r="D133" s="31"/>
      <c r="E133" s="31"/>
      <c r="F133" s="31"/>
      <c r="G133" s="31"/>
      <c r="H133" s="93"/>
      <c r="I133" s="31"/>
      <c r="J133" s="31"/>
      <c r="K133" s="31"/>
      <c r="L133" s="42"/>
      <c r="M133" s="31"/>
      <c r="N133" s="31"/>
      <c r="O133" s="42"/>
      <c r="P133" s="92"/>
      <c r="Q133" s="42"/>
      <c r="R133" s="46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x14ac:dyDescent="0.2">
      <c r="A134" s="5"/>
      <c r="B134" s="31"/>
      <c r="C134" s="31"/>
      <c r="D134" s="31"/>
      <c r="E134" s="31"/>
      <c r="F134" s="31"/>
      <c r="G134" s="31"/>
      <c r="H134" s="93"/>
      <c r="I134" s="31"/>
      <c r="J134" s="31"/>
      <c r="K134" s="31"/>
      <c r="L134" s="42"/>
      <c r="M134" s="31"/>
      <c r="N134" s="31"/>
      <c r="O134" s="42"/>
      <c r="P134" s="92"/>
      <c r="Q134" s="42"/>
      <c r="R134" s="46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x14ac:dyDescent="0.2">
      <c r="A135" s="5"/>
      <c r="B135" s="31"/>
      <c r="C135" s="31"/>
      <c r="D135" s="31"/>
      <c r="E135" s="31"/>
      <c r="F135" s="31"/>
      <c r="G135" s="31"/>
      <c r="H135" s="93"/>
      <c r="I135" s="31"/>
      <c r="J135" s="31"/>
      <c r="K135" s="31"/>
      <c r="L135" s="42"/>
      <c r="M135" s="31"/>
      <c r="N135" s="31"/>
      <c r="O135" s="42"/>
      <c r="P135" s="92"/>
      <c r="Q135" s="42"/>
      <c r="R135" s="46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x14ac:dyDescent="0.2">
      <c r="A136" s="5"/>
      <c r="B136" s="31"/>
      <c r="C136" s="31"/>
      <c r="D136" s="31"/>
      <c r="E136" s="31"/>
      <c r="F136" s="31"/>
      <c r="G136" s="31"/>
      <c r="H136" s="93"/>
      <c r="I136" s="31"/>
      <c r="J136" s="31"/>
      <c r="K136" s="31"/>
      <c r="L136" s="42"/>
      <c r="M136" s="31"/>
      <c r="N136" s="31"/>
      <c r="O136" s="42"/>
      <c r="P136" s="92"/>
      <c r="Q136" s="42"/>
      <c r="R136" s="46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x14ac:dyDescent="0.2">
      <c r="A137" s="5"/>
      <c r="B137" s="31"/>
      <c r="C137" s="31"/>
      <c r="D137" s="31"/>
      <c r="E137" s="31"/>
      <c r="F137" s="31"/>
      <c r="G137" s="31"/>
      <c r="H137" s="93"/>
      <c r="I137" s="31"/>
      <c r="J137" s="31"/>
      <c r="K137" s="31"/>
      <c r="L137" s="42"/>
      <c r="M137" s="31"/>
      <c r="N137" s="31"/>
      <c r="O137" s="42"/>
      <c r="P137" s="92"/>
      <c r="Q137" s="42"/>
      <c r="R137" s="46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x14ac:dyDescent="0.2">
      <c r="A138" s="5"/>
      <c r="B138" s="31"/>
      <c r="C138" s="31"/>
      <c r="D138" s="31"/>
      <c r="E138" s="31"/>
      <c r="F138" s="31"/>
      <c r="G138" s="31"/>
      <c r="H138" s="93"/>
      <c r="I138" s="31"/>
      <c r="J138" s="31"/>
      <c r="K138" s="31"/>
      <c r="L138" s="42"/>
      <c r="M138" s="31"/>
      <c r="N138" s="31"/>
      <c r="O138" s="42"/>
      <c r="P138" s="92"/>
      <c r="Q138" s="42"/>
      <c r="R138" s="46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x14ac:dyDescent="0.2">
      <c r="A139" s="5"/>
      <c r="B139" s="31"/>
      <c r="C139" s="31"/>
      <c r="D139" s="31"/>
      <c r="E139" s="31"/>
      <c r="F139" s="31"/>
      <c r="G139" s="31"/>
      <c r="H139" s="93"/>
      <c r="I139" s="31"/>
      <c r="J139" s="31"/>
      <c r="K139" s="31"/>
      <c r="L139" s="42"/>
      <c r="M139" s="31"/>
      <c r="N139" s="31"/>
      <c r="O139" s="42"/>
      <c r="P139" s="92"/>
      <c r="Q139" s="42"/>
      <c r="R139" s="46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x14ac:dyDescent="0.2">
      <c r="A140" s="5"/>
      <c r="B140" s="31"/>
      <c r="C140" s="31"/>
      <c r="D140" s="31"/>
      <c r="E140" s="31"/>
      <c r="F140" s="31"/>
      <c r="G140" s="31"/>
      <c r="H140" s="93"/>
      <c r="I140" s="31"/>
      <c r="J140" s="31"/>
      <c r="K140" s="31"/>
      <c r="L140" s="42"/>
      <c r="M140" s="31"/>
      <c r="N140" s="31"/>
      <c r="O140" s="42"/>
      <c r="P140" s="92"/>
      <c r="Q140" s="42"/>
      <c r="R140" s="46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x14ac:dyDescent="0.2">
      <c r="A141" s="5"/>
      <c r="B141" s="31"/>
      <c r="C141" s="31"/>
      <c r="D141" s="31"/>
      <c r="E141" s="31"/>
      <c r="F141" s="31"/>
      <c r="G141" s="31"/>
      <c r="H141" s="93"/>
      <c r="I141" s="31"/>
      <c r="J141" s="31"/>
      <c r="K141" s="31"/>
      <c r="L141" s="42"/>
      <c r="M141" s="31"/>
      <c r="N141" s="31"/>
      <c r="O141" s="42"/>
      <c r="P141" s="92"/>
      <c r="Q141" s="42"/>
      <c r="R141" s="46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x14ac:dyDescent="0.2">
      <c r="A142" s="5"/>
      <c r="B142" s="31"/>
      <c r="C142" s="31"/>
      <c r="D142" s="31"/>
      <c r="E142" s="31"/>
      <c r="F142" s="31"/>
      <c r="G142" s="31"/>
      <c r="H142" s="93"/>
      <c r="I142" s="31"/>
      <c r="J142" s="31"/>
      <c r="K142" s="31"/>
      <c r="L142" s="42"/>
      <c r="M142" s="31"/>
      <c r="N142" s="31"/>
      <c r="O142" s="42"/>
      <c r="P142" s="92"/>
      <c r="Q142" s="42"/>
      <c r="R142" s="46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x14ac:dyDescent="0.2">
      <c r="A143" s="5"/>
      <c r="B143" s="31"/>
      <c r="C143" s="31"/>
      <c r="D143" s="31"/>
      <c r="E143" s="31"/>
      <c r="F143" s="31"/>
      <c r="G143" s="31"/>
      <c r="H143" s="93"/>
      <c r="I143" s="31"/>
      <c r="J143" s="31"/>
      <c r="K143" s="31"/>
      <c r="L143" s="42"/>
      <c r="M143" s="31"/>
      <c r="N143" s="31"/>
      <c r="O143" s="42"/>
      <c r="P143" s="92"/>
      <c r="Q143" s="42"/>
      <c r="R143" s="46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x14ac:dyDescent="0.2">
      <c r="A144" s="5"/>
      <c r="B144" s="31"/>
      <c r="C144" s="31"/>
      <c r="D144" s="31"/>
      <c r="E144" s="31"/>
      <c r="F144" s="31"/>
      <c r="G144" s="31"/>
      <c r="H144" s="93"/>
      <c r="I144" s="31"/>
      <c r="J144" s="31"/>
      <c r="K144" s="31"/>
      <c r="L144" s="42"/>
      <c r="M144" s="31"/>
      <c r="N144" s="31"/>
      <c r="O144" s="42"/>
      <c r="P144" s="92"/>
      <c r="Q144" s="42"/>
      <c r="R144" s="46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x14ac:dyDescent="0.2">
      <c r="A145" s="5"/>
      <c r="B145" s="31"/>
      <c r="C145" s="31"/>
      <c r="D145" s="31"/>
      <c r="E145" s="31"/>
      <c r="F145" s="31"/>
      <c r="G145" s="31"/>
      <c r="H145" s="93"/>
      <c r="I145" s="31"/>
      <c r="J145" s="31"/>
      <c r="K145" s="31"/>
      <c r="L145" s="42"/>
      <c r="M145" s="31"/>
      <c r="N145" s="31"/>
      <c r="O145" s="42"/>
      <c r="P145" s="92"/>
      <c r="Q145" s="42"/>
      <c r="R145" s="46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x14ac:dyDescent="0.2">
      <c r="A146" s="5"/>
      <c r="B146" s="31"/>
      <c r="C146" s="31"/>
      <c r="D146" s="31"/>
      <c r="E146" s="31"/>
      <c r="F146" s="31"/>
      <c r="G146" s="31"/>
      <c r="H146" s="93"/>
      <c r="I146" s="31"/>
      <c r="J146" s="31"/>
      <c r="K146" s="31"/>
      <c r="L146" s="42"/>
      <c r="M146" s="31"/>
      <c r="N146" s="31"/>
      <c r="O146" s="42"/>
      <c r="P146" s="92"/>
      <c r="Q146" s="42"/>
      <c r="R146" s="46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x14ac:dyDescent="0.2">
      <c r="A147" s="5"/>
      <c r="B147" s="31"/>
      <c r="C147" s="31"/>
      <c r="D147" s="31"/>
      <c r="E147" s="31"/>
      <c r="F147" s="31"/>
      <c r="G147" s="31"/>
      <c r="H147" s="93"/>
      <c r="I147" s="31"/>
      <c r="J147" s="31"/>
      <c r="K147" s="31"/>
      <c r="L147" s="42"/>
      <c r="M147" s="31"/>
      <c r="N147" s="31"/>
      <c r="O147" s="42"/>
      <c r="P147" s="92"/>
      <c r="Q147" s="42"/>
      <c r="R147" s="46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x14ac:dyDescent="0.2">
      <c r="A148" s="5"/>
      <c r="B148" s="31"/>
      <c r="C148" s="31"/>
      <c r="D148" s="31"/>
      <c r="E148" s="31"/>
      <c r="F148" s="31"/>
      <c r="G148" s="31"/>
      <c r="H148" s="93"/>
      <c r="I148" s="31"/>
      <c r="J148" s="31"/>
      <c r="K148" s="31"/>
      <c r="L148" s="42"/>
      <c r="M148" s="31"/>
      <c r="N148" s="31"/>
      <c r="O148" s="42"/>
      <c r="P148" s="92"/>
      <c r="Q148" s="42"/>
      <c r="R148" s="46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x14ac:dyDescent="0.2">
      <c r="A149" s="5"/>
      <c r="B149" s="31"/>
      <c r="C149" s="31"/>
      <c r="D149" s="31"/>
      <c r="E149" s="31"/>
      <c r="F149" s="31"/>
      <c r="G149" s="31"/>
      <c r="H149" s="93"/>
      <c r="I149" s="31"/>
      <c r="J149" s="31"/>
      <c r="K149" s="31"/>
      <c r="L149" s="42"/>
      <c r="M149" s="31"/>
      <c r="N149" s="31"/>
      <c r="O149" s="42"/>
      <c r="P149" s="92"/>
      <c r="Q149" s="42"/>
      <c r="R149" s="46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x14ac:dyDescent="0.2">
      <c r="A150" s="5"/>
      <c r="B150" s="31"/>
      <c r="C150" s="31"/>
      <c r="D150" s="31"/>
      <c r="E150" s="31"/>
      <c r="F150" s="31"/>
      <c r="G150" s="31"/>
      <c r="H150" s="93"/>
      <c r="I150" s="31"/>
      <c r="J150" s="31"/>
      <c r="K150" s="31"/>
      <c r="L150" s="42"/>
      <c r="M150" s="31"/>
      <c r="N150" s="31"/>
      <c r="O150" s="42"/>
      <c r="P150" s="92"/>
      <c r="Q150" s="42"/>
      <c r="R150" s="46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x14ac:dyDescent="0.2">
      <c r="A151" s="5"/>
      <c r="B151" s="31"/>
      <c r="C151" s="31"/>
      <c r="D151" s="31"/>
      <c r="E151" s="31"/>
      <c r="F151" s="31"/>
      <c r="G151" s="31"/>
      <c r="H151" s="93"/>
      <c r="I151" s="31"/>
      <c r="J151" s="31"/>
      <c r="K151" s="31"/>
      <c r="L151" s="42"/>
      <c r="M151" s="31"/>
      <c r="N151" s="31"/>
      <c r="O151" s="42"/>
      <c r="P151" s="92"/>
      <c r="Q151" s="42"/>
      <c r="R151" s="46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x14ac:dyDescent="0.2">
      <c r="A152" s="5"/>
      <c r="B152" s="31"/>
      <c r="C152" s="31"/>
      <c r="D152" s="31"/>
      <c r="E152" s="31"/>
      <c r="F152" s="31"/>
      <c r="G152" s="31"/>
      <c r="H152" s="93"/>
      <c r="I152" s="31"/>
      <c r="J152" s="31"/>
      <c r="K152" s="31"/>
      <c r="L152" s="42"/>
      <c r="M152" s="31"/>
      <c r="N152" s="31"/>
      <c r="O152" s="42"/>
      <c r="P152" s="92"/>
      <c r="Q152" s="42"/>
      <c r="R152" s="46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x14ac:dyDescent="0.2">
      <c r="A153" s="5"/>
      <c r="B153" s="31"/>
      <c r="C153" s="31"/>
      <c r="D153" s="31"/>
      <c r="E153" s="31"/>
      <c r="F153" s="31"/>
      <c r="G153" s="31"/>
      <c r="H153" s="93"/>
      <c r="I153" s="31"/>
      <c r="J153" s="31"/>
      <c r="K153" s="31"/>
      <c r="L153" s="42"/>
      <c r="M153" s="31"/>
      <c r="N153" s="31"/>
      <c r="O153" s="42"/>
      <c r="P153" s="92"/>
      <c r="Q153" s="42"/>
      <c r="R153" s="46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x14ac:dyDescent="0.2">
      <c r="A154" s="5"/>
      <c r="B154" s="31"/>
      <c r="C154" s="31"/>
      <c r="D154" s="31"/>
      <c r="E154" s="31"/>
      <c r="F154" s="31"/>
      <c r="G154" s="31"/>
      <c r="H154" s="93"/>
      <c r="I154" s="31"/>
      <c r="J154" s="31"/>
      <c r="K154" s="31"/>
      <c r="L154" s="42"/>
      <c r="M154" s="31"/>
      <c r="N154" s="31"/>
      <c r="O154" s="42"/>
      <c r="P154" s="92"/>
      <c r="Q154" s="42"/>
      <c r="R154" s="46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x14ac:dyDescent="0.2">
      <c r="A155" s="5"/>
      <c r="B155" s="31"/>
      <c r="C155" s="31"/>
      <c r="D155" s="31"/>
      <c r="E155" s="31"/>
      <c r="F155" s="31"/>
      <c r="G155" s="31"/>
      <c r="H155" s="93"/>
      <c r="I155" s="31"/>
      <c r="J155" s="31"/>
      <c r="K155" s="31"/>
      <c r="L155" s="42"/>
      <c r="M155" s="31"/>
      <c r="N155" s="31"/>
      <c r="O155" s="42"/>
      <c r="P155" s="92"/>
      <c r="Q155" s="42"/>
      <c r="R155" s="46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x14ac:dyDescent="0.2">
      <c r="A156" s="5"/>
      <c r="B156" s="31"/>
      <c r="C156" s="31"/>
      <c r="D156" s="31"/>
      <c r="E156" s="31"/>
      <c r="F156" s="31"/>
      <c r="G156" s="31"/>
      <c r="H156" s="93"/>
      <c r="I156" s="31"/>
      <c r="J156" s="31"/>
      <c r="K156" s="31"/>
      <c r="L156" s="42"/>
      <c r="M156" s="31"/>
      <c r="N156" s="31"/>
      <c r="O156" s="42"/>
      <c r="P156" s="92"/>
      <c r="Q156" s="42"/>
      <c r="R156" s="46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x14ac:dyDescent="0.2">
      <c r="A157" s="5"/>
      <c r="B157" s="31"/>
      <c r="C157" s="31"/>
      <c r="D157" s="31"/>
      <c r="E157" s="31"/>
      <c r="F157" s="31"/>
      <c r="G157" s="31"/>
      <c r="H157" s="93"/>
      <c r="I157" s="31"/>
      <c r="J157" s="31"/>
      <c r="K157" s="31"/>
      <c r="L157" s="42"/>
      <c r="M157" s="31"/>
      <c r="N157" s="31"/>
      <c r="O157" s="42"/>
      <c r="P157" s="92"/>
      <c r="Q157" s="42"/>
      <c r="R157" s="46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x14ac:dyDescent="0.2">
      <c r="A158" s="5"/>
      <c r="B158" s="31"/>
      <c r="C158" s="31"/>
      <c r="D158" s="31"/>
      <c r="E158" s="31"/>
      <c r="F158" s="31"/>
      <c r="G158" s="31"/>
      <c r="H158" s="93"/>
      <c r="I158" s="31"/>
      <c r="J158" s="31"/>
      <c r="K158" s="31"/>
      <c r="L158" s="42"/>
      <c r="M158" s="31"/>
      <c r="N158" s="31"/>
      <c r="O158" s="42"/>
      <c r="P158" s="92"/>
      <c r="Q158" s="42"/>
      <c r="R158" s="46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x14ac:dyDescent="0.2">
      <c r="A159" s="5"/>
      <c r="B159" s="31"/>
      <c r="C159" s="31"/>
      <c r="D159" s="31"/>
      <c r="E159" s="31"/>
      <c r="F159" s="31"/>
      <c r="G159" s="31"/>
      <c r="H159" s="93"/>
      <c r="I159" s="31"/>
      <c r="J159" s="31"/>
      <c r="K159" s="31"/>
      <c r="L159" s="42"/>
      <c r="M159" s="31"/>
      <c r="N159" s="31"/>
      <c r="O159" s="42"/>
      <c r="P159" s="92"/>
      <c r="Q159" s="42"/>
      <c r="R159" s="46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x14ac:dyDescent="0.2">
      <c r="A160" s="5"/>
      <c r="B160" s="31"/>
      <c r="C160" s="31"/>
      <c r="D160" s="31"/>
      <c r="E160" s="31"/>
      <c r="F160" s="31"/>
      <c r="G160" s="31"/>
      <c r="H160" s="93"/>
      <c r="I160" s="31"/>
      <c r="J160" s="31"/>
      <c r="K160" s="31"/>
      <c r="L160" s="42"/>
      <c r="M160" s="31"/>
      <c r="N160" s="31"/>
      <c r="O160" s="42"/>
      <c r="P160" s="92"/>
      <c r="Q160" s="42"/>
      <c r="R160" s="46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x14ac:dyDescent="0.2">
      <c r="A161" s="5"/>
      <c r="B161" s="31"/>
      <c r="C161" s="31"/>
      <c r="D161" s="31"/>
      <c r="E161" s="31"/>
      <c r="F161" s="31"/>
      <c r="G161" s="31"/>
      <c r="H161" s="93"/>
      <c r="I161" s="31"/>
      <c r="J161" s="31"/>
      <c r="K161" s="31"/>
      <c r="L161" s="42"/>
      <c r="M161" s="31"/>
      <c r="N161" s="31"/>
      <c r="O161" s="42"/>
      <c r="P161" s="92"/>
      <c r="Q161" s="42"/>
      <c r="R161" s="46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x14ac:dyDescent="0.2">
      <c r="A162" s="5"/>
      <c r="B162" s="31"/>
      <c r="C162" s="31"/>
      <c r="D162" s="31"/>
      <c r="E162" s="31"/>
      <c r="F162" s="31"/>
      <c r="G162" s="31"/>
      <c r="H162" s="93"/>
      <c r="I162" s="31"/>
      <c r="J162" s="31"/>
      <c r="K162" s="31"/>
      <c r="L162" s="42"/>
      <c r="M162" s="31"/>
      <c r="N162" s="31"/>
      <c r="O162" s="42"/>
      <c r="P162" s="92"/>
      <c r="Q162" s="42"/>
      <c r="R162" s="46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x14ac:dyDescent="0.2">
      <c r="A163" s="5"/>
      <c r="B163" s="31"/>
      <c r="C163" s="31"/>
      <c r="D163" s="31"/>
      <c r="E163" s="31"/>
      <c r="F163" s="31"/>
      <c r="G163" s="31"/>
      <c r="H163" s="93"/>
      <c r="I163" s="31"/>
      <c r="J163" s="31"/>
      <c r="K163" s="31"/>
      <c r="L163" s="42"/>
      <c r="M163" s="31"/>
      <c r="N163" s="31"/>
      <c r="O163" s="42"/>
      <c r="P163" s="92"/>
      <c r="Q163" s="42"/>
      <c r="R163" s="46"/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x14ac:dyDescent="0.2">
      <c r="A164" s="5"/>
      <c r="B164" s="31"/>
      <c r="C164" s="31"/>
      <c r="D164" s="31"/>
      <c r="E164" s="31"/>
      <c r="F164" s="31"/>
      <c r="G164" s="31"/>
      <c r="H164" s="93"/>
      <c r="I164" s="31"/>
      <c r="J164" s="31"/>
      <c r="K164" s="31"/>
      <c r="L164" s="42"/>
      <c r="M164" s="31"/>
      <c r="N164" s="31"/>
      <c r="O164" s="42"/>
      <c r="P164" s="92"/>
      <c r="Q164" s="42"/>
      <c r="R164" s="46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x14ac:dyDescent="0.2">
      <c r="A165" s="5"/>
      <c r="B165" s="31"/>
      <c r="C165" s="31"/>
      <c r="D165" s="31"/>
      <c r="E165" s="31"/>
      <c r="F165" s="31"/>
      <c r="G165" s="31"/>
      <c r="H165" s="93"/>
      <c r="I165" s="31"/>
      <c r="J165" s="31"/>
      <c r="K165" s="31"/>
      <c r="L165" s="42"/>
      <c r="M165" s="31"/>
      <c r="N165" s="31"/>
      <c r="O165" s="42"/>
      <c r="P165" s="92"/>
      <c r="Q165" s="42"/>
      <c r="R165" s="46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x14ac:dyDescent="0.2">
      <c r="A166" s="5"/>
      <c r="B166" s="31"/>
      <c r="C166" s="31"/>
      <c r="D166" s="31"/>
      <c r="E166" s="31"/>
      <c r="F166" s="31"/>
      <c r="G166" s="31"/>
      <c r="H166" s="93"/>
      <c r="I166" s="31"/>
      <c r="J166" s="31"/>
      <c r="K166" s="31"/>
      <c r="L166" s="42"/>
      <c r="M166" s="31"/>
      <c r="N166" s="31"/>
      <c r="O166" s="42"/>
      <c r="P166" s="92"/>
      <c r="Q166" s="42"/>
      <c r="R166" s="46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x14ac:dyDescent="0.2">
      <c r="A167" s="5"/>
      <c r="B167" s="31"/>
      <c r="C167" s="31"/>
      <c r="D167" s="31"/>
      <c r="E167" s="31"/>
      <c r="F167" s="31"/>
      <c r="G167" s="31"/>
      <c r="H167" s="93"/>
      <c r="I167" s="31"/>
      <c r="J167" s="31"/>
      <c r="K167" s="31"/>
      <c r="L167" s="42"/>
      <c r="M167" s="31"/>
      <c r="N167" s="31"/>
      <c r="O167" s="42"/>
      <c r="P167" s="92"/>
      <c r="Q167" s="42"/>
      <c r="R167" s="46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x14ac:dyDescent="0.2">
      <c r="A168" s="5"/>
      <c r="B168" s="31"/>
      <c r="C168" s="31"/>
      <c r="D168" s="31"/>
      <c r="E168" s="31"/>
      <c r="F168" s="31"/>
      <c r="G168" s="31"/>
      <c r="H168" s="93"/>
      <c r="I168" s="31"/>
      <c r="J168" s="31"/>
      <c r="K168" s="31"/>
      <c r="L168" s="42"/>
      <c r="M168" s="31"/>
      <c r="N168" s="31"/>
      <c r="O168" s="42"/>
      <c r="P168" s="92"/>
      <c r="Q168" s="42"/>
      <c r="R168" s="46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x14ac:dyDescent="0.2">
      <c r="A169" s="5"/>
      <c r="B169" s="31"/>
      <c r="C169" s="31"/>
      <c r="D169" s="31"/>
      <c r="E169" s="31"/>
      <c r="F169" s="31"/>
      <c r="G169" s="31"/>
      <c r="H169" s="93"/>
      <c r="I169" s="31"/>
      <c r="J169" s="31"/>
      <c r="K169" s="31"/>
      <c r="L169" s="42"/>
      <c r="M169" s="31"/>
      <c r="N169" s="31"/>
      <c r="O169" s="42"/>
      <c r="P169" s="92"/>
      <c r="Q169" s="42"/>
      <c r="R169" s="46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x14ac:dyDescent="0.2">
      <c r="A170" s="5"/>
      <c r="B170" s="31"/>
      <c r="C170" s="31"/>
      <c r="D170" s="31"/>
      <c r="E170" s="31"/>
      <c r="F170" s="31"/>
      <c r="G170" s="31"/>
      <c r="H170" s="93"/>
      <c r="I170" s="31"/>
      <c r="J170" s="31"/>
      <c r="K170" s="31"/>
      <c r="L170" s="42"/>
      <c r="M170" s="31"/>
      <c r="N170" s="31"/>
      <c r="O170" s="42"/>
      <c r="P170" s="92"/>
      <c r="Q170" s="42"/>
      <c r="R170" s="46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x14ac:dyDescent="0.2">
      <c r="A171" s="5"/>
      <c r="B171" s="31"/>
      <c r="C171" s="31"/>
      <c r="D171" s="31"/>
      <c r="E171" s="31"/>
      <c r="F171" s="31"/>
      <c r="G171" s="31"/>
      <c r="H171" s="93"/>
      <c r="I171" s="31"/>
      <c r="J171" s="31"/>
      <c r="K171" s="31"/>
      <c r="L171" s="42"/>
      <c r="M171" s="31"/>
      <c r="N171" s="31"/>
      <c r="O171" s="42"/>
      <c r="P171" s="92"/>
      <c r="Q171" s="42"/>
      <c r="R171" s="46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x14ac:dyDescent="0.2">
      <c r="A172" s="5"/>
      <c r="B172" s="31"/>
      <c r="C172" s="31"/>
      <c r="D172" s="31"/>
      <c r="E172" s="31"/>
      <c r="F172" s="31"/>
      <c r="G172" s="31"/>
      <c r="H172" s="93"/>
      <c r="I172" s="31"/>
      <c r="J172" s="31"/>
      <c r="K172" s="31"/>
      <c r="L172" s="42"/>
      <c r="M172" s="31"/>
      <c r="N172" s="31"/>
      <c r="O172" s="42"/>
      <c r="P172" s="92"/>
      <c r="Q172" s="42"/>
      <c r="R172" s="46"/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x14ac:dyDescent="0.2">
      <c r="A173" s="5"/>
      <c r="B173" s="31"/>
      <c r="C173" s="31"/>
      <c r="D173" s="31"/>
      <c r="E173" s="31"/>
      <c r="F173" s="31"/>
      <c r="G173" s="31"/>
      <c r="H173" s="93"/>
      <c r="I173" s="31"/>
      <c r="J173" s="31"/>
      <c r="K173" s="31"/>
      <c r="L173" s="42"/>
      <c r="M173" s="31"/>
      <c r="N173" s="31"/>
      <c r="O173" s="42"/>
      <c r="P173" s="92"/>
      <c r="Q173" s="42"/>
      <c r="R173" s="46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x14ac:dyDescent="0.2">
      <c r="A174" s="5"/>
      <c r="B174" s="31"/>
      <c r="C174" s="31"/>
      <c r="D174" s="31"/>
      <c r="E174" s="31"/>
      <c r="F174" s="31"/>
      <c r="G174" s="31"/>
      <c r="H174" s="93"/>
      <c r="I174" s="31"/>
      <c r="J174" s="31"/>
      <c r="K174" s="31"/>
      <c r="L174" s="42"/>
      <c r="M174" s="31"/>
      <c r="N174" s="31"/>
      <c r="O174" s="42"/>
      <c r="P174" s="92"/>
      <c r="Q174" s="42"/>
      <c r="R174" s="46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x14ac:dyDescent="0.2">
      <c r="A175" s="5"/>
      <c r="B175" s="31"/>
      <c r="C175" s="31"/>
      <c r="D175" s="31"/>
      <c r="E175" s="31"/>
      <c r="F175" s="31"/>
      <c r="G175" s="31"/>
      <c r="H175" s="93"/>
      <c r="I175" s="31"/>
      <c r="J175" s="31"/>
      <c r="K175" s="31"/>
      <c r="L175" s="42"/>
      <c r="M175" s="31"/>
      <c r="N175" s="31"/>
      <c r="O175" s="42"/>
      <c r="P175" s="92"/>
      <c r="Q175" s="42"/>
      <c r="R175" s="46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x14ac:dyDescent="0.2">
      <c r="A176" s="5"/>
      <c r="B176" s="31"/>
      <c r="C176" s="31"/>
      <c r="D176" s="31"/>
      <c r="E176" s="31"/>
      <c r="F176" s="31"/>
      <c r="G176" s="31"/>
      <c r="H176" s="93"/>
      <c r="I176" s="31"/>
      <c r="J176" s="31"/>
      <c r="K176" s="31"/>
      <c r="L176" s="42"/>
      <c r="M176" s="31"/>
      <c r="N176" s="31"/>
      <c r="O176" s="42"/>
      <c r="P176" s="92"/>
      <c r="Q176" s="42"/>
      <c r="R176" s="46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x14ac:dyDescent="0.2">
      <c r="A177" s="5"/>
      <c r="B177" s="31"/>
      <c r="C177" s="31"/>
      <c r="D177" s="31"/>
      <c r="E177" s="31"/>
      <c r="F177" s="31"/>
      <c r="G177" s="31"/>
      <c r="H177" s="93"/>
      <c r="I177" s="31"/>
      <c r="J177" s="31"/>
      <c r="K177" s="31"/>
      <c r="L177" s="42"/>
      <c r="M177" s="31"/>
      <c r="N177" s="31"/>
      <c r="O177" s="42"/>
      <c r="P177" s="92"/>
      <c r="Q177" s="42"/>
      <c r="R177" s="46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x14ac:dyDescent="0.2">
      <c r="A178" s="5"/>
      <c r="B178" s="31"/>
      <c r="C178" s="31"/>
      <c r="D178" s="31"/>
      <c r="E178" s="31"/>
      <c r="F178" s="31"/>
      <c r="G178" s="31"/>
      <c r="H178" s="93"/>
      <c r="I178" s="31"/>
      <c r="J178" s="31"/>
      <c r="K178" s="31"/>
      <c r="L178" s="42"/>
      <c r="M178" s="31"/>
      <c r="N178" s="31"/>
      <c r="O178" s="42"/>
      <c r="P178" s="92"/>
      <c r="Q178" s="42"/>
      <c r="R178" s="46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x14ac:dyDescent="0.2">
      <c r="A179" s="5"/>
      <c r="B179" s="31"/>
      <c r="C179" s="31"/>
      <c r="D179" s="31"/>
      <c r="E179" s="31"/>
      <c r="F179" s="31"/>
      <c r="G179" s="31"/>
      <c r="H179" s="93"/>
      <c r="I179" s="31"/>
      <c r="J179" s="31"/>
      <c r="K179" s="31"/>
      <c r="L179" s="42"/>
      <c r="M179" s="31"/>
      <c r="N179" s="31"/>
      <c r="O179" s="42"/>
      <c r="P179" s="92"/>
      <c r="Q179" s="42"/>
      <c r="R179" s="46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x14ac:dyDescent="0.2">
      <c r="A180" s="5"/>
      <c r="B180" s="31"/>
      <c r="C180" s="31"/>
      <c r="D180" s="31"/>
      <c r="E180" s="31"/>
      <c r="F180" s="31"/>
      <c r="G180" s="31"/>
      <c r="H180" s="93"/>
      <c r="I180" s="31"/>
      <c r="J180" s="31"/>
      <c r="K180" s="31"/>
      <c r="L180" s="42"/>
      <c r="M180" s="31"/>
      <c r="N180" s="31"/>
      <c r="O180" s="42"/>
      <c r="P180" s="92"/>
      <c r="Q180" s="42"/>
      <c r="R180" s="46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x14ac:dyDescent="0.2">
      <c r="A181" s="5"/>
      <c r="B181" s="31"/>
      <c r="C181" s="31"/>
      <c r="D181" s="31"/>
      <c r="E181" s="31"/>
      <c r="F181" s="31"/>
      <c r="G181" s="31"/>
      <c r="H181" s="93"/>
      <c r="I181" s="31"/>
      <c r="J181" s="31"/>
      <c r="K181" s="31"/>
      <c r="L181" s="42"/>
      <c r="M181" s="31"/>
      <c r="N181" s="31"/>
      <c r="O181" s="42"/>
      <c r="P181" s="92"/>
      <c r="Q181" s="42"/>
      <c r="R181" s="46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x14ac:dyDescent="0.2">
      <c r="A182" s="5"/>
      <c r="B182" s="31"/>
      <c r="C182" s="31"/>
      <c r="D182" s="31"/>
      <c r="E182" s="31"/>
      <c r="F182" s="31"/>
      <c r="G182" s="31"/>
      <c r="H182" s="93"/>
      <c r="I182" s="31"/>
      <c r="J182" s="31"/>
      <c r="K182" s="31"/>
      <c r="L182" s="42"/>
      <c r="M182" s="31"/>
      <c r="N182" s="31"/>
      <c r="O182" s="42"/>
      <c r="P182" s="92"/>
      <c r="Q182" s="42"/>
      <c r="R182" s="46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x14ac:dyDescent="0.2">
      <c r="A183" s="5"/>
      <c r="B183" s="31"/>
      <c r="C183" s="31"/>
      <c r="D183" s="31"/>
      <c r="E183" s="31"/>
      <c r="F183" s="31"/>
      <c r="G183" s="31"/>
      <c r="H183" s="93"/>
      <c r="I183" s="31"/>
      <c r="J183" s="31"/>
      <c r="K183" s="31"/>
      <c r="L183" s="42"/>
      <c r="M183" s="31"/>
      <c r="N183" s="31"/>
      <c r="O183" s="42"/>
      <c r="P183" s="92"/>
      <c r="Q183" s="42"/>
      <c r="R183" s="46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x14ac:dyDescent="0.2">
      <c r="A184" s="5"/>
      <c r="B184" s="31"/>
      <c r="C184" s="31"/>
      <c r="D184" s="31"/>
      <c r="E184" s="31"/>
      <c r="F184" s="31"/>
      <c r="G184" s="31"/>
      <c r="H184" s="93"/>
      <c r="I184" s="31"/>
      <c r="J184" s="31"/>
      <c r="K184" s="31"/>
      <c r="L184" s="42"/>
      <c r="M184" s="31"/>
      <c r="N184" s="31"/>
      <c r="O184" s="42"/>
      <c r="P184" s="92"/>
      <c r="Q184" s="42"/>
      <c r="R184" s="46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x14ac:dyDescent="0.2">
      <c r="A185" s="5"/>
      <c r="B185" s="31"/>
      <c r="C185" s="31"/>
      <c r="D185" s="31"/>
      <c r="E185" s="31"/>
      <c r="F185" s="31"/>
      <c r="G185" s="31"/>
      <c r="H185" s="93"/>
      <c r="I185" s="31"/>
      <c r="J185" s="31"/>
      <c r="K185" s="31"/>
      <c r="L185" s="42"/>
      <c r="M185" s="31"/>
      <c r="N185" s="31"/>
      <c r="O185" s="42"/>
      <c r="P185" s="92"/>
      <c r="Q185" s="42"/>
      <c r="R185" s="46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x14ac:dyDescent="0.2">
      <c r="A186" s="5"/>
      <c r="B186" s="31"/>
      <c r="C186" s="31"/>
      <c r="D186" s="31"/>
      <c r="E186" s="31"/>
      <c r="F186" s="31"/>
      <c r="G186" s="31"/>
      <c r="H186" s="93"/>
      <c r="I186" s="31"/>
      <c r="J186" s="31"/>
      <c r="K186" s="31"/>
      <c r="L186" s="42"/>
      <c r="M186" s="31"/>
      <c r="N186" s="31"/>
      <c r="O186" s="42"/>
      <c r="P186" s="92"/>
      <c r="Q186" s="42"/>
      <c r="R186" s="46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x14ac:dyDescent="0.2">
      <c r="A187" s="5"/>
      <c r="B187" s="31"/>
      <c r="C187" s="31"/>
      <c r="D187" s="31"/>
      <c r="E187" s="31"/>
      <c r="F187" s="31"/>
      <c r="G187" s="31"/>
      <c r="H187" s="93"/>
      <c r="I187" s="31"/>
      <c r="J187" s="31"/>
      <c r="K187" s="31"/>
      <c r="L187" s="42"/>
      <c r="M187" s="31"/>
      <c r="N187" s="31"/>
      <c r="O187" s="42"/>
      <c r="P187" s="92"/>
      <c r="Q187" s="42"/>
      <c r="R187" s="46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x14ac:dyDescent="0.2">
      <c r="A188" s="5"/>
      <c r="B188" s="31"/>
      <c r="C188" s="31"/>
      <c r="D188" s="31"/>
      <c r="E188" s="31"/>
      <c r="F188" s="31"/>
      <c r="G188" s="31"/>
      <c r="H188" s="93"/>
      <c r="I188" s="31"/>
      <c r="J188" s="31"/>
      <c r="K188" s="31"/>
      <c r="L188" s="42"/>
      <c r="M188" s="31"/>
      <c r="N188" s="31"/>
      <c r="O188" s="42"/>
      <c r="P188" s="92"/>
      <c r="Q188" s="42"/>
      <c r="R188" s="46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x14ac:dyDescent="0.2">
      <c r="A189" s="5"/>
      <c r="B189" s="31"/>
      <c r="C189" s="31"/>
      <c r="D189" s="31"/>
      <c r="E189" s="31"/>
      <c r="F189" s="31"/>
      <c r="G189" s="31"/>
      <c r="H189" s="93"/>
      <c r="I189" s="31"/>
      <c r="J189" s="31"/>
      <c r="K189" s="31"/>
      <c r="L189" s="42"/>
      <c r="M189" s="31"/>
      <c r="N189" s="31"/>
      <c r="O189" s="42"/>
      <c r="P189" s="92"/>
      <c r="Q189" s="42"/>
      <c r="R189" s="46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x14ac:dyDescent="0.2">
      <c r="A190" s="5"/>
      <c r="B190" s="31"/>
      <c r="C190" s="31"/>
      <c r="D190" s="31"/>
      <c r="E190" s="31"/>
      <c r="F190" s="31"/>
      <c r="G190" s="31"/>
      <c r="H190" s="93"/>
      <c r="I190" s="31"/>
      <c r="J190" s="31"/>
      <c r="K190" s="31"/>
      <c r="L190" s="42"/>
      <c r="M190" s="31"/>
      <c r="N190" s="31"/>
      <c r="O190" s="42"/>
      <c r="P190" s="92"/>
      <c r="Q190" s="42"/>
      <c r="R190" s="46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x14ac:dyDescent="0.2">
      <c r="A191" s="5"/>
      <c r="B191" s="31"/>
      <c r="C191" s="31"/>
      <c r="D191" s="31"/>
      <c r="E191" s="31"/>
      <c r="F191" s="31"/>
      <c r="G191" s="31"/>
      <c r="H191" s="93"/>
      <c r="I191" s="31"/>
      <c r="J191" s="31"/>
      <c r="K191" s="31"/>
      <c r="L191" s="42"/>
      <c r="M191" s="31"/>
      <c r="N191" s="31"/>
      <c r="O191" s="42"/>
      <c r="P191" s="92"/>
      <c r="Q191" s="42"/>
      <c r="R191" s="46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x14ac:dyDescent="0.2">
      <c r="A192" s="5"/>
      <c r="B192" s="31"/>
      <c r="C192" s="31"/>
      <c r="D192" s="31"/>
      <c r="E192" s="31"/>
      <c r="F192" s="31"/>
      <c r="G192" s="31"/>
      <c r="H192" s="93"/>
      <c r="I192" s="31"/>
      <c r="J192" s="31"/>
      <c r="K192" s="31"/>
      <c r="L192" s="42"/>
      <c r="M192" s="31"/>
      <c r="N192" s="31"/>
      <c r="O192" s="42"/>
      <c r="P192" s="92"/>
      <c r="Q192" s="42"/>
      <c r="R192" s="46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x14ac:dyDescent="0.2">
      <c r="A193" s="5"/>
      <c r="B193" s="31"/>
      <c r="C193" s="31"/>
      <c r="D193" s="31"/>
      <c r="E193" s="31"/>
      <c r="F193" s="31"/>
      <c r="G193" s="31"/>
      <c r="H193" s="93"/>
      <c r="I193" s="31"/>
      <c r="J193" s="31"/>
      <c r="K193" s="31"/>
      <c r="L193" s="42"/>
      <c r="M193" s="31"/>
      <c r="N193" s="31"/>
      <c r="O193" s="42"/>
      <c r="P193" s="92"/>
      <c r="Q193" s="42"/>
      <c r="R193" s="46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x14ac:dyDescent="0.2">
      <c r="A194" s="5"/>
      <c r="B194" s="31"/>
      <c r="C194" s="31"/>
      <c r="D194" s="31"/>
      <c r="E194" s="31"/>
      <c r="F194" s="31"/>
      <c r="G194" s="31"/>
      <c r="H194" s="93"/>
      <c r="I194" s="31"/>
      <c r="J194" s="31"/>
      <c r="K194" s="31"/>
      <c r="L194" s="42"/>
      <c r="M194" s="31"/>
      <c r="N194" s="31"/>
      <c r="O194" s="42"/>
      <c r="P194" s="92"/>
      <c r="Q194" s="42"/>
      <c r="R194" s="46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x14ac:dyDescent="0.2">
      <c r="A195" s="5"/>
      <c r="B195" s="31"/>
      <c r="C195" s="31"/>
      <c r="D195" s="31"/>
      <c r="E195" s="31"/>
      <c r="F195" s="31"/>
      <c r="G195" s="31"/>
      <c r="H195" s="93"/>
      <c r="I195" s="31"/>
      <c r="J195" s="31"/>
      <c r="K195" s="31"/>
      <c r="L195" s="42"/>
      <c r="M195" s="31"/>
      <c r="N195" s="31"/>
      <c r="O195" s="42"/>
      <c r="P195" s="92"/>
      <c r="Q195" s="42"/>
      <c r="R195" s="46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x14ac:dyDescent="0.2">
      <c r="A196" s="5"/>
      <c r="B196" s="31"/>
      <c r="C196" s="31"/>
      <c r="D196" s="31"/>
      <c r="E196" s="31"/>
      <c r="F196" s="31"/>
      <c r="G196" s="31"/>
      <c r="H196" s="93"/>
      <c r="I196" s="31"/>
      <c r="J196" s="31"/>
      <c r="K196" s="31"/>
      <c r="L196" s="42"/>
      <c r="M196" s="31"/>
      <c r="N196" s="31"/>
      <c r="O196" s="42"/>
      <c r="P196" s="92"/>
      <c r="Q196" s="42"/>
      <c r="R196" s="46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x14ac:dyDescent="0.2">
      <c r="A197" s="5"/>
      <c r="B197" s="31"/>
      <c r="C197" s="31"/>
      <c r="D197" s="31"/>
      <c r="E197" s="31"/>
      <c r="F197" s="31"/>
      <c r="G197" s="31"/>
      <c r="H197" s="93"/>
      <c r="I197" s="31"/>
      <c r="J197" s="31"/>
      <c r="K197" s="31"/>
      <c r="L197" s="42"/>
      <c r="M197" s="31"/>
      <c r="N197" s="31"/>
      <c r="O197" s="42"/>
      <c r="P197" s="92"/>
      <c r="Q197" s="42"/>
      <c r="R197" s="46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x14ac:dyDescent="0.2">
      <c r="A198" s="5"/>
      <c r="B198" s="31"/>
      <c r="C198" s="31"/>
      <c r="D198" s="31"/>
      <c r="E198" s="31"/>
      <c r="F198" s="31"/>
      <c r="G198" s="31"/>
      <c r="H198" s="93"/>
      <c r="I198" s="31"/>
      <c r="J198" s="31"/>
      <c r="K198" s="31"/>
      <c r="L198" s="42"/>
      <c r="M198" s="31"/>
      <c r="N198" s="31"/>
      <c r="O198" s="42"/>
      <c r="P198" s="92"/>
      <c r="Q198" s="42"/>
      <c r="R198" s="46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x14ac:dyDescent="0.2">
      <c r="A199" s="5"/>
      <c r="B199" s="31"/>
      <c r="C199" s="31"/>
      <c r="D199" s="31"/>
      <c r="E199" s="31"/>
      <c r="F199" s="31"/>
      <c r="G199" s="31"/>
      <c r="H199" s="93"/>
      <c r="I199" s="31"/>
      <c r="J199" s="31"/>
      <c r="K199" s="31"/>
      <c r="L199" s="42"/>
      <c r="M199" s="31"/>
      <c r="N199" s="31"/>
      <c r="O199" s="42"/>
      <c r="P199" s="92"/>
      <c r="Q199" s="42"/>
      <c r="R199" s="46"/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x14ac:dyDescent="0.2">
      <c r="A200" s="5"/>
      <c r="B200" s="31"/>
      <c r="C200" s="31"/>
      <c r="D200" s="31"/>
      <c r="E200" s="31"/>
      <c r="F200" s="31"/>
      <c r="G200" s="31"/>
      <c r="H200" s="93"/>
      <c r="I200" s="31"/>
      <c r="J200" s="31"/>
      <c r="K200" s="31"/>
      <c r="L200" s="42"/>
      <c r="M200" s="31"/>
      <c r="N200" s="31"/>
      <c r="O200" s="42"/>
      <c r="P200" s="92"/>
      <c r="Q200" s="42"/>
      <c r="R200" s="46"/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x14ac:dyDescent="0.2">
      <c r="A201" s="5"/>
      <c r="B201" s="31"/>
      <c r="C201" s="31"/>
      <c r="D201" s="31"/>
      <c r="E201" s="31"/>
      <c r="F201" s="31"/>
      <c r="G201" s="31"/>
      <c r="H201" s="93"/>
      <c r="I201" s="31"/>
      <c r="J201" s="31"/>
      <c r="K201" s="31"/>
      <c r="L201" s="42"/>
      <c r="M201" s="31"/>
      <c r="N201" s="31"/>
      <c r="O201" s="42"/>
      <c r="P201" s="92"/>
      <c r="Q201" s="42"/>
      <c r="R201" s="46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x14ac:dyDescent="0.2">
      <c r="A202" s="5"/>
      <c r="B202" s="31"/>
      <c r="C202" s="31"/>
      <c r="D202" s="31"/>
      <c r="E202" s="31"/>
      <c r="F202" s="31"/>
      <c r="G202" s="31"/>
      <c r="H202" s="93"/>
      <c r="I202" s="31"/>
      <c r="J202" s="31"/>
      <c r="K202" s="31"/>
      <c r="L202" s="42"/>
      <c r="M202" s="31"/>
      <c r="N202" s="31"/>
      <c r="O202" s="42"/>
      <c r="P202" s="92"/>
      <c r="Q202" s="42"/>
      <c r="R202" s="46"/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x14ac:dyDescent="0.2">
      <c r="A203" s="5"/>
      <c r="B203" s="31"/>
      <c r="C203" s="31"/>
      <c r="D203" s="31"/>
      <c r="E203" s="31"/>
      <c r="F203" s="31"/>
      <c r="G203" s="31"/>
      <c r="H203" s="93"/>
      <c r="I203" s="31"/>
      <c r="J203" s="31"/>
      <c r="K203" s="31"/>
      <c r="L203" s="42"/>
      <c r="M203" s="31"/>
      <c r="N203" s="31"/>
      <c r="O203" s="42"/>
      <c r="P203" s="92"/>
      <c r="Q203" s="42"/>
      <c r="R203" s="46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x14ac:dyDescent="0.2">
      <c r="A204" s="5"/>
      <c r="B204" s="31"/>
      <c r="C204" s="31"/>
      <c r="D204" s="31"/>
      <c r="E204" s="31"/>
      <c r="F204" s="31"/>
      <c r="G204" s="31"/>
      <c r="H204" s="93"/>
      <c r="I204" s="31"/>
      <c r="J204" s="31"/>
      <c r="K204" s="31"/>
      <c r="L204" s="42"/>
      <c r="M204" s="31"/>
      <c r="N204" s="31"/>
      <c r="O204" s="42"/>
      <c r="P204" s="92"/>
      <c r="Q204" s="42"/>
      <c r="R204" s="46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x14ac:dyDescent="0.2">
      <c r="A205" s="5"/>
      <c r="B205" s="31"/>
      <c r="C205" s="31"/>
      <c r="D205" s="31"/>
      <c r="E205" s="31"/>
      <c r="F205" s="31"/>
      <c r="G205" s="31"/>
      <c r="H205" s="93"/>
      <c r="I205" s="31"/>
      <c r="J205" s="31"/>
      <c r="K205" s="31"/>
      <c r="L205" s="42"/>
      <c r="M205" s="31"/>
      <c r="N205" s="31"/>
      <c r="O205" s="42"/>
      <c r="P205" s="92"/>
      <c r="Q205" s="42"/>
      <c r="R205" s="46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x14ac:dyDescent="0.2">
      <c r="A206" s="5"/>
      <c r="B206" s="31"/>
      <c r="C206" s="31"/>
      <c r="D206" s="31"/>
      <c r="E206" s="31"/>
      <c r="F206" s="31"/>
      <c r="G206" s="31"/>
      <c r="H206" s="93"/>
      <c r="I206" s="31"/>
      <c r="J206" s="31"/>
      <c r="K206" s="31"/>
      <c r="L206" s="42"/>
      <c r="M206" s="31"/>
      <c r="N206" s="31"/>
      <c r="O206" s="42"/>
      <c r="P206" s="92"/>
      <c r="Q206" s="42"/>
      <c r="R206" s="46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x14ac:dyDescent="0.2">
      <c r="A207" s="5"/>
      <c r="B207" s="31"/>
      <c r="C207" s="31"/>
      <c r="D207" s="31"/>
      <c r="E207" s="31"/>
      <c r="F207" s="31"/>
      <c r="G207" s="31"/>
      <c r="H207" s="93"/>
      <c r="I207" s="31"/>
      <c r="J207" s="31"/>
      <c r="K207" s="31"/>
      <c r="L207" s="42"/>
      <c r="M207" s="31"/>
      <c r="N207" s="31"/>
      <c r="O207" s="42"/>
      <c r="P207" s="92"/>
      <c r="Q207" s="42"/>
      <c r="R207" s="46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x14ac:dyDescent="0.2">
      <c r="A208" s="5"/>
      <c r="B208" s="31"/>
      <c r="C208" s="31"/>
      <c r="D208" s="31"/>
      <c r="E208" s="31"/>
      <c r="F208" s="31"/>
      <c r="G208" s="31"/>
      <c r="H208" s="93"/>
      <c r="I208" s="31"/>
      <c r="J208" s="31"/>
      <c r="K208" s="31"/>
      <c r="L208" s="42"/>
      <c r="M208" s="31"/>
      <c r="N208" s="31"/>
      <c r="O208" s="42"/>
      <c r="P208" s="92"/>
      <c r="Q208" s="42"/>
      <c r="R208" s="46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x14ac:dyDescent="0.2">
      <c r="A209" s="5"/>
      <c r="B209" s="31"/>
      <c r="C209" s="31"/>
      <c r="D209" s="31"/>
      <c r="E209" s="31"/>
      <c r="F209" s="31"/>
      <c r="G209" s="31"/>
      <c r="H209" s="93"/>
      <c r="I209" s="31"/>
      <c r="J209" s="31"/>
      <c r="K209" s="31"/>
      <c r="L209" s="42"/>
      <c r="M209" s="31"/>
      <c r="N209" s="31"/>
      <c r="O209" s="42"/>
      <c r="P209" s="92"/>
      <c r="Q209" s="42"/>
      <c r="R209" s="46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x14ac:dyDescent="0.2">
      <c r="A210" s="5"/>
      <c r="B210" s="31"/>
      <c r="C210" s="31"/>
      <c r="D210" s="31"/>
      <c r="E210" s="31"/>
      <c r="F210" s="31"/>
      <c r="G210" s="31"/>
      <c r="H210" s="93"/>
      <c r="I210" s="31"/>
      <c r="J210" s="31"/>
      <c r="K210" s="31"/>
      <c r="L210" s="42"/>
      <c r="M210" s="31"/>
      <c r="N210" s="31"/>
      <c r="O210" s="42"/>
      <c r="P210" s="92"/>
      <c r="Q210" s="42"/>
      <c r="R210" s="46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x14ac:dyDescent="0.2">
      <c r="A211" s="5"/>
      <c r="B211" s="31"/>
      <c r="C211" s="31"/>
      <c r="D211" s="31"/>
      <c r="E211" s="31"/>
      <c r="F211" s="31"/>
      <c r="G211" s="31"/>
      <c r="H211" s="93"/>
      <c r="I211" s="31"/>
      <c r="J211" s="31"/>
      <c r="K211" s="31"/>
      <c r="L211" s="42"/>
      <c r="M211" s="31"/>
      <c r="N211" s="31"/>
      <c r="O211" s="42"/>
      <c r="P211" s="92"/>
      <c r="Q211" s="42"/>
      <c r="R211" s="46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x14ac:dyDescent="0.2">
      <c r="A212" s="5"/>
      <c r="B212" s="31"/>
      <c r="C212" s="31"/>
      <c r="D212" s="31"/>
      <c r="E212" s="31"/>
      <c r="F212" s="31"/>
      <c r="G212" s="31"/>
      <c r="H212" s="93"/>
      <c r="I212" s="31"/>
      <c r="J212" s="31"/>
      <c r="K212" s="31"/>
      <c r="L212" s="42"/>
      <c r="M212" s="31"/>
      <c r="N212" s="31"/>
      <c r="O212" s="42"/>
      <c r="P212" s="92"/>
      <c r="Q212" s="42"/>
      <c r="R212" s="46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x14ac:dyDescent="0.2">
      <c r="A213" s="5"/>
      <c r="B213" s="31"/>
      <c r="C213" s="31"/>
      <c r="D213" s="31"/>
      <c r="E213" s="31"/>
      <c r="F213" s="31"/>
      <c r="G213" s="31"/>
      <c r="H213" s="93"/>
      <c r="I213" s="31"/>
      <c r="J213" s="31"/>
      <c r="K213" s="31"/>
      <c r="L213" s="42"/>
      <c r="M213" s="31"/>
      <c r="N213" s="31"/>
      <c r="O213" s="42"/>
      <c r="P213" s="92"/>
      <c r="Q213" s="42"/>
      <c r="R213" s="46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x14ac:dyDescent="0.2">
      <c r="A214" s="5"/>
      <c r="B214" s="31"/>
      <c r="C214" s="31"/>
      <c r="D214" s="31"/>
      <c r="E214" s="31"/>
      <c r="F214" s="31"/>
      <c r="G214" s="31"/>
      <c r="H214" s="93"/>
      <c r="I214" s="31"/>
      <c r="J214" s="31"/>
      <c r="K214" s="31"/>
      <c r="L214" s="42"/>
      <c r="M214" s="31"/>
      <c r="N214" s="31"/>
      <c r="O214" s="42"/>
      <c r="P214" s="92"/>
      <c r="Q214" s="42"/>
      <c r="R214" s="46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x14ac:dyDescent="0.2">
      <c r="A215" s="5"/>
      <c r="B215" s="31"/>
      <c r="C215" s="31"/>
      <c r="D215" s="31"/>
      <c r="E215" s="31"/>
      <c r="F215" s="31"/>
      <c r="G215" s="31"/>
      <c r="H215" s="93"/>
      <c r="I215" s="31"/>
      <c r="J215" s="31"/>
      <c r="K215" s="31"/>
      <c r="L215" s="42"/>
      <c r="M215" s="31"/>
      <c r="N215" s="31"/>
      <c r="O215" s="42"/>
      <c r="P215" s="92"/>
      <c r="Q215" s="42"/>
      <c r="R215" s="46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x14ac:dyDescent="0.2">
      <c r="A216" s="5"/>
      <c r="B216" s="31"/>
      <c r="C216" s="31"/>
      <c r="D216" s="31"/>
      <c r="E216" s="31"/>
      <c r="F216" s="31"/>
      <c r="G216" s="31"/>
      <c r="H216" s="93"/>
      <c r="I216" s="31"/>
      <c r="J216" s="31"/>
      <c r="K216" s="31"/>
      <c r="L216" s="42"/>
      <c r="M216" s="31"/>
      <c r="N216" s="31"/>
      <c r="O216" s="42"/>
      <c r="P216" s="92"/>
      <c r="Q216" s="42"/>
      <c r="R216" s="46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x14ac:dyDescent="0.2">
      <c r="A217" s="5"/>
      <c r="B217" s="31"/>
      <c r="C217" s="31"/>
      <c r="D217" s="31"/>
      <c r="E217" s="31"/>
      <c r="F217" s="31"/>
      <c r="G217" s="31"/>
      <c r="H217" s="93"/>
      <c r="I217" s="31"/>
      <c r="J217" s="31"/>
      <c r="K217" s="31"/>
      <c r="L217" s="42"/>
      <c r="M217" s="31"/>
      <c r="N217" s="31"/>
      <c r="O217" s="42"/>
      <c r="P217" s="92"/>
      <c r="Q217" s="42"/>
      <c r="R217" s="46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x14ac:dyDescent="0.2">
      <c r="A218" s="5"/>
      <c r="B218" s="31"/>
      <c r="C218" s="31"/>
      <c r="D218" s="31"/>
      <c r="E218" s="31"/>
      <c r="F218" s="31"/>
      <c r="G218" s="31"/>
      <c r="H218" s="93"/>
      <c r="I218" s="31"/>
      <c r="J218" s="31"/>
      <c r="K218" s="31"/>
      <c r="L218" s="42"/>
      <c r="M218" s="31"/>
      <c r="N218" s="31"/>
      <c r="O218" s="42"/>
      <c r="P218" s="92"/>
      <c r="Q218" s="42"/>
      <c r="R218" s="46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x14ac:dyDescent="0.2">
      <c r="A219" s="5"/>
      <c r="B219" s="31"/>
      <c r="C219" s="31"/>
      <c r="D219" s="31"/>
      <c r="E219" s="31"/>
      <c r="F219" s="31"/>
      <c r="G219" s="31"/>
      <c r="H219" s="93"/>
      <c r="I219" s="31"/>
      <c r="J219" s="31"/>
      <c r="K219" s="31"/>
      <c r="L219" s="42"/>
      <c r="M219" s="31"/>
      <c r="N219" s="31"/>
      <c r="O219" s="42"/>
      <c r="P219" s="92"/>
      <c r="Q219" s="42"/>
      <c r="R219" s="46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x14ac:dyDescent="0.2">
      <c r="A220" s="5"/>
      <c r="B220" s="31"/>
      <c r="C220" s="31"/>
      <c r="D220" s="31"/>
      <c r="E220" s="31"/>
      <c r="F220" s="31"/>
      <c r="G220" s="31"/>
      <c r="H220" s="93"/>
      <c r="I220" s="31"/>
      <c r="J220" s="31"/>
      <c r="K220" s="31"/>
      <c r="L220" s="42"/>
      <c r="M220" s="31"/>
      <c r="N220" s="31"/>
      <c r="O220" s="42"/>
      <c r="P220" s="92"/>
      <c r="Q220" s="42"/>
      <c r="R220" s="46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x14ac:dyDescent="0.2">
      <c r="A221" s="5"/>
      <c r="B221" s="31"/>
      <c r="C221" s="31"/>
      <c r="D221" s="31"/>
      <c r="E221" s="31"/>
      <c r="F221" s="31"/>
      <c r="G221" s="31"/>
      <c r="H221" s="93"/>
      <c r="I221" s="31"/>
      <c r="J221" s="31"/>
      <c r="K221" s="31"/>
      <c r="L221" s="42"/>
      <c r="M221" s="31"/>
      <c r="N221" s="31"/>
      <c r="O221" s="42"/>
      <c r="P221" s="92"/>
      <c r="Q221" s="42"/>
      <c r="R221" s="46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x14ac:dyDescent="0.2">
      <c r="A222" s="5"/>
      <c r="B222" s="31"/>
      <c r="C222" s="31"/>
      <c r="D222" s="31"/>
      <c r="E222" s="31"/>
      <c r="F222" s="31"/>
      <c r="G222" s="31"/>
      <c r="H222" s="93"/>
      <c r="I222" s="31"/>
      <c r="J222" s="31"/>
      <c r="K222" s="31"/>
      <c r="L222" s="42"/>
      <c r="M222" s="31"/>
      <c r="N222" s="31"/>
      <c r="O222" s="42"/>
      <c r="P222" s="92"/>
      <c r="Q222" s="42"/>
      <c r="R222" s="46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x14ac:dyDescent="0.2">
      <c r="A223" s="5"/>
      <c r="B223" s="31"/>
      <c r="C223" s="31"/>
      <c r="D223" s="31"/>
      <c r="E223" s="31"/>
      <c r="F223" s="31"/>
      <c r="G223" s="31"/>
      <c r="H223" s="93"/>
      <c r="I223" s="31"/>
      <c r="J223" s="31"/>
      <c r="K223" s="31"/>
      <c r="L223" s="42"/>
      <c r="M223" s="31"/>
      <c r="N223" s="31"/>
      <c r="O223" s="42"/>
      <c r="P223" s="92"/>
      <c r="Q223" s="42"/>
      <c r="R223" s="46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x14ac:dyDescent="0.2">
      <c r="A224" s="5"/>
      <c r="B224" s="31"/>
      <c r="C224" s="31"/>
      <c r="D224" s="31"/>
      <c r="E224" s="31"/>
      <c r="F224" s="31"/>
      <c r="G224" s="31"/>
      <c r="H224" s="93"/>
      <c r="I224" s="31"/>
      <c r="J224" s="31"/>
      <c r="K224" s="31"/>
      <c r="L224" s="42"/>
      <c r="M224" s="31"/>
      <c r="N224" s="31"/>
      <c r="O224" s="42"/>
      <c r="P224" s="92"/>
      <c r="Q224" s="42"/>
      <c r="R224" s="46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x14ac:dyDescent="0.2">
      <c r="A225" s="5"/>
      <c r="B225" s="31"/>
      <c r="C225" s="31"/>
      <c r="D225" s="31"/>
      <c r="E225" s="31"/>
      <c r="F225" s="31"/>
      <c r="G225" s="31"/>
      <c r="H225" s="93"/>
      <c r="I225" s="31"/>
      <c r="J225" s="31"/>
      <c r="K225" s="31"/>
      <c r="L225" s="42"/>
      <c r="M225" s="31"/>
      <c r="N225" s="31"/>
      <c r="O225" s="42"/>
      <c r="P225" s="92"/>
      <c r="Q225" s="42"/>
      <c r="R225" s="46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x14ac:dyDescent="0.2">
      <c r="A226" s="5"/>
      <c r="B226" s="31"/>
      <c r="C226" s="31"/>
      <c r="D226" s="31"/>
      <c r="E226" s="31"/>
      <c r="F226" s="31"/>
      <c r="G226" s="31"/>
      <c r="H226" s="93"/>
      <c r="I226" s="31"/>
      <c r="J226" s="31"/>
      <c r="K226" s="31"/>
      <c r="L226" s="42"/>
      <c r="M226" s="31"/>
      <c r="N226" s="31"/>
      <c r="O226" s="42"/>
      <c r="P226" s="92"/>
      <c r="Q226" s="42"/>
      <c r="R226" s="46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x14ac:dyDescent="0.2">
      <c r="A227" s="5"/>
      <c r="B227" s="31"/>
      <c r="C227" s="31"/>
      <c r="D227" s="31"/>
      <c r="E227" s="31"/>
      <c r="F227" s="31"/>
      <c r="G227" s="31"/>
      <c r="H227" s="93"/>
      <c r="I227" s="31"/>
      <c r="J227" s="31"/>
      <c r="K227" s="31"/>
      <c r="L227" s="42"/>
      <c r="M227" s="31"/>
      <c r="N227" s="31"/>
      <c r="O227" s="42"/>
      <c r="P227" s="92"/>
      <c r="Q227" s="42"/>
      <c r="R227" s="46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x14ac:dyDescent="0.2">
      <c r="A228" s="5"/>
      <c r="B228" s="31"/>
      <c r="C228" s="31"/>
      <c r="D228" s="31"/>
      <c r="E228" s="31"/>
      <c r="F228" s="31"/>
      <c r="G228" s="31"/>
      <c r="H228" s="93"/>
      <c r="I228" s="31"/>
      <c r="J228" s="31"/>
      <c r="K228" s="31"/>
      <c r="L228" s="42"/>
      <c r="M228" s="31"/>
      <c r="N228" s="31"/>
      <c r="O228" s="42"/>
      <c r="P228" s="92"/>
      <c r="Q228" s="42"/>
      <c r="R228" s="46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x14ac:dyDescent="0.2">
      <c r="A229" s="5"/>
      <c r="B229" s="31"/>
      <c r="C229" s="31"/>
      <c r="D229" s="31"/>
      <c r="E229" s="31"/>
      <c r="F229" s="31"/>
      <c r="G229" s="31"/>
      <c r="H229" s="93"/>
      <c r="I229" s="31"/>
      <c r="J229" s="31"/>
      <c r="K229" s="31"/>
      <c r="L229" s="42"/>
      <c r="M229" s="31"/>
      <c r="N229" s="31"/>
      <c r="O229" s="42"/>
      <c r="P229" s="92"/>
      <c r="Q229" s="42"/>
      <c r="R229" s="46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x14ac:dyDescent="0.2">
      <c r="A230" s="5"/>
      <c r="B230" s="31"/>
      <c r="C230" s="31"/>
      <c r="D230" s="31"/>
      <c r="E230" s="31"/>
      <c r="F230" s="31"/>
      <c r="G230" s="31"/>
      <c r="H230" s="93"/>
      <c r="I230" s="31"/>
      <c r="J230" s="31"/>
      <c r="K230" s="31"/>
      <c r="L230" s="42"/>
      <c r="M230" s="31"/>
      <c r="N230" s="31"/>
      <c r="O230" s="42"/>
      <c r="P230" s="92"/>
      <c r="Q230" s="42"/>
      <c r="R230" s="46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x14ac:dyDescent="0.2">
      <c r="A231" s="5"/>
      <c r="B231" s="31"/>
      <c r="C231" s="31"/>
      <c r="D231" s="31"/>
      <c r="E231" s="31"/>
      <c r="F231" s="31"/>
      <c r="G231" s="31"/>
      <c r="H231" s="93"/>
      <c r="I231" s="31"/>
      <c r="J231" s="31"/>
      <c r="K231" s="31"/>
      <c r="L231" s="42"/>
      <c r="M231" s="31"/>
      <c r="N231" s="31"/>
      <c r="O231" s="42"/>
      <c r="P231" s="92"/>
      <c r="Q231" s="42"/>
      <c r="R231" s="46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x14ac:dyDescent="0.2">
      <c r="A232" s="5"/>
      <c r="B232" s="31"/>
      <c r="C232" s="31"/>
      <c r="D232" s="31"/>
      <c r="E232" s="31"/>
      <c r="F232" s="31"/>
      <c r="G232" s="31"/>
      <c r="H232" s="93"/>
      <c r="I232" s="31"/>
      <c r="J232" s="31"/>
      <c r="K232" s="31"/>
      <c r="L232" s="42"/>
      <c r="M232" s="31"/>
      <c r="N232" s="31"/>
      <c r="O232" s="42"/>
      <c r="P232" s="92"/>
      <c r="Q232" s="42"/>
      <c r="R232" s="46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x14ac:dyDescent="0.2">
      <c r="A233" s="5"/>
      <c r="B233" s="31"/>
      <c r="C233" s="31"/>
      <c r="D233" s="31"/>
      <c r="E233" s="31"/>
      <c r="F233" s="31"/>
      <c r="G233" s="31"/>
      <c r="H233" s="93"/>
      <c r="I233" s="31"/>
      <c r="J233" s="31"/>
      <c r="K233" s="31"/>
      <c r="L233" s="42"/>
      <c r="M233" s="31"/>
      <c r="N233" s="31"/>
      <c r="O233" s="42"/>
      <c r="P233" s="92"/>
      <c r="Q233" s="42"/>
      <c r="R233" s="46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x14ac:dyDescent="0.2">
      <c r="A234" s="5"/>
      <c r="B234" s="31"/>
      <c r="C234" s="31"/>
      <c r="D234" s="31"/>
      <c r="E234" s="31"/>
      <c r="F234" s="31"/>
      <c r="G234" s="31"/>
      <c r="H234" s="93"/>
      <c r="I234" s="31"/>
      <c r="J234" s="31"/>
      <c r="K234" s="31"/>
      <c r="L234" s="42"/>
      <c r="M234" s="31"/>
      <c r="N234" s="31"/>
      <c r="O234" s="42"/>
      <c r="P234" s="92"/>
      <c r="Q234" s="42"/>
      <c r="R234" s="46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x14ac:dyDescent="0.2">
      <c r="A235" s="5"/>
      <c r="B235" s="31"/>
      <c r="C235" s="31"/>
      <c r="D235" s="31"/>
      <c r="E235" s="31"/>
      <c r="F235" s="31"/>
      <c r="G235" s="31"/>
      <c r="H235" s="93"/>
      <c r="I235" s="31"/>
      <c r="J235" s="31"/>
      <c r="K235" s="31"/>
      <c r="L235" s="42"/>
      <c r="M235" s="31"/>
      <c r="N235" s="31"/>
      <c r="O235" s="42"/>
      <c r="P235" s="92"/>
      <c r="Q235" s="42"/>
      <c r="R235" s="46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x14ac:dyDescent="0.2">
      <c r="A236" s="5"/>
      <c r="B236" s="31"/>
      <c r="C236" s="31"/>
      <c r="D236" s="31"/>
      <c r="E236" s="31"/>
      <c r="F236" s="31"/>
      <c r="G236" s="31"/>
      <c r="H236" s="93"/>
      <c r="I236" s="31"/>
      <c r="J236" s="31"/>
      <c r="K236" s="31"/>
      <c r="L236" s="42"/>
      <c r="M236" s="31"/>
      <c r="N236" s="31"/>
      <c r="O236" s="42"/>
      <c r="P236" s="92"/>
      <c r="Q236" s="42"/>
      <c r="R236" s="46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x14ac:dyDescent="0.2">
      <c r="A237" s="5"/>
      <c r="B237" s="31"/>
      <c r="C237" s="31"/>
      <c r="D237" s="31"/>
      <c r="E237" s="31"/>
      <c r="F237" s="31"/>
      <c r="G237" s="31"/>
      <c r="H237" s="93"/>
      <c r="I237" s="31"/>
      <c r="J237" s="31"/>
      <c r="K237" s="31"/>
      <c r="L237" s="42"/>
      <c r="M237" s="31"/>
      <c r="N237" s="31"/>
      <c r="O237" s="42"/>
      <c r="P237" s="92"/>
      <c r="Q237" s="42"/>
      <c r="R237" s="46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x14ac:dyDescent="0.2">
      <c r="A238" s="5"/>
      <c r="B238" s="31"/>
      <c r="C238" s="31"/>
      <c r="D238" s="31"/>
      <c r="E238" s="31"/>
      <c r="F238" s="31"/>
      <c r="G238" s="31"/>
      <c r="H238" s="93"/>
      <c r="I238" s="31"/>
      <c r="J238" s="31"/>
      <c r="K238" s="31"/>
      <c r="L238" s="42"/>
      <c r="M238" s="31"/>
      <c r="N238" s="31"/>
      <c r="O238" s="42"/>
      <c r="P238" s="92"/>
      <c r="Q238" s="42"/>
      <c r="R238" s="46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x14ac:dyDescent="0.2">
      <c r="A239" s="5"/>
      <c r="B239" s="31"/>
      <c r="C239" s="31"/>
      <c r="D239" s="31"/>
      <c r="E239" s="31"/>
      <c r="F239" s="31"/>
      <c r="G239" s="31"/>
      <c r="H239" s="93"/>
      <c r="I239" s="31"/>
      <c r="J239" s="31"/>
      <c r="K239" s="31"/>
      <c r="L239" s="42"/>
      <c r="M239" s="31"/>
      <c r="N239" s="31"/>
      <c r="O239" s="42"/>
      <c r="P239" s="92"/>
      <c r="Q239" s="42"/>
      <c r="R239" s="46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x14ac:dyDescent="0.2">
      <c r="A240" s="5"/>
      <c r="B240" s="31"/>
      <c r="C240" s="31"/>
      <c r="D240" s="31"/>
      <c r="E240" s="31"/>
      <c r="F240" s="31"/>
      <c r="G240" s="31"/>
      <c r="H240" s="93"/>
      <c r="I240" s="31"/>
      <c r="J240" s="31"/>
      <c r="K240" s="31"/>
      <c r="L240" s="42"/>
      <c r="M240" s="31"/>
      <c r="N240" s="31"/>
      <c r="O240" s="42"/>
      <c r="P240" s="92"/>
      <c r="Q240" s="42"/>
      <c r="R240" s="46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x14ac:dyDescent="0.2">
      <c r="A241" s="5"/>
      <c r="B241" s="31"/>
      <c r="C241" s="31"/>
      <c r="D241" s="31"/>
      <c r="E241" s="31"/>
      <c r="F241" s="31"/>
      <c r="G241" s="31"/>
      <c r="H241" s="93"/>
      <c r="I241" s="31"/>
      <c r="J241" s="31"/>
      <c r="K241" s="31"/>
      <c r="L241" s="42"/>
      <c r="M241" s="31"/>
      <c r="N241" s="31"/>
      <c r="O241" s="42"/>
      <c r="P241" s="92"/>
      <c r="Q241" s="42"/>
      <c r="R241" s="46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x14ac:dyDescent="0.2">
      <c r="A242" s="5"/>
      <c r="B242" s="31"/>
      <c r="C242" s="31"/>
      <c r="D242" s="31"/>
      <c r="E242" s="31"/>
      <c r="F242" s="31"/>
      <c r="G242" s="31"/>
      <c r="H242" s="93"/>
      <c r="I242" s="31"/>
      <c r="J242" s="31"/>
      <c r="K242" s="31"/>
      <c r="L242" s="42"/>
      <c r="M242" s="31"/>
      <c r="N242" s="31"/>
      <c r="O242" s="42"/>
      <c r="P242" s="92"/>
      <c r="Q242" s="42"/>
      <c r="R242" s="46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x14ac:dyDescent="0.2">
      <c r="A243" s="5"/>
      <c r="B243" s="31"/>
      <c r="C243" s="31"/>
      <c r="D243" s="31"/>
      <c r="E243" s="31"/>
      <c r="F243" s="31"/>
      <c r="G243" s="31"/>
      <c r="H243" s="93"/>
      <c r="I243" s="31"/>
      <c r="J243" s="31"/>
      <c r="K243" s="31"/>
      <c r="L243" s="42"/>
      <c r="M243" s="31"/>
      <c r="N243" s="31"/>
      <c r="O243" s="42"/>
      <c r="P243" s="92"/>
      <c r="Q243" s="42"/>
      <c r="R243" s="46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x14ac:dyDescent="0.2">
      <c r="A244" s="5"/>
      <c r="B244" s="31"/>
      <c r="C244" s="31"/>
      <c r="D244" s="31"/>
      <c r="E244" s="31"/>
      <c r="F244" s="31"/>
      <c r="G244" s="31"/>
      <c r="H244" s="93"/>
      <c r="I244" s="31"/>
      <c r="J244" s="31"/>
      <c r="K244" s="31"/>
      <c r="L244" s="42"/>
      <c r="M244" s="31"/>
      <c r="N244" s="31"/>
      <c r="O244" s="42"/>
      <c r="P244" s="92"/>
      <c r="Q244" s="42"/>
      <c r="R244" s="46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x14ac:dyDescent="0.2">
      <c r="A245" s="5"/>
      <c r="B245" s="31"/>
      <c r="C245" s="31"/>
      <c r="D245" s="31"/>
      <c r="E245" s="31"/>
      <c r="F245" s="31"/>
      <c r="G245" s="31"/>
      <c r="H245" s="93"/>
      <c r="I245" s="31"/>
      <c r="J245" s="31"/>
      <c r="K245" s="31"/>
      <c r="L245" s="42"/>
      <c r="M245" s="31"/>
      <c r="N245" s="31"/>
      <c r="O245" s="42"/>
      <c r="P245" s="92"/>
      <c r="Q245" s="42"/>
      <c r="R245" s="46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x14ac:dyDescent="0.2">
      <c r="A246" s="5"/>
      <c r="B246" s="31"/>
      <c r="C246" s="31"/>
      <c r="D246" s="31"/>
      <c r="E246" s="31"/>
      <c r="F246" s="31"/>
      <c r="G246" s="31"/>
      <c r="H246" s="93"/>
      <c r="I246" s="31"/>
      <c r="J246" s="31"/>
      <c r="K246" s="31"/>
      <c r="L246" s="42"/>
      <c r="M246" s="31"/>
      <c r="N246" s="31"/>
      <c r="O246" s="42"/>
      <c r="P246" s="92"/>
      <c r="Q246" s="42"/>
      <c r="R246" s="46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x14ac:dyDescent="0.2">
      <c r="A247" s="5"/>
      <c r="B247" s="31"/>
      <c r="C247" s="31"/>
      <c r="D247" s="31"/>
      <c r="E247" s="31"/>
      <c r="F247" s="31"/>
      <c r="G247" s="31"/>
      <c r="H247" s="93"/>
      <c r="I247" s="31"/>
      <c r="J247" s="31"/>
      <c r="K247" s="31"/>
      <c r="L247" s="42"/>
      <c r="M247" s="31"/>
      <c r="N247" s="31"/>
      <c r="O247" s="42"/>
      <c r="P247" s="92"/>
      <c r="Q247" s="42"/>
      <c r="R247" s="46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x14ac:dyDescent="0.2">
      <c r="A248" s="5"/>
      <c r="B248" s="31"/>
      <c r="C248" s="31"/>
      <c r="D248" s="31"/>
      <c r="E248" s="31"/>
      <c r="F248" s="31"/>
      <c r="G248" s="31"/>
      <c r="H248" s="93"/>
      <c r="I248" s="31"/>
      <c r="J248" s="31"/>
      <c r="K248" s="31"/>
      <c r="L248" s="42"/>
      <c r="M248" s="31"/>
      <c r="N248" s="31"/>
      <c r="O248" s="42"/>
      <c r="P248" s="92"/>
      <c r="Q248" s="42"/>
      <c r="R248" s="46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x14ac:dyDescent="0.2">
      <c r="A249" s="5"/>
      <c r="B249" s="31"/>
      <c r="C249" s="31"/>
      <c r="D249" s="31"/>
      <c r="E249" s="31"/>
      <c r="F249" s="31"/>
      <c r="G249" s="31"/>
      <c r="H249" s="93"/>
      <c r="I249" s="31"/>
      <c r="J249" s="31"/>
      <c r="K249" s="31"/>
      <c r="L249" s="42"/>
      <c r="M249" s="31"/>
      <c r="N249" s="31"/>
      <c r="O249" s="42"/>
      <c r="P249" s="92"/>
      <c r="Q249" s="42"/>
      <c r="R249" s="46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x14ac:dyDescent="0.2">
      <c r="A250" s="5"/>
      <c r="B250" s="31"/>
      <c r="C250" s="31"/>
      <c r="D250" s="31"/>
      <c r="E250" s="31"/>
      <c r="F250" s="31"/>
      <c r="G250" s="31"/>
      <c r="H250" s="93"/>
      <c r="I250" s="31"/>
      <c r="J250" s="31"/>
      <c r="K250" s="31"/>
      <c r="L250" s="42"/>
      <c r="M250" s="31"/>
      <c r="N250" s="31"/>
      <c r="O250" s="42"/>
      <c r="P250" s="92"/>
      <c r="Q250" s="42"/>
      <c r="R250" s="46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x14ac:dyDescent="0.2">
      <c r="A251" s="5"/>
      <c r="B251" s="31"/>
      <c r="C251" s="31"/>
      <c r="D251" s="31"/>
      <c r="E251" s="31"/>
      <c r="F251" s="31"/>
      <c r="G251" s="31"/>
      <c r="H251" s="93"/>
      <c r="I251" s="31"/>
      <c r="J251" s="31"/>
      <c r="K251" s="31"/>
      <c r="L251" s="42"/>
      <c r="M251" s="31"/>
      <c r="N251" s="31"/>
      <c r="O251" s="42"/>
      <c r="P251" s="92"/>
      <c r="Q251" s="42"/>
      <c r="R251" s="46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x14ac:dyDescent="0.2">
      <c r="A252" s="5"/>
      <c r="B252" s="31"/>
      <c r="C252" s="31"/>
      <c r="D252" s="31"/>
      <c r="E252" s="31"/>
      <c r="F252" s="31"/>
      <c r="G252" s="31"/>
      <c r="H252" s="93"/>
      <c r="I252" s="31"/>
      <c r="J252" s="31"/>
      <c r="K252" s="31"/>
      <c r="L252" s="42"/>
      <c r="M252" s="31"/>
      <c r="N252" s="31"/>
      <c r="O252" s="42"/>
      <c r="P252" s="92"/>
      <c r="Q252" s="42"/>
      <c r="R252" s="46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x14ac:dyDescent="0.2">
      <c r="A253" s="5"/>
      <c r="B253" s="31"/>
      <c r="C253" s="31"/>
      <c r="D253" s="31"/>
      <c r="E253" s="31"/>
      <c r="F253" s="31"/>
      <c r="G253" s="31"/>
      <c r="H253" s="93"/>
      <c r="I253" s="31"/>
      <c r="J253" s="31"/>
      <c r="K253" s="31"/>
      <c r="L253" s="42"/>
      <c r="M253" s="31"/>
      <c r="N253" s="31"/>
      <c r="O253" s="42"/>
      <c r="P253" s="92"/>
      <c r="Q253" s="42"/>
      <c r="R253" s="46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x14ac:dyDescent="0.2">
      <c r="A254" s="5"/>
      <c r="B254" s="31"/>
      <c r="C254" s="31"/>
      <c r="D254" s="31"/>
      <c r="E254" s="31"/>
      <c r="F254" s="31"/>
      <c r="G254" s="31"/>
      <c r="H254" s="93"/>
      <c r="I254" s="31"/>
      <c r="J254" s="31"/>
      <c r="K254" s="31"/>
      <c r="L254" s="42"/>
      <c r="M254" s="31"/>
      <c r="N254" s="31"/>
      <c r="O254" s="42"/>
      <c r="P254" s="92"/>
      <c r="Q254" s="42"/>
      <c r="R254" s="46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x14ac:dyDescent="0.2">
      <c r="A255" s="5"/>
      <c r="B255" s="31"/>
      <c r="C255" s="31"/>
      <c r="D255" s="31"/>
      <c r="E255" s="31"/>
      <c r="F255" s="31"/>
      <c r="G255" s="31"/>
      <c r="H255" s="93"/>
      <c r="I255" s="31"/>
      <c r="J255" s="31"/>
      <c r="K255" s="31"/>
      <c r="L255" s="42"/>
      <c r="M255" s="31"/>
      <c r="N255" s="31"/>
      <c r="O255" s="42"/>
      <c r="P255" s="92"/>
      <c r="Q255" s="42"/>
      <c r="R255" s="46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x14ac:dyDescent="0.2">
      <c r="A256" s="5"/>
      <c r="B256" s="31"/>
      <c r="C256" s="31"/>
      <c r="D256" s="31"/>
      <c r="E256" s="31"/>
      <c r="F256" s="31"/>
      <c r="G256" s="31"/>
      <c r="H256" s="93"/>
      <c r="I256" s="31"/>
      <c r="J256" s="31"/>
      <c r="K256" s="31"/>
      <c r="L256" s="42"/>
      <c r="M256" s="31"/>
      <c r="N256" s="31"/>
      <c r="O256" s="42"/>
      <c r="P256" s="92"/>
      <c r="Q256" s="42"/>
      <c r="R256" s="46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x14ac:dyDescent="0.2">
      <c r="A257" s="5"/>
      <c r="B257" s="31"/>
      <c r="C257" s="31"/>
      <c r="D257" s="31"/>
      <c r="E257" s="31"/>
      <c r="F257" s="31"/>
      <c r="G257" s="31"/>
      <c r="H257" s="93"/>
      <c r="I257" s="31"/>
      <c r="J257" s="31"/>
      <c r="K257" s="31"/>
      <c r="L257" s="42"/>
      <c r="M257" s="31"/>
      <c r="N257" s="31"/>
      <c r="O257" s="42"/>
      <c r="P257" s="92"/>
      <c r="Q257" s="42"/>
      <c r="R257" s="46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x14ac:dyDescent="0.2">
      <c r="A258" s="5"/>
      <c r="B258" s="31"/>
      <c r="C258" s="31"/>
      <c r="D258" s="31"/>
      <c r="E258" s="31"/>
      <c r="F258" s="31"/>
      <c r="G258" s="31"/>
      <c r="H258" s="93"/>
      <c r="I258" s="31"/>
      <c r="J258" s="31"/>
      <c r="K258" s="31"/>
      <c r="L258" s="42"/>
      <c r="M258" s="31"/>
      <c r="N258" s="31"/>
      <c r="O258" s="42"/>
      <c r="P258" s="92"/>
      <c r="Q258" s="42"/>
      <c r="R258" s="46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x14ac:dyDescent="0.2">
      <c r="A259" s="5"/>
      <c r="B259" s="31"/>
      <c r="C259" s="31"/>
      <c r="D259" s="31"/>
      <c r="E259" s="31"/>
      <c r="F259" s="31"/>
      <c r="G259" s="31"/>
      <c r="H259" s="93"/>
      <c r="I259" s="31"/>
      <c r="J259" s="31"/>
      <c r="K259" s="31"/>
      <c r="L259" s="42"/>
      <c r="M259" s="31"/>
      <c r="N259" s="31"/>
      <c r="O259" s="42"/>
      <c r="P259" s="92"/>
      <c r="Q259" s="42"/>
      <c r="R259" s="46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x14ac:dyDescent="0.2">
      <c r="A260" s="5"/>
      <c r="B260" s="31"/>
      <c r="C260" s="31"/>
      <c r="D260" s="31"/>
      <c r="E260" s="31"/>
      <c r="F260" s="31"/>
      <c r="G260" s="31"/>
      <c r="H260" s="93"/>
      <c r="I260" s="31"/>
      <c r="J260" s="31"/>
      <c r="K260" s="31"/>
      <c r="L260" s="42"/>
      <c r="M260" s="31"/>
      <c r="N260" s="31"/>
      <c r="O260" s="42"/>
      <c r="P260" s="92"/>
      <c r="Q260" s="42"/>
      <c r="R260" s="46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x14ac:dyDescent="0.2">
      <c r="A261" s="5"/>
      <c r="B261" s="31"/>
      <c r="C261" s="31"/>
      <c r="D261" s="31"/>
      <c r="E261" s="31"/>
      <c r="F261" s="31"/>
      <c r="G261" s="31"/>
      <c r="H261" s="93"/>
      <c r="I261" s="31"/>
      <c r="J261" s="31"/>
      <c r="K261" s="31"/>
      <c r="L261" s="42"/>
      <c r="M261" s="31"/>
      <c r="N261" s="31"/>
      <c r="O261" s="42"/>
      <c r="P261" s="92"/>
      <c r="Q261" s="42"/>
      <c r="R261" s="46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x14ac:dyDescent="0.2">
      <c r="A262" s="5"/>
      <c r="B262" s="31"/>
      <c r="C262" s="31"/>
      <c r="D262" s="31"/>
      <c r="E262" s="31"/>
      <c r="F262" s="31"/>
      <c r="G262" s="31"/>
      <c r="H262" s="93"/>
      <c r="I262" s="31"/>
      <c r="J262" s="31"/>
      <c r="K262" s="31"/>
      <c r="L262" s="42"/>
      <c r="M262" s="31"/>
      <c r="N262" s="31"/>
      <c r="O262" s="42"/>
      <c r="P262" s="92"/>
      <c r="Q262" s="42"/>
      <c r="R262" s="46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x14ac:dyDescent="0.2">
      <c r="A263" s="5"/>
      <c r="B263" s="31"/>
      <c r="C263" s="31"/>
      <c r="D263" s="31"/>
      <c r="E263" s="31"/>
      <c r="F263" s="31"/>
      <c r="G263" s="31"/>
      <c r="H263" s="93"/>
      <c r="I263" s="31"/>
      <c r="J263" s="31"/>
      <c r="K263" s="31"/>
      <c r="L263" s="42"/>
      <c r="M263" s="31"/>
      <c r="N263" s="31"/>
      <c r="O263" s="42"/>
      <c r="P263" s="92"/>
      <c r="Q263" s="42"/>
      <c r="R263" s="46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x14ac:dyDescent="0.2">
      <c r="A264" s="5"/>
      <c r="B264" s="31"/>
      <c r="C264" s="31"/>
      <c r="D264" s="31"/>
      <c r="E264" s="31"/>
      <c r="F264" s="31"/>
      <c r="G264" s="31"/>
      <c r="H264" s="93"/>
      <c r="I264" s="31"/>
      <c r="J264" s="31"/>
      <c r="K264" s="31"/>
      <c r="L264" s="42"/>
      <c r="M264" s="31"/>
      <c r="N264" s="31"/>
      <c r="O264" s="42"/>
      <c r="P264" s="92"/>
      <c r="Q264" s="42"/>
      <c r="R264" s="46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x14ac:dyDescent="0.2">
      <c r="A265" s="5"/>
      <c r="B265" s="31"/>
      <c r="C265" s="31"/>
      <c r="D265" s="31"/>
      <c r="E265" s="31"/>
      <c r="F265" s="31"/>
      <c r="G265" s="31"/>
      <c r="H265" s="93"/>
      <c r="I265" s="31"/>
      <c r="J265" s="31"/>
      <c r="K265" s="31"/>
      <c r="L265" s="42"/>
      <c r="M265" s="31"/>
      <c r="N265" s="31"/>
      <c r="O265" s="42"/>
      <c r="P265" s="92"/>
      <c r="Q265" s="42"/>
      <c r="R265" s="46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x14ac:dyDescent="0.2">
      <c r="A266" s="5"/>
      <c r="B266" s="31"/>
      <c r="C266" s="31"/>
      <c r="D266" s="31"/>
      <c r="E266" s="31"/>
      <c r="F266" s="31"/>
      <c r="G266" s="31"/>
      <c r="H266" s="93"/>
      <c r="I266" s="31"/>
      <c r="J266" s="31"/>
      <c r="K266" s="31"/>
      <c r="L266" s="42"/>
      <c r="M266" s="31"/>
      <c r="N266" s="31"/>
      <c r="O266" s="42"/>
      <c r="P266" s="92"/>
      <c r="Q266" s="42"/>
      <c r="R266" s="46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x14ac:dyDescent="0.2">
      <c r="A267" s="5"/>
      <c r="B267" s="31"/>
      <c r="C267" s="31"/>
      <c r="D267" s="31"/>
      <c r="E267" s="31"/>
      <c r="F267" s="31"/>
      <c r="G267" s="31"/>
      <c r="H267" s="93"/>
      <c r="I267" s="31"/>
      <c r="J267" s="31"/>
      <c r="K267" s="31"/>
      <c r="L267" s="42"/>
      <c r="M267" s="31"/>
      <c r="N267" s="31"/>
      <c r="O267" s="42"/>
      <c r="P267" s="92"/>
      <c r="Q267" s="42"/>
      <c r="R267" s="46"/>
      <c r="S267" s="31"/>
      <c r="T267" s="31"/>
      <c r="U267" s="31"/>
      <c r="V267" s="31"/>
      <c r="W267" s="31"/>
      <c r="X267" s="31"/>
      <c r="Y267" s="31"/>
      <c r="Z267" s="31"/>
      <c r="AA267" s="31"/>
    </row>
    <row r="268" spans="1:27" x14ac:dyDescent="0.2">
      <c r="A268" s="5"/>
      <c r="B268" s="31"/>
      <c r="C268" s="31"/>
      <c r="D268" s="31"/>
      <c r="E268" s="31"/>
      <c r="F268" s="31"/>
      <c r="G268" s="31"/>
      <c r="H268" s="93"/>
      <c r="I268" s="31"/>
      <c r="J268" s="31"/>
      <c r="K268" s="31"/>
      <c r="L268" s="42"/>
      <c r="M268" s="31"/>
      <c r="N268" s="31"/>
      <c r="O268" s="42"/>
      <c r="P268" s="92"/>
      <c r="Q268" s="42"/>
      <c r="R268" s="46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x14ac:dyDescent="0.2">
      <c r="A269" s="5"/>
      <c r="B269" s="31"/>
      <c r="C269" s="31"/>
      <c r="D269" s="31"/>
      <c r="E269" s="31"/>
      <c r="F269" s="31"/>
      <c r="G269" s="31"/>
      <c r="H269" s="93"/>
      <c r="I269" s="31"/>
      <c r="J269" s="31"/>
      <c r="K269" s="31"/>
      <c r="L269" s="42"/>
      <c r="M269" s="31"/>
      <c r="N269" s="31"/>
      <c r="O269" s="42"/>
      <c r="P269" s="92"/>
      <c r="Q269" s="42"/>
      <c r="R269" s="46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x14ac:dyDescent="0.2">
      <c r="A270" s="5"/>
      <c r="B270" s="31"/>
      <c r="C270" s="31"/>
      <c r="D270" s="31"/>
      <c r="E270" s="31"/>
      <c r="F270" s="31"/>
      <c r="G270" s="31"/>
      <c r="H270" s="93"/>
      <c r="I270" s="31"/>
      <c r="J270" s="31"/>
      <c r="K270" s="31"/>
      <c r="L270" s="42"/>
      <c r="M270" s="31"/>
      <c r="N270" s="31"/>
      <c r="O270" s="42"/>
      <c r="P270" s="92"/>
      <c r="Q270" s="42"/>
      <c r="R270" s="46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x14ac:dyDescent="0.2">
      <c r="A271" s="5"/>
      <c r="B271" s="31"/>
      <c r="C271" s="31"/>
      <c r="D271" s="31"/>
      <c r="E271" s="31"/>
      <c r="F271" s="31"/>
      <c r="G271" s="31"/>
      <c r="H271" s="93"/>
      <c r="I271" s="31"/>
      <c r="J271" s="31"/>
      <c r="K271" s="31"/>
      <c r="L271" s="42"/>
      <c r="M271" s="31"/>
      <c r="N271" s="31"/>
      <c r="O271" s="42"/>
      <c r="P271" s="92"/>
      <c r="Q271" s="42"/>
      <c r="R271" s="46"/>
      <c r="S271" s="31"/>
      <c r="T271" s="31"/>
      <c r="U271" s="31"/>
      <c r="V271" s="31"/>
      <c r="W271" s="31"/>
      <c r="X271" s="31"/>
      <c r="Y271" s="31"/>
      <c r="Z271" s="31"/>
      <c r="AA271" s="31"/>
    </row>
    <row r="272" spans="1:27" x14ac:dyDescent="0.2">
      <c r="A272" s="5"/>
      <c r="B272" s="31"/>
      <c r="C272" s="31"/>
      <c r="D272" s="31"/>
      <c r="E272" s="31"/>
      <c r="F272" s="31"/>
      <c r="G272" s="31"/>
      <c r="H272" s="93"/>
      <c r="I272" s="31"/>
      <c r="J272" s="31"/>
      <c r="K272" s="31"/>
      <c r="L272" s="42"/>
      <c r="M272" s="31"/>
      <c r="N272" s="31"/>
      <c r="O272" s="42"/>
      <c r="P272" s="92"/>
      <c r="Q272" s="42"/>
      <c r="R272" s="46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x14ac:dyDescent="0.2">
      <c r="A273" s="5"/>
      <c r="B273" s="31"/>
      <c r="C273" s="31"/>
      <c r="D273" s="31"/>
      <c r="E273" s="31"/>
      <c r="F273" s="31"/>
      <c r="G273" s="31"/>
      <c r="H273" s="93"/>
      <c r="I273" s="31"/>
      <c r="J273" s="31"/>
      <c r="K273" s="31"/>
      <c r="L273" s="42"/>
      <c r="M273" s="31"/>
      <c r="N273" s="31"/>
      <c r="O273" s="42"/>
      <c r="P273" s="92"/>
      <c r="Q273" s="42"/>
      <c r="R273" s="46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x14ac:dyDescent="0.2">
      <c r="A274" s="5"/>
      <c r="B274" s="31"/>
      <c r="C274" s="31"/>
      <c r="D274" s="31"/>
      <c r="E274" s="31"/>
      <c r="F274" s="31"/>
      <c r="G274" s="31"/>
      <c r="H274" s="93"/>
      <c r="I274" s="31"/>
      <c r="J274" s="31"/>
      <c r="K274" s="31"/>
      <c r="L274" s="42"/>
      <c r="M274" s="31"/>
      <c r="N274" s="31"/>
      <c r="O274" s="42"/>
      <c r="P274" s="92"/>
      <c r="Q274" s="42"/>
      <c r="R274" s="46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x14ac:dyDescent="0.2">
      <c r="A275" s="5"/>
      <c r="B275" s="31"/>
      <c r="C275" s="31"/>
      <c r="D275" s="31"/>
      <c r="E275" s="31"/>
      <c r="F275" s="31"/>
      <c r="G275" s="31"/>
      <c r="H275" s="93"/>
      <c r="I275" s="31"/>
      <c r="J275" s="31"/>
      <c r="K275" s="31"/>
      <c r="L275" s="42"/>
      <c r="M275" s="31"/>
      <c r="N275" s="31"/>
      <c r="O275" s="42"/>
      <c r="P275" s="92"/>
      <c r="Q275" s="42"/>
      <c r="R275" s="46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x14ac:dyDescent="0.2">
      <c r="A276" s="5"/>
      <c r="B276" s="31"/>
      <c r="C276" s="31"/>
      <c r="D276" s="31"/>
      <c r="E276" s="31"/>
      <c r="F276" s="31"/>
      <c r="G276" s="31"/>
      <c r="H276" s="93"/>
      <c r="I276" s="31"/>
      <c r="J276" s="31"/>
      <c r="K276" s="31"/>
      <c r="L276" s="42"/>
      <c r="M276" s="31"/>
      <c r="N276" s="31"/>
      <c r="O276" s="42"/>
      <c r="P276" s="92"/>
      <c r="Q276" s="42"/>
      <c r="R276" s="46"/>
      <c r="S276" s="31"/>
      <c r="T276" s="31"/>
      <c r="U276" s="31"/>
      <c r="V276" s="31"/>
      <c r="W276" s="31"/>
      <c r="X276" s="31"/>
      <c r="Y276" s="31"/>
      <c r="Z276" s="31"/>
      <c r="AA276" s="31"/>
    </row>
    <row r="277" spans="1:27" x14ac:dyDescent="0.2">
      <c r="A277" s="5"/>
      <c r="B277" s="31"/>
      <c r="C277" s="31"/>
      <c r="D277" s="31"/>
      <c r="E277" s="31"/>
      <c r="F277" s="31"/>
      <c r="G277" s="31"/>
      <c r="H277" s="93"/>
      <c r="I277" s="31"/>
      <c r="J277" s="31"/>
      <c r="K277" s="31"/>
      <c r="L277" s="42"/>
      <c r="M277" s="31"/>
      <c r="N277" s="31"/>
      <c r="O277" s="42"/>
      <c r="P277" s="92"/>
      <c r="Q277" s="42"/>
      <c r="R277" s="46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x14ac:dyDescent="0.2">
      <c r="A278" s="5"/>
      <c r="B278" s="31"/>
      <c r="C278" s="31"/>
      <c r="D278" s="31"/>
      <c r="E278" s="31"/>
      <c r="F278" s="31"/>
      <c r="G278" s="31"/>
      <c r="H278" s="93"/>
      <c r="I278" s="31"/>
      <c r="J278" s="31"/>
      <c r="K278" s="31"/>
      <c r="L278" s="42"/>
      <c r="M278" s="31"/>
      <c r="N278" s="31"/>
      <c r="O278" s="42"/>
      <c r="P278" s="92"/>
      <c r="Q278" s="42"/>
      <c r="R278" s="46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x14ac:dyDescent="0.2">
      <c r="A279" s="5"/>
      <c r="B279" s="31"/>
      <c r="C279" s="31"/>
      <c r="D279" s="31"/>
      <c r="E279" s="31"/>
      <c r="F279" s="31"/>
      <c r="G279" s="31"/>
      <c r="H279" s="93"/>
      <c r="I279" s="31"/>
      <c r="J279" s="31"/>
      <c r="K279" s="31"/>
      <c r="L279" s="42"/>
      <c r="M279" s="31"/>
      <c r="N279" s="31"/>
      <c r="O279" s="42"/>
      <c r="P279" s="92"/>
      <c r="Q279" s="42"/>
      <c r="R279" s="46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x14ac:dyDescent="0.2">
      <c r="A280" s="5"/>
      <c r="B280" s="31"/>
      <c r="C280" s="31"/>
      <c r="D280" s="31"/>
      <c r="E280" s="31"/>
      <c r="F280" s="31"/>
      <c r="G280" s="31"/>
      <c r="H280" s="93"/>
      <c r="I280" s="31"/>
      <c r="J280" s="31"/>
      <c r="K280" s="31"/>
      <c r="L280" s="42"/>
      <c r="M280" s="31"/>
      <c r="N280" s="31"/>
      <c r="O280" s="42"/>
      <c r="P280" s="92"/>
      <c r="Q280" s="42"/>
      <c r="R280" s="46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x14ac:dyDescent="0.2">
      <c r="A281" s="5"/>
      <c r="B281" s="31"/>
      <c r="C281" s="31"/>
      <c r="D281" s="31"/>
      <c r="E281" s="31"/>
      <c r="F281" s="31"/>
      <c r="G281" s="31"/>
      <c r="H281" s="93"/>
      <c r="I281" s="31"/>
      <c r="J281" s="31"/>
      <c r="K281" s="31"/>
      <c r="L281" s="42"/>
      <c r="M281" s="31"/>
      <c r="N281" s="31"/>
      <c r="O281" s="42"/>
      <c r="P281" s="92"/>
      <c r="Q281" s="42"/>
      <c r="R281" s="46"/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x14ac:dyDescent="0.2">
      <c r="A282" s="5"/>
      <c r="B282" s="31"/>
      <c r="C282" s="31"/>
      <c r="D282" s="31"/>
      <c r="E282" s="31"/>
      <c r="F282" s="31"/>
      <c r="G282" s="31"/>
      <c r="H282" s="93"/>
      <c r="I282" s="31"/>
      <c r="J282" s="31"/>
      <c r="K282" s="31"/>
      <c r="L282" s="42"/>
      <c r="M282" s="31"/>
      <c r="N282" s="31"/>
      <c r="O282" s="42"/>
      <c r="P282" s="92"/>
      <c r="Q282" s="42"/>
      <c r="R282" s="46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x14ac:dyDescent="0.2">
      <c r="A283" s="5"/>
      <c r="B283" s="31"/>
      <c r="C283" s="31"/>
      <c r="D283" s="31"/>
      <c r="E283" s="31"/>
      <c r="F283" s="31"/>
      <c r="G283" s="31"/>
      <c r="H283" s="93"/>
      <c r="I283" s="31"/>
      <c r="J283" s="31"/>
      <c r="K283" s="31"/>
      <c r="L283" s="42"/>
      <c r="M283" s="31"/>
      <c r="N283" s="31"/>
      <c r="O283" s="42"/>
      <c r="P283" s="92"/>
      <c r="Q283" s="42"/>
      <c r="R283" s="46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x14ac:dyDescent="0.2">
      <c r="A284" s="5"/>
      <c r="B284" s="31"/>
      <c r="C284" s="31"/>
      <c r="D284" s="31"/>
      <c r="E284" s="31"/>
      <c r="F284" s="31"/>
      <c r="G284" s="31"/>
      <c r="H284" s="93"/>
      <c r="I284" s="31"/>
      <c r="J284" s="31"/>
      <c r="K284" s="31"/>
      <c r="L284" s="42"/>
      <c r="M284" s="31"/>
      <c r="N284" s="31"/>
      <c r="O284" s="42"/>
      <c r="P284" s="92"/>
      <c r="Q284" s="42"/>
      <c r="R284" s="46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x14ac:dyDescent="0.2">
      <c r="A285" s="5"/>
      <c r="B285" s="31"/>
      <c r="C285" s="31"/>
      <c r="D285" s="31"/>
      <c r="E285" s="31"/>
      <c r="F285" s="31"/>
      <c r="G285" s="31"/>
      <c r="H285" s="93"/>
      <c r="I285" s="31"/>
      <c r="J285" s="31"/>
      <c r="K285" s="31"/>
      <c r="L285" s="42"/>
      <c r="M285" s="31"/>
      <c r="N285" s="31"/>
      <c r="O285" s="42"/>
      <c r="P285" s="92"/>
      <c r="Q285" s="42"/>
      <c r="R285" s="46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x14ac:dyDescent="0.2">
      <c r="A286" s="5"/>
      <c r="B286" s="31"/>
      <c r="C286" s="31"/>
      <c r="D286" s="31"/>
      <c r="E286" s="31"/>
      <c r="F286" s="31"/>
      <c r="G286" s="31"/>
      <c r="H286" s="93"/>
      <c r="I286" s="31"/>
      <c r="J286" s="31"/>
      <c r="K286" s="31"/>
      <c r="L286" s="42"/>
      <c r="M286" s="31"/>
      <c r="N286" s="31"/>
      <c r="O286" s="42"/>
      <c r="P286" s="92"/>
      <c r="Q286" s="42"/>
      <c r="R286" s="46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x14ac:dyDescent="0.2">
      <c r="A287" s="5"/>
      <c r="B287" s="31"/>
      <c r="C287" s="31"/>
      <c r="D287" s="31"/>
      <c r="E287" s="31"/>
      <c r="F287" s="31"/>
      <c r="G287" s="31"/>
      <c r="H287" s="93"/>
      <c r="I287" s="31"/>
      <c r="J287" s="31"/>
      <c r="K287" s="31"/>
      <c r="L287" s="42"/>
      <c r="M287" s="31"/>
      <c r="N287" s="31"/>
      <c r="O287" s="42"/>
      <c r="P287" s="92"/>
      <c r="Q287" s="42"/>
      <c r="R287" s="46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x14ac:dyDescent="0.2">
      <c r="A288" s="5"/>
      <c r="B288" s="31"/>
      <c r="C288" s="31"/>
      <c r="D288" s="31"/>
      <c r="E288" s="31"/>
      <c r="F288" s="31"/>
      <c r="G288" s="31"/>
      <c r="H288" s="93"/>
      <c r="I288" s="31"/>
      <c r="J288" s="31"/>
      <c r="K288" s="31"/>
      <c r="L288" s="42"/>
      <c r="M288" s="31"/>
      <c r="N288" s="31"/>
      <c r="O288" s="42"/>
      <c r="P288" s="92"/>
      <c r="Q288" s="42"/>
      <c r="R288" s="46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x14ac:dyDescent="0.2">
      <c r="A289" s="5"/>
      <c r="B289" s="31"/>
      <c r="C289" s="31"/>
      <c r="D289" s="31"/>
      <c r="E289" s="31"/>
      <c r="F289" s="31"/>
      <c r="G289" s="31"/>
      <c r="H289" s="93"/>
      <c r="I289" s="31"/>
      <c r="J289" s="31"/>
      <c r="K289" s="31"/>
      <c r="L289" s="42"/>
      <c r="M289" s="31"/>
      <c r="N289" s="31"/>
      <c r="O289" s="42"/>
      <c r="P289" s="92"/>
      <c r="Q289" s="42"/>
      <c r="R289" s="46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x14ac:dyDescent="0.2">
      <c r="A290" s="5"/>
      <c r="B290" s="31"/>
      <c r="C290" s="31"/>
      <c r="D290" s="31"/>
      <c r="E290" s="31"/>
      <c r="F290" s="31"/>
      <c r="G290" s="31"/>
      <c r="H290" s="93"/>
      <c r="I290" s="31"/>
      <c r="J290" s="31"/>
      <c r="K290" s="31"/>
      <c r="L290" s="42"/>
      <c r="M290" s="31"/>
      <c r="N290" s="31"/>
      <c r="O290" s="42"/>
      <c r="P290" s="92"/>
      <c r="Q290" s="42"/>
      <c r="R290" s="46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x14ac:dyDescent="0.2">
      <c r="A291" s="5"/>
      <c r="B291" s="31"/>
      <c r="C291" s="31"/>
      <c r="D291" s="31"/>
      <c r="E291" s="31"/>
      <c r="F291" s="31"/>
      <c r="G291" s="31"/>
      <c r="H291" s="93"/>
      <c r="I291" s="31"/>
      <c r="J291" s="31"/>
      <c r="K291" s="31"/>
      <c r="L291" s="42"/>
      <c r="M291" s="31"/>
      <c r="N291" s="31"/>
      <c r="O291" s="42"/>
      <c r="P291" s="92"/>
      <c r="Q291" s="42"/>
      <c r="R291" s="46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x14ac:dyDescent="0.2">
      <c r="A292" s="5"/>
      <c r="B292" s="31"/>
      <c r="C292" s="31"/>
      <c r="D292" s="31"/>
      <c r="E292" s="31"/>
      <c r="F292" s="31"/>
      <c r="G292" s="31"/>
      <c r="H292" s="93"/>
      <c r="I292" s="31"/>
      <c r="J292" s="31"/>
      <c r="K292" s="31"/>
      <c r="L292" s="42"/>
      <c r="M292" s="31"/>
      <c r="N292" s="31"/>
      <c r="O292" s="42"/>
      <c r="P292" s="92"/>
      <c r="Q292" s="42"/>
      <c r="R292" s="46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x14ac:dyDescent="0.2">
      <c r="A293" s="5"/>
      <c r="B293" s="31"/>
      <c r="C293" s="31"/>
      <c r="D293" s="31"/>
      <c r="E293" s="31"/>
      <c r="F293" s="31"/>
      <c r="G293" s="31"/>
      <c r="H293" s="93"/>
      <c r="I293" s="31"/>
      <c r="J293" s="31"/>
      <c r="K293" s="31"/>
      <c r="L293" s="42"/>
      <c r="M293" s="31"/>
      <c r="N293" s="31"/>
      <c r="O293" s="42"/>
      <c r="P293" s="92"/>
      <c r="Q293" s="42"/>
      <c r="R293" s="46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x14ac:dyDescent="0.2">
      <c r="A294" s="5"/>
      <c r="B294" s="31"/>
      <c r="C294" s="31"/>
      <c r="D294" s="31"/>
      <c r="E294" s="31"/>
      <c r="F294" s="31"/>
      <c r="G294" s="31"/>
      <c r="H294" s="93"/>
      <c r="I294" s="31"/>
      <c r="J294" s="31"/>
      <c r="K294" s="31"/>
      <c r="L294" s="42"/>
      <c r="M294" s="31"/>
      <c r="N294" s="31"/>
      <c r="O294" s="42"/>
      <c r="P294" s="92"/>
      <c r="Q294" s="42"/>
      <c r="R294" s="46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x14ac:dyDescent="0.2">
      <c r="A295" s="5"/>
      <c r="B295" s="31"/>
      <c r="C295" s="31"/>
      <c r="D295" s="31"/>
      <c r="E295" s="31"/>
      <c r="F295" s="31"/>
      <c r="G295" s="31"/>
      <c r="H295" s="93"/>
      <c r="I295" s="31"/>
      <c r="J295" s="31"/>
      <c r="K295" s="31"/>
      <c r="L295" s="42"/>
      <c r="M295" s="31"/>
      <c r="N295" s="31"/>
      <c r="O295" s="42"/>
      <c r="P295" s="92"/>
      <c r="Q295" s="42"/>
      <c r="R295" s="46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x14ac:dyDescent="0.2">
      <c r="A296" s="5"/>
      <c r="B296" s="31"/>
      <c r="C296" s="31"/>
      <c r="D296" s="31"/>
      <c r="E296" s="31"/>
      <c r="F296" s="31"/>
      <c r="G296" s="31"/>
      <c r="H296" s="93"/>
      <c r="I296" s="31"/>
      <c r="J296" s="31"/>
      <c r="K296" s="31"/>
      <c r="L296" s="42"/>
      <c r="M296" s="31"/>
      <c r="N296" s="31"/>
      <c r="O296" s="42"/>
      <c r="P296" s="92"/>
      <c r="Q296" s="42"/>
      <c r="R296" s="46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x14ac:dyDescent="0.2">
      <c r="A297" s="5"/>
      <c r="B297" s="31"/>
      <c r="C297" s="31"/>
      <c r="D297" s="31"/>
      <c r="E297" s="31"/>
      <c r="F297" s="31"/>
      <c r="G297" s="31"/>
      <c r="H297" s="93"/>
      <c r="I297" s="31"/>
      <c r="J297" s="31"/>
      <c r="K297" s="31"/>
      <c r="L297" s="42"/>
      <c r="M297" s="31"/>
      <c r="N297" s="31"/>
      <c r="O297" s="42"/>
      <c r="P297" s="92"/>
      <c r="Q297" s="42"/>
      <c r="R297" s="46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x14ac:dyDescent="0.2">
      <c r="A298" s="5"/>
      <c r="B298" s="31"/>
      <c r="C298" s="31"/>
      <c r="D298" s="31"/>
      <c r="E298" s="31"/>
      <c r="F298" s="31"/>
      <c r="G298" s="31"/>
      <c r="H298" s="93"/>
      <c r="I298" s="31"/>
      <c r="J298" s="31"/>
      <c r="K298" s="31"/>
      <c r="L298" s="42"/>
      <c r="M298" s="31"/>
      <c r="N298" s="31"/>
      <c r="O298" s="42"/>
      <c r="P298" s="92"/>
      <c r="Q298" s="42"/>
      <c r="R298" s="46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x14ac:dyDescent="0.2">
      <c r="A299" s="5"/>
      <c r="B299" s="31"/>
      <c r="C299" s="31"/>
      <c r="D299" s="31"/>
      <c r="E299" s="31"/>
      <c r="F299" s="31"/>
      <c r="G299" s="31"/>
      <c r="H299" s="93"/>
      <c r="I299" s="31"/>
      <c r="J299" s="31"/>
      <c r="K299" s="31"/>
      <c r="L299" s="42"/>
      <c r="M299" s="31"/>
      <c r="N299" s="31"/>
      <c r="O299" s="42"/>
      <c r="P299" s="92"/>
      <c r="Q299" s="42"/>
      <c r="R299" s="46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x14ac:dyDescent="0.2">
      <c r="A300" s="5"/>
      <c r="B300" s="31"/>
      <c r="C300" s="31"/>
      <c r="D300" s="31"/>
      <c r="E300" s="31"/>
      <c r="F300" s="31"/>
      <c r="G300" s="31"/>
      <c r="H300" s="93"/>
      <c r="I300" s="31"/>
      <c r="J300" s="31"/>
      <c r="K300" s="31"/>
      <c r="L300" s="42"/>
      <c r="M300" s="31"/>
      <c r="N300" s="31"/>
      <c r="O300" s="42"/>
      <c r="P300" s="92"/>
      <c r="Q300" s="42"/>
      <c r="R300" s="46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x14ac:dyDescent="0.2">
      <c r="A301" s="5"/>
      <c r="B301" s="31"/>
      <c r="C301" s="31"/>
      <c r="D301" s="31"/>
      <c r="E301" s="31"/>
      <c r="F301" s="31"/>
      <c r="G301" s="31"/>
      <c r="H301" s="93"/>
      <c r="I301" s="31"/>
      <c r="J301" s="31"/>
      <c r="K301" s="31"/>
      <c r="L301" s="42"/>
      <c r="M301" s="31"/>
      <c r="N301" s="31"/>
      <c r="O301" s="42"/>
      <c r="P301" s="92"/>
      <c r="Q301" s="42"/>
      <c r="R301" s="46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x14ac:dyDescent="0.2">
      <c r="A302" s="5"/>
      <c r="B302" s="31"/>
      <c r="C302" s="31"/>
      <c r="D302" s="31"/>
      <c r="E302" s="31"/>
      <c r="F302" s="31"/>
      <c r="G302" s="31"/>
      <c r="H302" s="93"/>
      <c r="I302" s="31"/>
      <c r="J302" s="31"/>
      <c r="K302" s="31"/>
      <c r="L302" s="42"/>
      <c r="M302" s="31"/>
      <c r="N302" s="31"/>
      <c r="O302" s="42"/>
      <c r="P302" s="92"/>
      <c r="Q302" s="42"/>
      <c r="R302" s="46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x14ac:dyDescent="0.2">
      <c r="A303" s="5"/>
      <c r="B303" s="31"/>
      <c r="C303" s="31"/>
      <c r="D303" s="31"/>
      <c r="E303" s="31"/>
      <c r="F303" s="31"/>
      <c r="G303" s="31"/>
      <c r="H303" s="93"/>
      <c r="I303" s="31"/>
      <c r="J303" s="31"/>
      <c r="K303" s="31"/>
      <c r="L303" s="42"/>
      <c r="M303" s="31"/>
      <c r="N303" s="31"/>
      <c r="O303" s="42"/>
      <c r="P303" s="92"/>
      <c r="Q303" s="42"/>
      <c r="R303" s="46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x14ac:dyDescent="0.2">
      <c r="A304" s="5"/>
      <c r="B304" s="31"/>
      <c r="C304" s="31"/>
      <c r="D304" s="31"/>
      <c r="E304" s="31"/>
      <c r="F304" s="31"/>
      <c r="G304" s="31"/>
      <c r="H304" s="93"/>
      <c r="I304" s="31"/>
      <c r="J304" s="31"/>
      <c r="K304" s="31"/>
      <c r="L304" s="42"/>
      <c r="M304" s="31"/>
      <c r="N304" s="31"/>
      <c r="O304" s="42"/>
      <c r="P304" s="92"/>
      <c r="Q304" s="42"/>
      <c r="R304" s="46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x14ac:dyDescent="0.2">
      <c r="A305" s="5"/>
      <c r="B305" s="31"/>
      <c r="C305" s="31"/>
      <c r="D305" s="31"/>
      <c r="E305" s="31"/>
      <c r="F305" s="31"/>
      <c r="G305" s="31"/>
      <c r="H305" s="93"/>
      <c r="I305" s="31"/>
      <c r="J305" s="31"/>
      <c r="K305" s="31"/>
      <c r="L305" s="42"/>
      <c r="M305" s="31"/>
      <c r="N305" s="31"/>
      <c r="O305" s="42"/>
      <c r="P305" s="92"/>
      <c r="Q305" s="42"/>
      <c r="R305" s="46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x14ac:dyDescent="0.2">
      <c r="A306" s="5"/>
      <c r="B306" s="31"/>
      <c r="C306" s="31"/>
      <c r="D306" s="31"/>
      <c r="E306" s="31"/>
      <c r="F306" s="31"/>
      <c r="G306" s="31"/>
      <c r="H306" s="93"/>
      <c r="I306" s="31"/>
      <c r="J306" s="31"/>
      <c r="K306" s="31"/>
      <c r="L306" s="42"/>
      <c r="M306" s="31"/>
      <c r="N306" s="31"/>
      <c r="O306" s="42"/>
      <c r="P306" s="92"/>
      <c r="Q306" s="42"/>
      <c r="R306" s="46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x14ac:dyDescent="0.2">
      <c r="A307" s="5"/>
      <c r="B307" s="31"/>
      <c r="C307" s="31"/>
      <c r="D307" s="31"/>
      <c r="E307" s="31"/>
      <c r="F307" s="31"/>
      <c r="G307" s="31"/>
      <c r="H307" s="93"/>
      <c r="I307" s="31"/>
      <c r="J307" s="31"/>
      <c r="K307" s="31"/>
      <c r="L307" s="42"/>
      <c r="M307" s="31"/>
      <c r="N307" s="31"/>
      <c r="O307" s="42"/>
      <c r="P307" s="92"/>
      <c r="Q307" s="42"/>
      <c r="R307" s="46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x14ac:dyDescent="0.2">
      <c r="A308" s="5"/>
      <c r="B308" s="31"/>
      <c r="C308" s="31"/>
      <c r="D308" s="31"/>
      <c r="E308" s="31"/>
      <c r="F308" s="31"/>
      <c r="G308" s="31"/>
      <c r="H308" s="93"/>
      <c r="I308" s="31"/>
      <c r="J308" s="31"/>
      <c r="K308" s="31"/>
      <c r="L308" s="42"/>
      <c r="M308" s="31"/>
      <c r="N308" s="31"/>
      <c r="O308" s="42"/>
      <c r="P308" s="92"/>
      <c r="Q308" s="42"/>
      <c r="R308" s="46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x14ac:dyDescent="0.2">
      <c r="A309" s="5"/>
      <c r="B309" s="31"/>
      <c r="C309" s="31"/>
      <c r="D309" s="31"/>
      <c r="E309" s="31"/>
      <c r="F309" s="31"/>
      <c r="G309" s="31"/>
      <c r="H309" s="93"/>
      <c r="I309" s="31"/>
      <c r="J309" s="31"/>
      <c r="K309" s="31"/>
      <c r="L309" s="42"/>
      <c r="M309" s="31"/>
      <c r="N309" s="31"/>
      <c r="O309" s="42"/>
      <c r="P309" s="92"/>
      <c r="Q309" s="42"/>
      <c r="R309" s="46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x14ac:dyDescent="0.2">
      <c r="A310" s="5"/>
      <c r="B310" s="31"/>
      <c r="C310" s="31"/>
      <c r="D310" s="31"/>
      <c r="E310" s="31"/>
      <c r="F310" s="31"/>
      <c r="G310" s="31"/>
      <c r="H310" s="93"/>
      <c r="I310" s="31"/>
      <c r="J310" s="31"/>
      <c r="K310" s="31"/>
      <c r="L310" s="42"/>
      <c r="M310" s="31"/>
      <c r="N310" s="31"/>
      <c r="O310" s="42"/>
      <c r="P310" s="92"/>
      <c r="Q310" s="42"/>
      <c r="R310" s="46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x14ac:dyDescent="0.2">
      <c r="A311" s="5"/>
      <c r="B311" s="31"/>
      <c r="C311" s="31"/>
      <c r="D311" s="31"/>
      <c r="E311" s="31"/>
      <c r="F311" s="31"/>
      <c r="G311" s="31"/>
      <c r="H311" s="93"/>
      <c r="I311" s="31"/>
      <c r="J311" s="31"/>
      <c r="K311" s="31"/>
      <c r="L311" s="42"/>
      <c r="M311" s="31"/>
      <c r="N311" s="31"/>
      <c r="O311" s="42"/>
      <c r="P311" s="92"/>
      <c r="Q311" s="42"/>
      <c r="R311" s="46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x14ac:dyDescent="0.2">
      <c r="A312" s="5"/>
      <c r="B312" s="31"/>
      <c r="C312" s="31"/>
      <c r="D312" s="31"/>
      <c r="E312" s="31"/>
      <c r="F312" s="31"/>
      <c r="G312" s="31"/>
      <c r="H312" s="93"/>
      <c r="I312" s="31"/>
      <c r="J312" s="31"/>
      <c r="K312" s="31"/>
      <c r="L312" s="42"/>
      <c r="M312" s="31"/>
      <c r="N312" s="31"/>
      <c r="O312" s="42"/>
      <c r="P312" s="92"/>
      <c r="Q312" s="42"/>
      <c r="R312" s="46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x14ac:dyDescent="0.2">
      <c r="A313" s="5"/>
      <c r="B313" s="31"/>
      <c r="C313" s="31"/>
      <c r="D313" s="31"/>
      <c r="E313" s="31"/>
      <c r="F313" s="31"/>
      <c r="G313" s="31"/>
      <c r="H313" s="93"/>
      <c r="I313" s="31"/>
      <c r="J313" s="31"/>
      <c r="K313" s="31"/>
      <c r="L313" s="42"/>
      <c r="M313" s="31"/>
      <c r="N313" s="31"/>
      <c r="O313" s="42"/>
      <c r="P313" s="92"/>
      <c r="Q313" s="42"/>
      <c r="R313" s="46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x14ac:dyDescent="0.2">
      <c r="A314" s="5"/>
      <c r="B314" s="31"/>
      <c r="C314" s="31"/>
      <c r="D314" s="31"/>
      <c r="E314" s="31"/>
      <c r="F314" s="31"/>
      <c r="G314" s="31"/>
      <c r="H314" s="93"/>
      <c r="I314" s="31"/>
      <c r="J314" s="31"/>
      <c r="K314" s="31"/>
      <c r="L314" s="42"/>
      <c r="M314" s="31"/>
      <c r="N314" s="31"/>
      <c r="O314" s="42"/>
      <c r="P314" s="92"/>
      <c r="Q314" s="42"/>
      <c r="R314" s="46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x14ac:dyDescent="0.2">
      <c r="A315" s="5"/>
      <c r="B315" s="31"/>
      <c r="C315" s="31"/>
      <c r="D315" s="31"/>
      <c r="E315" s="31"/>
      <c r="F315" s="31"/>
      <c r="G315" s="31"/>
      <c r="H315" s="93"/>
      <c r="I315" s="31"/>
      <c r="J315" s="31"/>
      <c r="K315" s="31"/>
      <c r="L315" s="42"/>
      <c r="M315" s="31"/>
      <c r="N315" s="31"/>
      <c r="O315" s="42"/>
      <c r="P315" s="92"/>
      <c r="Q315" s="42"/>
      <c r="R315" s="46"/>
      <c r="S315" s="31"/>
      <c r="T315" s="31"/>
      <c r="U315" s="31"/>
      <c r="V315" s="31"/>
      <c r="W315" s="31"/>
      <c r="X315" s="31"/>
      <c r="Y315" s="31"/>
      <c r="Z315" s="31"/>
      <c r="AA315" s="31"/>
    </row>
    <row r="316" spans="1:27" x14ac:dyDescent="0.2">
      <c r="A316" s="5"/>
      <c r="B316" s="31"/>
      <c r="C316" s="31"/>
      <c r="D316" s="31"/>
      <c r="E316" s="31"/>
      <c r="F316" s="31"/>
      <c r="G316" s="31"/>
      <c r="H316" s="93"/>
      <c r="I316" s="31"/>
      <c r="J316" s="31"/>
      <c r="K316" s="31"/>
      <c r="L316" s="42"/>
      <c r="M316" s="31"/>
      <c r="N316" s="31"/>
      <c r="O316" s="42"/>
      <c r="P316" s="92"/>
      <c r="Q316" s="42"/>
      <c r="R316" s="46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x14ac:dyDescent="0.2">
      <c r="A317" s="5"/>
      <c r="B317" s="31"/>
      <c r="C317" s="31"/>
      <c r="D317" s="31"/>
      <c r="E317" s="31"/>
      <c r="F317" s="31"/>
      <c r="G317" s="31"/>
      <c r="H317" s="93"/>
      <c r="I317" s="31"/>
      <c r="J317" s="31"/>
      <c r="K317" s="31"/>
      <c r="L317" s="42"/>
      <c r="M317" s="31"/>
      <c r="N317" s="31"/>
      <c r="O317" s="42"/>
      <c r="P317" s="92"/>
      <c r="Q317" s="42"/>
      <c r="R317" s="46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x14ac:dyDescent="0.2">
      <c r="A318" s="5"/>
      <c r="B318" s="31"/>
      <c r="C318" s="31"/>
      <c r="D318" s="31"/>
      <c r="E318" s="31"/>
      <c r="F318" s="31"/>
      <c r="G318" s="31"/>
      <c r="H318" s="93"/>
      <c r="I318" s="31"/>
      <c r="J318" s="31"/>
      <c r="K318" s="31"/>
      <c r="L318" s="42"/>
      <c r="M318" s="31"/>
      <c r="N318" s="31"/>
      <c r="O318" s="42"/>
      <c r="P318" s="92"/>
      <c r="Q318" s="42"/>
      <c r="R318" s="46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x14ac:dyDescent="0.2">
      <c r="A319" s="5"/>
      <c r="B319" s="31"/>
      <c r="C319" s="31"/>
      <c r="D319" s="31"/>
      <c r="E319" s="31"/>
      <c r="F319" s="31"/>
      <c r="G319" s="31"/>
      <c r="H319" s="93"/>
      <c r="I319" s="31"/>
      <c r="J319" s="31"/>
      <c r="K319" s="31"/>
      <c r="L319" s="42"/>
      <c r="M319" s="31"/>
      <c r="N319" s="31"/>
      <c r="O319" s="42"/>
      <c r="P319" s="92"/>
      <c r="Q319" s="42"/>
      <c r="R319" s="46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x14ac:dyDescent="0.2">
      <c r="A320" s="5"/>
      <c r="B320" s="31"/>
      <c r="C320" s="31"/>
      <c r="D320" s="31"/>
      <c r="E320" s="31"/>
      <c r="F320" s="31"/>
      <c r="G320" s="31"/>
      <c r="H320" s="93"/>
      <c r="I320" s="31"/>
      <c r="J320" s="31"/>
      <c r="K320" s="31"/>
      <c r="L320" s="42"/>
      <c r="M320" s="31"/>
      <c r="N320" s="31"/>
      <c r="O320" s="42"/>
      <c r="P320" s="92"/>
      <c r="Q320" s="42"/>
      <c r="R320" s="46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x14ac:dyDescent="0.2">
      <c r="A321" s="5"/>
      <c r="B321" s="31"/>
      <c r="C321" s="31"/>
      <c r="D321" s="31"/>
      <c r="E321" s="31"/>
      <c r="F321" s="31"/>
      <c r="G321" s="31"/>
      <c r="H321" s="93"/>
      <c r="I321" s="31"/>
      <c r="J321" s="31"/>
      <c r="K321" s="31"/>
      <c r="L321" s="42"/>
      <c r="M321" s="31"/>
      <c r="N321" s="31"/>
      <c r="O321" s="42"/>
      <c r="P321" s="92"/>
      <c r="Q321" s="42"/>
      <c r="R321" s="46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x14ac:dyDescent="0.2">
      <c r="A322" s="5"/>
      <c r="B322" s="31"/>
      <c r="C322" s="31"/>
      <c r="D322" s="31"/>
      <c r="E322" s="31"/>
      <c r="F322" s="31"/>
      <c r="G322" s="31"/>
      <c r="H322" s="93"/>
      <c r="I322" s="31"/>
      <c r="J322" s="31"/>
      <c r="K322" s="31"/>
      <c r="L322" s="42"/>
      <c r="M322" s="31"/>
      <c r="N322" s="31"/>
      <c r="O322" s="42"/>
      <c r="P322" s="92"/>
      <c r="Q322" s="42"/>
      <c r="R322" s="46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x14ac:dyDescent="0.2">
      <c r="A323" s="5"/>
      <c r="B323" s="31"/>
      <c r="C323" s="31"/>
      <c r="D323" s="31"/>
      <c r="E323" s="31"/>
      <c r="F323" s="31"/>
      <c r="G323" s="31"/>
      <c r="H323" s="93"/>
      <c r="I323" s="31"/>
      <c r="J323" s="31"/>
      <c r="K323" s="31"/>
      <c r="L323" s="42"/>
      <c r="M323" s="31"/>
      <c r="N323" s="31"/>
      <c r="O323" s="42"/>
      <c r="P323" s="92"/>
      <c r="Q323" s="42"/>
      <c r="R323" s="46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x14ac:dyDescent="0.2">
      <c r="A324" s="5"/>
      <c r="B324" s="31"/>
      <c r="C324" s="31"/>
      <c r="D324" s="31"/>
      <c r="E324" s="31"/>
      <c r="F324" s="31"/>
      <c r="G324" s="31"/>
      <c r="H324" s="93"/>
      <c r="I324" s="31"/>
      <c r="J324" s="31"/>
      <c r="K324" s="31"/>
      <c r="L324" s="42"/>
      <c r="M324" s="31"/>
      <c r="N324" s="31"/>
      <c r="O324" s="42"/>
      <c r="P324" s="92"/>
      <c r="Q324" s="42"/>
      <c r="R324" s="46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x14ac:dyDescent="0.2">
      <c r="A325" s="5"/>
      <c r="B325" s="31"/>
      <c r="C325" s="31"/>
      <c r="D325" s="31"/>
      <c r="E325" s="31"/>
      <c r="F325" s="31"/>
      <c r="G325" s="31"/>
      <c r="H325" s="93"/>
      <c r="I325" s="31"/>
      <c r="J325" s="31"/>
      <c r="K325" s="31"/>
      <c r="L325" s="42"/>
      <c r="M325" s="31"/>
      <c r="N325" s="31"/>
      <c r="O325" s="42"/>
      <c r="P325" s="92"/>
      <c r="Q325" s="42"/>
      <c r="R325" s="46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x14ac:dyDescent="0.2">
      <c r="A326" s="5"/>
      <c r="B326" s="31"/>
      <c r="C326" s="31"/>
      <c r="D326" s="31"/>
      <c r="E326" s="31"/>
      <c r="F326" s="31"/>
      <c r="G326" s="31"/>
      <c r="H326" s="93"/>
      <c r="I326" s="31"/>
      <c r="J326" s="31"/>
      <c r="K326" s="31"/>
      <c r="L326" s="42"/>
      <c r="M326" s="31"/>
      <c r="N326" s="31"/>
      <c r="O326" s="42"/>
      <c r="P326" s="92"/>
      <c r="Q326" s="42"/>
      <c r="R326" s="46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x14ac:dyDescent="0.2">
      <c r="A327" s="5"/>
      <c r="B327" s="31"/>
      <c r="C327" s="31"/>
      <c r="D327" s="31"/>
      <c r="E327" s="31"/>
      <c r="F327" s="31"/>
      <c r="G327" s="31"/>
      <c r="H327" s="93"/>
      <c r="I327" s="31"/>
      <c r="J327" s="31"/>
      <c r="K327" s="31"/>
      <c r="L327" s="42"/>
      <c r="M327" s="31"/>
      <c r="N327" s="31"/>
      <c r="O327" s="42"/>
      <c r="P327" s="92"/>
      <c r="Q327" s="42"/>
      <c r="R327" s="46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x14ac:dyDescent="0.2">
      <c r="A328" s="5"/>
      <c r="B328" s="31"/>
      <c r="C328" s="31"/>
      <c r="D328" s="31"/>
      <c r="E328" s="31"/>
      <c r="F328" s="31"/>
      <c r="G328" s="31"/>
      <c r="H328" s="93"/>
      <c r="I328" s="31"/>
      <c r="J328" s="31"/>
      <c r="K328" s="31"/>
      <c r="L328" s="42"/>
      <c r="M328" s="31"/>
      <c r="N328" s="31"/>
      <c r="O328" s="42"/>
      <c r="P328" s="92"/>
      <c r="Q328" s="42"/>
      <c r="R328" s="46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x14ac:dyDescent="0.2">
      <c r="A329" s="5"/>
      <c r="B329" s="31"/>
      <c r="C329" s="31"/>
      <c r="D329" s="31"/>
      <c r="E329" s="31"/>
      <c r="F329" s="31"/>
      <c r="G329" s="31"/>
      <c r="H329" s="93"/>
      <c r="I329" s="31"/>
      <c r="J329" s="31"/>
      <c r="K329" s="31"/>
      <c r="L329" s="42"/>
      <c r="M329" s="31"/>
      <c r="N329" s="31"/>
      <c r="O329" s="42"/>
      <c r="P329" s="92"/>
      <c r="Q329" s="42"/>
      <c r="R329" s="46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x14ac:dyDescent="0.2">
      <c r="A330" s="5"/>
      <c r="B330" s="31"/>
      <c r="C330" s="31"/>
      <c r="D330" s="31"/>
      <c r="E330" s="31"/>
      <c r="F330" s="31"/>
      <c r="G330" s="31"/>
      <c r="H330" s="93"/>
      <c r="I330" s="31"/>
      <c r="J330" s="31"/>
      <c r="K330" s="31"/>
      <c r="L330" s="42"/>
      <c r="M330" s="31"/>
      <c r="N330" s="31"/>
      <c r="O330" s="42"/>
      <c r="P330" s="92"/>
      <c r="Q330" s="42"/>
      <c r="R330" s="46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x14ac:dyDescent="0.2">
      <c r="A331" s="5"/>
      <c r="B331" s="31"/>
      <c r="C331" s="31"/>
      <c r="D331" s="31"/>
      <c r="E331" s="31"/>
      <c r="F331" s="31"/>
      <c r="G331" s="31"/>
      <c r="H331" s="93"/>
      <c r="I331" s="31"/>
      <c r="J331" s="31"/>
      <c r="K331" s="31"/>
      <c r="L331" s="42"/>
      <c r="M331" s="31"/>
      <c r="N331" s="31"/>
      <c r="O331" s="42"/>
      <c r="P331" s="92"/>
      <c r="Q331" s="42"/>
      <c r="R331" s="46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x14ac:dyDescent="0.2">
      <c r="A332" s="5"/>
      <c r="B332" s="31"/>
      <c r="C332" s="31"/>
      <c r="D332" s="31"/>
      <c r="E332" s="31"/>
      <c r="F332" s="31"/>
      <c r="G332" s="31"/>
      <c r="H332" s="93"/>
      <c r="I332" s="31"/>
      <c r="J332" s="31"/>
      <c r="K332" s="31"/>
      <c r="L332" s="42"/>
      <c r="M332" s="31"/>
      <c r="N332" s="31"/>
      <c r="O332" s="42"/>
      <c r="P332" s="92"/>
      <c r="Q332" s="42"/>
      <c r="R332" s="46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x14ac:dyDescent="0.2">
      <c r="A333" s="5"/>
      <c r="B333" s="31"/>
      <c r="C333" s="31"/>
      <c r="D333" s="31"/>
      <c r="E333" s="31"/>
      <c r="F333" s="31"/>
      <c r="G333" s="31"/>
      <c r="H333" s="93"/>
      <c r="I333" s="31"/>
      <c r="J333" s="31"/>
      <c r="K333" s="31"/>
      <c r="L333" s="42"/>
      <c r="M333" s="31"/>
      <c r="N333" s="31"/>
      <c r="O333" s="42"/>
      <c r="P333" s="92"/>
      <c r="Q333" s="42"/>
      <c r="R333" s="46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x14ac:dyDescent="0.2">
      <c r="A334" s="5"/>
      <c r="B334" s="31"/>
      <c r="C334" s="31"/>
      <c r="D334" s="31"/>
      <c r="E334" s="31"/>
      <c r="F334" s="31"/>
      <c r="G334" s="31"/>
      <c r="H334" s="93"/>
      <c r="I334" s="31"/>
      <c r="J334" s="31"/>
      <c r="K334" s="31"/>
      <c r="L334" s="42"/>
      <c r="M334" s="31"/>
      <c r="N334" s="31"/>
      <c r="O334" s="42"/>
      <c r="P334" s="92"/>
      <c r="Q334" s="42"/>
      <c r="R334" s="46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x14ac:dyDescent="0.2">
      <c r="A335" s="5"/>
      <c r="B335" s="31"/>
      <c r="C335" s="31"/>
      <c r="D335" s="31"/>
      <c r="E335" s="31"/>
      <c r="F335" s="31"/>
      <c r="G335" s="31"/>
      <c r="H335" s="93"/>
      <c r="I335" s="31"/>
      <c r="J335" s="31"/>
      <c r="K335" s="31"/>
      <c r="L335" s="42"/>
      <c r="M335" s="31"/>
      <c r="N335" s="31"/>
      <c r="O335" s="42"/>
      <c r="P335" s="92"/>
      <c r="Q335" s="42"/>
      <c r="R335" s="46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x14ac:dyDescent="0.2">
      <c r="A336" s="5"/>
      <c r="B336" s="31"/>
      <c r="C336" s="31"/>
      <c r="D336" s="31"/>
      <c r="E336" s="31"/>
      <c r="F336" s="31"/>
      <c r="G336" s="31"/>
      <c r="H336" s="93"/>
      <c r="I336" s="31"/>
      <c r="J336" s="31"/>
      <c r="K336" s="31"/>
      <c r="L336" s="42"/>
      <c r="M336" s="31"/>
      <c r="N336" s="31"/>
      <c r="O336" s="42"/>
      <c r="P336" s="92"/>
      <c r="Q336" s="42"/>
      <c r="R336" s="46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x14ac:dyDescent="0.2">
      <c r="A337" s="5"/>
      <c r="B337" s="31"/>
      <c r="C337" s="31"/>
      <c r="D337" s="31"/>
      <c r="E337" s="31"/>
      <c r="F337" s="31"/>
      <c r="G337" s="31"/>
      <c r="H337" s="93"/>
      <c r="I337" s="31"/>
      <c r="J337" s="31"/>
      <c r="K337" s="31"/>
      <c r="L337" s="42"/>
      <c r="M337" s="31"/>
      <c r="N337" s="31"/>
      <c r="O337" s="42"/>
      <c r="P337" s="92"/>
      <c r="Q337" s="42"/>
      <c r="R337" s="46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x14ac:dyDescent="0.2">
      <c r="A338" s="5"/>
      <c r="B338" s="31"/>
      <c r="C338" s="31"/>
      <c r="D338" s="31"/>
      <c r="E338" s="31"/>
      <c r="F338" s="31"/>
      <c r="G338" s="31"/>
      <c r="H338" s="93"/>
      <c r="I338" s="31"/>
      <c r="J338" s="31"/>
      <c r="K338" s="31"/>
      <c r="L338" s="42"/>
      <c r="M338" s="31"/>
      <c r="N338" s="31"/>
      <c r="O338" s="42"/>
      <c r="P338" s="92"/>
      <c r="Q338" s="42"/>
      <c r="R338" s="46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x14ac:dyDescent="0.2">
      <c r="A339" s="5"/>
      <c r="B339" s="31"/>
      <c r="C339" s="31"/>
      <c r="D339" s="31"/>
      <c r="E339" s="31"/>
      <c r="F339" s="31"/>
      <c r="G339" s="31"/>
      <c r="H339" s="93"/>
      <c r="I339" s="31"/>
      <c r="J339" s="31"/>
      <c r="K339" s="31"/>
      <c r="L339" s="42"/>
      <c r="M339" s="31"/>
      <c r="N339" s="31"/>
      <c r="O339" s="42"/>
      <c r="P339" s="92"/>
      <c r="Q339" s="42"/>
      <c r="R339" s="46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x14ac:dyDescent="0.2">
      <c r="A340" s="5"/>
      <c r="B340" s="31"/>
      <c r="C340" s="31"/>
      <c r="D340" s="31"/>
      <c r="E340" s="31"/>
      <c r="F340" s="31"/>
      <c r="G340" s="31"/>
      <c r="H340" s="93"/>
      <c r="I340" s="31"/>
      <c r="J340" s="31"/>
      <c r="K340" s="31"/>
      <c r="L340" s="42"/>
      <c r="M340" s="31"/>
      <c r="N340" s="31"/>
      <c r="O340" s="42"/>
      <c r="P340" s="92"/>
      <c r="Q340" s="42"/>
      <c r="R340" s="46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x14ac:dyDescent="0.2">
      <c r="A341" s="5"/>
      <c r="B341" s="31"/>
      <c r="C341" s="31"/>
      <c r="D341" s="31"/>
      <c r="E341" s="31"/>
      <c r="F341" s="31"/>
      <c r="G341" s="31"/>
      <c r="H341" s="93"/>
      <c r="I341" s="31"/>
      <c r="J341" s="31"/>
      <c r="K341" s="31"/>
      <c r="L341" s="42"/>
      <c r="M341" s="31"/>
      <c r="N341" s="31"/>
      <c r="O341" s="42"/>
      <c r="P341" s="92"/>
      <c r="Q341" s="42"/>
      <c r="R341" s="46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x14ac:dyDescent="0.2">
      <c r="A342" s="5"/>
      <c r="B342" s="31"/>
      <c r="C342" s="31"/>
      <c r="D342" s="31"/>
      <c r="E342" s="31"/>
      <c r="F342" s="31"/>
      <c r="G342" s="31"/>
      <c r="H342" s="93"/>
      <c r="I342" s="31"/>
      <c r="J342" s="31"/>
      <c r="K342" s="31"/>
      <c r="L342" s="42"/>
      <c r="M342" s="31"/>
      <c r="N342" s="31"/>
      <c r="O342" s="42"/>
      <c r="P342" s="92"/>
      <c r="Q342" s="42"/>
      <c r="R342" s="46"/>
      <c r="S342" s="31"/>
      <c r="T342" s="31"/>
      <c r="U342" s="31"/>
      <c r="V342" s="31"/>
      <c r="W342" s="31"/>
      <c r="X342" s="31"/>
      <c r="Y342" s="31"/>
      <c r="Z342" s="31"/>
      <c r="AA342" s="31"/>
    </row>
    <row r="343" spans="1:27" x14ac:dyDescent="0.2">
      <c r="A343" s="5"/>
      <c r="B343" s="31"/>
      <c r="C343" s="31"/>
      <c r="D343" s="31"/>
      <c r="E343" s="31"/>
      <c r="F343" s="31"/>
      <c r="G343" s="31"/>
      <c r="H343" s="93"/>
      <c r="I343" s="31"/>
      <c r="J343" s="31"/>
      <c r="K343" s="31"/>
      <c r="L343" s="42"/>
      <c r="M343" s="31"/>
      <c r="N343" s="31"/>
      <c r="O343" s="42"/>
      <c r="P343" s="92"/>
      <c r="Q343" s="42"/>
      <c r="R343" s="46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x14ac:dyDescent="0.2">
      <c r="A344" s="5"/>
      <c r="B344" s="31"/>
      <c r="C344" s="31"/>
      <c r="D344" s="31"/>
      <c r="E344" s="31"/>
      <c r="F344" s="31"/>
      <c r="G344" s="31"/>
      <c r="H344" s="93"/>
      <c r="I344" s="31"/>
      <c r="J344" s="31"/>
      <c r="K344" s="31"/>
      <c r="L344" s="42"/>
      <c r="M344" s="31"/>
      <c r="N344" s="31"/>
      <c r="O344" s="42"/>
      <c r="P344" s="92"/>
      <c r="Q344" s="42"/>
      <c r="R344" s="46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x14ac:dyDescent="0.2">
      <c r="A345" s="5"/>
      <c r="B345" s="31"/>
      <c r="C345" s="31"/>
      <c r="D345" s="31"/>
      <c r="E345" s="31"/>
      <c r="F345" s="31"/>
      <c r="G345" s="31"/>
      <c r="H345" s="93"/>
      <c r="I345" s="31"/>
      <c r="J345" s="31"/>
      <c r="K345" s="31"/>
      <c r="L345" s="42"/>
      <c r="M345" s="31"/>
      <c r="N345" s="31"/>
      <c r="O345" s="42"/>
      <c r="P345" s="92"/>
      <c r="Q345" s="42"/>
      <c r="R345" s="46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x14ac:dyDescent="0.2">
      <c r="A346" s="5"/>
      <c r="B346" s="31"/>
      <c r="C346" s="31"/>
      <c r="D346" s="31"/>
      <c r="E346" s="31"/>
      <c r="F346" s="31"/>
      <c r="G346" s="31"/>
      <c r="H346" s="93"/>
      <c r="I346" s="31"/>
      <c r="J346" s="31"/>
      <c r="K346" s="31"/>
      <c r="L346" s="42"/>
      <c r="M346" s="31"/>
      <c r="N346" s="31"/>
      <c r="O346" s="42"/>
      <c r="P346" s="92"/>
      <c r="Q346" s="42"/>
      <c r="R346" s="46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x14ac:dyDescent="0.2">
      <c r="A347" s="5"/>
      <c r="B347" s="31"/>
      <c r="C347" s="31"/>
      <c r="D347" s="31"/>
      <c r="E347" s="31"/>
      <c r="F347" s="31"/>
      <c r="G347" s="31"/>
      <c r="H347" s="93"/>
      <c r="I347" s="31"/>
      <c r="J347" s="31"/>
      <c r="K347" s="31"/>
      <c r="L347" s="42"/>
      <c r="M347" s="31"/>
      <c r="N347" s="31"/>
      <c r="O347" s="42"/>
      <c r="P347" s="92"/>
      <c r="Q347" s="42"/>
      <c r="R347" s="46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x14ac:dyDescent="0.2">
      <c r="A348" s="5"/>
      <c r="B348" s="31"/>
      <c r="C348" s="31"/>
      <c r="D348" s="31"/>
      <c r="E348" s="31"/>
      <c r="F348" s="31"/>
      <c r="G348" s="31"/>
      <c r="H348" s="93"/>
      <c r="I348" s="31"/>
      <c r="J348" s="31"/>
      <c r="K348" s="31"/>
      <c r="L348" s="42"/>
      <c r="M348" s="31"/>
      <c r="N348" s="31"/>
      <c r="O348" s="42"/>
      <c r="P348" s="92"/>
      <c r="Q348" s="42"/>
      <c r="R348" s="46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x14ac:dyDescent="0.2">
      <c r="A349" s="5"/>
      <c r="B349" s="31"/>
      <c r="C349" s="31"/>
      <c r="D349" s="31"/>
      <c r="E349" s="31"/>
      <c r="F349" s="31"/>
      <c r="G349" s="31"/>
      <c r="H349" s="93"/>
      <c r="I349" s="31"/>
      <c r="J349" s="31"/>
      <c r="K349" s="31"/>
      <c r="L349" s="42"/>
      <c r="M349" s="31"/>
      <c r="N349" s="31"/>
      <c r="O349" s="42"/>
      <c r="P349" s="92"/>
      <c r="Q349" s="42"/>
      <c r="R349" s="46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x14ac:dyDescent="0.2">
      <c r="A350" s="5"/>
      <c r="B350" s="31"/>
      <c r="C350" s="31"/>
      <c r="D350" s="31"/>
      <c r="E350" s="31"/>
      <c r="F350" s="31"/>
      <c r="G350" s="31"/>
      <c r="H350" s="93"/>
      <c r="I350" s="31"/>
      <c r="J350" s="31"/>
      <c r="K350" s="31"/>
      <c r="L350" s="42"/>
      <c r="M350" s="31"/>
      <c r="N350" s="31"/>
      <c r="O350" s="42"/>
      <c r="P350" s="92"/>
      <c r="Q350" s="42"/>
      <c r="R350" s="46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x14ac:dyDescent="0.2">
      <c r="A351" s="5"/>
      <c r="B351" s="31"/>
      <c r="C351" s="31"/>
      <c r="D351" s="31"/>
      <c r="E351" s="31"/>
      <c r="F351" s="31"/>
      <c r="G351" s="31"/>
      <c r="H351" s="93"/>
      <c r="I351" s="31"/>
      <c r="J351" s="31"/>
      <c r="K351" s="31"/>
      <c r="L351" s="42"/>
      <c r="M351" s="31"/>
      <c r="N351" s="31"/>
      <c r="O351" s="42"/>
      <c r="P351" s="92"/>
      <c r="Q351" s="42"/>
      <c r="R351" s="46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x14ac:dyDescent="0.2">
      <c r="A352" s="5"/>
      <c r="B352" s="31"/>
      <c r="C352" s="31"/>
      <c r="D352" s="31"/>
      <c r="E352" s="31"/>
      <c r="F352" s="31"/>
      <c r="G352" s="31"/>
      <c r="H352" s="93"/>
      <c r="I352" s="31"/>
      <c r="J352" s="31"/>
      <c r="K352" s="31"/>
      <c r="L352" s="42"/>
      <c r="M352" s="31"/>
      <c r="N352" s="31"/>
      <c r="O352" s="42"/>
      <c r="P352" s="92"/>
      <c r="Q352" s="42"/>
      <c r="R352" s="46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x14ac:dyDescent="0.2">
      <c r="A353" s="5"/>
      <c r="B353" s="31"/>
      <c r="C353" s="31"/>
      <c r="D353" s="31"/>
      <c r="E353" s="31"/>
      <c r="F353" s="31"/>
      <c r="G353" s="31"/>
      <c r="H353" s="93"/>
      <c r="I353" s="31"/>
      <c r="J353" s="31"/>
      <c r="K353" s="31"/>
      <c r="L353" s="42"/>
      <c r="M353" s="31"/>
      <c r="N353" s="31"/>
      <c r="O353" s="42"/>
      <c r="P353" s="92"/>
      <c r="Q353" s="42"/>
      <c r="R353" s="46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x14ac:dyDescent="0.2">
      <c r="A354" s="5"/>
      <c r="B354" s="31"/>
      <c r="C354" s="31"/>
      <c r="D354" s="31"/>
      <c r="E354" s="31"/>
      <c r="F354" s="31"/>
      <c r="G354" s="31"/>
      <c r="H354" s="93"/>
      <c r="I354" s="31"/>
      <c r="J354" s="31"/>
      <c r="K354" s="31"/>
      <c r="L354" s="42"/>
      <c r="M354" s="31"/>
      <c r="N354" s="31"/>
      <c r="O354" s="42"/>
      <c r="P354" s="92"/>
      <c r="Q354" s="42"/>
      <c r="R354" s="46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x14ac:dyDescent="0.2">
      <c r="A355" s="5"/>
      <c r="B355" s="31"/>
      <c r="C355" s="31"/>
      <c r="D355" s="31"/>
      <c r="E355" s="31"/>
      <c r="F355" s="31"/>
      <c r="G355" s="31"/>
      <c r="H355" s="93"/>
      <c r="I355" s="31"/>
      <c r="J355" s="31"/>
      <c r="K355" s="31"/>
      <c r="L355" s="42"/>
      <c r="M355" s="31"/>
      <c r="N355" s="31"/>
      <c r="O355" s="42"/>
      <c r="P355" s="92"/>
      <c r="Q355" s="42"/>
      <c r="R355" s="46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x14ac:dyDescent="0.2">
      <c r="A356" s="5"/>
      <c r="B356" s="31"/>
      <c r="C356" s="31"/>
      <c r="D356" s="31"/>
      <c r="E356" s="31"/>
      <c r="F356" s="31"/>
      <c r="G356" s="31"/>
      <c r="H356" s="93"/>
      <c r="I356" s="31"/>
      <c r="J356" s="31"/>
      <c r="K356" s="31"/>
      <c r="L356" s="42"/>
      <c r="M356" s="31"/>
      <c r="N356" s="31"/>
      <c r="O356" s="42"/>
      <c r="P356" s="92"/>
      <c r="Q356" s="42"/>
      <c r="R356" s="46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x14ac:dyDescent="0.2">
      <c r="A357" s="5"/>
      <c r="B357" s="31"/>
      <c r="C357" s="31"/>
      <c r="D357" s="31"/>
      <c r="E357" s="31"/>
      <c r="F357" s="31"/>
      <c r="G357" s="31"/>
      <c r="H357" s="93"/>
      <c r="I357" s="31"/>
      <c r="J357" s="31"/>
      <c r="K357" s="31"/>
      <c r="L357" s="42"/>
      <c r="M357" s="31"/>
      <c r="N357" s="31"/>
      <c r="O357" s="42"/>
      <c r="P357" s="92"/>
      <c r="Q357" s="42"/>
      <c r="R357" s="46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x14ac:dyDescent="0.2">
      <c r="A358" s="5"/>
      <c r="B358" s="31"/>
      <c r="C358" s="31"/>
      <c r="D358" s="31"/>
      <c r="E358" s="31"/>
      <c r="F358" s="31"/>
      <c r="G358" s="31"/>
      <c r="H358" s="93"/>
      <c r="I358" s="31"/>
      <c r="J358" s="31"/>
      <c r="K358" s="31"/>
      <c r="L358" s="42"/>
      <c r="M358" s="31"/>
      <c r="N358" s="31"/>
      <c r="O358" s="42"/>
      <c r="P358" s="92"/>
      <c r="Q358" s="42"/>
      <c r="R358" s="46"/>
      <c r="S358" s="31"/>
      <c r="T358" s="31"/>
      <c r="U358" s="31"/>
      <c r="V358" s="31"/>
      <c r="W358" s="31"/>
      <c r="X358" s="31"/>
      <c r="Y358" s="31"/>
      <c r="Z358" s="31"/>
      <c r="AA358" s="31"/>
    </row>
    <row r="359" spans="1:27" x14ac:dyDescent="0.2">
      <c r="A359" s="5"/>
      <c r="B359" s="31"/>
      <c r="C359" s="31"/>
      <c r="D359" s="31"/>
      <c r="E359" s="31"/>
      <c r="F359" s="31"/>
      <c r="G359" s="31"/>
      <c r="H359" s="93"/>
      <c r="I359" s="31"/>
      <c r="J359" s="31"/>
      <c r="K359" s="31"/>
      <c r="L359" s="42"/>
      <c r="M359" s="31"/>
      <c r="N359" s="31"/>
      <c r="O359" s="42"/>
      <c r="P359" s="92"/>
      <c r="Q359" s="42"/>
      <c r="R359" s="46"/>
      <c r="S359" s="31"/>
      <c r="T359" s="31"/>
      <c r="U359" s="31"/>
      <c r="V359" s="31"/>
      <c r="W359" s="31"/>
      <c r="X359" s="31"/>
      <c r="Y359" s="31"/>
      <c r="Z359" s="31"/>
      <c r="AA359" s="31"/>
    </row>
    <row r="360" spans="1:27" x14ac:dyDescent="0.2">
      <c r="A360" s="5"/>
      <c r="B360" s="31"/>
      <c r="C360" s="31"/>
      <c r="D360" s="31"/>
      <c r="E360" s="31"/>
      <c r="F360" s="31"/>
      <c r="G360" s="31"/>
      <c r="H360" s="93"/>
      <c r="I360" s="31"/>
      <c r="J360" s="31"/>
      <c r="K360" s="31"/>
      <c r="L360" s="42"/>
      <c r="M360" s="31"/>
      <c r="N360" s="31"/>
      <c r="O360" s="42"/>
      <c r="P360" s="92"/>
      <c r="Q360" s="42"/>
      <c r="R360" s="46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x14ac:dyDescent="0.2">
      <c r="A361" s="5"/>
      <c r="B361" s="31"/>
      <c r="C361" s="31"/>
      <c r="D361" s="31"/>
      <c r="E361" s="31"/>
      <c r="F361" s="31"/>
      <c r="G361" s="31"/>
      <c r="H361" s="93"/>
      <c r="I361" s="31"/>
      <c r="J361" s="31"/>
      <c r="K361" s="31"/>
      <c r="L361" s="42"/>
      <c r="M361" s="31"/>
      <c r="N361" s="31"/>
      <c r="O361" s="42"/>
      <c r="P361" s="92"/>
      <c r="Q361" s="42"/>
      <c r="R361" s="46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x14ac:dyDescent="0.2">
      <c r="A362" s="5"/>
      <c r="B362" s="31"/>
      <c r="C362" s="31"/>
      <c r="D362" s="31"/>
      <c r="E362" s="31"/>
      <c r="F362" s="31"/>
      <c r="G362" s="31"/>
      <c r="H362" s="93"/>
      <c r="I362" s="31"/>
      <c r="J362" s="31"/>
      <c r="K362" s="31"/>
      <c r="L362" s="42"/>
      <c r="M362" s="31"/>
      <c r="N362" s="31"/>
      <c r="O362" s="42"/>
      <c r="P362" s="92"/>
      <c r="Q362" s="42"/>
      <c r="R362" s="46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x14ac:dyDescent="0.2">
      <c r="A363" s="5"/>
      <c r="B363" s="31"/>
      <c r="C363" s="31"/>
      <c r="D363" s="31"/>
      <c r="E363" s="31"/>
      <c r="F363" s="31"/>
      <c r="G363" s="31"/>
      <c r="H363" s="93"/>
      <c r="I363" s="31"/>
      <c r="J363" s="31"/>
      <c r="K363" s="31"/>
      <c r="L363" s="42"/>
      <c r="M363" s="31"/>
      <c r="N363" s="31"/>
      <c r="O363" s="42"/>
      <c r="P363" s="92"/>
      <c r="Q363" s="42"/>
      <c r="R363" s="46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x14ac:dyDescent="0.2">
      <c r="A364" s="5"/>
      <c r="B364" s="31"/>
      <c r="C364" s="31"/>
      <c r="D364" s="31"/>
      <c r="E364" s="31"/>
      <c r="F364" s="31"/>
      <c r="G364" s="31"/>
      <c r="H364" s="93"/>
      <c r="I364" s="31"/>
      <c r="J364" s="31"/>
      <c r="K364" s="31"/>
      <c r="L364" s="42"/>
      <c r="M364" s="31"/>
      <c r="N364" s="31"/>
      <c r="O364" s="42"/>
      <c r="P364" s="92"/>
      <c r="Q364" s="42"/>
      <c r="R364" s="46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x14ac:dyDescent="0.2">
      <c r="A365" s="5"/>
      <c r="B365" s="31"/>
      <c r="C365" s="31"/>
      <c r="D365" s="31"/>
      <c r="E365" s="31"/>
      <c r="F365" s="31"/>
      <c r="G365" s="31"/>
      <c r="H365" s="93"/>
      <c r="I365" s="31"/>
      <c r="J365" s="31"/>
      <c r="K365" s="31"/>
      <c r="L365" s="42"/>
      <c r="M365" s="31"/>
      <c r="N365" s="31"/>
      <c r="O365" s="42"/>
      <c r="P365" s="92"/>
      <c r="Q365" s="42"/>
      <c r="R365" s="46"/>
      <c r="S365" s="31"/>
      <c r="T365" s="31"/>
      <c r="U365" s="31"/>
      <c r="V365" s="31"/>
      <c r="W365" s="31"/>
      <c r="X365" s="31"/>
      <c r="Y365" s="31"/>
      <c r="Z365" s="31"/>
      <c r="AA365" s="31"/>
    </row>
    <row r="366" spans="1:27" x14ac:dyDescent="0.2">
      <c r="A366" s="5"/>
      <c r="B366" s="31"/>
      <c r="C366" s="31"/>
      <c r="D366" s="31"/>
      <c r="E366" s="31"/>
      <c r="F366" s="31"/>
      <c r="G366" s="31"/>
      <c r="H366" s="93"/>
      <c r="I366" s="31"/>
      <c r="J366" s="31"/>
      <c r="K366" s="31"/>
      <c r="L366" s="42"/>
      <c r="M366" s="31"/>
      <c r="N366" s="31"/>
      <c r="O366" s="42"/>
      <c r="P366" s="92"/>
      <c r="Q366" s="42"/>
      <c r="R366" s="46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x14ac:dyDescent="0.2">
      <c r="A367" s="5"/>
      <c r="B367" s="31"/>
      <c r="C367" s="31"/>
      <c r="D367" s="31"/>
      <c r="E367" s="31"/>
      <c r="F367" s="31"/>
      <c r="G367" s="31"/>
      <c r="H367" s="93"/>
      <c r="I367" s="31"/>
      <c r="J367" s="31"/>
      <c r="K367" s="31"/>
      <c r="L367" s="42"/>
      <c r="M367" s="31"/>
      <c r="N367" s="31"/>
      <c r="O367" s="42"/>
      <c r="P367" s="92"/>
      <c r="Q367" s="42"/>
      <c r="R367" s="46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x14ac:dyDescent="0.2">
      <c r="A368" s="5"/>
      <c r="B368" s="31"/>
      <c r="C368" s="31"/>
      <c r="D368" s="31"/>
      <c r="E368" s="31"/>
      <c r="F368" s="31"/>
      <c r="G368" s="31"/>
      <c r="H368" s="93"/>
      <c r="I368" s="31"/>
      <c r="J368" s="31"/>
      <c r="K368" s="31"/>
      <c r="L368" s="42"/>
      <c r="M368" s="31"/>
      <c r="N368" s="31"/>
      <c r="O368" s="42"/>
      <c r="P368" s="92"/>
      <c r="Q368" s="42"/>
      <c r="R368" s="46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x14ac:dyDescent="0.2">
      <c r="A369" s="5"/>
      <c r="B369" s="31"/>
      <c r="C369" s="31"/>
      <c r="D369" s="31"/>
      <c r="E369" s="31"/>
      <c r="F369" s="31"/>
      <c r="G369" s="31"/>
      <c r="H369" s="93"/>
      <c r="I369" s="31"/>
      <c r="J369" s="31"/>
      <c r="K369" s="31"/>
      <c r="L369" s="42"/>
      <c r="M369" s="31"/>
      <c r="N369" s="31"/>
      <c r="O369" s="42"/>
      <c r="P369" s="92"/>
      <c r="Q369" s="42"/>
      <c r="R369" s="46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x14ac:dyDescent="0.2">
      <c r="A370" s="5"/>
      <c r="B370" s="31"/>
      <c r="C370" s="31"/>
      <c r="D370" s="31"/>
      <c r="E370" s="31"/>
      <c r="F370" s="31"/>
      <c r="G370" s="31"/>
      <c r="H370" s="93"/>
      <c r="I370" s="31"/>
      <c r="J370" s="31"/>
      <c r="K370" s="31"/>
      <c r="L370" s="42"/>
      <c r="M370" s="31"/>
      <c r="N370" s="31"/>
      <c r="O370" s="42"/>
      <c r="P370" s="92"/>
      <c r="Q370" s="42"/>
      <c r="R370" s="46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x14ac:dyDescent="0.2">
      <c r="A371" s="5"/>
      <c r="B371" s="31"/>
      <c r="C371" s="31"/>
      <c r="D371" s="31"/>
      <c r="E371" s="31"/>
      <c r="F371" s="31"/>
      <c r="G371" s="31"/>
      <c r="H371" s="93"/>
      <c r="I371" s="31"/>
      <c r="J371" s="31"/>
      <c r="K371" s="31"/>
      <c r="L371" s="42"/>
      <c r="M371" s="31"/>
      <c r="N371" s="31"/>
      <c r="O371" s="42"/>
      <c r="P371" s="92"/>
      <c r="Q371" s="42"/>
      <c r="R371" s="46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x14ac:dyDescent="0.2">
      <c r="A372" s="5"/>
      <c r="B372" s="31"/>
      <c r="C372" s="31"/>
      <c r="D372" s="31"/>
      <c r="E372" s="31"/>
      <c r="F372" s="31"/>
      <c r="G372" s="31"/>
      <c r="H372" s="93"/>
      <c r="I372" s="31"/>
      <c r="J372" s="31"/>
      <c r="K372" s="31"/>
      <c r="L372" s="42"/>
      <c r="M372" s="31"/>
      <c r="N372" s="31"/>
      <c r="O372" s="42"/>
      <c r="P372" s="92"/>
      <c r="Q372" s="42"/>
      <c r="R372" s="46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x14ac:dyDescent="0.2">
      <c r="A373" s="5"/>
      <c r="B373" s="31"/>
      <c r="C373" s="31"/>
      <c r="D373" s="31"/>
      <c r="E373" s="31"/>
      <c r="F373" s="31"/>
      <c r="G373" s="31"/>
      <c r="H373" s="93"/>
      <c r="I373" s="31"/>
      <c r="J373" s="31"/>
      <c r="K373" s="31"/>
      <c r="L373" s="42"/>
      <c r="M373" s="31"/>
      <c r="N373" s="31"/>
      <c r="O373" s="42"/>
      <c r="P373" s="92"/>
      <c r="Q373" s="42"/>
      <c r="R373" s="46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x14ac:dyDescent="0.2">
      <c r="A374" s="5"/>
      <c r="B374" s="31"/>
      <c r="C374" s="31"/>
      <c r="D374" s="31"/>
      <c r="E374" s="31"/>
      <c r="F374" s="31"/>
      <c r="G374" s="31"/>
      <c r="H374" s="93"/>
      <c r="I374" s="31"/>
      <c r="J374" s="31"/>
      <c r="K374" s="31"/>
      <c r="L374" s="42"/>
      <c r="M374" s="31"/>
      <c r="N374" s="31"/>
      <c r="O374" s="42"/>
      <c r="P374" s="92"/>
      <c r="Q374" s="42"/>
      <c r="R374" s="46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x14ac:dyDescent="0.2">
      <c r="A375" s="5"/>
      <c r="B375" s="31"/>
      <c r="C375" s="31"/>
      <c r="D375" s="31"/>
      <c r="E375" s="31"/>
      <c r="F375" s="31"/>
      <c r="G375" s="31"/>
      <c r="H375" s="93"/>
      <c r="I375" s="31"/>
      <c r="J375" s="31"/>
      <c r="K375" s="31"/>
      <c r="L375" s="42"/>
      <c r="M375" s="31"/>
      <c r="N375" s="31"/>
      <c r="O375" s="42"/>
      <c r="P375" s="92"/>
      <c r="Q375" s="42"/>
      <c r="R375" s="46"/>
      <c r="S375" s="31"/>
      <c r="T375" s="31"/>
      <c r="U375" s="31"/>
      <c r="V375" s="31"/>
      <c r="W375" s="31"/>
      <c r="X375" s="31"/>
      <c r="Y375" s="31"/>
      <c r="Z375" s="31"/>
      <c r="AA375" s="31"/>
    </row>
    <row r="376" spans="1:27" x14ac:dyDescent="0.2">
      <c r="A376" s="5"/>
      <c r="B376" s="31"/>
      <c r="C376" s="31"/>
      <c r="D376" s="31"/>
      <c r="E376" s="31"/>
      <c r="F376" s="31"/>
      <c r="G376" s="31"/>
      <c r="H376" s="93"/>
      <c r="I376" s="31"/>
      <c r="J376" s="31"/>
      <c r="K376" s="31"/>
      <c r="L376" s="42"/>
      <c r="M376" s="31"/>
      <c r="N376" s="31"/>
      <c r="O376" s="42"/>
      <c r="P376" s="92"/>
      <c r="Q376" s="42"/>
      <c r="R376" s="46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x14ac:dyDescent="0.2">
      <c r="A377" s="5"/>
      <c r="B377" s="31"/>
      <c r="C377" s="31"/>
      <c r="D377" s="31"/>
      <c r="E377" s="31"/>
      <c r="F377" s="31"/>
      <c r="G377" s="31"/>
      <c r="H377" s="93"/>
      <c r="I377" s="31"/>
      <c r="J377" s="31"/>
      <c r="K377" s="31"/>
      <c r="L377" s="42"/>
      <c r="M377" s="31"/>
      <c r="N377" s="31"/>
      <c r="O377" s="42"/>
      <c r="P377" s="92"/>
      <c r="Q377" s="42"/>
      <c r="R377" s="46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x14ac:dyDescent="0.2">
      <c r="A378" s="5"/>
      <c r="B378" s="31"/>
      <c r="C378" s="31"/>
      <c r="D378" s="31"/>
      <c r="E378" s="31"/>
      <c r="F378" s="31"/>
      <c r="G378" s="31"/>
      <c r="H378" s="93"/>
      <c r="I378" s="31"/>
      <c r="J378" s="31"/>
      <c r="K378" s="31"/>
      <c r="L378" s="42"/>
      <c r="M378" s="31"/>
      <c r="N378" s="31"/>
      <c r="O378" s="42"/>
      <c r="P378" s="92"/>
      <c r="Q378" s="42"/>
      <c r="R378" s="46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x14ac:dyDescent="0.2">
      <c r="A379" s="5"/>
      <c r="B379" s="31"/>
      <c r="C379" s="31"/>
      <c r="D379" s="31"/>
      <c r="E379" s="31"/>
      <c r="F379" s="31"/>
      <c r="G379" s="31"/>
      <c r="H379" s="93"/>
      <c r="I379" s="31"/>
      <c r="J379" s="31"/>
      <c r="K379" s="31"/>
      <c r="L379" s="42"/>
      <c r="M379" s="31"/>
      <c r="N379" s="31"/>
      <c r="O379" s="42"/>
      <c r="P379" s="92"/>
      <c r="Q379" s="42"/>
      <c r="R379" s="46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x14ac:dyDescent="0.2">
      <c r="A380" s="5"/>
      <c r="B380" s="31"/>
      <c r="C380" s="31"/>
      <c r="D380" s="31"/>
      <c r="E380" s="31"/>
      <c r="F380" s="31"/>
      <c r="G380" s="31"/>
      <c r="H380" s="93"/>
      <c r="I380" s="31"/>
      <c r="J380" s="31"/>
      <c r="K380" s="31"/>
      <c r="L380" s="42"/>
      <c r="M380" s="31"/>
      <c r="N380" s="31"/>
      <c r="O380" s="42"/>
      <c r="P380" s="92"/>
      <c r="Q380" s="42"/>
      <c r="R380" s="46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x14ac:dyDescent="0.2">
      <c r="A381" s="5"/>
      <c r="B381" s="31"/>
      <c r="C381" s="31"/>
      <c r="D381" s="31"/>
      <c r="E381" s="31"/>
      <c r="F381" s="31"/>
      <c r="G381" s="31"/>
      <c r="H381" s="93"/>
      <c r="I381" s="31"/>
      <c r="J381" s="31"/>
      <c r="K381" s="31"/>
      <c r="L381" s="42"/>
      <c r="M381" s="31"/>
      <c r="N381" s="31"/>
      <c r="O381" s="42"/>
      <c r="P381" s="92"/>
      <c r="Q381" s="42"/>
      <c r="R381" s="46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x14ac:dyDescent="0.2">
      <c r="A382" s="5"/>
      <c r="B382" s="31"/>
      <c r="C382" s="31"/>
      <c r="D382" s="31"/>
      <c r="E382" s="31"/>
      <c r="F382" s="31"/>
      <c r="G382" s="31"/>
      <c r="H382" s="93"/>
      <c r="I382" s="31"/>
      <c r="J382" s="31"/>
      <c r="K382" s="31"/>
      <c r="L382" s="42"/>
      <c r="M382" s="31"/>
      <c r="N382" s="31"/>
      <c r="O382" s="42"/>
      <c r="P382" s="92"/>
      <c r="Q382" s="42"/>
      <c r="R382" s="46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x14ac:dyDescent="0.2">
      <c r="A383" s="5"/>
      <c r="B383" s="31"/>
      <c r="C383" s="31"/>
      <c r="D383" s="31"/>
      <c r="E383" s="31"/>
      <c r="F383" s="31"/>
      <c r="G383" s="31"/>
      <c r="H383" s="93"/>
      <c r="I383" s="31"/>
      <c r="J383" s="31"/>
      <c r="K383" s="31"/>
      <c r="L383" s="42"/>
      <c r="M383" s="31"/>
      <c r="N383" s="31"/>
      <c r="O383" s="42"/>
      <c r="P383" s="92"/>
      <c r="Q383" s="42"/>
      <c r="R383" s="46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x14ac:dyDescent="0.2">
      <c r="A384" s="5"/>
      <c r="B384" s="31"/>
      <c r="C384" s="31"/>
      <c r="D384" s="31"/>
      <c r="E384" s="31"/>
      <c r="F384" s="31"/>
      <c r="G384" s="31"/>
      <c r="H384" s="93"/>
      <c r="I384" s="31"/>
      <c r="J384" s="31"/>
      <c r="K384" s="31"/>
      <c r="L384" s="42"/>
      <c r="M384" s="31"/>
      <c r="N384" s="31"/>
      <c r="O384" s="42"/>
      <c r="P384" s="92"/>
      <c r="Q384" s="42"/>
      <c r="R384" s="46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x14ac:dyDescent="0.2">
      <c r="A385" s="5"/>
      <c r="B385" s="31"/>
      <c r="C385" s="31"/>
      <c r="D385" s="31"/>
      <c r="E385" s="31"/>
      <c r="F385" s="31"/>
      <c r="G385" s="31"/>
      <c r="H385" s="93"/>
      <c r="I385" s="31"/>
      <c r="J385" s="31"/>
      <c r="K385" s="31"/>
      <c r="L385" s="42"/>
      <c r="M385" s="31"/>
      <c r="N385" s="31"/>
      <c r="O385" s="42"/>
      <c r="P385" s="92"/>
      <c r="Q385" s="42"/>
      <c r="R385" s="46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x14ac:dyDescent="0.2">
      <c r="A386" s="5"/>
      <c r="B386" s="31"/>
      <c r="C386" s="31"/>
      <c r="D386" s="31"/>
      <c r="E386" s="31"/>
      <c r="F386" s="31"/>
      <c r="G386" s="31"/>
      <c r="H386" s="93"/>
      <c r="I386" s="31"/>
      <c r="J386" s="31"/>
      <c r="K386" s="31"/>
      <c r="L386" s="42"/>
      <c r="M386" s="31"/>
      <c r="N386" s="31"/>
      <c r="O386" s="42"/>
      <c r="P386" s="92"/>
      <c r="Q386" s="42"/>
      <c r="R386" s="46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x14ac:dyDescent="0.2">
      <c r="A387" s="5"/>
      <c r="B387" s="31"/>
      <c r="C387" s="31"/>
      <c r="D387" s="31"/>
      <c r="E387" s="31"/>
      <c r="F387" s="31"/>
      <c r="G387" s="31"/>
      <c r="H387" s="93"/>
      <c r="I387" s="31"/>
      <c r="J387" s="31"/>
      <c r="K387" s="31"/>
      <c r="L387" s="42"/>
      <c r="M387" s="31"/>
      <c r="N387" s="31"/>
      <c r="O387" s="42"/>
      <c r="P387" s="92"/>
      <c r="Q387" s="42"/>
      <c r="R387" s="46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x14ac:dyDescent="0.2">
      <c r="A388" s="5"/>
      <c r="B388" s="31"/>
      <c r="C388" s="31"/>
      <c r="D388" s="31"/>
      <c r="E388" s="31"/>
      <c r="F388" s="31"/>
      <c r="G388" s="31"/>
      <c r="H388" s="93"/>
      <c r="I388" s="31"/>
      <c r="J388" s="31"/>
      <c r="K388" s="31"/>
      <c r="L388" s="42"/>
      <c r="M388" s="31"/>
      <c r="N388" s="31"/>
      <c r="O388" s="42"/>
      <c r="P388" s="92"/>
      <c r="Q388" s="42"/>
      <c r="R388" s="46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x14ac:dyDescent="0.2">
      <c r="A389" s="5"/>
      <c r="B389" s="31"/>
      <c r="C389" s="31"/>
      <c r="D389" s="31"/>
      <c r="E389" s="31"/>
      <c r="F389" s="31"/>
      <c r="G389" s="31"/>
      <c r="H389" s="93"/>
      <c r="I389" s="31"/>
      <c r="J389" s="31"/>
      <c r="K389" s="31"/>
      <c r="L389" s="42"/>
      <c r="M389" s="31"/>
      <c r="N389" s="31"/>
      <c r="O389" s="42"/>
      <c r="P389" s="92"/>
      <c r="Q389" s="42"/>
      <c r="R389" s="46"/>
      <c r="S389" s="31"/>
      <c r="T389" s="31"/>
      <c r="U389" s="31"/>
      <c r="V389" s="31"/>
      <c r="W389" s="31"/>
      <c r="X389" s="31"/>
      <c r="Y389" s="31"/>
      <c r="Z389" s="31"/>
      <c r="AA389" s="31"/>
    </row>
    <row r="390" spans="1:27" x14ac:dyDescent="0.2">
      <c r="A390" s="5"/>
      <c r="B390" s="31"/>
      <c r="C390" s="31"/>
      <c r="D390" s="31"/>
      <c r="E390" s="31"/>
      <c r="F390" s="31"/>
      <c r="G390" s="31"/>
      <c r="H390" s="93"/>
      <c r="I390" s="31"/>
      <c r="J390" s="31"/>
      <c r="K390" s="31"/>
      <c r="L390" s="42"/>
      <c r="M390" s="31"/>
      <c r="N390" s="31"/>
      <c r="O390" s="42"/>
      <c r="P390" s="92"/>
      <c r="Q390" s="42"/>
      <c r="R390" s="46"/>
      <c r="S390" s="31"/>
      <c r="T390" s="31"/>
      <c r="U390" s="31"/>
      <c r="V390" s="31"/>
      <c r="W390" s="31"/>
      <c r="X390" s="31"/>
      <c r="Y390" s="31"/>
      <c r="Z390" s="31"/>
      <c r="AA390" s="31"/>
    </row>
    <row r="391" spans="1:27" x14ac:dyDescent="0.2">
      <c r="A391" s="5"/>
      <c r="B391" s="31"/>
      <c r="C391" s="31"/>
      <c r="D391" s="31"/>
      <c r="E391" s="31"/>
      <c r="F391" s="31"/>
      <c r="G391" s="31"/>
      <c r="H391" s="93"/>
      <c r="I391" s="31"/>
      <c r="J391" s="31"/>
      <c r="K391" s="31"/>
      <c r="L391" s="42"/>
      <c r="M391" s="31"/>
      <c r="N391" s="31"/>
      <c r="O391" s="42"/>
      <c r="P391" s="92"/>
      <c r="Q391" s="42"/>
      <c r="R391" s="46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x14ac:dyDescent="0.2">
      <c r="A392" s="5"/>
      <c r="B392" s="31"/>
      <c r="C392" s="31"/>
      <c r="D392" s="31"/>
      <c r="E392" s="31"/>
      <c r="F392" s="31"/>
      <c r="G392" s="31"/>
      <c r="H392" s="93"/>
      <c r="I392" s="31"/>
      <c r="J392" s="31"/>
      <c r="K392" s="31"/>
      <c r="L392" s="42"/>
      <c r="M392" s="31"/>
      <c r="N392" s="31"/>
      <c r="O392" s="42"/>
      <c r="P392" s="92"/>
      <c r="Q392" s="42"/>
      <c r="R392" s="46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x14ac:dyDescent="0.2">
      <c r="A393" s="5"/>
      <c r="B393" s="31"/>
      <c r="C393" s="31"/>
      <c r="D393" s="31"/>
      <c r="E393" s="31"/>
      <c r="F393" s="31"/>
      <c r="G393" s="31"/>
      <c r="H393" s="93"/>
      <c r="I393" s="31"/>
      <c r="J393" s="31"/>
      <c r="K393" s="31"/>
      <c r="L393" s="42"/>
      <c r="M393" s="31"/>
      <c r="N393" s="31"/>
      <c r="O393" s="42"/>
      <c r="P393" s="92"/>
      <c r="Q393" s="42"/>
      <c r="R393" s="46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x14ac:dyDescent="0.2">
      <c r="A394" s="5"/>
      <c r="B394" s="31"/>
      <c r="C394" s="31"/>
      <c r="D394" s="31"/>
      <c r="E394" s="31"/>
      <c r="F394" s="31"/>
      <c r="G394" s="31"/>
      <c r="H394" s="93"/>
      <c r="I394" s="31"/>
      <c r="J394" s="31"/>
      <c r="K394" s="31"/>
      <c r="L394" s="42"/>
      <c r="M394" s="31"/>
      <c r="N394" s="31"/>
      <c r="O394" s="42"/>
      <c r="P394" s="92"/>
      <c r="Q394" s="42"/>
      <c r="R394" s="46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x14ac:dyDescent="0.2">
      <c r="A395" s="5"/>
      <c r="B395" s="31"/>
      <c r="C395" s="31"/>
      <c r="D395" s="31"/>
      <c r="E395" s="31"/>
      <c r="F395" s="31"/>
      <c r="G395" s="31"/>
      <c r="H395" s="93"/>
      <c r="I395" s="31"/>
      <c r="J395" s="31"/>
      <c r="K395" s="31"/>
      <c r="L395" s="42"/>
      <c r="M395" s="31"/>
      <c r="N395" s="31"/>
      <c r="O395" s="42"/>
      <c r="P395" s="92"/>
      <c r="Q395" s="42"/>
      <c r="R395" s="46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x14ac:dyDescent="0.2">
      <c r="A396" s="5"/>
      <c r="B396" s="31"/>
      <c r="C396" s="31"/>
      <c r="D396" s="31"/>
      <c r="E396" s="31"/>
      <c r="F396" s="31"/>
      <c r="G396" s="31"/>
      <c r="H396" s="93"/>
      <c r="I396" s="31"/>
      <c r="J396" s="31"/>
      <c r="K396" s="31"/>
      <c r="L396" s="42"/>
      <c r="M396" s="31"/>
      <c r="N396" s="31"/>
      <c r="O396" s="42"/>
      <c r="P396" s="92"/>
      <c r="Q396" s="42"/>
      <c r="R396" s="46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x14ac:dyDescent="0.2">
      <c r="A397" s="5"/>
      <c r="B397" s="31"/>
      <c r="C397" s="31"/>
      <c r="D397" s="31"/>
      <c r="E397" s="31"/>
      <c r="F397" s="31"/>
      <c r="G397" s="31"/>
      <c r="H397" s="93"/>
      <c r="I397" s="31"/>
      <c r="J397" s="31"/>
      <c r="K397" s="31"/>
      <c r="L397" s="42"/>
      <c r="M397" s="31"/>
      <c r="N397" s="31"/>
      <c r="O397" s="42"/>
      <c r="P397" s="92"/>
      <c r="Q397" s="42"/>
      <c r="R397" s="46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x14ac:dyDescent="0.2">
      <c r="A398" s="5"/>
      <c r="B398" s="31"/>
      <c r="C398" s="31"/>
      <c r="D398" s="31"/>
      <c r="E398" s="31"/>
      <c r="F398" s="31"/>
      <c r="G398" s="31"/>
      <c r="H398" s="93"/>
      <c r="I398" s="31"/>
      <c r="J398" s="31"/>
      <c r="K398" s="31"/>
      <c r="L398" s="42"/>
      <c r="M398" s="31"/>
      <c r="N398" s="31"/>
      <c r="O398" s="42"/>
      <c r="P398" s="92"/>
      <c r="Q398" s="42"/>
      <c r="R398" s="46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x14ac:dyDescent="0.2">
      <c r="A399" s="5"/>
      <c r="B399" s="31"/>
      <c r="C399" s="31"/>
      <c r="D399" s="31"/>
      <c r="E399" s="31"/>
      <c r="F399" s="31"/>
      <c r="G399" s="31"/>
      <c r="H399" s="93"/>
      <c r="I399" s="31"/>
      <c r="J399" s="31"/>
      <c r="K399" s="31"/>
      <c r="L399" s="42"/>
      <c r="M399" s="31"/>
      <c r="N399" s="31"/>
      <c r="O399" s="42"/>
      <c r="P399" s="92"/>
      <c r="Q399" s="42"/>
      <c r="R399" s="46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x14ac:dyDescent="0.2">
      <c r="A400" s="5"/>
      <c r="B400" s="31"/>
      <c r="C400" s="31"/>
      <c r="D400" s="31"/>
      <c r="E400" s="31"/>
      <c r="F400" s="31"/>
      <c r="G400" s="31"/>
      <c r="H400" s="93"/>
      <c r="I400" s="31"/>
      <c r="J400" s="31"/>
      <c r="K400" s="31"/>
      <c r="L400" s="42"/>
      <c r="M400" s="31"/>
      <c r="N400" s="31"/>
      <c r="O400" s="42"/>
      <c r="P400" s="92"/>
      <c r="Q400" s="42"/>
      <c r="R400" s="46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x14ac:dyDescent="0.2">
      <c r="A401" s="5"/>
      <c r="B401" s="31"/>
      <c r="C401" s="31"/>
      <c r="D401" s="31"/>
      <c r="E401" s="31"/>
      <c r="F401" s="31"/>
      <c r="G401" s="31"/>
      <c r="H401" s="93"/>
      <c r="I401" s="31"/>
      <c r="J401" s="31"/>
      <c r="K401" s="31"/>
      <c r="L401" s="42"/>
      <c r="M401" s="31"/>
      <c r="N401" s="31"/>
      <c r="O401" s="42"/>
      <c r="P401" s="92"/>
      <c r="Q401" s="42"/>
      <c r="R401" s="46"/>
      <c r="S401" s="31"/>
      <c r="T401" s="31"/>
      <c r="U401" s="31"/>
      <c r="V401" s="31"/>
      <c r="W401" s="31"/>
      <c r="X401" s="31"/>
      <c r="Y401" s="31"/>
      <c r="Z401" s="31"/>
      <c r="AA401" s="31"/>
    </row>
    <row r="402" spans="1:27" x14ac:dyDescent="0.2">
      <c r="A402" s="5"/>
      <c r="B402" s="31"/>
      <c r="C402" s="31"/>
      <c r="D402" s="31"/>
      <c r="E402" s="31"/>
      <c r="F402" s="31"/>
      <c r="G402" s="31"/>
      <c r="H402" s="93"/>
      <c r="I402" s="31"/>
      <c r="J402" s="31"/>
      <c r="K402" s="31"/>
      <c r="L402" s="42"/>
      <c r="M402" s="31"/>
      <c r="N402" s="31"/>
      <c r="O402" s="42"/>
      <c r="P402" s="92"/>
      <c r="Q402" s="42"/>
      <c r="R402" s="46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x14ac:dyDescent="0.2">
      <c r="A403" s="5"/>
      <c r="B403" s="31"/>
      <c r="C403" s="31"/>
      <c r="D403" s="31"/>
      <c r="E403" s="31"/>
      <c r="F403" s="31"/>
      <c r="G403" s="31"/>
      <c r="H403" s="93"/>
      <c r="I403" s="31"/>
      <c r="J403" s="31"/>
      <c r="K403" s="31"/>
      <c r="L403" s="42"/>
      <c r="M403" s="31"/>
      <c r="N403" s="31"/>
      <c r="O403" s="42"/>
      <c r="P403" s="92"/>
      <c r="Q403" s="42"/>
      <c r="R403" s="46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x14ac:dyDescent="0.2">
      <c r="A404" s="5"/>
      <c r="B404" s="31"/>
      <c r="C404" s="31"/>
      <c r="D404" s="31"/>
      <c r="E404" s="31"/>
      <c r="F404" s="31"/>
      <c r="G404" s="31"/>
      <c r="H404" s="93"/>
      <c r="I404" s="31"/>
      <c r="J404" s="31"/>
      <c r="K404" s="31"/>
      <c r="L404" s="42"/>
      <c r="M404" s="31"/>
      <c r="N404" s="31"/>
      <c r="O404" s="42"/>
      <c r="P404" s="92"/>
      <c r="Q404" s="42"/>
      <c r="R404" s="46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x14ac:dyDescent="0.2">
      <c r="A405" s="5"/>
      <c r="B405" s="31"/>
      <c r="C405" s="31"/>
      <c r="D405" s="31"/>
      <c r="E405" s="31"/>
      <c r="F405" s="31"/>
      <c r="G405" s="31"/>
      <c r="H405" s="93"/>
      <c r="I405" s="31"/>
      <c r="J405" s="31"/>
      <c r="K405" s="31"/>
      <c r="L405" s="42"/>
      <c r="M405" s="31"/>
      <c r="N405" s="31"/>
      <c r="O405" s="42"/>
      <c r="P405" s="92"/>
      <c r="Q405" s="42"/>
      <c r="R405" s="46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x14ac:dyDescent="0.2">
      <c r="A406" s="5"/>
      <c r="B406" s="31"/>
      <c r="C406" s="31"/>
      <c r="D406" s="31"/>
      <c r="E406" s="31"/>
      <c r="F406" s="31"/>
      <c r="G406" s="31"/>
      <c r="H406" s="93"/>
      <c r="I406" s="31"/>
      <c r="J406" s="31"/>
      <c r="K406" s="31"/>
      <c r="L406" s="42"/>
      <c r="M406" s="31"/>
      <c r="N406" s="31"/>
      <c r="O406" s="42"/>
      <c r="P406" s="92"/>
      <c r="Q406" s="42"/>
      <c r="R406" s="46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x14ac:dyDescent="0.2">
      <c r="A407" s="5"/>
      <c r="B407" s="31"/>
      <c r="C407" s="31"/>
      <c r="D407" s="31"/>
      <c r="E407" s="31"/>
      <c r="F407" s="31"/>
      <c r="G407" s="31"/>
      <c r="H407" s="93"/>
      <c r="I407" s="31"/>
      <c r="J407" s="31"/>
      <c r="K407" s="31"/>
      <c r="L407" s="42"/>
      <c r="M407" s="31"/>
      <c r="N407" s="31"/>
      <c r="O407" s="42"/>
      <c r="P407" s="92"/>
      <c r="Q407" s="42"/>
      <c r="R407" s="46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x14ac:dyDescent="0.2">
      <c r="A408" s="5"/>
      <c r="B408" s="31"/>
      <c r="C408" s="31"/>
      <c r="D408" s="31"/>
      <c r="E408" s="31"/>
      <c r="F408" s="31"/>
      <c r="G408" s="31"/>
      <c r="H408" s="93"/>
      <c r="I408" s="31"/>
      <c r="J408" s="31"/>
      <c r="K408" s="31"/>
      <c r="L408" s="42"/>
      <c r="M408" s="31"/>
      <c r="N408" s="31"/>
      <c r="O408" s="42"/>
      <c r="P408" s="92"/>
      <c r="Q408" s="42"/>
      <c r="R408" s="46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x14ac:dyDescent="0.2">
      <c r="A409" s="5"/>
      <c r="B409" s="31"/>
      <c r="C409" s="31"/>
      <c r="D409" s="31"/>
      <c r="E409" s="31"/>
      <c r="F409" s="31"/>
      <c r="G409" s="31"/>
      <c r="H409" s="93"/>
      <c r="I409" s="31"/>
      <c r="J409" s="31"/>
      <c r="K409" s="31"/>
      <c r="L409" s="42"/>
      <c r="M409" s="31"/>
      <c r="N409" s="31"/>
      <c r="O409" s="42"/>
      <c r="P409" s="92"/>
      <c r="Q409" s="42"/>
      <c r="R409" s="46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x14ac:dyDescent="0.2">
      <c r="A410" s="5"/>
      <c r="B410" s="31"/>
      <c r="C410" s="31"/>
      <c r="D410" s="31"/>
      <c r="E410" s="31"/>
      <c r="F410" s="31"/>
      <c r="G410" s="31"/>
      <c r="H410" s="93"/>
      <c r="I410" s="31"/>
      <c r="J410" s="31"/>
      <c r="K410" s="31"/>
      <c r="L410" s="42"/>
      <c r="M410" s="31"/>
      <c r="N410" s="31"/>
      <c r="O410" s="42"/>
      <c r="P410" s="92"/>
      <c r="Q410" s="42"/>
      <c r="R410" s="46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x14ac:dyDescent="0.2">
      <c r="A411" s="5"/>
      <c r="B411" s="31"/>
      <c r="C411" s="31"/>
      <c r="D411" s="31"/>
      <c r="E411" s="31"/>
      <c r="F411" s="31"/>
      <c r="G411" s="31"/>
      <c r="H411" s="93"/>
      <c r="I411" s="31"/>
      <c r="J411" s="31"/>
      <c r="K411" s="31"/>
      <c r="L411" s="42"/>
      <c r="M411" s="31"/>
      <c r="N411" s="31"/>
      <c r="O411" s="42"/>
      <c r="P411" s="92"/>
      <c r="Q411" s="42"/>
      <c r="R411" s="46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x14ac:dyDescent="0.2">
      <c r="A412" s="5"/>
      <c r="B412" s="31"/>
      <c r="C412" s="31"/>
      <c r="D412" s="31"/>
      <c r="E412" s="31"/>
      <c r="F412" s="31"/>
      <c r="G412" s="31"/>
      <c r="H412" s="93"/>
      <c r="I412" s="31"/>
      <c r="J412" s="31"/>
      <c r="K412" s="31"/>
      <c r="L412" s="42"/>
      <c r="M412" s="31"/>
      <c r="N412" s="31"/>
      <c r="O412" s="42"/>
      <c r="P412" s="92"/>
      <c r="Q412" s="42"/>
      <c r="R412" s="46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x14ac:dyDescent="0.2">
      <c r="A413" s="5"/>
      <c r="B413" s="31"/>
      <c r="C413" s="31"/>
      <c r="D413" s="31"/>
      <c r="E413" s="31"/>
      <c r="F413" s="31"/>
      <c r="G413" s="31"/>
      <c r="H413" s="93"/>
      <c r="I413" s="31"/>
      <c r="J413" s="31"/>
      <c r="K413" s="31"/>
      <c r="L413" s="42"/>
      <c r="M413" s="31"/>
      <c r="N413" s="31"/>
      <c r="O413" s="42"/>
      <c r="P413" s="92"/>
      <c r="Q413" s="42"/>
      <c r="R413" s="46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x14ac:dyDescent="0.2">
      <c r="A414" s="5"/>
      <c r="B414" s="31"/>
      <c r="C414" s="31"/>
      <c r="D414" s="31"/>
      <c r="E414" s="31"/>
      <c r="F414" s="31"/>
      <c r="G414" s="31"/>
      <c r="H414" s="93"/>
      <c r="I414" s="31"/>
      <c r="J414" s="31"/>
      <c r="K414" s="31"/>
      <c r="L414" s="42"/>
      <c r="M414" s="31"/>
      <c r="N414" s="31"/>
      <c r="O414" s="42"/>
      <c r="P414" s="92"/>
      <c r="Q414" s="42"/>
      <c r="R414" s="46"/>
      <c r="S414" s="31"/>
      <c r="T414" s="31"/>
      <c r="U414" s="31"/>
      <c r="V414" s="31"/>
      <c r="W414" s="31"/>
      <c r="X414" s="31"/>
      <c r="Y414" s="31"/>
      <c r="Z414" s="31"/>
      <c r="AA414" s="31"/>
    </row>
    <row r="415" spans="1:27" x14ac:dyDescent="0.2">
      <c r="A415" s="5"/>
      <c r="B415" s="31"/>
      <c r="C415" s="31"/>
      <c r="D415" s="31"/>
      <c r="E415" s="31"/>
      <c r="F415" s="31"/>
      <c r="G415" s="31"/>
      <c r="H415" s="93"/>
      <c r="I415" s="31"/>
      <c r="J415" s="31"/>
      <c r="K415" s="31"/>
      <c r="L415" s="42"/>
      <c r="M415" s="31"/>
      <c r="N415" s="31"/>
      <c r="O415" s="42"/>
      <c r="P415" s="92"/>
      <c r="Q415" s="42"/>
      <c r="R415" s="46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x14ac:dyDescent="0.2">
      <c r="A416" s="5"/>
      <c r="B416" s="31"/>
      <c r="C416" s="31"/>
      <c r="D416" s="31"/>
      <c r="E416" s="31"/>
      <c r="F416" s="31"/>
      <c r="G416" s="31"/>
      <c r="H416" s="93"/>
      <c r="I416" s="31"/>
      <c r="J416" s="31"/>
      <c r="K416" s="31"/>
      <c r="L416" s="42"/>
      <c r="M416" s="31"/>
      <c r="N416" s="31"/>
      <c r="O416" s="42"/>
      <c r="P416" s="92"/>
      <c r="Q416" s="42"/>
      <c r="R416" s="46"/>
      <c r="S416" s="31"/>
      <c r="T416" s="31"/>
      <c r="U416" s="31"/>
      <c r="V416" s="31"/>
      <c r="W416" s="31"/>
      <c r="X416" s="31"/>
      <c r="Y416" s="31"/>
      <c r="Z416" s="31"/>
      <c r="AA416" s="31"/>
    </row>
    <row r="417" spans="1:27" x14ac:dyDescent="0.2">
      <c r="A417" s="5"/>
      <c r="B417" s="31"/>
      <c r="C417" s="31"/>
      <c r="D417" s="31"/>
      <c r="E417" s="31"/>
      <c r="F417" s="31"/>
      <c r="G417" s="31"/>
      <c r="H417" s="93"/>
      <c r="I417" s="31"/>
      <c r="J417" s="31"/>
      <c r="K417" s="31"/>
      <c r="L417" s="42"/>
      <c r="M417" s="31"/>
      <c r="N417" s="31"/>
      <c r="O417" s="42"/>
      <c r="P417" s="92"/>
      <c r="Q417" s="42"/>
      <c r="R417" s="46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x14ac:dyDescent="0.2">
      <c r="A418" s="5"/>
      <c r="B418" s="31"/>
      <c r="C418" s="31"/>
      <c r="D418" s="31"/>
      <c r="E418" s="31"/>
      <c r="F418" s="31"/>
      <c r="G418" s="31"/>
      <c r="H418" s="93"/>
      <c r="I418" s="31"/>
      <c r="J418" s="31"/>
      <c r="K418" s="31"/>
      <c r="L418" s="42"/>
      <c r="M418" s="31"/>
      <c r="N418" s="31"/>
      <c r="O418" s="42"/>
      <c r="P418" s="92"/>
      <c r="Q418" s="42"/>
      <c r="R418" s="46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x14ac:dyDescent="0.2">
      <c r="A419" s="5"/>
      <c r="B419" s="31"/>
      <c r="C419" s="31"/>
      <c r="D419" s="31"/>
      <c r="E419" s="31"/>
      <c r="F419" s="31"/>
      <c r="G419" s="31"/>
      <c r="H419" s="93"/>
      <c r="I419" s="31"/>
      <c r="J419" s="31"/>
      <c r="K419" s="31"/>
      <c r="L419" s="42"/>
      <c r="M419" s="31"/>
      <c r="N419" s="31"/>
      <c r="O419" s="42"/>
      <c r="P419" s="92"/>
      <c r="Q419" s="42"/>
      <c r="R419" s="46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x14ac:dyDescent="0.2">
      <c r="A420" s="5"/>
      <c r="B420" s="31"/>
      <c r="C420" s="31"/>
      <c r="D420" s="31"/>
      <c r="E420" s="31"/>
      <c r="F420" s="31"/>
      <c r="G420" s="31"/>
      <c r="H420" s="93"/>
      <c r="I420" s="31"/>
      <c r="J420" s="31"/>
      <c r="K420" s="31"/>
      <c r="L420" s="42"/>
      <c r="M420" s="31"/>
      <c r="N420" s="31"/>
      <c r="O420" s="42"/>
      <c r="P420" s="92"/>
      <c r="Q420" s="42"/>
      <c r="R420" s="46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x14ac:dyDescent="0.2">
      <c r="A421" s="5"/>
      <c r="B421" s="31"/>
      <c r="C421" s="31"/>
      <c r="D421" s="31"/>
      <c r="E421" s="31"/>
      <c r="F421" s="31"/>
      <c r="G421" s="31"/>
      <c r="H421" s="93"/>
      <c r="I421" s="31"/>
      <c r="J421" s="31"/>
      <c r="K421" s="31"/>
      <c r="L421" s="42"/>
      <c r="M421" s="31"/>
      <c r="N421" s="31"/>
      <c r="O421" s="42"/>
      <c r="P421" s="92"/>
      <c r="Q421" s="42"/>
      <c r="R421" s="46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x14ac:dyDescent="0.2">
      <c r="A422" s="5"/>
      <c r="B422" s="31"/>
      <c r="C422" s="31"/>
      <c r="D422" s="31"/>
      <c r="E422" s="31"/>
      <c r="F422" s="31"/>
      <c r="G422" s="31"/>
      <c r="H422" s="93"/>
      <c r="I422" s="31"/>
      <c r="J422" s="31"/>
      <c r="K422" s="31"/>
      <c r="L422" s="42"/>
      <c r="M422" s="31"/>
      <c r="N422" s="31"/>
      <c r="O422" s="42"/>
      <c r="P422" s="92"/>
      <c r="Q422" s="42"/>
      <c r="R422" s="46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x14ac:dyDescent="0.2">
      <c r="A423" s="5"/>
      <c r="B423" s="31"/>
      <c r="C423" s="31"/>
      <c r="D423" s="31"/>
      <c r="E423" s="31"/>
      <c r="F423" s="31"/>
      <c r="G423" s="31"/>
      <c r="H423" s="93"/>
      <c r="I423" s="31"/>
      <c r="J423" s="31"/>
      <c r="K423" s="31"/>
      <c r="L423" s="42"/>
      <c r="M423" s="31"/>
      <c r="N423" s="31"/>
      <c r="O423" s="42"/>
      <c r="P423" s="92"/>
      <c r="Q423" s="42"/>
      <c r="R423" s="46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x14ac:dyDescent="0.2">
      <c r="A424" s="5"/>
      <c r="B424" s="31"/>
      <c r="C424" s="31"/>
      <c r="D424" s="31"/>
      <c r="E424" s="31"/>
      <c r="F424" s="31"/>
      <c r="G424" s="31"/>
      <c r="H424" s="93"/>
      <c r="I424" s="31"/>
      <c r="J424" s="31"/>
      <c r="K424" s="31"/>
      <c r="L424" s="42"/>
      <c r="M424" s="31"/>
      <c r="N424" s="31"/>
      <c r="O424" s="42"/>
      <c r="P424" s="92"/>
      <c r="Q424" s="42"/>
      <c r="R424" s="46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x14ac:dyDescent="0.2">
      <c r="A425" s="5"/>
      <c r="B425" s="31"/>
      <c r="C425" s="31"/>
      <c r="D425" s="31"/>
      <c r="E425" s="31"/>
      <c r="F425" s="31"/>
      <c r="G425" s="31"/>
      <c r="H425" s="93"/>
      <c r="I425" s="31"/>
      <c r="J425" s="31"/>
      <c r="K425" s="31"/>
      <c r="L425" s="42"/>
      <c r="M425" s="31"/>
      <c r="N425" s="31"/>
      <c r="O425" s="42"/>
      <c r="P425" s="92"/>
      <c r="Q425" s="42"/>
      <c r="R425" s="46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x14ac:dyDescent="0.2">
      <c r="A426" s="5"/>
      <c r="B426" s="31"/>
      <c r="C426" s="31"/>
      <c r="D426" s="31"/>
      <c r="E426" s="31"/>
      <c r="F426" s="31"/>
      <c r="G426" s="31"/>
      <c r="H426" s="93"/>
      <c r="I426" s="31"/>
      <c r="J426" s="31"/>
      <c r="K426" s="31"/>
      <c r="L426" s="42"/>
      <c r="M426" s="31"/>
      <c r="N426" s="31"/>
      <c r="O426" s="42"/>
      <c r="P426" s="92"/>
      <c r="Q426" s="42"/>
      <c r="R426" s="46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x14ac:dyDescent="0.2">
      <c r="A427" s="5"/>
      <c r="B427" s="31"/>
      <c r="C427" s="31"/>
      <c r="D427" s="31"/>
      <c r="E427" s="31"/>
      <c r="F427" s="31"/>
      <c r="G427" s="31"/>
      <c r="H427" s="93"/>
      <c r="I427" s="31"/>
      <c r="J427" s="31"/>
      <c r="K427" s="31"/>
      <c r="L427" s="42"/>
      <c r="M427" s="31"/>
      <c r="N427" s="31"/>
      <c r="O427" s="42"/>
      <c r="P427" s="92"/>
      <c r="Q427" s="42"/>
      <c r="R427" s="46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x14ac:dyDescent="0.2">
      <c r="A428" s="5"/>
      <c r="B428" s="31"/>
      <c r="C428" s="31"/>
      <c r="D428" s="31"/>
      <c r="E428" s="31"/>
      <c r="F428" s="31"/>
      <c r="G428" s="31"/>
      <c r="H428" s="93"/>
      <c r="I428" s="31"/>
      <c r="J428" s="31"/>
      <c r="K428" s="31"/>
      <c r="L428" s="42"/>
      <c r="M428" s="31"/>
      <c r="N428" s="31"/>
      <c r="O428" s="42"/>
      <c r="P428" s="92"/>
      <c r="Q428" s="42"/>
      <c r="R428" s="46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x14ac:dyDescent="0.2">
      <c r="A429" s="5"/>
      <c r="B429" s="31"/>
      <c r="C429" s="31"/>
      <c r="D429" s="31"/>
      <c r="E429" s="31"/>
      <c r="F429" s="31"/>
      <c r="G429" s="31"/>
      <c r="H429" s="93"/>
      <c r="I429" s="31"/>
      <c r="J429" s="31"/>
      <c r="K429" s="31"/>
      <c r="L429" s="42"/>
      <c r="M429" s="31"/>
      <c r="N429" s="31"/>
      <c r="O429" s="42"/>
      <c r="P429" s="92"/>
      <c r="Q429" s="42"/>
      <c r="R429" s="46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x14ac:dyDescent="0.2">
      <c r="A430" s="5"/>
      <c r="B430" s="31"/>
      <c r="C430" s="31"/>
      <c r="D430" s="31"/>
      <c r="E430" s="31"/>
      <c r="F430" s="31"/>
      <c r="G430" s="31"/>
      <c r="H430" s="93"/>
      <c r="I430" s="31"/>
      <c r="J430" s="31"/>
      <c r="K430" s="31"/>
      <c r="L430" s="42"/>
      <c r="M430" s="31"/>
      <c r="N430" s="31"/>
      <c r="O430" s="42"/>
      <c r="P430" s="92"/>
      <c r="Q430" s="42"/>
      <c r="R430" s="46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x14ac:dyDescent="0.2">
      <c r="A431" s="5"/>
      <c r="B431" s="31"/>
      <c r="C431" s="31"/>
      <c r="D431" s="31"/>
      <c r="E431" s="31"/>
      <c r="F431" s="31"/>
      <c r="G431" s="31"/>
      <c r="H431" s="93"/>
      <c r="I431" s="31"/>
      <c r="J431" s="31"/>
      <c r="K431" s="31"/>
      <c r="L431" s="42"/>
      <c r="M431" s="31"/>
      <c r="N431" s="31"/>
      <c r="O431" s="42"/>
      <c r="P431" s="92"/>
      <c r="Q431" s="42"/>
      <c r="R431" s="46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x14ac:dyDescent="0.2">
      <c r="A432" s="5"/>
      <c r="B432" s="31"/>
      <c r="C432" s="31"/>
      <c r="D432" s="31"/>
      <c r="E432" s="31"/>
      <c r="F432" s="31"/>
      <c r="G432" s="31"/>
      <c r="H432" s="93"/>
      <c r="I432" s="31"/>
      <c r="J432" s="31"/>
      <c r="K432" s="31"/>
      <c r="L432" s="42"/>
      <c r="M432" s="31"/>
      <c r="N432" s="31"/>
      <c r="O432" s="42"/>
      <c r="P432" s="92"/>
      <c r="Q432" s="42"/>
      <c r="R432" s="46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x14ac:dyDescent="0.2">
      <c r="A433" s="5"/>
      <c r="B433" s="31"/>
      <c r="C433" s="31"/>
      <c r="D433" s="31"/>
      <c r="E433" s="31"/>
      <c r="F433" s="31"/>
      <c r="G433" s="31"/>
      <c r="H433" s="93"/>
      <c r="I433" s="31"/>
      <c r="J433" s="31"/>
      <c r="K433" s="31"/>
      <c r="L433" s="42"/>
      <c r="M433" s="31"/>
      <c r="N433" s="31"/>
      <c r="O433" s="42"/>
      <c r="P433" s="92"/>
      <c r="Q433" s="42"/>
      <c r="R433" s="46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x14ac:dyDescent="0.2">
      <c r="A434" s="5"/>
      <c r="B434" s="31"/>
      <c r="C434" s="31"/>
      <c r="D434" s="31"/>
      <c r="E434" s="31"/>
      <c r="F434" s="31"/>
      <c r="G434" s="31"/>
      <c r="H434" s="93"/>
      <c r="I434" s="31"/>
      <c r="J434" s="31"/>
      <c r="K434" s="31"/>
      <c r="L434" s="42"/>
      <c r="M434" s="31"/>
      <c r="N434" s="31"/>
      <c r="O434" s="42"/>
      <c r="P434" s="92"/>
      <c r="Q434" s="42"/>
      <c r="R434" s="46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x14ac:dyDescent="0.2">
      <c r="A435" s="5"/>
      <c r="B435" s="31"/>
      <c r="C435" s="31"/>
      <c r="D435" s="31"/>
      <c r="E435" s="31"/>
      <c r="F435" s="31"/>
      <c r="G435" s="31"/>
      <c r="H435" s="93"/>
      <c r="I435" s="31"/>
      <c r="J435" s="31"/>
      <c r="K435" s="31"/>
      <c r="L435" s="42"/>
      <c r="M435" s="31"/>
      <c r="N435" s="31"/>
      <c r="O435" s="42"/>
      <c r="P435" s="92"/>
      <c r="Q435" s="42"/>
      <c r="R435" s="46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x14ac:dyDescent="0.2">
      <c r="A436" s="5"/>
      <c r="B436" s="31"/>
      <c r="C436" s="31"/>
      <c r="D436" s="31"/>
      <c r="E436" s="31"/>
      <c r="F436" s="31"/>
      <c r="G436" s="31"/>
      <c r="H436" s="93"/>
      <c r="I436" s="31"/>
      <c r="J436" s="31"/>
      <c r="K436" s="31"/>
      <c r="L436" s="42"/>
      <c r="M436" s="31"/>
      <c r="N436" s="31"/>
      <c r="O436" s="42"/>
      <c r="P436" s="92"/>
      <c r="Q436" s="42"/>
      <c r="R436" s="46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x14ac:dyDescent="0.2">
      <c r="A437" s="5"/>
      <c r="B437" s="31"/>
      <c r="C437" s="31"/>
      <c r="D437" s="31"/>
      <c r="E437" s="31"/>
      <c r="F437" s="31"/>
      <c r="G437" s="31"/>
      <c r="H437" s="93"/>
      <c r="I437" s="31"/>
      <c r="J437" s="31"/>
      <c r="K437" s="31"/>
      <c r="L437" s="42"/>
      <c r="M437" s="31"/>
      <c r="N437" s="31"/>
      <c r="O437" s="42"/>
      <c r="P437" s="92"/>
      <c r="Q437" s="42"/>
      <c r="R437" s="46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x14ac:dyDescent="0.2">
      <c r="A438" s="5"/>
      <c r="B438" s="31"/>
      <c r="C438" s="31"/>
      <c r="D438" s="31"/>
      <c r="E438" s="31"/>
      <c r="F438" s="31"/>
      <c r="G438" s="31"/>
      <c r="H438" s="93"/>
      <c r="I438" s="31"/>
      <c r="J438" s="31"/>
      <c r="K438" s="31"/>
      <c r="L438" s="42"/>
      <c r="M438" s="31"/>
      <c r="N438" s="31"/>
      <c r="O438" s="42"/>
      <c r="P438" s="92"/>
      <c r="Q438" s="42"/>
      <c r="R438" s="46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x14ac:dyDescent="0.2">
      <c r="A439" s="5"/>
      <c r="B439" s="31"/>
      <c r="C439" s="31"/>
      <c r="D439" s="31"/>
      <c r="E439" s="31"/>
      <c r="F439" s="31"/>
      <c r="G439" s="31"/>
      <c r="H439" s="93"/>
      <c r="I439" s="31"/>
      <c r="J439" s="31"/>
      <c r="K439" s="31"/>
      <c r="L439" s="42"/>
      <c r="M439" s="31"/>
      <c r="N439" s="31"/>
      <c r="O439" s="42"/>
      <c r="P439" s="92"/>
      <c r="Q439" s="42"/>
      <c r="R439" s="46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x14ac:dyDescent="0.2">
      <c r="A440" s="5"/>
      <c r="B440" s="31"/>
      <c r="C440" s="31"/>
      <c r="D440" s="31"/>
      <c r="E440" s="31"/>
      <c r="F440" s="31"/>
      <c r="G440" s="31"/>
      <c r="H440" s="93"/>
      <c r="I440" s="31"/>
      <c r="J440" s="31"/>
      <c r="K440" s="31"/>
      <c r="L440" s="42"/>
      <c r="M440" s="31"/>
      <c r="N440" s="31"/>
      <c r="O440" s="42"/>
      <c r="P440" s="92"/>
      <c r="Q440" s="42"/>
      <c r="R440" s="46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x14ac:dyDescent="0.2">
      <c r="A441" s="5"/>
      <c r="B441" s="31"/>
      <c r="C441" s="31"/>
      <c r="D441" s="31"/>
      <c r="E441" s="31"/>
      <c r="F441" s="31"/>
      <c r="G441" s="31"/>
      <c r="H441" s="93"/>
      <c r="I441" s="31"/>
      <c r="J441" s="31"/>
      <c r="K441" s="31"/>
      <c r="L441" s="42"/>
      <c r="M441" s="31"/>
      <c r="N441" s="31"/>
      <c r="O441" s="42"/>
      <c r="P441" s="92"/>
      <c r="Q441" s="42"/>
      <c r="R441" s="46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x14ac:dyDescent="0.2">
      <c r="A442" s="5"/>
      <c r="B442" s="31"/>
      <c r="C442" s="31"/>
      <c r="D442" s="31"/>
      <c r="E442" s="31"/>
      <c r="F442" s="31"/>
      <c r="G442" s="31"/>
      <c r="H442" s="93"/>
      <c r="I442" s="31"/>
      <c r="J442" s="31"/>
      <c r="K442" s="31"/>
      <c r="L442" s="42"/>
      <c r="M442" s="31"/>
      <c r="N442" s="31"/>
      <c r="O442" s="42"/>
      <c r="P442" s="92"/>
      <c r="Q442" s="42"/>
      <c r="R442" s="46"/>
      <c r="S442" s="31"/>
      <c r="T442" s="31"/>
      <c r="U442" s="31"/>
      <c r="V442" s="31"/>
      <c r="W442" s="31"/>
      <c r="X442" s="31"/>
      <c r="Y442" s="31"/>
      <c r="Z442" s="31"/>
      <c r="AA442" s="31"/>
    </row>
    <row r="443" spans="1:27" x14ac:dyDescent="0.2">
      <c r="A443" s="5"/>
      <c r="B443" s="31"/>
      <c r="C443" s="31"/>
      <c r="D443" s="31"/>
      <c r="E443" s="31"/>
      <c r="F443" s="31"/>
      <c r="G443" s="31"/>
      <c r="H443" s="93"/>
      <c r="I443" s="31"/>
      <c r="J443" s="31"/>
      <c r="K443" s="31"/>
      <c r="L443" s="42"/>
      <c r="M443" s="31"/>
      <c r="N443" s="31"/>
      <c r="O443" s="42"/>
      <c r="P443" s="92"/>
      <c r="Q443" s="42"/>
      <c r="R443" s="46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x14ac:dyDescent="0.2">
      <c r="A444" s="5"/>
      <c r="B444" s="31"/>
      <c r="C444" s="31"/>
      <c r="D444" s="31"/>
      <c r="E444" s="31"/>
      <c r="F444" s="31"/>
      <c r="G444" s="31"/>
      <c r="H444" s="93"/>
      <c r="I444" s="31"/>
      <c r="J444" s="31"/>
      <c r="K444" s="31"/>
      <c r="L444" s="42"/>
      <c r="M444" s="31"/>
      <c r="N444" s="31"/>
      <c r="O444" s="42"/>
      <c r="P444" s="92"/>
      <c r="Q444" s="42"/>
      <c r="R444" s="46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x14ac:dyDescent="0.2">
      <c r="A445" s="5"/>
      <c r="B445" s="31"/>
      <c r="C445" s="31"/>
      <c r="D445" s="31"/>
      <c r="E445" s="31"/>
      <c r="F445" s="31"/>
      <c r="G445" s="31"/>
      <c r="H445" s="93"/>
      <c r="I445" s="31"/>
      <c r="J445" s="31"/>
      <c r="K445" s="31"/>
      <c r="L445" s="42"/>
      <c r="M445" s="31"/>
      <c r="N445" s="31"/>
      <c r="O445" s="42"/>
      <c r="P445" s="92"/>
      <c r="Q445" s="42"/>
      <c r="R445" s="46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x14ac:dyDescent="0.2">
      <c r="A446" s="5"/>
      <c r="B446" s="31"/>
      <c r="C446" s="31"/>
      <c r="D446" s="31"/>
      <c r="E446" s="31"/>
      <c r="F446" s="31"/>
      <c r="G446" s="31"/>
      <c r="H446" s="93"/>
      <c r="I446" s="31"/>
      <c r="J446" s="31"/>
      <c r="K446" s="31"/>
      <c r="L446" s="42"/>
      <c r="M446" s="31"/>
      <c r="N446" s="31"/>
      <c r="O446" s="42"/>
      <c r="P446" s="92"/>
      <c r="Q446" s="42"/>
      <c r="R446" s="46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x14ac:dyDescent="0.2">
      <c r="A447" s="5"/>
      <c r="B447" s="31"/>
      <c r="C447" s="31"/>
      <c r="D447" s="31"/>
      <c r="E447" s="31"/>
      <c r="F447" s="31"/>
      <c r="G447" s="31"/>
      <c r="H447" s="93"/>
      <c r="I447" s="31"/>
      <c r="J447" s="31"/>
      <c r="K447" s="31"/>
      <c r="L447" s="42"/>
      <c r="M447" s="31"/>
      <c r="N447" s="31"/>
      <c r="O447" s="42"/>
      <c r="P447" s="92"/>
      <c r="Q447" s="42"/>
      <c r="R447" s="46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x14ac:dyDescent="0.2">
      <c r="A448" s="5"/>
      <c r="B448" s="31"/>
      <c r="C448" s="31"/>
      <c r="D448" s="31"/>
      <c r="E448" s="31"/>
      <c r="F448" s="31"/>
      <c r="G448" s="31"/>
      <c r="H448" s="93"/>
      <c r="I448" s="31"/>
      <c r="J448" s="31"/>
      <c r="K448" s="31"/>
      <c r="L448" s="42"/>
      <c r="M448" s="31"/>
      <c r="N448" s="31"/>
      <c r="O448" s="42"/>
      <c r="P448" s="92"/>
      <c r="Q448" s="42"/>
      <c r="R448" s="46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x14ac:dyDescent="0.2">
      <c r="A449" s="5"/>
      <c r="B449" s="31"/>
      <c r="C449" s="31"/>
      <c r="D449" s="31"/>
      <c r="E449" s="31"/>
      <c r="F449" s="31"/>
      <c r="G449" s="31"/>
      <c r="H449" s="93"/>
      <c r="I449" s="31"/>
      <c r="J449" s="31"/>
      <c r="K449" s="31"/>
      <c r="L449" s="42"/>
      <c r="M449" s="31"/>
      <c r="N449" s="31"/>
      <c r="O449" s="42"/>
      <c r="P449" s="92"/>
      <c r="Q449" s="42"/>
      <c r="R449" s="46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x14ac:dyDescent="0.2">
      <c r="A450" s="5"/>
      <c r="B450" s="31"/>
      <c r="C450" s="31"/>
      <c r="D450" s="31"/>
      <c r="E450" s="31"/>
      <c r="F450" s="31"/>
      <c r="G450" s="31"/>
      <c r="H450" s="93"/>
      <c r="I450" s="31"/>
      <c r="J450" s="31"/>
      <c r="K450" s="31"/>
      <c r="L450" s="42"/>
      <c r="M450" s="31"/>
      <c r="N450" s="31"/>
      <c r="O450" s="42"/>
      <c r="P450" s="92"/>
      <c r="Q450" s="42"/>
      <c r="R450" s="46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x14ac:dyDescent="0.2">
      <c r="A451" s="5"/>
      <c r="B451" s="31"/>
      <c r="C451" s="31"/>
      <c r="D451" s="31"/>
      <c r="E451" s="31"/>
      <c r="F451" s="31"/>
      <c r="G451" s="31"/>
      <c r="H451" s="93"/>
      <c r="I451" s="31"/>
      <c r="J451" s="31"/>
      <c r="K451" s="31"/>
      <c r="L451" s="42"/>
      <c r="M451" s="31"/>
      <c r="N451" s="31"/>
      <c r="O451" s="42"/>
      <c r="P451" s="92"/>
      <c r="Q451" s="42"/>
      <c r="R451" s="46"/>
      <c r="S451" s="31"/>
      <c r="T451" s="31"/>
      <c r="U451" s="31"/>
      <c r="V451" s="31"/>
      <c r="W451" s="31"/>
      <c r="X451" s="31"/>
      <c r="Y451" s="31"/>
      <c r="Z451" s="31"/>
      <c r="AA451" s="31"/>
    </row>
    <row r="452" spans="1:27" x14ac:dyDescent="0.2">
      <c r="A452" s="5"/>
      <c r="B452" s="31"/>
      <c r="C452" s="31"/>
      <c r="D452" s="31"/>
      <c r="E452" s="31"/>
      <c r="F452" s="31"/>
      <c r="G452" s="31"/>
      <c r="H452" s="93"/>
      <c r="I452" s="31"/>
      <c r="J452" s="31"/>
      <c r="K452" s="31"/>
      <c r="L452" s="42"/>
      <c r="M452" s="31"/>
      <c r="N452" s="31"/>
      <c r="O452" s="42"/>
      <c r="P452" s="92"/>
      <c r="Q452" s="42"/>
      <c r="R452" s="46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x14ac:dyDescent="0.2">
      <c r="A453" s="5"/>
      <c r="B453" s="31"/>
      <c r="C453" s="31"/>
      <c r="D453" s="31"/>
      <c r="E453" s="31"/>
      <c r="F453" s="31"/>
      <c r="G453" s="31"/>
      <c r="H453" s="93"/>
      <c r="I453" s="31"/>
      <c r="J453" s="31"/>
      <c r="K453" s="31"/>
      <c r="L453" s="42"/>
      <c r="M453" s="31"/>
      <c r="N453" s="31"/>
      <c r="O453" s="42"/>
      <c r="P453" s="92"/>
      <c r="Q453" s="42"/>
      <c r="R453" s="46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x14ac:dyDescent="0.2">
      <c r="A454" s="5"/>
      <c r="B454" s="31"/>
      <c r="C454" s="31"/>
      <c r="D454" s="31"/>
      <c r="E454" s="31"/>
      <c r="F454" s="31"/>
      <c r="G454" s="31"/>
      <c r="H454" s="93"/>
      <c r="I454" s="31"/>
      <c r="J454" s="31"/>
      <c r="K454" s="31"/>
      <c r="L454" s="42"/>
      <c r="M454" s="31"/>
      <c r="N454" s="31"/>
      <c r="O454" s="42"/>
      <c r="P454" s="92"/>
      <c r="Q454" s="42"/>
      <c r="R454" s="46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x14ac:dyDescent="0.2">
      <c r="A455" s="5"/>
      <c r="B455" s="31"/>
      <c r="C455" s="31"/>
      <c r="D455" s="31"/>
      <c r="E455" s="31"/>
      <c r="F455" s="31"/>
      <c r="G455" s="31"/>
      <c r="H455" s="93"/>
      <c r="I455" s="31"/>
      <c r="J455" s="31"/>
      <c r="K455" s="31"/>
      <c r="L455" s="42"/>
      <c r="M455" s="31"/>
      <c r="N455" s="31"/>
      <c r="O455" s="42"/>
      <c r="P455" s="92"/>
      <c r="Q455" s="42"/>
      <c r="R455" s="46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x14ac:dyDescent="0.2">
      <c r="A456" s="5"/>
      <c r="B456" s="31"/>
      <c r="C456" s="31"/>
      <c r="D456" s="31"/>
      <c r="E456" s="31"/>
      <c r="F456" s="31"/>
      <c r="G456" s="31"/>
      <c r="H456" s="93"/>
      <c r="I456" s="31"/>
      <c r="J456" s="31"/>
      <c r="K456" s="31"/>
      <c r="L456" s="42"/>
      <c r="M456" s="31"/>
      <c r="N456" s="31"/>
      <c r="O456" s="42"/>
      <c r="P456" s="92"/>
      <c r="Q456" s="42"/>
      <c r="R456" s="46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x14ac:dyDescent="0.2">
      <c r="A457" s="5"/>
      <c r="B457" s="31"/>
      <c r="C457" s="31"/>
      <c r="D457" s="31"/>
      <c r="E457" s="31"/>
      <c r="F457" s="31"/>
      <c r="G457" s="31"/>
      <c r="H457" s="93"/>
      <c r="I457" s="31"/>
      <c r="J457" s="31"/>
      <c r="K457" s="31"/>
      <c r="L457" s="42"/>
      <c r="M457" s="31"/>
      <c r="N457" s="31"/>
      <c r="O457" s="42"/>
      <c r="P457" s="92"/>
      <c r="Q457" s="42"/>
      <c r="R457" s="46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x14ac:dyDescent="0.2">
      <c r="A458" s="5"/>
      <c r="B458" s="31"/>
      <c r="C458" s="31"/>
      <c r="D458" s="31"/>
      <c r="E458" s="31"/>
      <c r="F458" s="31"/>
      <c r="G458" s="31"/>
      <c r="H458" s="93"/>
      <c r="I458" s="31"/>
      <c r="J458" s="31"/>
      <c r="K458" s="31"/>
      <c r="L458" s="42"/>
      <c r="M458" s="31"/>
      <c r="N458" s="31"/>
      <c r="O458" s="42"/>
      <c r="P458" s="92"/>
      <c r="Q458" s="42"/>
      <c r="R458" s="46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x14ac:dyDescent="0.2">
      <c r="A459" s="5"/>
      <c r="B459" s="31"/>
      <c r="C459" s="31"/>
      <c r="D459" s="31"/>
      <c r="E459" s="31"/>
      <c r="F459" s="31"/>
      <c r="G459" s="31"/>
      <c r="H459" s="93"/>
      <c r="I459" s="31"/>
      <c r="J459" s="31"/>
      <c r="K459" s="31"/>
      <c r="L459" s="42"/>
      <c r="M459" s="31"/>
      <c r="N459" s="31"/>
      <c r="O459" s="42"/>
      <c r="P459" s="92"/>
      <c r="Q459" s="42"/>
      <c r="R459" s="46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x14ac:dyDescent="0.2">
      <c r="A460" s="5"/>
      <c r="B460" s="31"/>
      <c r="C460" s="31"/>
      <c r="D460" s="31"/>
      <c r="E460" s="31"/>
      <c r="F460" s="31"/>
      <c r="G460" s="31"/>
      <c r="H460" s="93"/>
      <c r="I460" s="31"/>
      <c r="J460" s="31"/>
      <c r="K460" s="31"/>
      <c r="L460" s="42"/>
      <c r="M460" s="31"/>
      <c r="N460" s="31"/>
      <c r="O460" s="42"/>
      <c r="P460" s="92"/>
      <c r="Q460" s="42"/>
      <c r="R460" s="46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x14ac:dyDescent="0.2">
      <c r="A461" s="5"/>
      <c r="B461" s="31"/>
      <c r="C461" s="31"/>
      <c r="D461" s="31"/>
      <c r="E461" s="31"/>
      <c r="F461" s="31"/>
      <c r="G461" s="31"/>
      <c r="H461" s="93"/>
      <c r="I461" s="31"/>
      <c r="J461" s="31"/>
      <c r="K461" s="31"/>
      <c r="L461" s="42"/>
      <c r="M461" s="31"/>
      <c r="N461" s="31"/>
      <c r="O461" s="42"/>
      <c r="P461" s="92"/>
      <c r="Q461" s="42"/>
      <c r="R461" s="46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x14ac:dyDescent="0.2">
      <c r="A462" s="5"/>
      <c r="B462" s="31"/>
      <c r="C462" s="31"/>
      <c r="D462" s="31"/>
      <c r="E462" s="31"/>
      <c r="F462" s="31"/>
      <c r="G462" s="31"/>
      <c r="H462" s="93"/>
      <c r="I462" s="31"/>
      <c r="J462" s="31"/>
      <c r="K462" s="31"/>
      <c r="L462" s="42"/>
      <c r="M462" s="31"/>
      <c r="N462" s="31"/>
      <c r="O462" s="42"/>
      <c r="P462" s="92"/>
      <c r="Q462" s="42"/>
      <c r="R462" s="46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x14ac:dyDescent="0.2">
      <c r="A463" s="5"/>
      <c r="B463" s="31"/>
      <c r="C463" s="31"/>
      <c r="D463" s="31"/>
      <c r="E463" s="31"/>
      <c r="F463" s="31"/>
      <c r="G463" s="31"/>
      <c r="H463" s="93"/>
      <c r="I463" s="31"/>
      <c r="J463" s="31"/>
      <c r="K463" s="31"/>
      <c r="L463" s="42"/>
      <c r="M463" s="31"/>
      <c r="N463" s="31"/>
      <c r="O463" s="42"/>
      <c r="P463" s="92"/>
      <c r="Q463" s="42"/>
      <c r="R463" s="46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x14ac:dyDescent="0.2">
      <c r="A464" s="5"/>
      <c r="B464" s="31"/>
      <c r="C464" s="31"/>
      <c r="D464" s="31"/>
      <c r="E464" s="31"/>
      <c r="F464" s="31"/>
      <c r="G464" s="31"/>
      <c r="H464" s="93"/>
      <c r="I464" s="31"/>
      <c r="J464" s="31"/>
      <c r="K464" s="31"/>
      <c r="L464" s="42"/>
      <c r="M464" s="31"/>
      <c r="N464" s="31"/>
      <c r="O464" s="42"/>
      <c r="P464" s="92"/>
      <c r="Q464" s="42"/>
      <c r="R464" s="46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x14ac:dyDescent="0.2">
      <c r="A465" s="5"/>
      <c r="B465" s="31"/>
      <c r="C465" s="31"/>
      <c r="D465" s="31"/>
      <c r="E465" s="31"/>
      <c r="F465" s="31"/>
      <c r="G465" s="31"/>
      <c r="H465" s="93"/>
      <c r="I465" s="31"/>
      <c r="J465" s="31"/>
      <c r="K465" s="31"/>
      <c r="L465" s="42"/>
      <c r="M465" s="31"/>
      <c r="N465" s="31"/>
      <c r="O465" s="42"/>
      <c r="P465" s="92"/>
      <c r="Q465" s="42"/>
      <c r="R465" s="46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x14ac:dyDescent="0.2">
      <c r="A466" s="5"/>
      <c r="B466" s="31"/>
      <c r="C466" s="31"/>
      <c r="D466" s="31"/>
      <c r="E466" s="31"/>
      <c r="F466" s="31"/>
      <c r="G466" s="31"/>
      <c r="H466" s="93"/>
      <c r="I466" s="31"/>
      <c r="J466" s="31"/>
      <c r="K466" s="31"/>
      <c r="L466" s="42"/>
      <c r="M466" s="31"/>
      <c r="N466" s="31"/>
      <c r="O466" s="42"/>
      <c r="P466" s="92"/>
      <c r="Q466" s="42"/>
      <c r="R466" s="46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x14ac:dyDescent="0.2">
      <c r="A467" s="5"/>
      <c r="B467" s="31"/>
      <c r="C467" s="31"/>
      <c r="D467" s="31"/>
      <c r="E467" s="31"/>
      <c r="F467" s="31"/>
      <c r="G467" s="31"/>
      <c r="H467" s="93"/>
      <c r="I467" s="31"/>
      <c r="J467" s="31"/>
      <c r="K467" s="31"/>
      <c r="L467" s="42"/>
      <c r="M467" s="31"/>
      <c r="N467" s="31"/>
      <c r="O467" s="42"/>
      <c r="P467" s="92"/>
      <c r="Q467" s="42"/>
      <c r="R467" s="46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x14ac:dyDescent="0.2">
      <c r="A468" s="5"/>
      <c r="B468" s="31"/>
      <c r="C468" s="31"/>
      <c r="D468" s="31"/>
      <c r="E468" s="31"/>
      <c r="F468" s="31"/>
      <c r="G468" s="31"/>
      <c r="H468" s="93"/>
      <c r="I468" s="31"/>
      <c r="J468" s="31"/>
      <c r="K468" s="31"/>
      <c r="L468" s="42"/>
      <c r="M468" s="31"/>
      <c r="N468" s="31"/>
      <c r="O468" s="42"/>
      <c r="P468" s="92"/>
      <c r="Q468" s="42"/>
      <c r="R468" s="46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x14ac:dyDescent="0.2">
      <c r="A469" s="5"/>
      <c r="B469" s="31"/>
      <c r="C469" s="31"/>
      <c r="D469" s="31"/>
      <c r="E469" s="31"/>
      <c r="F469" s="31"/>
      <c r="G469" s="31"/>
      <c r="H469" s="93"/>
      <c r="I469" s="31"/>
      <c r="J469" s="31"/>
      <c r="K469" s="31"/>
      <c r="L469" s="42"/>
      <c r="M469" s="31"/>
      <c r="N469" s="31"/>
      <c r="O469" s="42"/>
      <c r="P469" s="92"/>
      <c r="Q469" s="42"/>
      <c r="R469" s="46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x14ac:dyDescent="0.2">
      <c r="A470" s="5"/>
      <c r="B470" s="31"/>
      <c r="C470" s="31"/>
      <c r="D470" s="31"/>
      <c r="E470" s="31"/>
      <c r="F470" s="31"/>
      <c r="G470" s="31"/>
      <c r="H470" s="93"/>
      <c r="I470" s="31"/>
      <c r="J470" s="31"/>
      <c r="K470" s="31"/>
      <c r="L470" s="42"/>
      <c r="M470" s="31"/>
      <c r="N470" s="31"/>
      <c r="O470" s="42"/>
      <c r="P470" s="92"/>
      <c r="Q470" s="42"/>
      <c r="R470" s="46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x14ac:dyDescent="0.2">
      <c r="A471" s="5"/>
      <c r="B471" s="31"/>
      <c r="C471" s="31"/>
      <c r="D471" s="31"/>
      <c r="E471" s="31"/>
      <c r="F471" s="31"/>
      <c r="G471" s="31"/>
      <c r="H471" s="93"/>
      <c r="I471" s="31"/>
      <c r="J471" s="31"/>
      <c r="K471" s="31"/>
      <c r="L471" s="42"/>
      <c r="M471" s="31"/>
      <c r="N471" s="31"/>
      <c r="O471" s="42"/>
      <c r="P471" s="92"/>
      <c r="Q471" s="42"/>
      <c r="R471" s="46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x14ac:dyDescent="0.2">
      <c r="A472" s="5"/>
      <c r="B472" s="31"/>
      <c r="C472" s="31"/>
      <c r="D472" s="31"/>
      <c r="E472" s="31"/>
      <c r="F472" s="31"/>
      <c r="G472" s="31"/>
      <c r="H472" s="93"/>
      <c r="I472" s="31"/>
      <c r="J472" s="31"/>
      <c r="K472" s="31"/>
      <c r="L472" s="42"/>
      <c r="M472" s="31"/>
      <c r="N472" s="31"/>
      <c r="O472" s="42"/>
      <c r="P472" s="92"/>
      <c r="Q472" s="42"/>
      <c r="R472" s="46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x14ac:dyDescent="0.2">
      <c r="A473" s="5"/>
      <c r="B473" s="31"/>
      <c r="C473" s="31"/>
      <c r="D473" s="31"/>
      <c r="E473" s="31"/>
      <c r="F473" s="31"/>
      <c r="G473" s="31"/>
      <c r="H473" s="93"/>
      <c r="I473" s="31"/>
      <c r="J473" s="31"/>
      <c r="K473" s="31"/>
      <c r="L473" s="42"/>
      <c r="M473" s="31"/>
      <c r="N473" s="31"/>
      <c r="O473" s="42"/>
      <c r="P473" s="92"/>
      <c r="Q473" s="42"/>
      <c r="R473" s="46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x14ac:dyDescent="0.2">
      <c r="A474" s="5"/>
      <c r="B474" s="31"/>
      <c r="C474" s="31"/>
      <c r="D474" s="31"/>
      <c r="E474" s="31"/>
      <c r="F474" s="31"/>
      <c r="G474" s="31"/>
      <c r="H474" s="93"/>
      <c r="I474" s="31"/>
      <c r="J474" s="31"/>
      <c r="K474" s="31"/>
      <c r="L474" s="42"/>
      <c r="M474" s="31"/>
      <c r="N474" s="31"/>
      <c r="O474" s="42"/>
      <c r="P474" s="92"/>
      <c r="Q474" s="42"/>
      <c r="R474" s="46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x14ac:dyDescent="0.2">
      <c r="A475" s="5"/>
      <c r="B475" s="31"/>
      <c r="C475" s="31"/>
      <c r="D475" s="31"/>
      <c r="E475" s="31"/>
      <c r="F475" s="31"/>
      <c r="G475" s="31"/>
      <c r="H475" s="93"/>
      <c r="I475" s="31"/>
      <c r="J475" s="31"/>
      <c r="K475" s="31"/>
      <c r="L475" s="42"/>
      <c r="M475" s="31"/>
      <c r="N475" s="31"/>
      <c r="O475" s="42"/>
      <c r="P475" s="92"/>
      <c r="Q475" s="42"/>
      <c r="R475" s="46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x14ac:dyDescent="0.2">
      <c r="A476" s="5"/>
      <c r="B476" s="31"/>
      <c r="C476" s="31"/>
      <c r="D476" s="31"/>
      <c r="E476" s="31"/>
      <c r="F476" s="31"/>
      <c r="G476" s="31"/>
      <c r="H476" s="93"/>
      <c r="I476" s="31"/>
      <c r="J476" s="31"/>
      <c r="K476" s="31"/>
      <c r="L476" s="42"/>
      <c r="M476" s="31"/>
      <c r="N476" s="31"/>
      <c r="O476" s="42"/>
      <c r="P476" s="92"/>
      <c r="Q476" s="42"/>
      <c r="R476" s="46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x14ac:dyDescent="0.2">
      <c r="A477" s="5"/>
      <c r="B477" s="31"/>
      <c r="C477" s="31"/>
      <c r="D477" s="31"/>
      <c r="E477" s="31"/>
      <c r="F477" s="31"/>
      <c r="G477" s="31"/>
      <c r="H477" s="93"/>
      <c r="I477" s="31"/>
      <c r="J477" s="31"/>
      <c r="K477" s="31"/>
      <c r="L477" s="42"/>
      <c r="M477" s="31"/>
      <c r="N477" s="31"/>
      <c r="O477" s="42"/>
      <c r="P477" s="92"/>
      <c r="Q477" s="42"/>
      <c r="R477" s="46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x14ac:dyDescent="0.2">
      <c r="A478" s="5"/>
      <c r="B478" s="31"/>
      <c r="C478" s="31"/>
      <c r="D478" s="31"/>
      <c r="E478" s="31"/>
      <c r="F478" s="31"/>
      <c r="G478" s="31"/>
      <c r="H478" s="93"/>
      <c r="I478" s="31"/>
      <c r="J478" s="31"/>
      <c r="K478" s="31"/>
      <c r="L478" s="42"/>
      <c r="M478" s="31"/>
      <c r="N478" s="31"/>
      <c r="O478" s="42"/>
      <c r="P478" s="92"/>
      <c r="Q478" s="42"/>
      <c r="R478" s="46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x14ac:dyDescent="0.2">
      <c r="A479" s="5"/>
      <c r="B479" s="31"/>
      <c r="C479" s="31"/>
      <c r="D479" s="31"/>
      <c r="E479" s="31"/>
      <c r="F479" s="31"/>
      <c r="G479" s="31"/>
      <c r="H479" s="93"/>
      <c r="I479" s="31"/>
      <c r="J479" s="31"/>
      <c r="K479" s="31"/>
      <c r="L479" s="42"/>
      <c r="M479" s="31"/>
      <c r="N479" s="31"/>
      <c r="O479" s="42"/>
      <c r="P479" s="92"/>
      <c r="Q479" s="42"/>
      <c r="R479" s="46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x14ac:dyDescent="0.2">
      <c r="A480" s="5"/>
      <c r="B480" s="31"/>
      <c r="C480" s="31"/>
      <c r="D480" s="31"/>
      <c r="E480" s="31"/>
      <c r="F480" s="31"/>
      <c r="G480" s="31"/>
      <c r="H480" s="93"/>
      <c r="I480" s="31"/>
      <c r="J480" s="31"/>
      <c r="K480" s="31"/>
      <c r="L480" s="42"/>
      <c r="M480" s="31"/>
      <c r="N480" s="31"/>
      <c r="O480" s="42"/>
      <c r="P480" s="92"/>
      <c r="Q480" s="42"/>
      <c r="R480" s="46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x14ac:dyDescent="0.2">
      <c r="A481" s="5"/>
      <c r="B481" s="31"/>
      <c r="C481" s="31"/>
      <c r="D481" s="31"/>
      <c r="E481" s="31"/>
      <c r="F481" s="31"/>
      <c r="G481" s="31"/>
      <c r="H481" s="93"/>
      <c r="I481" s="31"/>
      <c r="J481" s="31"/>
      <c r="K481" s="31"/>
      <c r="L481" s="42"/>
      <c r="M481" s="31"/>
      <c r="N481" s="31"/>
      <c r="O481" s="42"/>
      <c r="P481" s="92"/>
      <c r="Q481" s="42"/>
      <c r="R481" s="46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x14ac:dyDescent="0.2">
      <c r="A482" s="5"/>
      <c r="B482" s="31"/>
      <c r="C482" s="31"/>
      <c r="D482" s="31"/>
      <c r="E482" s="31"/>
      <c r="F482" s="31"/>
      <c r="G482" s="31"/>
      <c r="H482" s="93"/>
      <c r="I482" s="31"/>
      <c r="J482" s="31"/>
      <c r="K482" s="31"/>
      <c r="L482" s="42"/>
      <c r="M482" s="31"/>
      <c r="N482" s="31"/>
      <c r="O482" s="42"/>
      <c r="P482" s="92"/>
      <c r="Q482" s="42"/>
      <c r="R482" s="46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x14ac:dyDescent="0.2">
      <c r="A483" s="5"/>
      <c r="B483" s="31"/>
      <c r="C483" s="31"/>
      <c r="D483" s="31"/>
      <c r="E483" s="31"/>
      <c r="F483" s="31"/>
      <c r="G483" s="31"/>
      <c r="H483" s="93"/>
      <c r="I483" s="31"/>
      <c r="J483" s="31"/>
      <c r="K483" s="31"/>
      <c r="L483" s="42"/>
      <c r="M483" s="31"/>
      <c r="N483" s="31"/>
      <c r="O483" s="42"/>
      <c r="P483" s="92"/>
      <c r="Q483" s="42"/>
      <c r="R483" s="46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x14ac:dyDescent="0.2">
      <c r="A484" s="5"/>
      <c r="B484" s="31"/>
      <c r="C484" s="31"/>
      <c r="D484" s="31"/>
      <c r="E484" s="31"/>
      <c r="F484" s="31"/>
      <c r="G484" s="31"/>
      <c r="H484" s="93"/>
      <c r="I484" s="31"/>
      <c r="J484" s="31"/>
      <c r="K484" s="31"/>
      <c r="L484" s="42"/>
      <c r="M484" s="31"/>
      <c r="N484" s="31"/>
      <c r="O484" s="42"/>
      <c r="P484" s="92"/>
      <c r="Q484" s="42"/>
      <c r="R484" s="46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x14ac:dyDescent="0.2">
      <c r="A485" s="5"/>
      <c r="B485" s="31"/>
      <c r="C485" s="31"/>
      <c r="D485" s="31"/>
      <c r="E485" s="31"/>
      <c r="F485" s="31"/>
      <c r="G485" s="31"/>
      <c r="H485" s="93"/>
      <c r="I485" s="31"/>
      <c r="J485" s="31"/>
      <c r="K485" s="31"/>
      <c r="L485" s="42"/>
      <c r="M485" s="31"/>
      <c r="N485" s="31"/>
      <c r="O485" s="42"/>
      <c r="P485" s="92"/>
      <c r="Q485" s="42"/>
      <c r="R485" s="46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x14ac:dyDescent="0.2">
      <c r="A486" s="5"/>
      <c r="B486" s="31"/>
      <c r="C486" s="31"/>
      <c r="D486" s="31"/>
      <c r="E486" s="31"/>
      <c r="F486" s="31"/>
      <c r="G486" s="31"/>
      <c r="H486" s="93"/>
      <c r="I486" s="31"/>
      <c r="J486" s="31"/>
      <c r="K486" s="31"/>
      <c r="L486" s="42"/>
      <c r="M486" s="31"/>
      <c r="N486" s="31"/>
      <c r="O486" s="42"/>
      <c r="P486" s="92"/>
      <c r="Q486" s="42"/>
      <c r="R486" s="46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x14ac:dyDescent="0.2">
      <c r="A487" s="5"/>
      <c r="B487" s="31"/>
      <c r="C487" s="31"/>
      <c r="D487" s="31"/>
      <c r="E487" s="31"/>
      <c r="F487" s="31"/>
      <c r="G487" s="31"/>
      <c r="H487" s="93"/>
      <c r="I487" s="31"/>
      <c r="J487" s="31"/>
      <c r="K487" s="31"/>
      <c r="L487" s="42"/>
      <c r="M487" s="31"/>
      <c r="N487" s="31"/>
      <c r="O487" s="42"/>
      <c r="P487" s="92"/>
      <c r="Q487" s="42"/>
      <c r="R487" s="46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x14ac:dyDescent="0.2">
      <c r="A488" s="5"/>
      <c r="B488" s="31"/>
      <c r="C488" s="31"/>
      <c r="D488" s="31"/>
      <c r="E488" s="31"/>
      <c r="F488" s="31"/>
      <c r="G488" s="31"/>
      <c r="H488" s="93"/>
      <c r="I488" s="31"/>
      <c r="J488" s="31"/>
      <c r="K488" s="31"/>
      <c r="L488" s="42"/>
      <c r="M488" s="31"/>
      <c r="N488" s="31"/>
      <c r="O488" s="42"/>
      <c r="P488" s="92"/>
      <c r="Q488" s="42"/>
      <c r="R488" s="46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x14ac:dyDescent="0.2">
      <c r="A489" s="5"/>
      <c r="B489" s="31"/>
      <c r="C489" s="31"/>
      <c r="D489" s="31"/>
      <c r="E489" s="31"/>
      <c r="F489" s="31"/>
      <c r="G489" s="31"/>
      <c r="H489" s="93"/>
      <c r="I489" s="31"/>
      <c r="J489" s="31"/>
      <c r="K489" s="31"/>
      <c r="L489" s="42"/>
      <c r="M489" s="31"/>
      <c r="N489" s="31"/>
      <c r="O489" s="42"/>
      <c r="P489" s="92"/>
      <c r="Q489" s="42"/>
      <c r="R489" s="46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x14ac:dyDescent="0.2">
      <c r="A490" s="5"/>
      <c r="B490" s="31"/>
      <c r="C490" s="31"/>
      <c r="D490" s="31"/>
      <c r="E490" s="31"/>
      <c r="F490" s="31"/>
      <c r="G490" s="31"/>
      <c r="H490" s="93"/>
      <c r="I490" s="31"/>
      <c r="J490" s="31"/>
      <c r="K490" s="31"/>
      <c r="L490" s="42"/>
      <c r="M490" s="31"/>
      <c r="N490" s="31"/>
      <c r="O490" s="42"/>
      <c r="P490" s="92"/>
      <c r="Q490" s="42"/>
      <c r="R490" s="46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x14ac:dyDescent="0.2">
      <c r="A491" s="5"/>
      <c r="B491" s="31"/>
      <c r="C491" s="31"/>
      <c r="D491" s="31"/>
      <c r="E491" s="31"/>
      <c r="F491" s="31"/>
      <c r="G491" s="31"/>
      <c r="H491" s="93"/>
      <c r="I491" s="31"/>
      <c r="J491" s="31"/>
      <c r="K491" s="31"/>
      <c r="L491" s="42"/>
      <c r="M491" s="31"/>
      <c r="N491" s="31"/>
      <c r="O491" s="42"/>
      <c r="P491" s="92"/>
      <c r="Q491" s="42"/>
      <c r="R491" s="46"/>
      <c r="S491" s="31"/>
      <c r="T491" s="31"/>
      <c r="U491" s="31"/>
      <c r="V491" s="31"/>
      <c r="W491" s="31"/>
      <c r="X491" s="31"/>
      <c r="Y491" s="31"/>
      <c r="Z491" s="31"/>
      <c r="AA491" s="31"/>
    </row>
    <row r="492" spans="1:27" x14ac:dyDescent="0.2">
      <c r="A492" s="5"/>
      <c r="B492" s="31"/>
      <c r="C492" s="31"/>
      <c r="D492" s="31"/>
      <c r="E492" s="31"/>
      <c r="F492" s="31"/>
      <c r="G492" s="31"/>
      <c r="H492" s="93"/>
      <c r="I492" s="31"/>
      <c r="J492" s="31"/>
      <c r="K492" s="31"/>
      <c r="L492" s="42"/>
      <c r="M492" s="31"/>
      <c r="N492" s="31"/>
      <c r="O492" s="42"/>
      <c r="P492" s="92"/>
      <c r="Q492" s="42"/>
      <c r="R492" s="46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x14ac:dyDescent="0.2">
      <c r="A493" s="5"/>
      <c r="B493" s="31"/>
      <c r="C493" s="31"/>
      <c r="D493" s="31"/>
      <c r="E493" s="31"/>
      <c r="F493" s="31"/>
      <c r="G493" s="31"/>
      <c r="H493" s="93"/>
      <c r="I493" s="31"/>
      <c r="J493" s="31"/>
      <c r="K493" s="31"/>
      <c r="L493" s="42"/>
      <c r="M493" s="31"/>
      <c r="N493" s="31"/>
      <c r="O493" s="42"/>
      <c r="P493" s="92"/>
      <c r="Q493" s="42"/>
      <c r="R493" s="46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x14ac:dyDescent="0.2">
      <c r="A494" s="5"/>
      <c r="B494" s="31"/>
      <c r="C494" s="31"/>
      <c r="D494" s="31"/>
      <c r="E494" s="31"/>
      <c r="F494" s="31"/>
      <c r="G494" s="31"/>
      <c r="H494" s="93"/>
      <c r="I494" s="31"/>
      <c r="J494" s="31"/>
      <c r="K494" s="31"/>
      <c r="L494" s="42"/>
      <c r="M494" s="31"/>
      <c r="N494" s="31"/>
      <c r="O494" s="42"/>
      <c r="P494" s="92"/>
      <c r="Q494" s="42"/>
      <c r="R494" s="46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x14ac:dyDescent="0.2">
      <c r="A495" s="5"/>
      <c r="B495" s="31"/>
      <c r="C495" s="31"/>
      <c r="D495" s="31"/>
      <c r="E495" s="31"/>
      <c r="F495" s="31"/>
      <c r="G495" s="31"/>
      <c r="H495" s="93"/>
      <c r="I495" s="31"/>
      <c r="J495" s="31"/>
      <c r="K495" s="31"/>
      <c r="L495" s="42"/>
      <c r="M495" s="31"/>
      <c r="N495" s="31"/>
      <c r="O495" s="42"/>
      <c r="P495" s="92"/>
      <c r="Q495" s="42"/>
      <c r="R495" s="46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x14ac:dyDescent="0.2">
      <c r="A496" s="5"/>
      <c r="B496" s="31"/>
      <c r="C496" s="31"/>
      <c r="D496" s="31"/>
      <c r="E496" s="31"/>
      <c r="F496" s="31"/>
      <c r="G496" s="31"/>
      <c r="H496" s="93"/>
      <c r="I496" s="31"/>
      <c r="J496" s="31"/>
      <c r="K496" s="31"/>
      <c r="L496" s="42"/>
      <c r="M496" s="31"/>
      <c r="N496" s="31"/>
      <c r="O496" s="42"/>
      <c r="P496" s="92"/>
      <c r="Q496" s="42"/>
      <c r="R496" s="46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x14ac:dyDescent="0.2">
      <c r="A497" s="5"/>
      <c r="B497" s="31"/>
      <c r="C497" s="31"/>
      <c r="D497" s="31"/>
      <c r="E497" s="31"/>
      <c r="F497" s="31"/>
      <c r="G497" s="31"/>
      <c r="H497" s="93"/>
      <c r="I497" s="31"/>
      <c r="J497" s="31"/>
      <c r="K497" s="31"/>
      <c r="L497" s="42"/>
      <c r="M497" s="31"/>
      <c r="N497" s="31"/>
      <c r="O497" s="42"/>
      <c r="P497" s="92"/>
      <c r="Q497" s="42"/>
      <c r="R497" s="46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x14ac:dyDescent="0.2">
      <c r="A498" s="5"/>
      <c r="B498" s="31"/>
      <c r="C498" s="31"/>
      <c r="D498" s="31"/>
      <c r="E498" s="31"/>
      <c r="F498" s="31"/>
      <c r="G498" s="31"/>
      <c r="H498" s="93"/>
      <c r="I498" s="31"/>
      <c r="J498" s="31"/>
      <c r="K498" s="31"/>
      <c r="L498" s="42"/>
      <c r="M498" s="31"/>
      <c r="N498" s="31"/>
      <c r="O498" s="42"/>
      <c r="P498" s="92"/>
      <c r="Q498" s="42"/>
      <c r="R498" s="46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x14ac:dyDescent="0.2">
      <c r="A499" s="5"/>
      <c r="B499" s="31"/>
      <c r="C499" s="31"/>
      <c r="D499" s="31"/>
      <c r="E499" s="31"/>
      <c r="F499" s="31"/>
      <c r="G499" s="31"/>
      <c r="H499" s="93"/>
      <c r="I499" s="31"/>
      <c r="J499" s="31"/>
      <c r="K499" s="31"/>
      <c r="L499" s="42"/>
      <c r="M499" s="31"/>
      <c r="N499" s="31"/>
      <c r="O499" s="42"/>
      <c r="P499" s="92"/>
      <c r="Q499" s="42"/>
      <c r="R499" s="46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x14ac:dyDescent="0.2">
      <c r="A500" s="5"/>
      <c r="B500" s="31"/>
      <c r="C500" s="31"/>
      <c r="D500" s="31"/>
      <c r="E500" s="31"/>
      <c r="F500" s="31"/>
      <c r="G500" s="31"/>
      <c r="H500" s="93"/>
      <c r="I500" s="31"/>
      <c r="J500" s="31"/>
      <c r="K500" s="31"/>
      <c r="L500" s="42"/>
      <c r="M500" s="31"/>
      <c r="N500" s="31"/>
      <c r="O500" s="42"/>
      <c r="P500" s="92"/>
      <c r="Q500" s="42"/>
      <c r="R500" s="46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x14ac:dyDescent="0.2">
      <c r="A501" s="5"/>
      <c r="B501" s="31"/>
      <c r="C501" s="31"/>
      <c r="D501" s="31"/>
      <c r="E501" s="31"/>
      <c r="F501" s="31"/>
      <c r="G501" s="31"/>
      <c r="H501" s="93"/>
      <c r="I501" s="31"/>
      <c r="J501" s="31"/>
      <c r="K501" s="31"/>
      <c r="L501" s="42"/>
      <c r="M501" s="31"/>
      <c r="N501" s="31"/>
      <c r="O501" s="42"/>
      <c r="P501" s="92"/>
      <c r="Q501" s="42"/>
      <c r="R501" s="46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x14ac:dyDescent="0.2">
      <c r="A502" s="5"/>
      <c r="B502" s="31"/>
      <c r="C502" s="31"/>
      <c r="D502" s="31"/>
      <c r="E502" s="31"/>
      <c r="F502" s="31"/>
      <c r="G502" s="31"/>
      <c r="H502" s="93"/>
      <c r="I502" s="31"/>
      <c r="J502" s="31"/>
      <c r="K502" s="31"/>
      <c r="L502" s="42"/>
      <c r="M502" s="31"/>
      <c r="N502" s="31"/>
      <c r="O502" s="42"/>
      <c r="P502" s="92"/>
      <c r="Q502" s="42"/>
      <c r="R502" s="46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x14ac:dyDescent="0.2">
      <c r="A503" s="5"/>
      <c r="B503" s="31"/>
      <c r="C503" s="31"/>
      <c r="D503" s="31"/>
      <c r="E503" s="31"/>
      <c r="F503" s="31"/>
      <c r="G503" s="31"/>
      <c r="H503" s="93"/>
      <c r="I503" s="31"/>
      <c r="J503" s="31"/>
      <c r="K503" s="31"/>
      <c r="L503" s="42"/>
      <c r="M503" s="31"/>
      <c r="N503" s="31"/>
      <c r="O503" s="42"/>
      <c r="P503" s="92"/>
      <c r="Q503" s="42"/>
      <c r="R503" s="46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x14ac:dyDescent="0.2">
      <c r="A504" s="5"/>
      <c r="B504" s="31"/>
      <c r="C504" s="31"/>
      <c r="D504" s="31"/>
      <c r="E504" s="31"/>
      <c r="F504" s="31"/>
      <c r="G504" s="31"/>
      <c r="H504" s="93"/>
      <c r="I504" s="31"/>
      <c r="J504" s="31"/>
      <c r="K504" s="31"/>
      <c r="L504" s="42"/>
      <c r="M504" s="31"/>
      <c r="N504" s="31"/>
      <c r="O504" s="42"/>
      <c r="P504" s="92"/>
      <c r="Q504" s="42"/>
      <c r="R504" s="46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x14ac:dyDescent="0.2">
      <c r="A505" s="5"/>
      <c r="B505" s="31"/>
      <c r="C505" s="31"/>
      <c r="D505" s="31"/>
      <c r="E505" s="31"/>
      <c r="F505" s="31"/>
      <c r="G505" s="31"/>
      <c r="H505" s="93"/>
      <c r="I505" s="31"/>
      <c r="J505" s="31"/>
      <c r="K505" s="31"/>
      <c r="L505" s="42"/>
      <c r="M505" s="31"/>
      <c r="N505" s="31"/>
      <c r="O505" s="42"/>
      <c r="P505" s="92"/>
      <c r="Q505" s="42"/>
      <c r="R505" s="46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x14ac:dyDescent="0.2">
      <c r="A506" s="5"/>
      <c r="B506" s="31"/>
      <c r="C506" s="31"/>
      <c r="D506" s="31"/>
      <c r="E506" s="31"/>
      <c r="F506" s="31"/>
      <c r="G506" s="31"/>
      <c r="H506" s="93"/>
      <c r="I506" s="31"/>
      <c r="J506" s="31"/>
      <c r="K506" s="31"/>
      <c r="L506" s="42"/>
      <c r="M506" s="31"/>
      <c r="N506" s="31"/>
      <c r="O506" s="42"/>
      <c r="P506" s="92"/>
      <c r="Q506" s="42"/>
      <c r="R506" s="46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x14ac:dyDescent="0.2">
      <c r="A507" s="5"/>
      <c r="B507" s="31"/>
      <c r="C507" s="31"/>
      <c r="D507" s="31"/>
      <c r="E507" s="31"/>
      <c r="F507" s="31"/>
      <c r="G507" s="31"/>
      <c r="H507" s="93"/>
      <c r="I507" s="31"/>
      <c r="J507" s="31"/>
      <c r="K507" s="31"/>
      <c r="L507" s="42"/>
      <c r="M507" s="31"/>
      <c r="N507" s="31"/>
      <c r="O507" s="42"/>
      <c r="P507" s="92"/>
      <c r="Q507" s="42"/>
      <c r="R507" s="46"/>
      <c r="S507" s="31"/>
      <c r="T507" s="31"/>
      <c r="U507" s="31"/>
      <c r="V507" s="31"/>
      <c r="W507" s="31"/>
      <c r="X507" s="31"/>
      <c r="Y507" s="31"/>
      <c r="Z507" s="31"/>
      <c r="AA507" s="31"/>
    </row>
    <row r="508" spans="1:27" x14ac:dyDescent="0.2">
      <c r="A508" s="5"/>
      <c r="B508" s="31"/>
      <c r="C508" s="31"/>
      <c r="D508" s="31"/>
      <c r="E508" s="31"/>
      <c r="F508" s="31"/>
      <c r="G508" s="31"/>
      <c r="H508" s="93"/>
      <c r="I508" s="31"/>
      <c r="J508" s="31"/>
      <c r="K508" s="31"/>
      <c r="L508" s="42"/>
      <c r="M508" s="31"/>
      <c r="N508" s="31"/>
      <c r="O508" s="42"/>
      <c r="P508" s="92"/>
      <c r="Q508" s="42"/>
      <c r="R508" s="46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x14ac:dyDescent="0.2">
      <c r="A509" s="5"/>
      <c r="B509" s="31"/>
      <c r="C509" s="31"/>
      <c r="D509" s="31"/>
      <c r="E509" s="31"/>
      <c r="F509" s="31"/>
      <c r="G509" s="31"/>
      <c r="H509" s="93"/>
      <c r="I509" s="31"/>
      <c r="J509" s="31"/>
      <c r="K509" s="31"/>
      <c r="L509" s="42"/>
      <c r="M509" s="31"/>
      <c r="N509" s="31"/>
      <c r="O509" s="42"/>
      <c r="P509" s="92"/>
      <c r="Q509" s="42"/>
      <c r="R509" s="46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x14ac:dyDescent="0.2">
      <c r="A510" s="5"/>
      <c r="B510" s="31"/>
      <c r="C510" s="31"/>
      <c r="D510" s="31"/>
      <c r="E510" s="31"/>
      <c r="F510" s="31"/>
      <c r="G510" s="31"/>
      <c r="H510" s="93"/>
      <c r="I510" s="31"/>
      <c r="J510" s="31"/>
      <c r="K510" s="31"/>
      <c r="L510" s="42"/>
      <c r="M510" s="31"/>
      <c r="N510" s="31"/>
      <c r="O510" s="42"/>
      <c r="P510" s="92"/>
      <c r="Q510" s="42"/>
      <c r="R510" s="46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x14ac:dyDescent="0.2">
      <c r="A511" s="5"/>
      <c r="B511" s="31"/>
      <c r="C511" s="31"/>
      <c r="D511" s="31"/>
      <c r="E511" s="31"/>
      <c r="F511" s="31"/>
      <c r="G511" s="31"/>
      <c r="H511" s="93"/>
      <c r="I511" s="31"/>
      <c r="J511" s="31"/>
      <c r="K511" s="31"/>
      <c r="L511" s="42"/>
      <c r="M511" s="31"/>
      <c r="N511" s="31"/>
      <c r="O511" s="42"/>
      <c r="P511" s="92"/>
      <c r="Q511" s="42"/>
      <c r="R511" s="46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x14ac:dyDescent="0.2">
      <c r="A512" s="5"/>
      <c r="B512" s="31"/>
      <c r="C512" s="31"/>
      <c r="D512" s="31"/>
      <c r="E512" s="31"/>
      <c r="F512" s="31"/>
      <c r="G512" s="31"/>
      <c r="H512" s="93"/>
      <c r="I512" s="31"/>
      <c r="J512" s="31"/>
      <c r="K512" s="31"/>
      <c r="L512" s="42"/>
      <c r="M512" s="31"/>
      <c r="N512" s="31"/>
      <c r="O512" s="42"/>
      <c r="P512" s="92"/>
      <c r="Q512" s="42"/>
      <c r="R512" s="46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x14ac:dyDescent="0.2">
      <c r="A513" s="5"/>
      <c r="B513" s="31"/>
      <c r="C513" s="31"/>
      <c r="D513" s="31"/>
      <c r="E513" s="31"/>
      <c r="F513" s="31"/>
      <c r="G513" s="31"/>
      <c r="H513" s="93"/>
      <c r="I513" s="31"/>
      <c r="J513" s="31"/>
      <c r="K513" s="31"/>
      <c r="L513" s="42"/>
      <c r="M513" s="31"/>
      <c r="N513" s="31"/>
      <c r="O513" s="42"/>
      <c r="P513" s="92"/>
      <c r="Q513" s="42"/>
      <c r="R513" s="46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x14ac:dyDescent="0.2">
      <c r="A514" s="5"/>
      <c r="B514" s="31"/>
      <c r="C514" s="31"/>
      <c r="D514" s="31"/>
      <c r="E514" s="31"/>
      <c r="F514" s="31"/>
      <c r="G514" s="31"/>
      <c r="H514" s="93"/>
      <c r="I514" s="31"/>
      <c r="J514" s="31"/>
      <c r="K514" s="31"/>
      <c r="L514" s="42"/>
      <c r="M514" s="31"/>
      <c r="N514" s="31"/>
      <c r="O514" s="42"/>
      <c r="P514" s="92"/>
      <c r="Q514" s="42"/>
      <c r="R514" s="46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x14ac:dyDescent="0.2">
      <c r="A515" s="5"/>
      <c r="B515" s="31"/>
      <c r="C515" s="31"/>
      <c r="D515" s="31"/>
      <c r="E515" s="31"/>
      <c r="F515" s="31"/>
      <c r="G515" s="31"/>
      <c r="H515" s="93"/>
      <c r="I515" s="31"/>
      <c r="J515" s="31"/>
      <c r="K515" s="31"/>
      <c r="L515" s="42"/>
      <c r="M515" s="31"/>
      <c r="N515" s="31"/>
      <c r="O515" s="42"/>
      <c r="P515" s="92"/>
      <c r="Q515" s="42"/>
      <c r="R515" s="46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x14ac:dyDescent="0.2">
      <c r="A516" s="5"/>
      <c r="B516" s="31"/>
      <c r="C516" s="31"/>
      <c r="D516" s="31"/>
      <c r="E516" s="31"/>
      <c r="F516" s="31"/>
      <c r="G516" s="31"/>
      <c r="H516" s="93"/>
      <c r="I516" s="31"/>
      <c r="J516" s="31"/>
      <c r="K516" s="31"/>
      <c r="L516" s="42"/>
      <c r="M516" s="31"/>
      <c r="N516" s="31"/>
      <c r="O516" s="42"/>
      <c r="P516" s="92"/>
      <c r="Q516" s="42"/>
      <c r="R516" s="46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x14ac:dyDescent="0.2">
      <c r="A517" s="5"/>
      <c r="B517" s="31"/>
      <c r="C517" s="31"/>
      <c r="D517" s="31"/>
      <c r="E517" s="31"/>
      <c r="F517" s="31"/>
      <c r="G517" s="31"/>
      <c r="H517" s="93"/>
      <c r="I517" s="31"/>
      <c r="J517" s="31"/>
      <c r="K517" s="31"/>
      <c r="L517" s="42"/>
      <c r="M517" s="31"/>
      <c r="N517" s="31"/>
      <c r="O517" s="42"/>
      <c r="P517" s="92"/>
      <c r="Q517" s="42"/>
      <c r="R517" s="46"/>
      <c r="S517" s="31"/>
      <c r="T517" s="31"/>
      <c r="U517" s="31"/>
      <c r="V517" s="31"/>
      <c r="W517" s="31"/>
      <c r="X517" s="31"/>
      <c r="Y517" s="31"/>
      <c r="Z517" s="31"/>
      <c r="AA517" s="31"/>
    </row>
    <row r="518" spans="1:27" x14ac:dyDescent="0.2">
      <c r="A518" s="5"/>
      <c r="B518" s="31"/>
      <c r="C518" s="31"/>
      <c r="D518" s="31"/>
      <c r="E518" s="31"/>
      <c r="F518" s="31"/>
      <c r="G518" s="31"/>
      <c r="H518" s="93"/>
      <c r="I518" s="31"/>
      <c r="J518" s="31"/>
      <c r="K518" s="31"/>
      <c r="L518" s="42"/>
      <c r="M518" s="31"/>
      <c r="N518" s="31"/>
      <c r="O518" s="42"/>
      <c r="P518" s="92"/>
      <c r="Q518" s="42"/>
      <c r="R518" s="46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x14ac:dyDescent="0.2">
      <c r="A519" s="5"/>
      <c r="B519" s="31"/>
      <c r="C519" s="31"/>
      <c r="D519" s="31"/>
      <c r="E519" s="31"/>
      <c r="F519" s="31"/>
      <c r="G519" s="31"/>
      <c r="H519" s="93"/>
      <c r="I519" s="31"/>
      <c r="J519" s="31"/>
      <c r="K519" s="31"/>
      <c r="L519" s="42"/>
      <c r="M519" s="31"/>
      <c r="N519" s="31"/>
      <c r="O519" s="42"/>
      <c r="P519" s="92"/>
      <c r="Q519" s="42"/>
      <c r="R519" s="46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x14ac:dyDescent="0.2">
      <c r="A520" s="5"/>
      <c r="B520" s="31"/>
      <c r="C520" s="31"/>
      <c r="D520" s="31"/>
      <c r="E520" s="31"/>
      <c r="F520" s="31"/>
      <c r="G520" s="31"/>
      <c r="H520" s="93"/>
      <c r="I520" s="31"/>
      <c r="J520" s="31"/>
      <c r="K520" s="31"/>
      <c r="L520" s="42"/>
      <c r="M520" s="31"/>
      <c r="N520" s="31"/>
      <c r="O520" s="42"/>
      <c r="P520" s="92"/>
      <c r="Q520" s="42"/>
      <c r="R520" s="46"/>
      <c r="S520" s="31"/>
      <c r="T520" s="31"/>
      <c r="U520" s="31"/>
      <c r="V520" s="31"/>
      <c r="W520" s="31"/>
      <c r="X520" s="31"/>
      <c r="Y520" s="31"/>
      <c r="Z520" s="31"/>
      <c r="AA520" s="31"/>
    </row>
    <row r="521" spans="1:27" x14ac:dyDescent="0.2">
      <c r="A521" s="5"/>
      <c r="B521" s="31"/>
      <c r="C521" s="31"/>
      <c r="D521" s="31"/>
      <c r="E521" s="31"/>
      <c r="F521" s="31"/>
      <c r="G521" s="31"/>
      <c r="H521" s="93"/>
      <c r="I521" s="31"/>
      <c r="J521" s="31"/>
      <c r="K521" s="31"/>
      <c r="L521" s="42"/>
      <c r="M521" s="31"/>
      <c r="N521" s="31"/>
      <c r="O521" s="42"/>
      <c r="P521" s="92"/>
      <c r="Q521" s="42"/>
      <c r="R521" s="46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x14ac:dyDescent="0.2">
      <c r="A522" s="5"/>
      <c r="B522" s="31"/>
      <c r="C522" s="31"/>
      <c r="D522" s="31"/>
      <c r="E522" s="31"/>
      <c r="F522" s="31"/>
      <c r="G522" s="31"/>
      <c r="H522" s="93"/>
      <c r="I522" s="31"/>
      <c r="J522" s="31"/>
      <c r="K522" s="31"/>
      <c r="L522" s="42"/>
      <c r="M522" s="31"/>
      <c r="N522" s="31"/>
      <c r="O522" s="42"/>
      <c r="P522" s="92"/>
      <c r="Q522" s="42"/>
      <c r="R522" s="46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x14ac:dyDescent="0.2">
      <c r="A523" s="5"/>
      <c r="B523" s="31"/>
      <c r="C523" s="31"/>
      <c r="D523" s="31"/>
      <c r="E523" s="31"/>
      <c r="F523" s="31"/>
      <c r="G523" s="31"/>
      <c r="H523" s="93"/>
      <c r="I523" s="31"/>
      <c r="J523" s="31"/>
      <c r="K523" s="31"/>
      <c r="L523" s="42"/>
      <c r="M523" s="31"/>
      <c r="N523" s="31"/>
      <c r="O523" s="42"/>
      <c r="P523" s="92"/>
      <c r="Q523" s="42"/>
      <c r="R523" s="46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x14ac:dyDescent="0.2">
      <c r="A524" s="5"/>
      <c r="B524" s="31"/>
      <c r="C524" s="31"/>
      <c r="D524" s="31"/>
      <c r="E524" s="31"/>
      <c r="F524" s="31"/>
      <c r="G524" s="31"/>
      <c r="H524" s="93"/>
      <c r="I524" s="31"/>
      <c r="J524" s="31"/>
      <c r="K524" s="31"/>
      <c r="L524" s="42"/>
      <c r="M524" s="31"/>
      <c r="N524" s="31"/>
      <c r="O524" s="42"/>
      <c r="P524" s="92"/>
      <c r="Q524" s="42"/>
      <c r="R524" s="46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x14ac:dyDescent="0.2">
      <c r="A525" s="5"/>
      <c r="B525" s="31"/>
      <c r="C525" s="31"/>
      <c r="D525" s="31"/>
      <c r="E525" s="31"/>
      <c r="F525" s="31"/>
      <c r="G525" s="31"/>
      <c r="H525" s="93"/>
      <c r="I525" s="31"/>
      <c r="J525" s="31"/>
      <c r="K525" s="31"/>
      <c r="L525" s="42"/>
      <c r="M525" s="31"/>
      <c r="N525" s="31"/>
      <c r="O525" s="42"/>
      <c r="P525" s="92"/>
      <c r="Q525" s="42"/>
      <c r="R525" s="46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x14ac:dyDescent="0.2">
      <c r="A526" s="5"/>
      <c r="B526" s="31"/>
      <c r="C526" s="31"/>
      <c r="D526" s="31"/>
      <c r="E526" s="31"/>
      <c r="F526" s="31"/>
      <c r="G526" s="31"/>
      <c r="H526" s="93"/>
      <c r="I526" s="31"/>
      <c r="J526" s="31"/>
      <c r="K526" s="31"/>
      <c r="L526" s="42"/>
      <c r="M526" s="31"/>
      <c r="N526" s="31"/>
      <c r="O526" s="42"/>
      <c r="P526" s="92"/>
      <c r="Q526" s="42"/>
      <c r="R526" s="46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x14ac:dyDescent="0.2">
      <c r="A527" s="5"/>
      <c r="B527" s="31"/>
      <c r="C527" s="31"/>
      <c r="D527" s="31"/>
      <c r="E527" s="31"/>
      <c r="F527" s="31"/>
      <c r="G527" s="31"/>
      <c r="H527" s="93"/>
      <c r="I527" s="31"/>
      <c r="J527" s="31"/>
      <c r="K527" s="31"/>
      <c r="L527" s="42"/>
      <c r="M527" s="31"/>
      <c r="N527" s="31"/>
      <c r="O527" s="42"/>
      <c r="P527" s="92"/>
      <c r="Q527" s="42"/>
      <c r="R527" s="46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x14ac:dyDescent="0.2">
      <c r="A528" s="5"/>
      <c r="B528" s="31"/>
      <c r="C528" s="31"/>
      <c r="D528" s="31"/>
      <c r="E528" s="31"/>
      <c r="F528" s="31"/>
      <c r="G528" s="31"/>
      <c r="H528" s="93"/>
      <c r="I528" s="31"/>
      <c r="J528" s="31"/>
      <c r="K528" s="31"/>
      <c r="L528" s="42"/>
      <c r="M528" s="31"/>
      <c r="N528" s="31"/>
      <c r="O528" s="42"/>
      <c r="P528" s="92"/>
      <c r="Q528" s="42"/>
      <c r="R528" s="46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x14ac:dyDescent="0.2">
      <c r="A529" s="5"/>
      <c r="B529" s="31"/>
      <c r="C529" s="31"/>
      <c r="D529" s="31"/>
      <c r="E529" s="31"/>
      <c r="F529" s="31"/>
      <c r="G529" s="31"/>
      <c r="H529" s="93"/>
      <c r="I529" s="31"/>
      <c r="J529" s="31"/>
      <c r="K529" s="31"/>
      <c r="L529" s="42"/>
      <c r="M529" s="31"/>
      <c r="N529" s="31"/>
      <c r="O529" s="42"/>
      <c r="P529" s="92"/>
      <c r="Q529" s="42"/>
      <c r="R529" s="46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x14ac:dyDescent="0.2">
      <c r="A530" s="5"/>
      <c r="B530" s="31"/>
      <c r="C530" s="31"/>
      <c r="D530" s="31"/>
      <c r="E530" s="31"/>
      <c r="F530" s="31"/>
      <c r="G530" s="31"/>
      <c r="H530" s="93"/>
      <c r="I530" s="31"/>
      <c r="J530" s="31"/>
      <c r="K530" s="31"/>
      <c r="L530" s="42"/>
      <c r="M530" s="31"/>
      <c r="N530" s="31"/>
      <c r="O530" s="42"/>
      <c r="P530" s="92"/>
      <c r="Q530" s="42"/>
      <c r="R530" s="46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x14ac:dyDescent="0.2">
      <c r="A531" s="5"/>
      <c r="B531" s="31"/>
      <c r="C531" s="31"/>
      <c r="D531" s="31"/>
      <c r="E531" s="31"/>
      <c r="F531" s="31"/>
      <c r="G531" s="31"/>
      <c r="H531" s="93"/>
      <c r="I531" s="31"/>
      <c r="J531" s="31"/>
      <c r="K531" s="31"/>
      <c r="L531" s="42"/>
      <c r="M531" s="31"/>
      <c r="N531" s="31"/>
      <c r="O531" s="42"/>
      <c r="P531" s="92"/>
      <c r="Q531" s="42"/>
      <c r="R531" s="46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x14ac:dyDescent="0.2">
      <c r="A532" s="5"/>
      <c r="B532" s="31"/>
      <c r="C532" s="31"/>
      <c r="D532" s="31"/>
      <c r="E532" s="31"/>
      <c r="F532" s="31"/>
      <c r="G532" s="31"/>
      <c r="H532" s="93"/>
      <c r="I532" s="31"/>
      <c r="J532" s="31"/>
      <c r="K532" s="31"/>
      <c r="L532" s="42"/>
      <c r="M532" s="31"/>
      <c r="N532" s="31"/>
      <c r="O532" s="42"/>
      <c r="P532" s="92"/>
      <c r="Q532" s="42"/>
      <c r="R532" s="46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x14ac:dyDescent="0.2">
      <c r="A533" s="5"/>
      <c r="B533" s="31"/>
      <c r="C533" s="31"/>
      <c r="D533" s="31"/>
      <c r="E533" s="31"/>
      <c r="F533" s="31"/>
      <c r="G533" s="31"/>
      <c r="H533" s="93"/>
      <c r="I533" s="31"/>
      <c r="J533" s="31"/>
      <c r="K533" s="31"/>
      <c r="L533" s="42"/>
      <c r="M533" s="31"/>
      <c r="N533" s="31"/>
      <c r="O533" s="42"/>
      <c r="P533" s="92"/>
      <c r="Q533" s="42"/>
      <c r="R533" s="46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x14ac:dyDescent="0.2">
      <c r="A534" s="5"/>
      <c r="B534" s="31"/>
      <c r="C534" s="31"/>
      <c r="D534" s="31"/>
      <c r="E534" s="31"/>
      <c r="F534" s="31"/>
      <c r="G534" s="31"/>
      <c r="H534" s="93"/>
      <c r="I534" s="31"/>
      <c r="J534" s="31"/>
      <c r="K534" s="31"/>
      <c r="L534" s="42"/>
      <c r="M534" s="31"/>
      <c r="N534" s="31"/>
      <c r="O534" s="42"/>
      <c r="P534" s="92"/>
      <c r="Q534" s="42"/>
      <c r="R534" s="46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x14ac:dyDescent="0.2">
      <c r="A535" s="5"/>
      <c r="B535" s="31"/>
      <c r="C535" s="31"/>
      <c r="D535" s="31"/>
      <c r="E535" s="31"/>
      <c r="F535" s="31"/>
      <c r="G535" s="31"/>
      <c r="H535" s="93"/>
      <c r="I535" s="31"/>
      <c r="J535" s="31"/>
      <c r="K535" s="31"/>
      <c r="L535" s="42"/>
      <c r="M535" s="31"/>
      <c r="N535" s="31"/>
      <c r="O535" s="42"/>
      <c r="P535" s="92"/>
      <c r="Q535" s="42"/>
      <c r="R535" s="46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x14ac:dyDescent="0.2">
      <c r="A536" s="5"/>
      <c r="B536" s="31"/>
      <c r="C536" s="31"/>
      <c r="D536" s="31"/>
      <c r="E536" s="31"/>
      <c r="F536" s="31"/>
      <c r="G536" s="31"/>
      <c r="H536" s="93"/>
      <c r="I536" s="31"/>
      <c r="J536" s="31"/>
      <c r="K536" s="31"/>
      <c r="L536" s="42"/>
      <c r="M536" s="31"/>
      <c r="N536" s="31"/>
      <c r="O536" s="42"/>
      <c r="P536" s="92"/>
      <c r="Q536" s="42"/>
      <c r="R536" s="46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x14ac:dyDescent="0.2">
      <c r="A537" s="5"/>
      <c r="B537" s="31"/>
      <c r="C537" s="31"/>
      <c r="D537" s="31"/>
      <c r="E537" s="31"/>
      <c r="F537" s="31"/>
      <c r="G537" s="31"/>
      <c r="H537" s="93"/>
      <c r="I537" s="31"/>
      <c r="J537" s="31"/>
      <c r="K537" s="31"/>
      <c r="L537" s="42"/>
      <c r="M537" s="31"/>
      <c r="N537" s="31"/>
      <c r="O537" s="42"/>
      <c r="P537" s="92"/>
      <c r="Q537" s="42"/>
      <c r="R537" s="46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x14ac:dyDescent="0.2">
      <c r="A538" s="5"/>
      <c r="B538" s="31"/>
      <c r="C538" s="31"/>
      <c r="D538" s="31"/>
      <c r="E538" s="31"/>
      <c r="F538" s="31"/>
      <c r="G538" s="31"/>
      <c r="H538" s="93"/>
      <c r="I538" s="31"/>
      <c r="J538" s="31"/>
      <c r="K538" s="31"/>
      <c r="L538" s="42"/>
      <c r="M538" s="31"/>
      <c r="N538" s="31"/>
      <c r="O538" s="42"/>
      <c r="P538" s="92"/>
      <c r="Q538" s="42"/>
      <c r="R538" s="46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x14ac:dyDescent="0.2">
      <c r="A539" s="5"/>
      <c r="B539" s="31"/>
      <c r="C539" s="31"/>
      <c r="D539" s="31"/>
      <c r="E539" s="31"/>
      <c r="F539" s="31"/>
      <c r="G539" s="31"/>
      <c r="H539" s="93"/>
      <c r="I539" s="31"/>
      <c r="J539" s="31"/>
      <c r="K539" s="31"/>
      <c r="L539" s="42"/>
      <c r="M539" s="31"/>
      <c r="N539" s="31"/>
      <c r="O539" s="42"/>
      <c r="P539" s="92"/>
      <c r="Q539" s="42"/>
      <c r="R539" s="46"/>
      <c r="S539" s="31"/>
      <c r="T539" s="31"/>
      <c r="U539" s="31"/>
      <c r="V539" s="31"/>
      <c r="W539" s="31"/>
      <c r="X539" s="31"/>
      <c r="Y539" s="31"/>
      <c r="Z539" s="31"/>
      <c r="AA539" s="31"/>
    </row>
    <row r="540" spans="1:27" x14ac:dyDescent="0.2">
      <c r="A540" s="5"/>
      <c r="B540" s="31"/>
      <c r="C540" s="31"/>
      <c r="D540" s="31"/>
      <c r="E540" s="31"/>
      <c r="F540" s="31"/>
      <c r="G540" s="31"/>
      <c r="H540" s="93"/>
      <c r="I540" s="31"/>
      <c r="J540" s="31"/>
      <c r="K540" s="31"/>
      <c r="L540" s="42"/>
      <c r="M540" s="31"/>
      <c r="N540" s="31"/>
      <c r="O540" s="42"/>
      <c r="P540" s="92"/>
      <c r="Q540" s="42"/>
      <c r="R540" s="46"/>
      <c r="S540" s="31"/>
      <c r="T540" s="31"/>
      <c r="U540" s="31"/>
      <c r="V540" s="31"/>
      <c r="W540" s="31"/>
      <c r="X540" s="31"/>
      <c r="Y540" s="31"/>
      <c r="Z540" s="31"/>
      <c r="AA540" s="31"/>
    </row>
    <row r="541" spans="1:27" x14ac:dyDescent="0.2">
      <c r="A541" s="5"/>
      <c r="B541" s="31"/>
      <c r="C541" s="31"/>
      <c r="D541" s="31"/>
      <c r="E541" s="31"/>
      <c r="F541" s="31"/>
      <c r="G541" s="31"/>
      <c r="H541" s="93"/>
      <c r="I541" s="31"/>
      <c r="J541" s="31"/>
      <c r="K541" s="31"/>
      <c r="L541" s="42"/>
      <c r="M541" s="31"/>
      <c r="N541" s="31"/>
      <c r="O541" s="42"/>
      <c r="P541" s="92"/>
      <c r="Q541" s="42"/>
      <c r="R541" s="46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x14ac:dyDescent="0.2">
      <c r="A542" s="5"/>
      <c r="B542" s="31"/>
      <c r="C542" s="31"/>
      <c r="D542" s="31"/>
      <c r="E542" s="31"/>
      <c r="F542" s="31"/>
      <c r="G542" s="31"/>
      <c r="H542" s="93"/>
      <c r="I542" s="31"/>
      <c r="J542" s="31"/>
      <c r="K542" s="31"/>
      <c r="L542" s="42"/>
      <c r="M542" s="31"/>
      <c r="N542" s="31"/>
      <c r="O542" s="42"/>
      <c r="P542" s="92"/>
      <c r="Q542" s="42"/>
      <c r="R542" s="46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x14ac:dyDescent="0.2">
      <c r="A543" s="5"/>
      <c r="B543" s="31"/>
      <c r="C543" s="31"/>
      <c r="D543" s="31"/>
      <c r="E543" s="31"/>
      <c r="F543" s="31"/>
      <c r="G543" s="31"/>
      <c r="H543" s="93"/>
      <c r="I543" s="31"/>
      <c r="J543" s="31"/>
      <c r="K543" s="31"/>
      <c r="L543" s="42"/>
      <c r="M543" s="31"/>
      <c r="N543" s="31"/>
      <c r="O543" s="42"/>
      <c r="P543" s="92"/>
      <c r="Q543" s="42"/>
      <c r="R543" s="46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x14ac:dyDescent="0.2">
      <c r="A544" s="5"/>
      <c r="B544" s="31"/>
      <c r="C544" s="31"/>
      <c r="D544" s="31"/>
      <c r="E544" s="31"/>
      <c r="F544" s="31"/>
      <c r="G544" s="31"/>
      <c r="H544" s="93"/>
      <c r="I544" s="31"/>
      <c r="J544" s="31"/>
      <c r="K544" s="31"/>
      <c r="L544" s="42"/>
      <c r="M544" s="31"/>
      <c r="N544" s="31"/>
      <c r="O544" s="42"/>
      <c r="P544" s="92"/>
      <c r="Q544" s="42"/>
      <c r="R544" s="46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x14ac:dyDescent="0.2">
      <c r="A545" s="5"/>
      <c r="B545" s="31"/>
      <c r="C545" s="31"/>
      <c r="D545" s="31"/>
      <c r="E545" s="31"/>
      <c r="F545" s="31"/>
      <c r="G545" s="31"/>
      <c r="H545" s="93"/>
      <c r="I545" s="31"/>
      <c r="J545" s="31"/>
      <c r="K545" s="31"/>
      <c r="L545" s="42"/>
      <c r="M545" s="31"/>
      <c r="N545" s="31"/>
      <c r="O545" s="42"/>
      <c r="P545" s="92"/>
      <c r="Q545" s="42"/>
      <c r="R545" s="46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x14ac:dyDescent="0.2">
      <c r="A546" s="5"/>
      <c r="B546" s="31"/>
      <c r="C546" s="31"/>
      <c r="D546" s="31"/>
      <c r="E546" s="31"/>
      <c r="F546" s="31"/>
      <c r="G546" s="31"/>
      <c r="H546" s="93"/>
      <c r="I546" s="31"/>
      <c r="J546" s="31"/>
      <c r="K546" s="31"/>
      <c r="L546" s="42"/>
      <c r="M546" s="31"/>
      <c r="N546" s="31"/>
      <c r="O546" s="42"/>
      <c r="P546" s="92"/>
      <c r="Q546" s="42"/>
      <c r="R546" s="46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x14ac:dyDescent="0.2">
      <c r="A547" s="5"/>
      <c r="B547" s="31"/>
      <c r="C547" s="31"/>
      <c r="D547" s="31"/>
      <c r="E547" s="31"/>
      <c r="F547" s="31"/>
      <c r="G547" s="31"/>
      <c r="H547" s="93"/>
      <c r="I547" s="31"/>
      <c r="J547" s="31"/>
      <c r="K547" s="31"/>
      <c r="L547" s="42"/>
      <c r="M547" s="31"/>
      <c r="N547" s="31"/>
      <c r="O547" s="42"/>
      <c r="P547" s="92"/>
      <c r="Q547" s="42"/>
      <c r="R547" s="46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x14ac:dyDescent="0.2">
      <c r="A548" s="5"/>
      <c r="B548" s="31"/>
      <c r="C548" s="31"/>
      <c r="D548" s="31"/>
      <c r="E548" s="31"/>
      <c r="F548" s="31"/>
      <c r="G548" s="31"/>
      <c r="H548" s="93"/>
      <c r="I548" s="31"/>
      <c r="J548" s="31"/>
      <c r="K548" s="31"/>
      <c r="L548" s="42"/>
      <c r="M548" s="31"/>
      <c r="N548" s="31"/>
      <c r="O548" s="42"/>
      <c r="P548" s="92"/>
      <c r="Q548" s="42"/>
      <c r="R548" s="46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x14ac:dyDescent="0.2">
      <c r="A549" s="5"/>
      <c r="B549" s="31"/>
      <c r="C549" s="31"/>
      <c r="D549" s="31"/>
      <c r="E549" s="31"/>
      <c r="F549" s="31"/>
      <c r="G549" s="31"/>
      <c r="H549" s="93"/>
      <c r="I549" s="31"/>
      <c r="J549" s="31"/>
      <c r="K549" s="31"/>
      <c r="L549" s="42"/>
      <c r="M549" s="31"/>
      <c r="N549" s="31"/>
      <c r="O549" s="42"/>
      <c r="P549" s="92"/>
      <c r="Q549" s="42"/>
      <c r="R549" s="46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x14ac:dyDescent="0.2">
      <c r="A550" s="5"/>
      <c r="B550" s="31"/>
      <c r="C550" s="31"/>
      <c r="D550" s="31"/>
      <c r="E550" s="31"/>
      <c r="F550" s="31"/>
      <c r="G550" s="31"/>
      <c r="H550" s="93"/>
      <c r="I550" s="31"/>
      <c r="J550" s="31"/>
      <c r="K550" s="31"/>
      <c r="L550" s="42"/>
      <c r="M550" s="31"/>
      <c r="N550" s="31"/>
      <c r="O550" s="42"/>
      <c r="P550" s="92"/>
      <c r="Q550" s="42"/>
      <c r="R550" s="46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x14ac:dyDescent="0.2">
      <c r="A551" s="5"/>
      <c r="B551" s="31"/>
      <c r="C551" s="31"/>
      <c r="D551" s="31"/>
      <c r="E551" s="31"/>
      <c r="F551" s="31"/>
      <c r="G551" s="31"/>
      <c r="H551" s="93"/>
      <c r="I551" s="31"/>
      <c r="J551" s="31"/>
      <c r="K551" s="31"/>
      <c r="L551" s="42"/>
      <c r="M551" s="31"/>
      <c r="N551" s="31"/>
      <c r="O551" s="42"/>
      <c r="P551" s="92"/>
      <c r="Q551" s="42"/>
      <c r="R551" s="46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x14ac:dyDescent="0.2">
      <c r="A552" s="5"/>
      <c r="B552" s="31"/>
      <c r="C552" s="31"/>
      <c r="D552" s="31"/>
      <c r="E552" s="31"/>
      <c r="F552" s="31"/>
      <c r="G552" s="31"/>
      <c r="H552" s="93"/>
      <c r="I552" s="31"/>
      <c r="J552" s="31"/>
      <c r="K552" s="31"/>
      <c r="L552" s="42"/>
      <c r="M552" s="31"/>
      <c r="N552" s="31"/>
      <c r="O552" s="42"/>
      <c r="P552" s="92"/>
      <c r="Q552" s="42"/>
      <c r="R552" s="46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x14ac:dyDescent="0.2">
      <c r="A553" s="5"/>
      <c r="B553" s="31"/>
      <c r="C553" s="31"/>
      <c r="D553" s="31"/>
      <c r="E553" s="31"/>
      <c r="F553" s="31"/>
      <c r="G553" s="31"/>
      <c r="H553" s="93"/>
      <c r="I553" s="31"/>
      <c r="J553" s="31"/>
      <c r="K553" s="31"/>
      <c r="L553" s="42"/>
      <c r="M553" s="31"/>
      <c r="N553" s="31"/>
      <c r="O553" s="42"/>
      <c r="P553" s="92"/>
      <c r="Q553" s="42"/>
      <c r="R553" s="46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x14ac:dyDescent="0.2">
      <c r="A554" s="5"/>
      <c r="B554" s="31"/>
      <c r="C554" s="31"/>
      <c r="D554" s="31"/>
      <c r="E554" s="31"/>
      <c r="F554" s="31"/>
      <c r="G554" s="31"/>
      <c r="H554" s="93"/>
      <c r="I554" s="31"/>
      <c r="J554" s="31"/>
      <c r="K554" s="31"/>
      <c r="L554" s="42"/>
      <c r="M554" s="31"/>
      <c r="N554" s="31"/>
      <c r="O554" s="42"/>
      <c r="P554" s="92"/>
      <c r="Q554" s="42"/>
      <c r="R554" s="46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x14ac:dyDescent="0.2">
      <c r="A555" s="5"/>
      <c r="B555" s="31"/>
      <c r="C555" s="31"/>
      <c r="D555" s="31"/>
      <c r="E555" s="31"/>
      <c r="F555" s="31"/>
      <c r="G555" s="31"/>
      <c r="H555" s="93"/>
      <c r="I555" s="31"/>
      <c r="J555" s="31"/>
      <c r="K555" s="31"/>
      <c r="L555" s="42"/>
      <c r="M555" s="31"/>
      <c r="N555" s="31"/>
      <c r="O555" s="42"/>
      <c r="P555" s="92"/>
      <c r="Q555" s="42"/>
      <c r="R555" s="46"/>
      <c r="S555" s="31"/>
      <c r="T555" s="31"/>
      <c r="U555" s="31"/>
      <c r="V555" s="31"/>
      <c r="W555" s="31"/>
      <c r="X555" s="31"/>
      <c r="Y555" s="31"/>
      <c r="Z555" s="31"/>
      <c r="AA555" s="31"/>
    </row>
    <row r="556" spans="1:27" x14ac:dyDescent="0.2">
      <c r="A556" s="5"/>
      <c r="B556" s="31"/>
      <c r="C556" s="31"/>
      <c r="D556" s="31"/>
      <c r="E556" s="31"/>
      <c r="F556" s="31"/>
      <c r="G556" s="31"/>
      <c r="H556" s="93"/>
      <c r="I556" s="31"/>
      <c r="J556" s="31"/>
      <c r="K556" s="31"/>
      <c r="L556" s="42"/>
      <c r="M556" s="31"/>
      <c r="N556" s="31"/>
      <c r="O556" s="42"/>
      <c r="P556" s="92"/>
      <c r="Q556" s="42"/>
      <c r="R556" s="46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x14ac:dyDescent="0.2">
      <c r="A557" s="5"/>
      <c r="B557" s="31"/>
      <c r="C557" s="31"/>
      <c r="D557" s="31"/>
      <c r="E557" s="31"/>
      <c r="F557" s="31"/>
      <c r="G557" s="31"/>
      <c r="H557" s="93"/>
      <c r="I557" s="31"/>
      <c r="J557" s="31"/>
      <c r="K557" s="31"/>
      <c r="L557" s="42"/>
      <c r="M557" s="31"/>
      <c r="N557" s="31"/>
      <c r="O557" s="42"/>
      <c r="P557" s="92"/>
      <c r="Q557" s="42"/>
      <c r="R557" s="46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x14ac:dyDescent="0.2">
      <c r="A558" s="5"/>
      <c r="B558" s="31"/>
      <c r="C558" s="31"/>
      <c r="D558" s="31"/>
      <c r="E558" s="31"/>
      <c r="F558" s="31"/>
      <c r="G558" s="31"/>
      <c r="H558" s="93"/>
      <c r="I558" s="31"/>
      <c r="J558" s="31"/>
      <c r="K558" s="31"/>
      <c r="L558" s="42"/>
      <c r="M558" s="31"/>
      <c r="N558" s="31"/>
      <c r="O558" s="42"/>
      <c r="P558" s="92"/>
      <c r="Q558" s="42"/>
      <c r="R558" s="46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x14ac:dyDescent="0.2">
      <c r="A559" s="5"/>
      <c r="B559" s="31"/>
      <c r="C559" s="31"/>
      <c r="D559" s="31"/>
      <c r="E559" s="31"/>
      <c r="F559" s="31"/>
      <c r="G559" s="31"/>
      <c r="H559" s="93"/>
      <c r="I559" s="31"/>
      <c r="J559" s="31"/>
      <c r="K559" s="31"/>
      <c r="L559" s="42"/>
      <c r="M559" s="31"/>
      <c r="N559" s="31"/>
      <c r="O559" s="42"/>
      <c r="P559" s="92"/>
      <c r="Q559" s="42"/>
      <c r="R559" s="46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x14ac:dyDescent="0.2">
      <c r="A560" s="5"/>
      <c r="B560" s="31"/>
      <c r="C560" s="31"/>
      <c r="D560" s="31"/>
      <c r="E560" s="31"/>
      <c r="F560" s="31"/>
      <c r="G560" s="31"/>
      <c r="H560" s="93"/>
      <c r="I560" s="31"/>
      <c r="J560" s="31"/>
      <c r="K560" s="31"/>
      <c r="L560" s="42"/>
      <c r="M560" s="31"/>
      <c r="N560" s="31"/>
      <c r="O560" s="42"/>
      <c r="P560" s="92"/>
      <c r="Q560" s="42"/>
      <c r="R560" s="46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x14ac:dyDescent="0.2">
      <c r="A561" s="5"/>
      <c r="B561" s="31"/>
      <c r="C561" s="31"/>
      <c r="D561" s="31"/>
      <c r="E561" s="31"/>
      <c r="F561" s="31"/>
      <c r="G561" s="31"/>
      <c r="H561" s="93"/>
      <c r="I561" s="31"/>
      <c r="J561" s="31"/>
      <c r="K561" s="31"/>
      <c r="L561" s="42"/>
      <c r="M561" s="31"/>
      <c r="N561" s="31"/>
      <c r="O561" s="42"/>
      <c r="P561" s="92"/>
      <c r="Q561" s="42"/>
      <c r="R561" s="46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x14ac:dyDescent="0.2">
      <c r="A562" s="5"/>
      <c r="B562" s="31"/>
      <c r="C562" s="31"/>
      <c r="D562" s="31"/>
      <c r="E562" s="31"/>
      <c r="F562" s="31"/>
      <c r="G562" s="31"/>
      <c r="H562" s="93"/>
      <c r="I562" s="31"/>
      <c r="J562" s="31"/>
      <c r="K562" s="31"/>
      <c r="L562" s="42"/>
      <c r="M562" s="31"/>
      <c r="N562" s="31"/>
      <c r="O562" s="42"/>
      <c r="P562" s="92"/>
      <c r="Q562" s="42"/>
      <c r="R562" s="46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x14ac:dyDescent="0.2">
      <c r="A563" s="5"/>
      <c r="B563" s="31"/>
      <c r="C563" s="31"/>
      <c r="D563" s="31"/>
      <c r="E563" s="31"/>
      <c r="F563" s="31"/>
      <c r="G563" s="31"/>
      <c r="H563" s="93"/>
      <c r="I563" s="31"/>
      <c r="J563" s="31"/>
      <c r="K563" s="31"/>
      <c r="L563" s="42"/>
      <c r="M563" s="31"/>
      <c r="N563" s="31"/>
      <c r="O563" s="42"/>
      <c r="P563" s="92"/>
      <c r="Q563" s="42"/>
      <c r="R563" s="46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x14ac:dyDescent="0.2">
      <c r="A564" s="5"/>
      <c r="B564" s="31"/>
      <c r="C564" s="31"/>
      <c r="D564" s="31"/>
      <c r="E564" s="31"/>
      <c r="F564" s="31"/>
      <c r="G564" s="31"/>
      <c r="H564" s="93"/>
      <c r="I564" s="31"/>
      <c r="J564" s="31"/>
      <c r="K564" s="31"/>
      <c r="L564" s="42"/>
      <c r="M564" s="31"/>
      <c r="N564" s="31"/>
      <c r="O564" s="42"/>
      <c r="P564" s="92"/>
      <c r="Q564" s="42"/>
      <c r="R564" s="46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x14ac:dyDescent="0.2">
      <c r="A565" s="5"/>
      <c r="B565" s="31"/>
      <c r="C565" s="31"/>
      <c r="D565" s="31"/>
      <c r="E565" s="31"/>
      <c r="F565" s="31"/>
      <c r="G565" s="31"/>
      <c r="H565" s="93"/>
      <c r="I565" s="31"/>
      <c r="J565" s="31"/>
      <c r="K565" s="31"/>
      <c r="L565" s="42"/>
      <c r="M565" s="31"/>
      <c r="N565" s="31"/>
      <c r="O565" s="42"/>
      <c r="P565" s="92"/>
      <c r="Q565" s="42"/>
      <c r="R565" s="46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x14ac:dyDescent="0.2">
      <c r="A566" s="5"/>
      <c r="B566" s="31"/>
      <c r="C566" s="31"/>
      <c r="D566" s="31"/>
      <c r="E566" s="31"/>
      <c r="F566" s="31"/>
      <c r="G566" s="31"/>
      <c r="H566" s="93"/>
      <c r="I566" s="31"/>
      <c r="J566" s="31"/>
      <c r="K566" s="31"/>
      <c r="L566" s="42"/>
      <c r="M566" s="31"/>
      <c r="N566" s="31"/>
      <c r="O566" s="42"/>
      <c r="P566" s="92"/>
      <c r="Q566" s="42"/>
      <c r="R566" s="46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x14ac:dyDescent="0.2">
      <c r="A567" s="5"/>
      <c r="B567" s="31"/>
      <c r="C567" s="31"/>
      <c r="D567" s="31"/>
      <c r="E567" s="31"/>
      <c r="F567" s="31"/>
      <c r="G567" s="31"/>
      <c r="H567" s="93"/>
      <c r="I567" s="31"/>
      <c r="J567" s="31"/>
      <c r="K567" s="31"/>
      <c r="L567" s="42"/>
      <c r="M567" s="31"/>
      <c r="N567" s="31"/>
      <c r="O567" s="42"/>
      <c r="P567" s="92"/>
      <c r="Q567" s="42"/>
      <c r="R567" s="46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x14ac:dyDescent="0.2">
      <c r="A568" s="5"/>
      <c r="B568" s="31"/>
      <c r="C568" s="31"/>
      <c r="D568" s="31"/>
      <c r="E568" s="31"/>
      <c r="F568" s="31"/>
      <c r="G568" s="31"/>
      <c r="H568" s="93"/>
      <c r="I568" s="31"/>
      <c r="J568" s="31"/>
      <c r="K568" s="31"/>
      <c r="L568" s="42"/>
      <c r="M568" s="31"/>
      <c r="N568" s="31"/>
      <c r="O568" s="42"/>
      <c r="P568" s="92"/>
      <c r="Q568" s="42"/>
      <c r="R568" s="46"/>
      <c r="S568" s="31"/>
      <c r="T568" s="31"/>
      <c r="U568" s="31"/>
      <c r="V568" s="31"/>
      <c r="W568" s="31"/>
      <c r="X568" s="31"/>
      <c r="Y568" s="31"/>
      <c r="Z568" s="31"/>
      <c r="AA568" s="31"/>
    </row>
    <row r="569" spans="1:27" x14ac:dyDescent="0.2">
      <c r="A569" s="5"/>
      <c r="B569" s="31"/>
      <c r="C569" s="31"/>
      <c r="D569" s="31"/>
      <c r="E569" s="31"/>
      <c r="F569" s="31"/>
      <c r="G569" s="31"/>
      <c r="H569" s="93"/>
      <c r="I569" s="31"/>
      <c r="J569" s="31"/>
      <c r="K569" s="31"/>
      <c r="L569" s="42"/>
      <c r="M569" s="31"/>
      <c r="N569" s="31"/>
      <c r="O569" s="42"/>
      <c r="P569" s="92"/>
      <c r="Q569" s="42"/>
      <c r="R569" s="46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x14ac:dyDescent="0.2">
      <c r="A570" s="5"/>
      <c r="B570" s="31"/>
      <c r="C570" s="31"/>
      <c r="D570" s="31"/>
      <c r="E570" s="31"/>
      <c r="F570" s="31"/>
      <c r="G570" s="31"/>
      <c r="H570" s="93"/>
      <c r="I570" s="31"/>
      <c r="J570" s="31"/>
      <c r="K570" s="31"/>
      <c r="L570" s="42"/>
      <c r="M570" s="31"/>
      <c r="N570" s="31"/>
      <c r="O570" s="42"/>
      <c r="P570" s="92"/>
      <c r="Q570" s="42"/>
      <c r="R570" s="46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x14ac:dyDescent="0.2">
      <c r="A571" s="5"/>
      <c r="B571" s="31"/>
      <c r="C571" s="31"/>
      <c r="D571" s="31"/>
      <c r="E571" s="31"/>
      <c r="F571" s="31"/>
      <c r="G571" s="31"/>
      <c r="H571" s="93"/>
      <c r="I571" s="31"/>
      <c r="J571" s="31"/>
      <c r="K571" s="31"/>
      <c r="L571" s="42"/>
      <c r="M571" s="31"/>
      <c r="N571" s="31"/>
      <c r="O571" s="42"/>
      <c r="P571" s="92"/>
      <c r="Q571" s="42"/>
      <c r="R571" s="46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x14ac:dyDescent="0.2">
      <c r="A572" s="5"/>
      <c r="B572" s="31"/>
      <c r="C572" s="31"/>
      <c r="D572" s="31"/>
      <c r="E572" s="31"/>
      <c r="F572" s="31"/>
      <c r="G572" s="31"/>
      <c r="H572" s="93"/>
      <c r="I572" s="31"/>
      <c r="J572" s="31"/>
      <c r="K572" s="31"/>
      <c r="L572" s="42"/>
      <c r="M572" s="31"/>
      <c r="N572" s="31"/>
      <c r="O572" s="42"/>
      <c r="P572" s="92"/>
      <c r="Q572" s="42"/>
      <c r="R572" s="46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x14ac:dyDescent="0.2">
      <c r="A573" s="5"/>
      <c r="B573" s="31"/>
      <c r="C573" s="31"/>
      <c r="D573" s="31"/>
      <c r="E573" s="31"/>
      <c r="F573" s="31"/>
      <c r="G573" s="31"/>
      <c r="H573" s="93"/>
      <c r="I573" s="31"/>
      <c r="J573" s="31"/>
      <c r="K573" s="31"/>
      <c r="L573" s="42"/>
      <c r="M573" s="31"/>
      <c r="N573" s="31"/>
      <c r="O573" s="42"/>
      <c r="P573" s="92"/>
      <c r="Q573" s="42"/>
      <c r="R573" s="46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x14ac:dyDescent="0.2">
      <c r="A574" s="5"/>
      <c r="B574" s="31"/>
      <c r="C574" s="31"/>
      <c r="D574" s="31"/>
      <c r="E574" s="31"/>
      <c r="F574" s="31"/>
      <c r="G574" s="31"/>
      <c r="H574" s="93"/>
      <c r="I574" s="31"/>
      <c r="J574" s="31"/>
      <c r="K574" s="31"/>
      <c r="L574" s="42"/>
      <c r="M574" s="31"/>
      <c r="N574" s="31"/>
      <c r="O574" s="42"/>
      <c r="P574" s="92"/>
      <c r="Q574" s="42"/>
      <c r="R574" s="46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x14ac:dyDescent="0.2">
      <c r="A575" s="5"/>
      <c r="B575" s="31"/>
      <c r="C575" s="31"/>
      <c r="D575" s="31"/>
      <c r="E575" s="31"/>
      <c r="F575" s="31"/>
      <c r="G575" s="31"/>
      <c r="H575" s="93"/>
      <c r="I575" s="31"/>
      <c r="J575" s="31"/>
      <c r="K575" s="31"/>
      <c r="L575" s="42"/>
      <c r="M575" s="31"/>
      <c r="N575" s="31"/>
      <c r="O575" s="42"/>
      <c r="P575" s="92"/>
      <c r="Q575" s="42"/>
      <c r="R575" s="46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x14ac:dyDescent="0.2">
      <c r="A576" s="5"/>
      <c r="B576" s="31"/>
      <c r="C576" s="31"/>
      <c r="D576" s="31"/>
      <c r="E576" s="31"/>
      <c r="F576" s="31"/>
      <c r="G576" s="31"/>
      <c r="H576" s="93"/>
      <c r="I576" s="31"/>
      <c r="J576" s="31"/>
      <c r="K576" s="31"/>
      <c r="L576" s="42"/>
      <c r="M576" s="31"/>
      <c r="N576" s="31"/>
      <c r="O576" s="42"/>
      <c r="P576" s="92"/>
      <c r="Q576" s="42"/>
      <c r="R576" s="46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x14ac:dyDescent="0.2">
      <c r="A577" s="5"/>
      <c r="B577" s="31"/>
      <c r="C577" s="31"/>
      <c r="D577" s="31"/>
      <c r="E577" s="31"/>
      <c r="F577" s="31"/>
      <c r="G577" s="31"/>
      <c r="H577" s="93"/>
      <c r="I577" s="31"/>
      <c r="J577" s="31"/>
      <c r="K577" s="31"/>
      <c r="L577" s="42"/>
      <c r="M577" s="31"/>
      <c r="N577" s="31"/>
      <c r="O577" s="42"/>
      <c r="P577" s="92"/>
      <c r="Q577" s="42"/>
      <c r="R577" s="46"/>
      <c r="S577" s="31"/>
      <c r="T577" s="31"/>
      <c r="U577" s="31"/>
      <c r="V577" s="31"/>
      <c r="W577" s="31"/>
      <c r="X577" s="31"/>
      <c r="Y577" s="31"/>
      <c r="Z577" s="31"/>
      <c r="AA577" s="31"/>
    </row>
    <row r="578" spans="1:27" x14ac:dyDescent="0.2">
      <c r="A578" s="5"/>
      <c r="B578" s="31"/>
      <c r="C578" s="31"/>
      <c r="D578" s="31"/>
      <c r="E578" s="31"/>
      <c r="F578" s="31"/>
      <c r="G578" s="31"/>
      <c r="H578" s="93"/>
      <c r="I578" s="31"/>
      <c r="J578" s="31"/>
      <c r="K578" s="31"/>
      <c r="L578" s="42"/>
      <c r="M578" s="31"/>
      <c r="N578" s="31"/>
      <c r="O578" s="42"/>
      <c r="P578" s="92"/>
      <c r="Q578" s="42"/>
      <c r="R578" s="46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x14ac:dyDescent="0.2">
      <c r="A579" s="5"/>
      <c r="B579" s="31"/>
      <c r="C579" s="31"/>
      <c r="D579" s="31"/>
      <c r="E579" s="31"/>
      <c r="F579" s="31"/>
      <c r="G579" s="31"/>
      <c r="H579" s="93"/>
      <c r="I579" s="31"/>
      <c r="J579" s="31"/>
      <c r="K579" s="31"/>
      <c r="L579" s="42"/>
      <c r="M579" s="31"/>
      <c r="N579" s="31"/>
      <c r="O579" s="42"/>
      <c r="P579" s="92"/>
      <c r="Q579" s="42"/>
      <c r="R579" s="46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x14ac:dyDescent="0.2">
      <c r="A580" s="5"/>
      <c r="B580" s="31"/>
      <c r="C580" s="31"/>
      <c r="D580" s="31"/>
      <c r="E580" s="31"/>
      <c r="F580" s="31"/>
      <c r="G580" s="31"/>
      <c r="H580" s="93"/>
      <c r="I580" s="31"/>
      <c r="J580" s="31"/>
      <c r="K580" s="31"/>
      <c r="L580" s="42"/>
      <c r="M580" s="31"/>
      <c r="N580" s="31"/>
      <c r="O580" s="42"/>
      <c r="P580" s="92"/>
      <c r="Q580" s="42"/>
      <c r="R580" s="46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x14ac:dyDescent="0.2">
      <c r="A581" s="5"/>
      <c r="B581" s="31"/>
      <c r="C581" s="31"/>
      <c r="D581" s="31"/>
      <c r="E581" s="31"/>
      <c r="F581" s="31"/>
      <c r="G581" s="31"/>
      <c r="H581" s="93"/>
      <c r="I581" s="31"/>
      <c r="J581" s="31"/>
      <c r="K581" s="31"/>
      <c r="L581" s="42"/>
      <c r="M581" s="31"/>
      <c r="N581" s="31"/>
      <c r="O581" s="42"/>
      <c r="P581" s="92"/>
      <c r="Q581" s="42"/>
      <c r="R581" s="46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x14ac:dyDescent="0.2">
      <c r="A582" s="5"/>
      <c r="B582" s="31"/>
      <c r="C582" s="31"/>
      <c r="D582" s="31"/>
      <c r="E582" s="31"/>
      <c r="F582" s="31"/>
      <c r="G582" s="31"/>
      <c r="H582" s="93"/>
      <c r="I582" s="31"/>
      <c r="J582" s="31"/>
      <c r="K582" s="31"/>
      <c r="L582" s="42"/>
      <c r="M582" s="31"/>
      <c r="N582" s="31"/>
      <c r="O582" s="42"/>
      <c r="P582" s="92"/>
      <c r="Q582" s="42"/>
      <c r="R582" s="46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x14ac:dyDescent="0.2">
      <c r="A583" s="5"/>
      <c r="B583" s="31"/>
      <c r="C583" s="31"/>
      <c r="D583" s="31"/>
      <c r="E583" s="31"/>
      <c r="F583" s="31"/>
      <c r="G583" s="31"/>
      <c r="H583" s="93"/>
      <c r="I583" s="31"/>
      <c r="J583" s="31"/>
      <c r="K583" s="31"/>
      <c r="L583" s="42"/>
      <c r="M583" s="31"/>
      <c r="N583" s="31"/>
      <c r="O583" s="42"/>
      <c r="P583" s="92"/>
      <c r="Q583" s="42"/>
      <c r="R583" s="46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x14ac:dyDescent="0.2">
      <c r="A584" s="5"/>
      <c r="B584" s="31"/>
      <c r="C584" s="31"/>
      <c r="D584" s="31"/>
      <c r="E584" s="31"/>
      <c r="F584" s="31"/>
      <c r="G584" s="31"/>
      <c r="H584" s="93"/>
      <c r="I584" s="31"/>
      <c r="J584" s="31"/>
      <c r="K584" s="31"/>
      <c r="L584" s="42"/>
      <c r="M584" s="31"/>
      <c r="N584" s="31"/>
      <c r="O584" s="42"/>
      <c r="P584" s="92"/>
      <c r="Q584" s="42"/>
      <c r="R584" s="46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x14ac:dyDescent="0.2">
      <c r="A585" s="5"/>
      <c r="B585" s="31"/>
      <c r="C585" s="31"/>
      <c r="D585" s="31"/>
      <c r="E585" s="31"/>
      <c r="F585" s="31"/>
      <c r="G585" s="31"/>
      <c r="H585" s="93"/>
      <c r="I585" s="31"/>
      <c r="J585" s="31"/>
      <c r="K585" s="31"/>
      <c r="L585" s="42"/>
      <c r="M585" s="31"/>
      <c r="N585" s="31"/>
      <c r="O585" s="42"/>
      <c r="P585" s="92"/>
      <c r="Q585" s="42"/>
      <c r="R585" s="46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x14ac:dyDescent="0.2">
      <c r="A586" s="5"/>
      <c r="B586" s="31"/>
      <c r="C586" s="31"/>
      <c r="D586" s="31"/>
      <c r="E586" s="31"/>
      <c r="F586" s="31"/>
      <c r="G586" s="31"/>
      <c r="H586" s="93"/>
      <c r="I586" s="31"/>
      <c r="J586" s="31"/>
      <c r="K586" s="31"/>
      <c r="L586" s="42"/>
      <c r="M586" s="31"/>
      <c r="N586" s="31"/>
      <c r="O586" s="42"/>
      <c r="P586" s="92"/>
      <c r="Q586" s="42"/>
      <c r="R586" s="46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x14ac:dyDescent="0.2">
      <c r="A587" s="5"/>
      <c r="B587" s="31"/>
      <c r="C587" s="31"/>
      <c r="D587" s="31"/>
      <c r="E587" s="31"/>
      <c r="F587" s="31"/>
      <c r="G587" s="31"/>
      <c r="H587" s="93"/>
      <c r="I587" s="31"/>
      <c r="J587" s="31"/>
      <c r="K587" s="31"/>
      <c r="L587" s="42"/>
      <c r="M587" s="31"/>
      <c r="N587" s="31"/>
      <c r="O587" s="42"/>
      <c r="P587" s="92"/>
      <c r="Q587" s="42"/>
      <c r="R587" s="46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x14ac:dyDescent="0.2">
      <c r="A588" s="5"/>
      <c r="B588" s="31"/>
      <c r="C588" s="31"/>
      <c r="D588" s="31"/>
      <c r="E588" s="31"/>
      <c r="F588" s="31"/>
      <c r="G588" s="31"/>
      <c r="H588" s="93"/>
      <c r="I588" s="31"/>
      <c r="J588" s="31"/>
      <c r="K588" s="31"/>
      <c r="L588" s="42"/>
      <c r="M588" s="31"/>
      <c r="N588" s="31"/>
      <c r="O588" s="42"/>
      <c r="P588" s="92"/>
      <c r="Q588" s="42"/>
      <c r="R588" s="46"/>
      <c r="S588" s="31"/>
      <c r="T588" s="31"/>
      <c r="U588" s="31"/>
      <c r="V588" s="31"/>
      <c r="W588" s="31"/>
      <c r="X588" s="31"/>
      <c r="Y588" s="31"/>
      <c r="Z588" s="31"/>
      <c r="AA588" s="31"/>
    </row>
    <row r="589" spans="1:27" x14ac:dyDescent="0.2">
      <c r="A589" s="5"/>
      <c r="B589" s="31"/>
      <c r="C589" s="31"/>
      <c r="D589" s="31"/>
      <c r="E589" s="31"/>
      <c r="F589" s="31"/>
      <c r="G589" s="31"/>
      <c r="H589" s="93"/>
      <c r="I589" s="31"/>
      <c r="J589" s="31"/>
      <c r="K589" s="31"/>
      <c r="L589" s="42"/>
      <c r="M589" s="31"/>
      <c r="N589" s="31"/>
      <c r="O589" s="42"/>
      <c r="P589" s="92"/>
      <c r="Q589" s="42"/>
      <c r="R589" s="46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x14ac:dyDescent="0.2">
      <c r="A590" s="5"/>
      <c r="B590" s="31"/>
      <c r="C590" s="31"/>
      <c r="D590" s="31"/>
      <c r="E590" s="31"/>
      <c r="F590" s="31"/>
      <c r="G590" s="31"/>
      <c r="H590" s="93"/>
      <c r="I590" s="31"/>
      <c r="J590" s="31"/>
      <c r="K590" s="31"/>
      <c r="L590" s="42"/>
      <c r="M590" s="31"/>
      <c r="N590" s="31"/>
      <c r="O590" s="42"/>
      <c r="P590" s="92"/>
      <c r="Q590" s="42"/>
      <c r="R590" s="46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x14ac:dyDescent="0.2">
      <c r="A591" s="5"/>
      <c r="B591" s="31"/>
      <c r="C591" s="31"/>
      <c r="D591" s="31"/>
      <c r="E591" s="31"/>
      <c r="F591" s="31"/>
      <c r="G591" s="31"/>
      <c r="H591" s="93"/>
      <c r="I591" s="31"/>
      <c r="J591" s="31"/>
      <c r="K591" s="31"/>
      <c r="L591" s="42"/>
      <c r="M591" s="31"/>
      <c r="N591" s="31"/>
      <c r="O591" s="42"/>
      <c r="P591" s="92"/>
      <c r="Q591" s="42"/>
      <c r="R591" s="46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x14ac:dyDescent="0.2">
      <c r="A592" s="5"/>
      <c r="B592" s="31"/>
      <c r="C592" s="31"/>
      <c r="D592" s="31"/>
      <c r="E592" s="31"/>
      <c r="F592" s="31"/>
      <c r="G592" s="31"/>
      <c r="H592" s="93"/>
      <c r="I592" s="31"/>
      <c r="J592" s="31"/>
      <c r="K592" s="31"/>
      <c r="L592" s="42"/>
      <c r="M592" s="31"/>
      <c r="N592" s="31"/>
      <c r="O592" s="42"/>
      <c r="P592" s="92"/>
      <c r="Q592" s="42"/>
      <c r="R592" s="46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x14ac:dyDescent="0.2">
      <c r="A593" s="5"/>
      <c r="B593" s="31"/>
      <c r="C593" s="31"/>
      <c r="D593" s="31"/>
      <c r="E593" s="31"/>
      <c r="F593" s="31"/>
      <c r="G593" s="31"/>
      <c r="H593" s="93"/>
      <c r="I593" s="31"/>
      <c r="J593" s="31"/>
      <c r="K593" s="31"/>
      <c r="L593" s="42"/>
      <c r="M593" s="31"/>
      <c r="N593" s="31"/>
      <c r="O593" s="42"/>
      <c r="P593" s="92"/>
      <c r="Q593" s="42"/>
      <c r="R593" s="46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x14ac:dyDescent="0.2">
      <c r="A594" s="5"/>
      <c r="B594" s="31"/>
      <c r="C594" s="31"/>
      <c r="D594" s="31"/>
      <c r="E594" s="31"/>
      <c r="F594" s="31"/>
      <c r="G594" s="31"/>
      <c r="H594" s="93"/>
      <c r="I594" s="31"/>
      <c r="J594" s="31"/>
      <c r="K594" s="31"/>
      <c r="L594" s="42"/>
      <c r="M594" s="31"/>
      <c r="N594" s="31"/>
      <c r="O594" s="42"/>
      <c r="P594" s="92"/>
      <c r="Q594" s="42"/>
      <c r="R594" s="46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x14ac:dyDescent="0.2">
      <c r="A595" s="5"/>
      <c r="B595" s="31"/>
      <c r="C595" s="31"/>
      <c r="D595" s="31"/>
      <c r="E595" s="31"/>
      <c r="F595" s="31"/>
      <c r="G595" s="31"/>
      <c r="H595" s="93"/>
      <c r="I595" s="31"/>
      <c r="J595" s="31"/>
      <c r="K595" s="31"/>
      <c r="L595" s="42"/>
      <c r="M595" s="31"/>
      <c r="N595" s="31"/>
      <c r="O595" s="42"/>
      <c r="P595" s="92"/>
      <c r="Q595" s="42"/>
      <c r="R595" s="46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x14ac:dyDescent="0.2">
      <c r="A596" s="5"/>
      <c r="B596" s="31"/>
      <c r="C596" s="31"/>
      <c r="D596" s="31"/>
      <c r="E596" s="31"/>
      <c r="F596" s="31"/>
      <c r="G596" s="31"/>
      <c r="H596" s="93"/>
      <c r="I596" s="31"/>
      <c r="J596" s="31"/>
      <c r="K596" s="31"/>
      <c r="L596" s="42"/>
      <c r="M596" s="31"/>
      <c r="N596" s="31"/>
      <c r="O596" s="42"/>
      <c r="P596" s="92"/>
      <c r="Q596" s="42"/>
      <c r="R596" s="46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x14ac:dyDescent="0.2">
      <c r="A597" s="5"/>
      <c r="B597" s="31"/>
      <c r="C597" s="31"/>
      <c r="D597" s="31"/>
      <c r="E597" s="31"/>
      <c r="F597" s="31"/>
      <c r="G597" s="31"/>
      <c r="H597" s="93"/>
      <c r="I597" s="31"/>
      <c r="J597" s="31"/>
      <c r="K597" s="31"/>
      <c r="L597" s="42"/>
      <c r="M597" s="31"/>
      <c r="N597" s="31"/>
      <c r="O597" s="42"/>
      <c r="P597" s="92"/>
      <c r="Q597" s="42"/>
      <c r="R597" s="46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x14ac:dyDescent="0.2">
      <c r="A598" s="5"/>
      <c r="B598" s="31"/>
      <c r="C598" s="31"/>
      <c r="D598" s="31"/>
      <c r="E598" s="31"/>
      <c r="F598" s="31"/>
      <c r="G598" s="31"/>
      <c r="H598" s="93"/>
      <c r="I598" s="31"/>
      <c r="J598" s="31"/>
      <c r="K598" s="31"/>
      <c r="L598" s="42"/>
      <c r="M598" s="31"/>
      <c r="N598" s="31"/>
      <c r="O598" s="42"/>
      <c r="P598" s="92"/>
      <c r="Q598" s="42"/>
      <c r="R598" s="46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x14ac:dyDescent="0.2">
      <c r="A599" s="5"/>
      <c r="B599" s="31"/>
      <c r="C599" s="31"/>
      <c r="D599" s="31"/>
      <c r="E599" s="31"/>
      <c r="F599" s="31"/>
      <c r="G599" s="31"/>
      <c r="H599" s="93"/>
      <c r="I599" s="31"/>
      <c r="J599" s="31"/>
      <c r="K599" s="31"/>
      <c r="L599" s="42"/>
      <c r="M599" s="31"/>
      <c r="N599" s="31"/>
      <c r="O599" s="42"/>
      <c r="P599" s="92"/>
      <c r="Q599" s="42"/>
      <c r="R599" s="46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x14ac:dyDescent="0.2">
      <c r="A600" s="5"/>
      <c r="B600" s="31"/>
      <c r="C600" s="31"/>
      <c r="D600" s="31"/>
      <c r="E600" s="31"/>
      <c r="F600" s="31"/>
      <c r="G600" s="31"/>
      <c r="H600" s="93"/>
      <c r="I600" s="31"/>
      <c r="J600" s="31"/>
      <c r="K600" s="31"/>
      <c r="L600" s="42"/>
      <c r="M600" s="31"/>
      <c r="N600" s="31"/>
      <c r="O600" s="42"/>
      <c r="P600" s="92"/>
      <c r="Q600" s="42"/>
      <c r="R600" s="46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x14ac:dyDescent="0.2">
      <c r="A601" s="5"/>
      <c r="B601" s="31"/>
      <c r="C601" s="31"/>
      <c r="D601" s="31"/>
      <c r="E601" s="31"/>
      <c r="F601" s="31"/>
      <c r="G601" s="31"/>
      <c r="H601" s="93"/>
      <c r="I601" s="31"/>
      <c r="J601" s="31"/>
      <c r="K601" s="31"/>
      <c r="L601" s="42"/>
      <c r="M601" s="31"/>
      <c r="N601" s="31"/>
      <c r="O601" s="42"/>
      <c r="P601" s="92"/>
      <c r="Q601" s="42"/>
      <c r="R601" s="46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x14ac:dyDescent="0.2">
      <c r="A602" s="5"/>
      <c r="B602" s="31"/>
      <c r="C602" s="31"/>
      <c r="D602" s="31"/>
      <c r="E602" s="31"/>
      <c r="F602" s="31"/>
      <c r="G602" s="31"/>
      <c r="H602" s="93"/>
      <c r="I602" s="31"/>
      <c r="J602" s="31"/>
      <c r="K602" s="31"/>
      <c r="L602" s="42"/>
      <c r="M602" s="31"/>
      <c r="N602" s="31"/>
      <c r="O602" s="42"/>
      <c r="P602" s="92"/>
      <c r="Q602" s="42"/>
      <c r="R602" s="46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x14ac:dyDescent="0.2">
      <c r="A603" s="5"/>
      <c r="B603" s="31"/>
      <c r="C603" s="31"/>
      <c r="D603" s="31"/>
      <c r="E603" s="31"/>
      <c r="F603" s="31"/>
      <c r="G603" s="31"/>
      <c r="H603" s="93"/>
      <c r="I603" s="31"/>
      <c r="J603" s="31"/>
      <c r="K603" s="31"/>
      <c r="L603" s="42"/>
      <c r="M603" s="31"/>
      <c r="N603" s="31"/>
      <c r="O603" s="42"/>
      <c r="P603" s="92"/>
      <c r="Q603" s="42"/>
      <c r="R603" s="46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x14ac:dyDescent="0.2">
      <c r="A604" s="5"/>
      <c r="B604" s="31"/>
      <c r="C604" s="31"/>
      <c r="D604" s="31"/>
      <c r="E604" s="31"/>
      <c r="F604" s="31"/>
      <c r="G604" s="31"/>
      <c r="H604" s="93"/>
      <c r="I604" s="31"/>
      <c r="J604" s="31"/>
      <c r="K604" s="31"/>
      <c r="L604" s="42"/>
      <c r="M604" s="31"/>
      <c r="N604" s="31"/>
      <c r="O604" s="42"/>
      <c r="P604" s="92"/>
      <c r="Q604" s="42"/>
      <c r="R604" s="46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x14ac:dyDescent="0.2">
      <c r="A605" s="5"/>
      <c r="B605" s="31"/>
      <c r="C605" s="31"/>
      <c r="D605" s="31"/>
      <c r="E605" s="31"/>
      <c r="F605" s="31"/>
      <c r="G605" s="31"/>
      <c r="H605" s="93"/>
      <c r="I605" s="31"/>
      <c r="J605" s="31"/>
      <c r="K605" s="31"/>
      <c r="L605" s="42"/>
      <c r="M605" s="31"/>
      <c r="N605" s="31"/>
      <c r="O605" s="42"/>
      <c r="P605" s="92"/>
      <c r="Q605" s="42"/>
      <c r="R605" s="46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x14ac:dyDescent="0.2">
      <c r="A606" s="5"/>
      <c r="B606" s="31"/>
      <c r="C606" s="31"/>
      <c r="D606" s="31"/>
      <c r="E606" s="31"/>
      <c r="F606" s="31"/>
      <c r="G606" s="31"/>
      <c r="H606" s="93"/>
      <c r="I606" s="31"/>
      <c r="J606" s="31"/>
      <c r="K606" s="31"/>
      <c r="L606" s="42"/>
      <c r="M606" s="31"/>
      <c r="N606" s="31"/>
      <c r="O606" s="42"/>
      <c r="P606" s="92"/>
      <c r="Q606" s="42"/>
      <c r="R606" s="46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x14ac:dyDescent="0.2">
      <c r="A607" s="5"/>
      <c r="B607" s="31"/>
      <c r="C607" s="31"/>
      <c r="D607" s="31"/>
      <c r="E607" s="31"/>
      <c r="F607" s="31"/>
      <c r="G607" s="31"/>
      <c r="H607" s="93"/>
      <c r="I607" s="31"/>
      <c r="J607" s="31"/>
      <c r="K607" s="31"/>
      <c r="L607" s="42"/>
      <c r="M607" s="31"/>
      <c r="N607" s="31"/>
      <c r="O607" s="42"/>
      <c r="P607" s="92"/>
      <c r="Q607" s="42"/>
      <c r="R607" s="46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x14ac:dyDescent="0.2">
      <c r="A608" s="5"/>
      <c r="B608" s="31"/>
      <c r="C608" s="31"/>
      <c r="D608" s="31"/>
      <c r="E608" s="31"/>
      <c r="F608" s="31"/>
      <c r="G608" s="31"/>
      <c r="H608" s="93"/>
      <c r="I608" s="31"/>
      <c r="J608" s="31"/>
      <c r="K608" s="31"/>
      <c r="L608" s="42"/>
      <c r="M608" s="31"/>
      <c r="N608" s="31"/>
      <c r="O608" s="42"/>
      <c r="P608" s="92"/>
      <c r="Q608" s="42"/>
      <c r="R608" s="46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x14ac:dyDescent="0.2">
      <c r="A609" s="5"/>
      <c r="B609" s="31"/>
      <c r="C609" s="31"/>
      <c r="D609" s="31"/>
      <c r="E609" s="31"/>
      <c r="F609" s="31"/>
      <c r="G609" s="31"/>
      <c r="H609" s="93"/>
      <c r="I609" s="31"/>
      <c r="J609" s="31"/>
      <c r="K609" s="31"/>
      <c r="L609" s="42"/>
      <c r="M609" s="31"/>
      <c r="N609" s="31"/>
      <c r="O609" s="42"/>
      <c r="P609" s="92"/>
      <c r="Q609" s="42"/>
      <c r="R609" s="46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x14ac:dyDescent="0.2">
      <c r="A610" s="5"/>
      <c r="B610" s="31"/>
      <c r="C610" s="31"/>
      <c r="D610" s="31"/>
      <c r="E610" s="31"/>
      <c r="F610" s="31"/>
      <c r="G610" s="31"/>
      <c r="H610" s="93"/>
      <c r="I610" s="31"/>
      <c r="J610" s="31"/>
      <c r="K610" s="31"/>
      <c r="L610" s="42"/>
      <c r="M610" s="31"/>
      <c r="N610" s="31"/>
      <c r="O610" s="42"/>
      <c r="P610" s="92"/>
      <c r="Q610" s="42"/>
      <c r="R610" s="46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x14ac:dyDescent="0.2">
      <c r="A611" s="5"/>
      <c r="B611" s="31"/>
      <c r="C611" s="31"/>
      <c r="D611" s="31"/>
      <c r="E611" s="31"/>
      <c r="F611" s="31"/>
      <c r="G611" s="31"/>
      <c r="H611" s="93"/>
      <c r="I611" s="31"/>
      <c r="J611" s="31"/>
      <c r="K611" s="31"/>
      <c r="L611" s="42"/>
      <c r="M611" s="31"/>
      <c r="N611" s="31"/>
      <c r="O611" s="42"/>
      <c r="P611" s="92"/>
      <c r="Q611" s="42"/>
      <c r="R611" s="46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x14ac:dyDescent="0.2">
      <c r="A612" s="5"/>
      <c r="B612" s="31"/>
      <c r="C612" s="31"/>
      <c r="D612" s="31"/>
      <c r="E612" s="31"/>
      <c r="F612" s="31"/>
      <c r="G612" s="31"/>
      <c r="H612" s="93"/>
      <c r="I612" s="31"/>
      <c r="J612" s="31"/>
      <c r="K612" s="31"/>
      <c r="L612" s="42"/>
      <c r="M612" s="31"/>
      <c r="N612" s="31"/>
      <c r="O612" s="42"/>
      <c r="P612" s="92"/>
      <c r="Q612" s="42"/>
      <c r="R612" s="46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x14ac:dyDescent="0.2">
      <c r="A613" s="5"/>
      <c r="B613" s="31"/>
      <c r="C613" s="31"/>
      <c r="D613" s="31"/>
      <c r="E613" s="31"/>
      <c r="F613" s="31"/>
      <c r="G613" s="31"/>
      <c r="H613" s="93"/>
      <c r="I613" s="31"/>
      <c r="J613" s="31"/>
      <c r="K613" s="31"/>
      <c r="L613" s="42"/>
      <c r="M613" s="31"/>
      <c r="N613" s="31"/>
      <c r="O613" s="42"/>
      <c r="P613" s="92"/>
      <c r="Q613" s="42"/>
      <c r="R613" s="46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x14ac:dyDescent="0.2">
      <c r="A614" s="5"/>
      <c r="B614" s="31"/>
      <c r="C614" s="31"/>
      <c r="D614" s="31"/>
      <c r="E614" s="31"/>
      <c r="F614" s="31"/>
      <c r="G614" s="31"/>
      <c r="H614" s="93"/>
      <c r="I614" s="31"/>
      <c r="J614" s="31"/>
      <c r="K614" s="31"/>
      <c r="L614" s="42"/>
      <c r="M614" s="31"/>
      <c r="N614" s="31"/>
      <c r="O614" s="42"/>
      <c r="P614" s="92"/>
      <c r="Q614" s="42"/>
      <c r="R614" s="46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x14ac:dyDescent="0.2">
      <c r="A615" s="5"/>
      <c r="B615" s="31"/>
      <c r="C615" s="31"/>
      <c r="D615" s="31"/>
      <c r="E615" s="31"/>
      <c r="F615" s="31"/>
      <c r="G615" s="31"/>
      <c r="H615" s="93"/>
      <c r="I615" s="31"/>
      <c r="J615" s="31"/>
      <c r="K615" s="31"/>
      <c r="L615" s="42"/>
      <c r="M615" s="31"/>
      <c r="N615" s="31"/>
      <c r="O615" s="42"/>
      <c r="P615" s="92"/>
      <c r="Q615" s="42"/>
      <c r="R615" s="46"/>
      <c r="S615" s="31"/>
      <c r="T615" s="31"/>
      <c r="U615" s="31"/>
      <c r="V615" s="31"/>
      <c r="W615" s="31"/>
      <c r="X615" s="31"/>
      <c r="Y615" s="31"/>
      <c r="Z615" s="31"/>
      <c r="AA615" s="31"/>
    </row>
    <row r="616" spans="1:27" x14ac:dyDescent="0.2">
      <c r="A616" s="5"/>
      <c r="B616" s="31"/>
      <c r="C616" s="31"/>
      <c r="D616" s="31"/>
      <c r="E616" s="31"/>
      <c r="F616" s="31"/>
      <c r="G616" s="31"/>
      <c r="H616" s="93"/>
      <c r="I616" s="31"/>
      <c r="J616" s="31"/>
      <c r="K616" s="31"/>
      <c r="L616" s="42"/>
      <c r="M616" s="31"/>
      <c r="N616" s="31"/>
      <c r="O616" s="42"/>
      <c r="P616" s="92"/>
      <c r="Q616" s="42"/>
      <c r="R616" s="46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x14ac:dyDescent="0.2">
      <c r="A617" s="5"/>
      <c r="B617" s="31"/>
      <c r="C617" s="31"/>
      <c r="D617" s="31"/>
      <c r="E617" s="31"/>
      <c r="F617" s="31"/>
      <c r="G617" s="31"/>
      <c r="H617" s="93"/>
      <c r="I617" s="31"/>
      <c r="J617" s="31"/>
      <c r="K617" s="31"/>
      <c r="L617" s="42"/>
      <c r="M617" s="31"/>
      <c r="N617" s="31"/>
      <c r="O617" s="42"/>
      <c r="P617" s="92"/>
      <c r="Q617" s="42"/>
      <c r="R617" s="46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x14ac:dyDescent="0.2">
      <c r="A618" s="5"/>
      <c r="B618" s="31"/>
      <c r="C618" s="31"/>
      <c r="D618" s="31"/>
      <c r="E618" s="31"/>
      <c r="F618" s="31"/>
      <c r="G618" s="31"/>
      <c r="H618" s="93"/>
      <c r="I618" s="31"/>
      <c r="J618" s="31"/>
      <c r="K618" s="31"/>
      <c r="L618" s="42"/>
      <c r="M618" s="31"/>
      <c r="N618" s="31"/>
      <c r="O618" s="42"/>
      <c r="P618" s="92"/>
      <c r="Q618" s="42"/>
      <c r="R618" s="46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x14ac:dyDescent="0.2">
      <c r="A619" s="5"/>
      <c r="B619" s="31"/>
      <c r="C619" s="31"/>
      <c r="D619" s="31"/>
      <c r="E619" s="31"/>
      <c r="F619" s="31"/>
      <c r="G619" s="31"/>
      <c r="H619" s="93"/>
      <c r="I619" s="31"/>
      <c r="J619" s="31"/>
      <c r="K619" s="31"/>
      <c r="L619" s="42"/>
      <c r="M619" s="31"/>
      <c r="N619" s="31"/>
      <c r="O619" s="42"/>
      <c r="P619" s="92"/>
      <c r="Q619" s="42"/>
      <c r="R619" s="46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x14ac:dyDescent="0.2">
      <c r="A620" s="5"/>
      <c r="B620" s="31"/>
      <c r="C620" s="31"/>
      <c r="D620" s="31"/>
      <c r="E620" s="31"/>
      <c r="F620" s="31"/>
      <c r="G620" s="31"/>
      <c r="H620" s="93"/>
      <c r="I620" s="31"/>
      <c r="J620" s="31"/>
      <c r="K620" s="31"/>
      <c r="L620" s="42"/>
      <c r="M620" s="31"/>
      <c r="N620" s="31"/>
      <c r="O620" s="42"/>
      <c r="P620" s="92"/>
      <c r="Q620" s="42"/>
      <c r="R620" s="46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x14ac:dyDescent="0.2">
      <c r="A621" s="5"/>
      <c r="B621" s="31"/>
      <c r="C621" s="31"/>
      <c r="D621" s="31"/>
      <c r="E621" s="31"/>
      <c r="F621" s="31"/>
      <c r="G621" s="31"/>
      <c r="H621" s="93"/>
      <c r="I621" s="31"/>
      <c r="J621" s="31"/>
      <c r="K621" s="31"/>
      <c r="L621" s="42"/>
      <c r="M621" s="31"/>
      <c r="N621" s="31"/>
      <c r="O621" s="42"/>
      <c r="P621" s="92"/>
      <c r="Q621" s="42"/>
      <c r="R621" s="46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x14ac:dyDescent="0.2">
      <c r="A622" s="5"/>
      <c r="B622" s="31"/>
      <c r="C622" s="31"/>
      <c r="D622" s="31"/>
      <c r="E622" s="31"/>
      <c r="F622" s="31"/>
      <c r="G622" s="31"/>
      <c r="H622" s="93"/>
      <c r="I622" s="31"/>
      <c r="J622" s="31"/>
      <c r="K622" s="31"/>
      <c r="L622" s="42"/>
      <c r="M622" s="31"/>
      <c r="N622" s="31"/>
      <c r="O622" s="42"/>
      <c r="P622" s="92"/>
      <c r="Q622" s="42"/>
      <c r="R622" s="46"/>
      <c r="S622" s="31"/>
      <c r="T622" s="31"/>
      <c r="U622" s="31"/>
      <c r="V622" s="31"/>
      <c r="W622" s="31"/>
      <c r="X622" s="31"/>
      <c r="Y622" s="31"/>
      <c r="Z622" s="31"/>
      <c r="AA622" s="31"/>
    </row>
    <row r="623" spans="1:27" x14ac:dyDescent="0.2">
      <c r="A623" s="5"/>
      <c r="B623" s="31"/>
      <c r="C623" s="31"/>
      <c r="D623" s="31"/>
      <c r="E623" s="31"/>
      <c r="F623" s="31"/>
      <c r="G623" s="31"/>
      <c r="H623" s="93"/>
      <c r="I623" s="31"/>
      <c r="J623" s="31"/>
      <c r="K623" s="31"/>
      <c r="L623" s="42"/>
      <c r="M623" s="31"/>
      <c r="N623" s="31"/>
      <c r="O623" s="42"/>
      <c r="P623" s="92"/>
      <c r="Q623" s="42"/>
      <c r="R623" s="46"/>
      <c r="S623" s="31"/>
      <c r="T623" s="31"/>
      <c r="U623" s="31"/>
      <c r="V623" s="31"/>
      <c r="W623" s="31"/>
      <c r="X623" s="31"/>
      <c r="Y623" s="31"/>
      <c r="Z623" s="31"/>
      <c r="AA623" s="31"/>
    </row>
    <row r="624" spans="1:27" x14ac:dyDescent="0.2">
      <c r="A624" s="5"/>
      <c r="B624" s="31"/>
      <c r="C624" s="31"/>
      <c r="D624" s="31"/>
      <c r="E624" s="31"/>
      <c r="F624" s="31"/>
      <c r="G624" s="31"/>
      <c r="H624" s="93"/>
      <c r="I624" s="31"/>
      <c r="J624" s="31"/>
      <c r="K624" s="31"/>
      <c r="L624" s="42"/>
      <c r="M624" s="31"/>
      <c r="N624" s="31"/>
      <c r="O624" s="42"/>
      <c r="P624" s="92"/>
      <c r="Q624" s="42"/>
      <c r="R624" s="46"/>
      <c r="S624" s="31"/>
      <c r="T624" s="31"/>
      <c r="U624" s="31"/>
      <c r="V624" s="31"/>
      <c r="W624" s="31"/>
      <c r="X624" s="31"/>
      <c r="Y624" s="31"/>
      <c r="Z624" s="31"/>
      <c r="AA624" s="31"/>
    </row>
    <row r="625" spans="1:27" x14ac:dyDescent="0.2">
      <c r="A625" s="5"/>
      <c r="B625" s="31"/>
      <c r="C625" s="31"/>
      <c r="D625" s="31"/>
      <c r="E625" s="31"/>
      <c r="F625" s="31"/>
      <c r="G625" s="31"/>
      <c r="H625" s="93"/>
      <c r="I625" s="31"/>
      <c r="J625" s="31"/>
      <c r="K625" s="31"/>
      <c r="L625" s="42"/>
      <c r="M625" s="31"/>
      <c r="N625" s="31"/>
      <c r="O625" s="42"/>
      <c r="P625" s="92"/>
      <c r="Q625" s="42"/>
      <c r="R625" s="46"/>
      <c r="S625" s="31"/>
      <c r="T625" s="31"/>
      <c r="U625" s="31"/>
      <c r="V625" s="31"/>
      <c r="W625" s="31"/>
      <c r="X625" s="31"/>
      <c r="Y625" s="31"/>
      <c r="Z625" s="31"/>
      <c r="AA625" s="31"/>
    </row>
    <row r="626" spans="1:27" x14ac:dyDescent="0.2">
      <c r="A626" s="5"/>
      <c r="B626" s="31"/>
      <c r="C626" s="31"/>
      <c r="D626" s="31"/>
      <c r="E626" s="31"/>
      <c r="F626" s="31"/>
      <c r="G626" s="31"/>
      <c r="H626" s="93"/>
      <c r="I626" s="31"/>
      <c r="J626" s="31"/>
      <c r="K626" s="31"/>
      <c r="L626" s="42"/>
      <c r="M626" s="31"/>
      <c r="N626" s="31"/>
      <c r="O626" s="42"/>
      <c r="P626" s="92"/>
      <c r="Q626" s="42"/>
      <c r="R626" s="46"/>
      <c r="S626" s="31"/>
      <c r="T626" s="31"/>
      <c r="U626" s="31"/>
      <c r="V626" s="31"/>
      <c r="W626" s="31"/>
      <c r="X626" s="31"/>
      <c r="Y626" s="31"/>
      <c r="Z626" s="31"/>
      <c r="AA626" s="31"/>
    </row>
    <row r="627" spans="1:27" x14ac:dyDescent="0.2">
      <c r="A627" s="5"/>
      <c r="B627" s="31"/>
      <c r="C627" s="31"/>
      <c r="D627" s="31"/>
      <c r="E627" s="31"/>
      <c r="F627" s="31"/>
      <c r="G627" s="31"/>
      <c r="H627" s="93"/>
      <c r="I627" s="31"/>
      <c r="J627" s="31"/>
      <c r="K627" s="31"/>
      <c r="L627" s="42"/>
      <c r="M627" s="31"/>
      <c r="N627" s="31"/>
      <c r="O627" s="42"/>
      <c r="P627" s="92"/>
      <c r="Q627" s="42"/>
      <c r="R627" s="46"/>
      <c r="S627" s="31"/>
      <c r="T627" s="31"/>
      <c r="U627" s="31"/>
      <c r="V627" s="31"/>
      <c r="W627" s="31"/>
      <c r="X627" s="31"/>
      <c r="Y627" s="31"/>
      <c r="Z627" s="31"/>
      <c r="AA627" s="31"/>
    </row>
    <row r="628" spans="1:27" x14ac:dyDescent="0.2">
      <c r="A628" s="5"/>
      <c r="B628" s="31"/>
      <c r="C628" s="31"/>
      <c r="D628" s="31"/>
      <c r="E628" s="31"/>
      <c r="F628" s="31"/>
      <c r="G628" s="31"/>
      <c r="H628" s="93"/>
      <c r="I628" s="31"/>
      <c r="J628" s="31"/>
      <c r="K628" s="31"/>
      <c r="L628" s="42"/>
      <c r="M628" s="31"/>
      <c r="N628" s="31"/>
      <c r="O628" s="42"/>
      <c r="P628" s="92"/>
      <c r="Q628" s="42"/>
      <c r="R628" s="46"/>
      <c r="S628" s="31"/>
      <c r="T628" s="31"/>
      <c r="U628" s="31"/>
      <c r="V628" s="31"/>
      <c r="W628" s="31"/>
      <c r="X628" s="31"/>
      <c r="Y628" s="31"/>
      <c r="Z628" s="31"/>
      <c r="AA628" s="31"/>
    </row>
    <row r="629" spans="1:27" x14ac:dyDescent="0.2">
      <c r="A629" s="5"/>
      <c r="B629" s="31"/>
      <c r="C629" s="31"/>
      <c r="D629" s="31"/>
      <c r="E629" s="31"/>
      <c r="F629" s="31"/>
      <c r="G629" s="31"/>
      <c r="H629" s="93"/>
      <c r="I629" s="31"/>
      <c r="J629" s="31"/>
      <c r="K629" s="31"/>
      <c r="L629" s="42"/>
      <c r="M629" s="31"/>
      <c r="N629" s="31"/>
      <c r="O629" s="42"/>
      <c r="P629" s="92"/>
      <c r="Q629" s="42"/>
      <c r="R629" s="46"/>
      <c r="S629" s="31"/>
      <c r="T629" s="31"/>
      <c r="U629" s="31"/>
      <c r="V629" s="31"/>
      <c r="W629" s="31"/>
      <c r="X629" s="31"/>
      <c r="Y629" s="31"/>
      <c r="Z629" s="31"/>
      <c r="AA629" s="31"/>
    </row>
    <row r="630" spans="1:27" x14ac:dyDescent="0.2">
      <c r="A630" s="5"/>
      <c r="B630" s="31"/>
      <c r="C630" s="31"/>
      <c r="D630" s="31"/>
      <c r="E630" s="31"/>
      <c r="F630" s="31"/>
      <c r="G630" s="31"/>
      <c r="H630" s="93"/>
      <c r="I630" s="31"/>
      <c r="J630" s="31"/>
      <c r="K630" s="31"/>
      <c r="L630" s="42"/>
      <c r="M630" s="31"/>
      <c r="N630" s="31"/>
      <c r="O630" s="42"/>
      <c r="P630" s="92"/>
      <c r="Q630" s="42"/>
      <c r="R630" s="46"/>
      <c r="S630" s="31"/>
      <c r="T630" s="31"/>
      <c r="U630" s="31"/>
      <c r="V630" s="31"/>
      <c r="W630" s="31"/>
      <c r="X630" s="31"/>
      <c r="Y630" s="31"/>
      <c r="Z630" s="31"/>
      <c r="AA630" s="31"/>
    </row>
    <row r="631" spans="1:27" x14ac:dyDescent="0.2">
      <c r="A631" s="5"/>
      <c r="B631" s="31"/>
      <c r="C631" s="31"/>
      <c r="D631" s="31"/>
      <c r="E631" s="31"/>
      <c r="F631" s="31"/>
      <c r="G631" s="31"/>
      <c r="H631" s="93"/>
      <c r="I631" s="31"/>
      <c r="J631" s="31"/>
      <c r="K631" s="31"/>
      <c r="L631" s="42"/>
      <c r="M631" s="31"/>
      <c r="N631" s="31"/>
      <c r="O631" s="42"/>
      <c r="P631" s="92"/>
      <c r="Q631" s="42"/>
      <c r="R631" s="46"/>
      <c r="S631" s="31"/>
      <c r="T631" s="31"/>
      <c r="U631" s="31"/>
      <c r="V631" s="31"/>
      <c r="W631" s="31"/>
      <c r="X631" s="31"/>
      <c r="Y631" s="31"/>
      <c r="Z631" s="31"/>
      <c r="AA631" s="31"/>
    </row>
    <row r="632" spans="1:27" x14ac:dyDescent="0.2">
      <c r="A632" s="5"/>
      <c r="B632" s="31"/>
      <c r="C632" s="31"/>
      <c r="D632" s="31"/>
      <c r="E632" s="31"/>
      <c r="F632" s="31"/>
      <c r="G632" s="31"/>
      <c r="H632" s="93"/>
      <c r="I632" s="31"/>
      <c r="J632" s="31"/>
      <c r="K632" s="31"/>
      <c r="L632" s="42"/>
      <c r="M632" s="31"/>
      <c r="N632" s="31"/>
      <c r="O632" s="42"/>
      <c r="P632" s="92"/>
      <c r="Q632" s="42"/>
      <c r="R632" s="46"/>
      <c r="S632" s="31"/>
      <c r="T632" s="31"/>
      <c r="U632" s="31"/>
      <c r="V632" s="31"/>
      <c r="W632" s="31"/>
      <c r="X632" s="31"/>
      <c r="Y632" s="31"/>
      <c r="Z632" s="31"/>
      <c r="AA632" s="31"/>
    </row>
    <row r="633" spans="1:27" x14ac:dyDescent="0.2">
      <c r="A633" s="5"/>
      <c r="B633" s="31"/>
      <c r="C633" s="31"/>
      <c r="D633" s="31"/>
      <c r="E633" s="31"/>
      <c r="F633" s="31"/>
      <c r="G633" s="31"/>
      <c r="H633" s="93"/>
      <c r="I633" s="31"/>
      <c r="J633" s="31"/>
      <c r="K633" s="31"/>
      <c r="L633" s="42"/>
      <c r="M633" s="31"/>
      <c r="N633" s="31"/>
      <c r="O633" s="42"/>
      <c r="P633" s="92"/>
      <c r="Q633" s="42"/>
      <c r="R633" s="46"/>
      <c r="S633" s="31"/>
      <c r="T633" s="31"/>
      <c r="U633" s="31"/>
      <c r="V633" s="31"/>
      <c r="W633" s="31"/>
      <c r="X633" s="31"/>
      <c r="Y633" s="31"/>
      <c r="Z633" s="31"/>
      <c r="AA633" s="31"/>
    </row>
    <row r="634" spans="1:27" x14ac:dyDescent="0.2">
      <c r="A634" s="5"/>
      <c r="B634" s="31"/>
      <c r="C634" s="31"/>
      <c r="D634" s="31"/>
      <c r="E634" s="31"/>
      <c r="F634" s="31"/>
      <c r="G634" s="31"/>
      <c r="H634" s="93"/>
      <c r="I634" s="31"/>
      <c r="J634" s="31"/>
      <c r="K634" s="31"/>
      <c r="L634" s="42"/>
      <c r="M634" s="31"/>
      <c r="N634" s="31"/>
      <c r="O634" s="42"/>
      <c r="P634" s="92"/>
      <c r="Q634" s="42"/>
      <c r="R634" s="46"/>
      <c r="S634" s="31"/>
      <c r="T634" s="31"/>
      <c r="U634" s="31"/>
      <c r="V634" s="31"/>
      <c r="W634" s="31"/>
      <c r="X634" s="31"/>
      <c r="Y634" s="31"/>
      <c r="Z634" s="31"/>
      <c r="AA634" s="31"/>
    </row>
    <row r="635" spans="1:27" x14ac:dyDescent="0.2">
      <c r="A635" s="5"/>
      <c r="B635" s="31"/>
      <c r="C635" s="31"/>
      <c r="D635" s="31"/>
      <c r="E635" s="31"/>
      <c r="F635" s="31"/>
      <c r="G635" s="31"/>
      <c r="H635" s="93"/>
      <c r="I635" s="31"/>
      <c r="J635" s="31"/>
      <c r="K635" s="31"/>
      <c r="L635" s="42"/>
      <c r="M635" s="31"/>
      <c r="N635" s="31"/>
      <c r="O635" s="42"/>
      <c r="P635" s="92"/>
      <c r="Q635" s="42"/>
      <c r="R635" s="46"/>
      <c r="S635" s="31"/>
      <c r="T635" s="31"/>
      <c r="U635" s="31"/>
      <c r="V635" s="31"/>
      <c r="W635" s="31"/>
      <c r="X635" s="31"/>
      <c r="Y635" s="31"/>
      <c r="Z635" s="31"/>
      <c r="AA635" s="31"/>
    </row>
    <row r="636" spans="1:27" x14ac:dyDescent="0.2">
      <c r="A636" s="5"/>
      <c r="B636" s="31"/>
      <c r="C636" s="31"/>
      <c r="D636" s="31"/>
      <c r="E636" s="31"/>
      <c r="F636" s="31"/>
      <c r="G636" s="31"/>
      <c r="H636" s="93"/>
      <c r="I636" s="31"/>
      <c r="J636" s="31"/>
      <c r="K636" s="31"/>
      <c r="L636" s="42"/>
      <c r="M636" s="31"/>
      <c r="N636" s="31"/>
      <c r="O636" s="42"/>
      <c r="P636" s="92"/>
      <c r="Q636" s="42"/>
      <c r="R636" s="46"/>
      <c r="S636" s="31"/>
      <c r="T636" s="31"/>
      <c r="U636" s="31"/>
      <c r="V636" s="31"/>
      <c r="W636" s="31"/>
      <c r="X636" s="31"/>
      <c r="Y636" s="31"/>
      <c r="Z636" s="31"/>
      <c r="AA636" s="31"/>
    </row>
    <row r="637" spans="1:27" x14ac:dyDescent="0.2">
      <c r="A637" s="5"/>
      <c r="B637" s="31"/>
      <c r="C637" s="31"/>
      <c r="D637" s="31"/>
      <c r="E637" s="31"/>
      <c r="F637" s="31"/>
      <c r="G637" s="31"/>
      <c r="H637" s="93"/>
      <c r="I637" s="31"/>
      <c r="J637" s="31"/>
      <c r="K637" s="31"/>
      <c r="L637" s="42"/>
      <c r="M637" s="31"/>
      <c r="N637" s="31"/>
      <c r="O637" s="42"/>
      <c r="P637" s="92"/>
      <c r="Q637" s="42"/>
      <c r="R637" s="46"/>
      <c r="S637" s="31"/>
      <c r="T637" s="31"/>
      <c r="U637" s="31"/>
      <c r="V637" s="31"/>
      <c r="W637" s="31"/>
      <c r="X637" s="31"/>
      <c r="Y637" s="31"/>
      <c r="Z637" s="31"/>
      <c r="AA637" s="31"/>
    </row>
    <row r="638" spans="1:27" x14ac:dyDescent="0.2">
      <c r="A638" s="5"/>
      <c r="B638" s="31"/>
      <c r="C638" s="31"/>
      <c r="D638" s="31"/>
      <c r="E638" s="31"/>
      <c r="F638" s="31"/>
      <c r="G638" s="31"/>
      <c r="H638" s="93"/>
      <c r="I638" s="31"/>
      <c r="J638" s="31"/>
      <c r="K638" s="31"/>
      <c r="L638" s="42"/>
      <c r="M638" s="31"/>
      <c r="N638" s="31"/>
      <c r="O638" s="42"/>
      <c r="P638" s="92"/>
      <c r="Q638" s="42"/>
      <c r="R638" s="46"/>
      <c r="S638" s="31"/>
      <c r="T638" s="31"/>
      <c r="U638" s="31"/>
      <c r="V638" s="31"/>
      <c r="W638" s="31"/>
      <c r="X638" s="31"/>
      <c r="Y638" s="31"/>
      <c r="Z638" s="31"/>
      <c r="AA638" s="31"/>
    </row>
    <row r="639" spans="1:27" x14ac:dyDescent="0.2">
      <c r="A639" s="5"/>
      <c r="B639" s="31"/>
      <c r="C639" s="31"/>
      <c r="D639" s="31"/>
      <c r="E639" s="31"/>
      <c r="F639" s="31"/>
      <c r="G639" s="31"/>
      <c r="H639" s="93"/>
      <c r="I639" s="31"/>
      <c r="J639" s="31"/>
      <c r="K639" s="31"/>
      <c r="L639" s="42"/>
      <c r="M639" s="31"/>
      <c r="N639" s="31"/>
      <c r="O639" s="42"/>
      <c r="P639" s="92"/>
      <c r="Q639" s="42"/>
      <c r="R639" s="46"/>
      <c r="S639" s="31"/>
      <c r="T639" s="31"/>
      <c r="U639" s="31"/>
      <c r="V639" s="31"/>
      <c r="W639" s="31"/>
      <c r="X639" s="31"/>
      <c r="Y639" s="31"/>
      <c r="Z639" s="31"/>
      <c r="AA639" s="31"/>
    </row>
    <row r="640" spans="1:27" x14ac:dyDescent="0.2">
      <c r="A640" s="5"/>
      <c r="B640" s="31"/>
      <c r="C640" s="31"/>
      <c r="D640" s="31"/>
      <c r="E640" s="31"/>
      <c r="F640" s="31"/>
      <c r="G640" s="31"/>
      <c r="H640" s="93"/>
      <c r="I640" s="31"/>
      <c r="J640" s="31"/>
      <c r="K640" s="31"/>
      <c r="L640" s="42"/>
      <c r="M640" s="31"/>
      <c r="N640" s="31"/>
      <c r="O640" s="42"/>
      <c r="P640" s="92"/>
      <c r="Q640" s="42"/>
      <c r="R640" s="46"/>
      <c r="S640" s="31"/>
      <c r="T640" s="31"/>
      <c r="U640" s="31"/>
      <c r="V640" s="31"/>
      <c r="W640" s="31"/>
      <c r="X640" s="31"/>
      <c r="Y640" s="31"/>
      <c r="Z640" s="31"/>
      <c r="AA640" s="31"/>
    </row>
    <row r="641" spans="1:27" x14ac:dyDescent="0.2">
      <c r="A641" s="5"/>
      <c r="B641" s="31"/>
      <c r="C641" s="31"/>
      <c r="D641" s="31"/>
      <c r="E641" s="31"/>
      <c r="F641" s="31"/>
      <c r="G641" s="31"/>
      <c r="H641" s="93"/>
      <c r="I641" s="31"/>
      <c r="J641" s="31"/>
      <c r="K641" s="31"/>
      <c r="L641" s="42"/>
      <c r="M641" s="31"/>
      <c r="N641" s="31"/>
      <c r="O641" s="42"/>
      <c r="P641" s="92"/>
      <c r="Q641" s="42"/>
      <c r="R641" s="46"/>
      <c r="S641" s="31"/>
      <c r="T641" s="31"/>
      <c r="U641" s="31"/>
      <c r="V641" s="31"/>
      <c r="W641" s="31"/>
      <c r="X641" s="31"/>
      <c r="Y641" s="31"/>
      <c r="Z641" s="31"/>
      <c r="AA641" s="31"/>
    </row>
    <row r="642" spans="1:27" x14ac:dyDescent="0.2">
      <c r="A642" s="5"/>
      <c r="B642" s="31"/>
      <c r="C642" s="31"/>
      <c r="D642" s="31"/>
      <c r="E642" s="31"/>
      <c r="F642" s="31"/>
      <c r="G642" s="31"/>
      <c r="H642" s="93"/>
      <c r="I642" s="31"/>
      <c r="J642" s="31"/>
      <c r="K642" s="31"/>
      <c r="L642" s="42"/>
      <c r="M642" s="31"/>
      <c r="N642" s="31"/>
      <c r="O642" s="42"/>
      <c r="P642" s="92"/>
      <c r="Q642" s="42"/>
      <c r="R642" s="46"/>
      <c r="S642" s="31"/>
      <c r="T642" s="31"/>
      <c r="U642" s="31"/>
      <c r="V642" s="31"/>
      <c r="W642" s="31"/>
      <c r="X642" s="31"/>
      <c r="Y642" s="31"/>
      <c r="Z642" s="31"/>
      <c r="AA642" s="31"/>
    </row>
    <row r="643" spans="1:27" x14ac:dyDescent="0.2">
      <c r="A643" s="5"/>
      <c r="B643" s="31"/>
      <c r="C643" s="31"/>
      <c r="D643" s="31"/>
      <c r="E643" s="31"/>
      <c r="F643" s="31"/>
      <c r="G643" s="31"/>
      <c r="H643" s="93"/>
      <c r="I643" s="31"/>
      <c r="J643" s="31"/>
      <c r="K643" s="31"/>
      <c r="L643" s="42"/>
      <c r="M643" s="31"/>
      <c r="N643" s="31"/>
      <c r="O643" s="42"/>
      <c r="P643" s="92"/>
      <c r="Q643" s="42"/>
      <c r="R643" s="46"/>
      <c r="S643" s="31"/>
      <c r="T643" s="31"/>
      <c r="U643" s="31"/>
      <c r="V643" s="31"/>
      <c r="W643" s="31"/>
      <c r="X643" s="31"/>
      <c r="Y643" s="31"/>
      <c r="Z643" s="31"/>
      <c r="AA643" s="31"/>
    </row>
    <row r="644" spans="1:27" x14ac:dyDescent="0.2">
      <c r="A644" s="5"/>
      <c r="B644" s="31"/>
      <c r="C644" s="31"/>
      <c r="D644" s="31"/>
      <c r="E644" s="31"/>
      <c r="F644" s="31"/>
      <c r="G644" s="31"/>
      <c r="H644" s="93"/>
      <c r="I644" s="31"/>
      <c r="J644" s="31"/>
      <c r="K644" s="31"/>
      <c r="L644" s="42"/>
      <c r="M644" s="31"/>
      <c r="N644" s="31"/>
      <c r="O644" s="42"/>
      <c r="P644" s="92"/>
      <c r="Q644" s="42"/>
      <c r="R644" s="46"/>
      <c r="S644" s="31"/>
      <c r="T644" s="31"/>
      <c r="U644" s="31"/>
      <c r="V644" s="31"/>
      <c r="W644" s="31"/>
      <c r="X644" s="31"/>
      <c r="Y644" s="31"/>
      <c r="Z644" s="31"/>
      <c r="AA644" s="31"/>
    </row>
    <row r="645" spans="1:27" x14ac:dyDescent="0.2">
      <c r="A645" s="5"/>
      <c r="B645" s="31"/>
      <c r="C645" s="31"/>
      <c r="D645" s="31"/>
      <c r="E645" s="31"/>
      <c r="F645" s="31"/>
      <c r="G645" s="31"/>
      <c r="H645" s="93"/>
      <c r="I645" s="31"/>
      <c r="J645" s="31"/>
      <c r="K645" s="31"/>
      <c r="L645" s="42"/>
      <c r="M645" s="31"/>
      <c r="N645" s="31"/>
      <c r="O645" s="42"/>
      <c r="P645" s="92"/>
      <c r="Q645" s="42"/>
      <c r="R645" s="46"/>
      <c r="S645" s="31"/>
      <c r="T645" s="31"/>
      <c r="U645" s="31"/>
      <c r="V645" s="31"/>
      <c r="W645" s="31"/>
      <c r="X645" s="31"/>
      <c r="Y645" s="31"/>
      <c r="Z645" s="31"/>
      <c r="AA645" s="31"/>
    </row>
    <row r="646" spans="1:27" x14ac:dyDescent="0.2">
      <c r="A646" s="5"/>
      <c r="B646" s="31"/>
      <c r="C646" s="31"/>
      <c r="D646" s="31"/>
      <c r="E646" s="31"/>
      <c r="F646" s="31"/>
      <c r="G646" s="31"/>
      <c r="H646" s="93"/>
      <c r="I646" s="31"/>
      <c r="J646" s="31"/>
      <c r="K646" s="31"/>
      <c r="L646" s="42"/>
      <c r="M646" s="31"/>
      <c r="N646" s="31"/>
      <c r="O646" s="42"/>
      <c r="P646" s="92"/>
      <c r="Q646" s="42"/>
      <c r="R646" s="46"/>
      <c r="S646" s="31"/>
      <c r="T646" s="31"/>
      <c r="U646" s="31"/>
      <c r="V646" s="31"/>
      <c r="W646" s="31"/>
      <c r="X646" s="31"/>
      <c r="Y646" s="31"/>
      <c r="Z646" s="31"/>
      <c r="AA646" s="31"/>
    </row>
    <row r="647" spans="1:27" x14ac:dyDescent="0.2">
      <c r="A647" s="5"/>
      <c r="B647" s="31"/>
      <c r="C647" s="31"/>
      <c r="D647" s="31"/>
      <c r="E647" s="31"/>
      <c r="F647" s="31"/>
      <c r="G647" s="31"/>
      <c r="H647" s="93"/>
      <c r="I647" s="31"/>
      <c r="J647" s="31"/>
      <c r="K647" s="31"/>
      <c r="L647" s="42"/>
      <c r="M647" s="31"/>
      <c r="N647" s="31"/>
      <c r="O647" s="42"/>
      <c r="P647" s="92"/>
      <c r="Q647" s="42"/>
      <c r="R647" s="46"/>
      <c r="S647" s="31"/>
      <c r="T647" s="31"/>
      <c r="U647" s="31"/>
      <c r="V647" s="31"/>
      <c r="W647" s="31"/>
      <c r="X647" s="31"/>
      <c r="Y647" s="31"/>
      <c r="Z647" s="31"/>
      <c r="AA647" s="31"/>
    </row>
    <row r="648" spans="1:27" x14ac:dyDescent="0.2">
      <c r="A648" s="5"/>
      <c r="B648" s="31"/>
      <c r="C648" s="31"/>
      <c r="D648" s="31"/>
      <c r="E648" s="31"/>
      <c r="F648" s="31"/>
      <c r="G648" s="31"/>
      <c r="H648" s="93"/>
      <c r="I648" s="31"/>
      <c r="J648" s="31"/>
      <c r="K648" s="31"/>
      <c r="L648" s="42"/>
      <c r="M648" s="31"/>
      <c r="N648" s="31"/>
      <c r="O648" s="42"/>
      <c r="P648" s="92"/>
      <c r="Q648" s="42"/>
      <c r="R648" s="46"/>
      <c r="S648" s="31"/>
      <c r="T648" s="31"/>
      <c r="U648" s="31"/>
      <c r="V648" s="31"/>
      <c r="W648" s="31"/>
      <c r="X648" s="31"/>
      <c r="Y648" s="31"/>
      <c r="Z648" s="31"/>
      <c r="AA648" s="31"/>
    </row>
    <row r="649" spans="1:27" x14ac:dyDescent="0.2">
      <c r="A649" s="5"/>
      <c r="B649" s="31"/>
      <c r="C649" s="31"/>
      <c r="D649" s="31"/>
      <c r="E649" s="31"/>
      <c r="F649" s="31"/>
      <c r="G649" s="31"/>
      <c r="H649" s="93"/>
      <c r="I649" s="31"/>
      <c r="J649" s="31"/>
      <c r="K649" s="31"/>
      <c r="L649" s="42"/>
      <c r="M649" s="31"/>
      <c r="N649" s="31"/>
      <c r="O649" s="42"/>
      <c r="P649" s="92"/>
      <c r="Q649" s="42"/>
      <c r="R649" s="46"/>
      <c r="S649" s="31"/>
      <c r="T649" s="31"/>
      <c r="U649" s="31"/>
      <c r="V649" s="31"/>
      <c r="W649" s="31"/>
      <c r="X649" s="31"/>
      <c r="Y649" s="31"/>
      <c r="Z649" s="31"/>
      <c r="AA649" s="31"/>
    </row>
    <row r="650" spans="1:27" x14ac:dyDescent="0.2">
      <c r="A650" s="5"/>
      <c r="B650" s="31"/>
      <c r="C650" s="31"/>
      <c r="D650" s="31"/>
      <c r="E650" s="31"/>
      <c r="F650" s="31"/>
      <c r="G650" s="31"/>
      <c r="H650" s="93"/>
      <c r="I650" s="31"/>
      <c r="J650" s="31"/>
      <c r="K650" s="31"/>
      <c r="L650" s="42"/>
      <c r="M650" s="31"/>
      <c r="N650" s="31"/>
      <c r="O650" s="42"/>
      <c r="P650" s="92"/>
      <c r="Q650" s="42"/>
      <c r="R650" s="46"/>
      <c r="S650" s="31"/>
      <c r="T650" s="31"/>
      <c r="U650" s="31"/>
      <c r="V650" s="31"/>
      <c r="W650" s="31"/>
      <c r="X650" s="31"/>
      <c r="Y650" s="31"/>
      <c r="Z650" s="31"/>
      <c r="AA650" s="31"/>
    </row>
    <row r="651" spans="1:27" x14ac:dyDescent="0.2">
      <c r="A651" s="5"/>
      <c r="B651" s="31"/>
      <c r="C651" s="31"/>
      <c r="D651" s="31"/>
      <c r="E651" s="31"/>
      <c r="F651" s="31"/>
      <c r="G651" s="31"/>
      <c r="H651" s="93"/>
      <c r="I651" s="31"/>
      <c r="J651" s="31"/>
      <c r="K651" s="31"/>
      <c r="L651" s="42"/>
      <c r="M651" s="31"/>
      <c r="N651" s="31"/>
      <c r="O651" s="42"/>
      <c r="P651" s="92"/>
      <c r="Q651" s="42"/>
      <c r="R651" s="46"/>
      <c r="S651" s="31"/>
      <c r="T651" s="31"/>
      <c r="U651" s="31"/>
      <c r="V651" s="31"/>
      <c r="W651" s="31"/>
      <c r="X651" s="31"/>
      <c r="Y651" s="31"/>
      <c r="Z651" s="31"/>
      <c r="AA651" s="31"/>
    </row>
    <row r="652" spans="1:27" x14ac:dyDescent="0.2">
      <c r="A652" s="5"/>
      <c r="B652" s="31"/>
      <c r="C652" s="31"/>
      <c r="D652" s="31"/>
      <c r="E652" s="31"/>
      <c r="F652" s="31"/>
      <c r="G652" s="31"/>
      <c r="H652" s="93"/>
      <c r="I652" s="31"/>
      <c r="J652" s="31"/>
      <c r="K652" s="31"/>
      <c r="L652" s="42"/>
      <c r="M652" s="31"/>
      <c r="N652" s="31"/>
      <c r="O652" s="42"/>
      <c r="P652" s="92"/>
      <c r="Q652" s="42"/>
      <c r="R652" s="46"/>
      <c r="S652" s="31"/>
      <c r="T652" s="31"/>
      <c r="U652" s="31"/>
      <c r="V652" s="31"/>
      <c r="W652" s="31"/>
      <c r="X652" s="31"/>
      <c r="Y652" s="31"/>
      <c r="Z652" s="31"/>
      <c r="AA652" s="31"/>
    </row>
    <row r="653" spans="1:27" x14ac:dyDescent="0.2">
      <c r="A653" s="5"/>
      <c r="B653" s="31"/>
      <c r="C653" s="31"/>
      <c r="D653" s="31"/>
      <c r="E653" s="31"/>
      <c r="F653" s="31"/>
      <c r="G653" s="31"/>
      <c r="H653" s="93"/>
      <c r="I653" s="31"/>
      <c r="J653" s="31"/>
      <c r="K653" s="31"/>
      <c r="L653" s="42"/>
      <c r="M653" s="31"/>
      <c r="N653" s="31"/>
      <c r="O653" s="42"/>
      <c r="P653" s="92"/>
      <c r="Q653" s="42"/>
      <c r="R653" s="46"/>
      <c r="S653" s="31"/>
      <c r="T653" s="31"/>
      <c r="U653" s="31"/>
      <c r="V653" s="31"/>
      <c r="W653" s="31"/>
      <c r="X653" s="31"/>
      <c r="Y653" s="31"/>
      <c r="Z653" s="31"/>
      <c r="AA653" s="31"/>
    </row>
    <row r="654" spans="1:27" x14ac:dyDescent="0.2">
      <c r="A654" s="5"/>
      <c r="B654" s="31"/>
      <c r="C654" s="31"/>
      <c r="D654" s="31"/>
      <c r="E654" s="31"/>
      <c r="F654" s="31"/>
      <c r="G654" s="31"/>
      <c r="H654" s="93"/>
      <c r="I654" s="31"/>
      <c r="J654" s="31"/>
      <c r="K654" s="31"/>
      <c r="L654" s="42"/>
      <c r="M654" s="31"/>
      <c r="N654" s="31"/>
      <c r="O654" s="42"/>
      <c r="P654" s="92"/>
      <c r="Q654" s="42"/>
      <c r="R654" s="46"/>
      <c r="S654" s="31"/>
      <c r="T654" s="31"/>
      <c r="U654" s="31"/>
      <c r="V654" s="31"/>
      <c r="W654" s="31"/>
      <c r="X654" s="31"/>
      <c r="Y654" s="31"/>
      <c r="Z654" s="31"/>
      <c r="AA654" s="31"/>
    </row>
    <row r="655" spans="1:27" x14ac:dyDescent="0.2">
      <c r="A655" s="5"/>
      <c r="B655" s="31"/>
      <c r="C655" s="31"/>
      <c r="D655" s="31"/>
      <c r="E655" s="31"/>
      <c r="F655" s="31"/>
      <c r="G655" s="31"/>
      <c r="H655" s="93"/>
      <c r="I655" s="31"/>
      <c r="J655" s="31"/>
      <c r="K655" s="31"/>
      <c r="L655" s="42"/>
      <c r="M655" s="31"/>
      <c r="N655" s="31"/>
      <c r="O655" s="42"/>
      <c r="P655" s="92"/>
      <c r="Q655" s="42"/>
      <c r="R655" s="46"/>
      <c r="S655" s="31"/>
      <c r="T655" s="31"/>
      <c r="U655" s="31"/>
      <c r="V655" s="31"/>
      <c r="W655" s="31"/>
      <c r="X655" s="31"/>
      <c r="Y655" s="31"/>
      <c r="Z655" s="31"/>
      <c r="AA655" s="31"/>
    </row>
    <row r="656" spans="1:27" x14ac:dyDescent="0.2">
      <c r="A656" s="5"/>
      <c r="B656" s="31"/>
      <c r="C656" s="31"/>
      <c r="D656" s="31"/>
      <c r="E656" s="31"/>
      <c r="F656" s="31"/>
      <c r="G656" s="31"/>
      <c r="H656" s="93"/>
      <c r="I656" s="31"/>
      <c r="J656" s="31"/>
      <c r="K656" s="31"/>
      <c r="L656" s="42"/>
      <c r="M656" s="31"/>
      <c r="N656" s="31"/>
      <c r="O656" s="42"/>
      <c r="P656" s="92"/>
      <c r="Q656" s="42"/>
      <c r="R656" s="46"/>
      <c r="S656" s="31"/>
      <c r="T656" s="31"/>
      <c r="U656" s="31"/>
      <c r="V656" s="31"/>
      <c r="W656" s="31"/>
      <c r="X656" s="31"/>
      <c r="Y656" s="31"/>
      <c r="Z656" s="31"/>
      <c r="AA656" s="31"/>
    </row>
    <row r="657" spans="1:27" x14ac:dyDescent="0.2">
      <c r="A657" s="5"/>
      <c r="B657" s="31"/>
      <c r="C657" s="31"/>
      <c r="D657" s="31"/>
      <c r="E657" s="31"/>
      <c r="F657" s="31"/>
      <c r="G657" s="31"/>
      <c r="H657" s="93"/>
      <c r="I657" s="31"/>
      <c r="J657" s="31"/>
      <c r="K657" s="31"/>
      <c r="L657" s="42"/>
      <c r="M657" s="31"/>
      <c r="N657" s="31"/>
      <c r="O657" s="42"/>
      <c r="P657" s="92"/>
      <c r="Q657" s="42"/>
      <c r="R657" s="46"/>
      <c r="S657" s="31"/>
      <c r="T657" s="31"/>
      <c r="U657" s="31"/>
      <c r="V657" s="31"/>
      <c r="W657" s="31"/>
      <c r="X657" s="31"/>
      <c r="Y657" s="31"/>
      <c r="Z657" s="31"/>
      <c r="AA657" s="31"/>
    </row>
    <row r="658" spans="1:27" x14ac:dyDescent="0.2">
      <c r="A658" s="5"/>
      <c r="B658" s="31"/>
      <c r="C658" s="31"/>
      <c r="D658" s="31"/>
      <c r="E658" s="31"/>
      <c r="F658" s="31"/>
      <c r="G658" s="31"/>
      <c r="H658" s="93"/>
      <c r="I658" s="31"/>
      <c r="J658" s="31"/>
      <c r="K658" s="31"/>
      <c r="L658" s="42"/>
      <c r="M658" s="31"/>
      <c r="N658" s="31"/>
      <c r="O658" s="42"/>
      <c r="P658" s="92"/>
      <c r="Q658" s="42"/>
      <c r="R658" s="46"/>
      <c r="S658" s="31"/>
      <c r="T658" s="31"/>
      <c r="U658" s="31"/>
      <c r="V658" s="31"/>
      <c r="W658" s="31"/>
      <c r="X658" s="31"/>
      <c r="Y658" s="31"/>
      <c r="Z658" s="31"/>
      <c r="AA658" s="31"/>
    </row>
    <row r="659" spans="1:27" x14ac:dyDescent="0.2">
      <c r="A659" s="5"/>
      <c r="B659" s="31"/>
      <c r="C659" s="31"/>
      <c r="D659" s="31"/>
      <c r="E659" s="31"/>
      <c r="F659" s="31"/>
      <c r="G659" s="31"/>
      <c r="H659" s="93"/>
      <c r="I659" s="31"/>
      <c r="J659" s="31"/>
      <c r="K659" s="31"/>
      <c r="L659" s="42"/>
      <c r="M659" s="31"/>
      <c r="N659" s="31"/>
      <c r="O659" s="42"/>
      <c r="P659" s="92"/>
      <c r="Q659" s="42"/>
      <c r="R659" s="46"/>
      <c r="S659" s="31"/>
      <c r="T659" s="31"/>
      <c r="U659" s="31"/>
      <c r="V659" s="31"/>
      <c r="W659" s="31"/>
      <c r="X659" s="31"/>
      <c r="Y659" s="31"/>
      <c r="Z659" s="31"/>
      <c r="AA659" s="31"/>
    </row>
    <row r="660" spans="1:27" x14ac:dyDescent="0.2">
      <c r="A660" s="5"/>
      <c r="B660" s="31"/>
      <c r="C660" s="31"/>
      <c r="D660" s="31"/>
      <c r="E660" s="31"/>
      <c r="F660" s="31"/>
      <c r="G660" s="31"/>
      <c r="H660" s="93"/>
      <c r="I660" s="31"/>
      <c r="J660" s="31"/>
      <c r="K660" s="31"/>
      <c r="L660" s="42"/>
      <c r="M660" s="31"/>
      <c r="N660" s="31"/>
      <c r="O660" s="42"/>
      <c r="P660" s="92"/>
      <c r="Q660" s="42"/>
      <c r="R660" s="46"/>
      <c r="S660" s="31"/>
      <c r="T660" s="31"/>
      <c r="U660" s="31"/>
      <c r="V660" s="31"/>
      <c r="W660" s="31"/>
      <c r="X660" s="31"/>
      <c r="Y660" s="31"/>
      <c r="Z660" s="31"/>
      <c r="AA660" s="31"/>
    </row>
    <row r="661" spans="1:27" x14ac:dyDescent="0.2">
      <c r="A661" s="5"/>
      <c r="B661" s="31"/>
      <c r="C661" s="31"/>
      <c r="D661" s="31"/>
      <c r="E661" s="31"/>
      <c r="F661" s="31"/>
      <c r="G661" s="31"/>
      <c r="H661" s="93"/>
      <c r="I661" s="31"/>
      <c r="J661" s="31"/>
      <c r="K661" s="31"/>
      <c r="L661" s="42"/>
      <c r="M661" s="31"/>
      <c r="N661" s="31"/>
      <c r="O661" s="42"/>
      <c r="P661" s="92"/>
      <c r="Q661" s="42"/>
      <c r="R661" s="46"/>
      <c r="S661" s="31"/>
      <c r="T661" s="31"/>
      <c r="U661" s="31"/>
      <c r="V661" s="31"/>
      <c r="W661" s="31"/>
      <c r="X661" s="31"/>
      <c r="Y661" s="31"/>
      <c r="Z661" s="31"/>
      <c r="AA661" s="31"/>
    </row>
    <row r="662" spans="1:27" x14ac:dyDescent="0.2">
      <c r="A662" s="5"/>
      <c r="B662" s="31"/>
      <c r="C662" s="31"/>
      <c r="D662" s="31"/>
      <c r="E662" s="31"/>
      <c r="F662" s="31"/>
      <c r="G662" s="31"/>
      <c r="H662" s="93"/>
      <c r="I662" s="31"/>
      <c r="J662" s="31"/>
      <c r="K662" s="31"/>
      <c r="L662" s="42"/>
      <c r="M662" s="31"/>
      <c r="N662" s="31"/>
      <c r="O662" s="42"/>
      <c r="P662" s="92"/>
      <c r="Q662" s="42"/>
      <c r="R662" s="46"/>
      <c r="S662" s="31"/>
      <c r="T662" s="31"/>
      <c r="U662" s="31"/>
      <c r="V662" s="31"/>
      <c r="W662" s="31"/>
      <c r="X662" s="31"/>
      <c r="Y662" s="31"/>
      <c r="Z662" s="31"/>
      <c r="AA662" s="31"/>
    </row>
    <row r="663" spans="1:27" x14ac:dyDescent="0.2">
      <c r="A663" s="5"/>
      <c r="B663" s="31"/>
      <c r="C663" s="31"/>
      <c r="D663" s="31"/>
      <c r="E663" s="31"/>
      <c r="F663" s="31"/>
      <c r="G663" s="31"/>
      <c r="H663" s="93"/>
      <c r="I663" s="31"/>
      <c r="J663" s="31"/>
      <c r="K663" s="31"/>
      <c r="L663" s="42"/>
      <c r="M663" s="31"/>
      <c r="N663" s="31"/>
      <c r="O663" s="42"/>
      <c r="P663" s="92"/>
      <c r="Q663" s="42"/>
      <c r="R663" s="46"/>
      <c r="S663" s="31"/>
      <c r="T663" s="31"/>
      <c r="U663" s="31"/>
      <c r="V663" s="31"/>
      <c r="W663" s="31"/>
      <c r="X663" s="31"/>
      <c r="Y663" s="31"/>
      <c r="Z663" s="31"/>
      <c r="AA663" s="31"/>
    </row>
    <row r="664" spans="1:27" x14ac:dyDescent="0.2">
      <c r="A664" s="5"/>
      <c r="B664" s="31"/>
      <c r="C664" s="31"/>
      <c r="D664" s="31"/>
      <c r="E664" s="31"/>
      <c r="F664" s="31"/>
      <c r="G664" s="31"/>
      <c r="H664" s="93"/>
      <c r="I664" s="31"/>
      <c r="J664" s="31"/>
      <c r="K664" s="31"/>
      <c r="L664" s="42"/>
      <c r="M664" s="31"/>
      <c r="N664" s="31"/>
      <c r="O664" s="42"/>
      <c r="P664" s="92"/>
      <c r="Q664" s="42"/>
      <c r="R664" s="46"/>
      <c r="S664" s="31"/>
      <c r="T664" s="31"/>
      <c r="U664" s="31"/>
      <c r="V664" s="31"/>
      <c r="W664" s="31"/>
      <c r="X664" s="31"/>
      <c r="Y664" s="31"/>
      <c r="Z664" s="31"/>
      <c r="AA664" s="31"/>
    </row>
    <row r="665" spans="1:27" x14ac:dyDescent="0.2">
      <c r="A665" s="5"/>
      <c r="B665" s="31"/>
      <c r="C665" s="31"/>
      <c r="D665" s="31"/>
      <c r="E665" s="31"/>
      <c r="F665" s="31"/>
      <c r="G665" s="31"/>
      <c r="H665" s="93"/>
      <c r="I665" s="31"/>
      <c r="J665" s="31"/>
      <c r="K665" s="31"/>
      <c r="L665" s="42"/>
      <c r="M665" s="31"/>
      <c r="N665" s="31"/>
      <c r="O665" s="42"/>
      <c r="P665" s="92"/>
      <c r="Q665" s="42"/>
      <c r="R665" s="46"/>
      <c r="S665" s="31"/>
      <c r="T665" s="31"/>
      <c r="U665" s="31"/>
      <c r="V665" s="31"/>
      <c r="W665" s="31"/>
      <c r="X665" s="31"/>
      <c r="Y665" s="31"/>
      <c r="Z665" s="31"/>
      <c r="AA665" s="31"/>
    </row>
    <row r="666" spans="1:27" x14ac:dyDescent="0.2">
      <c r="A666" s="5"/>
      <c r="B666" s="31"/>
      <c r="C666" s="31"/>
      <c r="D666" s="31"/>
      <c r="E666" s="31"/>
      <c r="F666" s="31"/>
      <c r="G666" s="31"/>
      <c r="H666" s="93"/>
      <c r="I666" s="31"/>
      <c r="J666" s="31"/>
      <c r="K666" s="31"/>
      <c r="L666" s="42"/>
      <c r="M666" s="31"/>
      <c r="N666" s="31"/>
      <c r="O666" s="42"/>
      <c r="P666" s="92"/>
      <c r="Q666" s="42"/>
      <c r="R666" s="46"/>
      <c r="S666" s="31"/>
      <c r="T666" s="31"/>
      <c r="U666" s="31"/>
      <c r="V666" s="31"/>
      <c r="W666" s="31"/>
      <c r="X666" s="31"/>
      <c r="Y666" s="31"/>
      <c r="Z666" s="31"/>
      <c r="AA666" s="31"/>
    </row>
    <row r="667" spans="1:27" x14ac:dyDescent="0.2">
      <c r="A667" s="5"/>
      <c r="B667" s="31"/>
      <c r="C667" s="31"/>
      <c r="D667" s="31"/>
      <c r="E667" s="31"/>
      <c r="F667" s="31"/>
      <c r="G667" s="31"/>
      <c r="H667" s="93"/>
      <c r="I667" s="31"/>
      <c r="J667" s="31"/>
      <c r="K667" s="31"/>
      <c r="L667" s="42"/>
      <c r="M667" s="31"/>
      <c r="N667" s="31"/>
      <c r="O667" s="42"/>
      <c r="P667" s="92"/>
      <c r="Q667" s="42"/>
      <c r="R667" s="46"/>
      <c r="S667" s="31"/>
      <c r="T667" s="31"/>
      <c r="U667" s="31"/>
      <c r="V667" s="31"/>
      <c r="W667" s="31"/>
      <c r="X667" s="31"/>
      <c r="Y667" s="31"/>
      <c r="Z667" s="31"/>
      <c r="AA667" s="31"/>
    </row>
    <row r="668" spans="1:27" x14ac:dyDescent="0.2">
      <c r="A668" s="5"/>
      <c r="B668" s="31"/>
      <c r="C668" s="31"/>
      <c r="D668" s="31"/>
      <c r="E668" s="31"/>
      <c r="F668" s="31"/>
      <c r="G668" s="31"/>
      <c r="H668" s="93"/>
      <c r="I668" s="31"/>
      <c r="J668" s="31"/>
      <c r="K668" s="31"/>
      <c r="L668" s="42"/>
      <c r="M668" s="31"/>
      <c r="N668" s="31"/>
      <c r="O668" s="42"/>
      <c r="P668" s="92"/>
      <c r="Q668" s="42"/>
      <c r="R668" s="46"/>
      <c r="S668" s="31"/>
      <c r="T668" s="31"/>
      <c r="U668" s="31"/>
      <c r="V668" s="31"/>
      <c r="W668" s="31"/>
      <c r="X668" s="31"/>
      <c r="Y668" s="31"/>
      <c r="Z668" s="31"/>
      <c r="AA668" s="31"/>
    </row>
    <row r="669" spans="1:27" x14ac:dyDescent="0.2">
      <c r="A669" s="5"/>
      <c r="B669" s="31"/>
      <c r="C669" s="31"/>
      <c r="D669" s="31"/>
      <c r="E669" s="31"/>
      <c r="F669" s="31"/>
      <c r="G669" s="31"/>
      <c r="H669" s="93"/>
      <c r="I669" s="31"/>
      <c r="J669" s="31"/>
      <c r="K669" s="31"/>
      <c r="L669" s="42"/>
      <c r="M669" s="31"/>
      <c r="N669" s="31"/>
      <c r="O669" s="42"/>
      <c r="P669" s="92"/>
      <c r="Q669" s="42"/>
      <c r="R669" s="46"/>
      <c r="S669" s="31"/>
      <c r="T669" s="31"/>
      <c r="U669" s="31"/>
      <c r="V669" s="31"/>
      <c r="W669" s="31"/>
      <c r="X669" s="31"/>
      <c r="Y669" s="31"/>
      <c r="Z669" s="31"/>
      <c r="AA669" s="31"/>
    </row>
    <row r="670" spans="1:27" x14ac:dyDescent="0.2">
      <c r="A670" s="5"/>
      <c r="B670" s="31"/>
      <c r="C670" s="31"/>
      <c r="D670" s="31"/>
      <c r="E670" s="31"/>
      <c r="F670" s="31"/>
      <c r="G670" s="31"/>
      <c r="H670" s="93"/>
      <c r="I670" s="31"/>
      <c r="J670" s="31"/>
      <c r="K670" s="31"/>
      <c r="L670" s="42"/>
      <c r="M670" s="31"/>
      <c r="N670" s="31"/>
      <c r="O670" s="42"/>
      <c r="P670" s="92"/>
      <c r="Q670" s="42"/>
      <c r="R670" s="46"/>
      <c r="S670" s="31"/>
      <c r="T670" s="31"/>
      <c r="U670" s="31"/>
      <c r="V670" s="31"/>
      <c r="W670" s="31"/>
      <c r="X670" s="31"/>
      <c r="Y670" s="31"/>
      <c r="Z670" s="31"/>
      <c r="AA670" s="31"/>
    </row>
    <row r="671" spans="1:27" x14ac:dyDescent="0.2">
      <c r="A671" s="5"/>
      <c r="B671" s="31"/>
      <c r="C671" s="31"/>
      <c r="D671" s="31"/>
      <c r="E671" s="31"/>
      <c r="F671" s="31"/>
      <c r="G671" s="31"/>
      <c r="H671" s="93"/>
      <c r="I671" s="31"/>
      <c r="J671" s="31"/>
      <c r="K671" s="31"/>
      <c r="L671" s="42"/>
      <c r="M671" s="31"/>
      <c r="N671" s="31"/>
      <c r="O671" s="42"/>
      <c r="P671" s="92"/>
      <c r="Q671" s="42"/>
      <c r="R671" s="46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x14ac:dyDescent="0.2">
      <c r="A672" s="5"/>
      <c r="B672" s="31"/>
      <c r="C672" s="31"/>
      <c r="D672" s="31"/>
      <c r="E672" s="31"/>
      <c r="F672" s="31"/>
      <c r="G672" s="31"/>
      <c r="H672" s="93"/>
      <c r="I672" s="31"/>
      <c r="J672" s="31"/>
      <c r="K672" s="31"/>
      <c r="L672" s="42"/>
      <c r="M672" s="31"/>
      <c r="N672" s="31"/>
      <c r="O672" s="42"/>
      <c r="P672" s="92"/>
      <c r="Q672" s="42"/>
      <c r="R672" s="46"/>
      <c r="S672" s="31"/>
      <c r="T672" s="31"/>
      <c r="U672" s="31"/>
      <c r="V672" s="31"/>
      <c r="W672" s="31"/>
      <c r="X672" s="31"/>
      <c r="Y672" s="31"/>
      <c r="Z672" s="31"/>
      <c r="AA672" s="31"/>
    </row>
    <row r="673" spans="1:27" x14ac:dyDescent="0.2">
      <c r="A673" s="5"/>
      <c r="B673" s="31"/>
      <c r="C673" s="31"/>
      <c r="D673" s="31"/>
      <c r="E673" s="31"/>
      <c r="F673" s="31"/>
      <c r="G673" s="31"/>
      <c r="H673" s="93"/>
      <c r="I673" s="31"/>
      <c r="J673" s="31"/>
      <c r="K673" s="31"/>
      <c r="L673" s="42"/>
      <c r="M673" s="31"/>
      <c r="N673" s="31"/>
      <c r="O673" s="42"/>
      <c r="P673" s="92"/>
      <c r="Q673" s="42"/>
      <c r="R673" s="46"/>
      <c r="S673" s="31"/>
      <c r="T673" s="31"/>
      <c r="U673" s="31"/>
      <c r="V673" s="31"/>
      <c r="W673" s="31"/>
      <c r="X673" s="31"/>
      <c r="Y673" s="31"/>
      <c r="Z673" s="31"/>
      <c r="AA673" s="31"/>
    </row>
    <row r="674" spans="1:27" x14ac:dyDescent="0.2">
      <c r="A674" s="5"/>
      <c r="B674" s="31"/>
      <c r="C674" s="31"/>
      <c r="D674" s="31"/>
      <c r="E674" s="31"/>
      <c r="F674" s="31"/>
      <c r="G674" s="31"/>
      <c r="H674" s="93"/>
      <c r="I674" s="31"/>
      <c r="J674" s="31"/>
      <c r="K674" s="31"/>
      <c r="L674" s="42"/>
      <c r="M674" s="31"/>
      <c r="N674" s="31"/>
      <c r="O674" s="42"/>
      <c r="P674" s="92"/>
      <c r="Q674" s="42"/>
      <c r="R674" s="46"/>
      <c r="S674" s="31"/>
      <c r="T674" s="31"/>
      <c r="U674" s="31"/>
      <c r="V674" s="31"/>
      <c r="W674" s="31"/>
      <c r="X674" s="31"/>
      <c r="Y674" s="31"/>
      <c r="Z674" s="31"/>
      <c r="AA674" s="31"/>
    </row>
    <row r="675" spans="1:27" x14ac:dyDescent="0.2">
      <c r="A675" s="5"/>
      <c r="B675" s="31"/>
      <c r="C675" s="31"/>
      <c r="D675" s="31"/>
      <c r="E675" s="31"/>
      <c r="F675" s="31"/>
      <c r="G675" s="31"/>
      <c r="H675" s="93"/>
      <c r="I675" s="31"/>
      <c r="J675" s="31"/>
      <c r="K675" s="31"/>
      <c r="L675" s="42"/>
      <c r="M675" s="31"/>
      <c r="N675" s="31"/>
      <c r="O675" s="42"/>
      <c r="P675" s="92"/>
      <c r="Q675" s="42"/>
      <c r="R675" s="46"/>
      <c r="S675" s="31"/>
      <c r="T675" s="31"/>
      <c r="U675" s="31"/>
      <c r="V675" s="31"/>
      <c r="W675" s="31"/>
      <c r="X675" s="31"/>
      <c r="Y675" s="31"/>
      <c r="Z675" s="31"/>
      <c r="AA675" s="31"/>
    </row>
    <row r="676" spans="1:27" x14ac:dyDescent="0.2">
      <c r="A676" s="5"/>
      <c r="B676" s="31"/>
      <c r="C676" s="31"/>
      <c r="D676" s="31"/>
      <c r="E676" s="31"/>
      <c r="F676" s="31"/>
      <c r="G676" s="31"/>
      <c r="H676" s="93"/>
      <c r="I676" s="31"/>
      <c r="J676" s="31"/>
      <c r="K676" s="31"/>
      <c r="L676" s="42"/>
      <c r="M676" s="31"/>
      <c r="N676" s="31"/>
      <c r="O676" s="42"/>
      <c r="P676" s="92"/>
      <c r="Q676" s="42"/>
      <c r="R676" s="46"/>
      <c r="S676" s="31"/>
      <c r="T676" s="31"/>
      <c r="U676" s="31"/>
      <c r="V676" s="31"/>
      <c r="W676" s="31"/>
      <c r="X676" s="31"/>
      <c r="Y676" s="31"/>
      <c r="Z676" s="31"/>
      <c r="AA676" s="31"/>
    </row>
    <row r="677" spans="1:27" x14ac:dyDescent="0.2">
      <c r="A677" s="5"/>
      <c r="B677" s="31"/>
      <c r="C677" s="31"/>
      <c r="D677" s="31"/>
      <c r="E677" s="31"/>
      <c r="F677" s="31"/>
      <c r="G677" s="31"/>
      <c r="H677" s="93"/>
      <c r="I677" s="31"/>
      <c r="J677" s="31"/>
      <c r="K677" s="31"/>
      <c r="L677" s="42"/>
      <c r="M677" s="31"/>
      <c r="N677" s="31"/>
      <c r="O677" s="42"/>
      <c r="P677" s="92"/>
      <c r="Q677" s="42"/>
      <c r="R677" s="46"/>
      <c r="S677" s="31"/>
      <c r="T677" s="31"/>
      <c r="U677" s="31"/>
      <c r="V677" s="31"/>
      <c r="W677" s="31"/>
      <c r="X677" s="31"/>
      <c r="Y677" s="31"/>
      <c r="Z677" s="31"/>
      <c r="AA677" s="31"/>
    </row>
    <row r="678" spans="1:27" x14ac:dyDescent="0.2">
      <c r="A678" s="5"/>
      <c r="B678" s="31"/>
      <c r="C678" s="31"/>
      <c r="D678" s="31"/>
      <c r="E678" s="31"/>
      <c r="F678" s="31"/>
      <c r="G678" s="31"/>
      <c r="H678" s="93"/>
      <c r="I678" s="31"/>
      <c r="J678" s="31"/>
      <c r="K678" s="31"/>
      <c r="L678" s="42"/>
      <c r="M678" s="31"/>
      <c r="N678" s="31"/>
      <c r="O678" s="42"/>
      <c r="P678" s="92"/>
      <c r="Q678" s="42"/>
      <c r="R678" s="46"/>
      <c r="S678" s="31"/>
      <c r="T678" s="31"/>
      <c r="U678" s="31"/>
      <c r="V678" s="31"/>
      <c r="W678" s="31"/>
      <c r="X678" s="31"/>
      <c r="Y678" s="31"/>
      <c r="Z678" s="31"/>
      <c r="AA678" s="31"/>
    </row>
    <row r="679" spans="1:27" x14ac:dyDescent="0.2">
      <c r="A679" s="5"/>
      <c r="B679" s="31"/>
      <c r="C679" s="31"/>
      <c r="D679" s="31"/>
      <c r="E679" s="31"/>
      <c r="F679" s="31"/>
      <c r="G679" s="31"/>
      <c r="H679" s="93"/>
      <c r="I679" s="31"/>
      <c r="J679" s="31"/>
      <c r="K679" s="31"/>
      <c r="L679" s="42"/>
      <c r="M679" s="31"/>
      <c r="N679" s="31"/>
      <c r="O679" s="42"/>
      <c r="P679" s="92"/>
      <c r="Q679" s="42"/>
      <c r="R679" s="46"/>
      <c r="S679" s="31"/>
      <c r="T679" s="31"/>
      <c r="U679" s="31"/>
      <c r="V679" s="31"/>
      <c r="W679" s="31"/>
      <c r="X679" s="31"/>
      <c r="Y679" s="31"/>
      <c r="Z679" s="31"/>
      <c r="AA679" s="31"/>
    </row>
    <row r="680" spans="1:27" x14ac:dyDescent="0.2">
      <c r="A680" s="5"/>
      <c r="B680" s="31"/>
      <c r="C680" s="31"/>
      <c r="D680" s="31"/>
      <c r="E680" s="31"/>
      <c r="F680" s="31"/>
      <c r="G680" s="31"/>
      <c r="H680" s="93"/>
      <c r="I680" s="31"/>
      <c r="J680" s="31"/>
      <c r="K680" s="31"/>
      <c r="L680" s="42"/>
      <c r="M680" s="31"/>
      <c r="N680" s="31"/>
      <c r="O680" s="42"/>
      <c r="P680" s="92"/>
      <c r="Q680" s="42"/>
      <c r="R680" s="46"/>
      <c r="S680" s="31"/>
      <c r="T680" s="31"/>
      <c r="U680" s="31"/>
      <c r="V680" s="31"/>
      <c r="W680" s="31"/>
      <c r="X680" s="31"/>
      <c r="Y680" s="31"/>
      <c r="Z680" s="31"/>
      <c r="AA680" s="31"/>
    </row>
    <row r="681" spans="1:27" x14ac:dyDescent="0.2">
      <c r="A681" s="5"/>
      <c r="B681" s="31"/>
      <c r="C681" s="31"/>
      <c r="D681" s="31"/>
      <c r="E681" s="31"/>
      <c r="F681" s="31"/>
      <c r="G681" s="31"/>
      <c r="H681" s="93"/>
      <c r="I681" s="31"/>
      <c r="J681" s="31"/>
      <c r="K681" s="31"/>
      <c r="L681" s="42"/>
      <c r="M681" s="31"/>
      <c r="N681" s="31"/>
      <c r="O681" s="42"/>
      <c r="P681" s="92"/>
      <c r="Q681" s="42"/>
      <c r="R681" s="46"/>
      <c r="S681" s="31"/>
      <c r="T681" s="31"/>
      <c r="U681" s="31"/>
      <c r="V681" s="31"/>
      <c r="W681" s="31"/>
      <c r="X681" s="31"/>
      <c r="Y681" s="31"/>
      <c r="Z681" s="31"/>
      <c r="AA681" s="31"/>
    </row>
    <row r="682" spans="1:27" x14ac:dyDescent="0.2">
      <c r="A682" s="5"/>
      <c r="B682" s="31"/>
      <c r="C682" s="31"/>
      <c r="D682" s="31"/>
      <c r="E682" s="31"/>
      <c r="F682" s="31"/>
      <c r="G682" s="31"/>
      <c r="H682" s="93"/>
      <c r="I682" s="31"/>
      <c r="J682" s="31"/>
      <c r="K682" s="31"/>
      <c r="L682" s="42"/>
      <c r="M682" s="31"/>
      <c r="N682" s="31"/>
      <c r="O682" s="42"/>
      <c r="P682" s="92"/>
      <c r="Q682" s="42"/>
      <c r="R682" s="46"/>
      <c r="S682" s="31"/>
      <c r="T682" s="31"/>
      <c r="U682" s="31"/>
      <c r="V682" s="31"/>
      <c r="W682" s="31"/>
      <c r="X682" s="31"/>
      <c r="Y682" s="31"/>
      <c r="Z682" s="31"/>
      <c r="AA682" s="31"/>
    </row>
    <row r="683" spans="1:27" x14ac:dyDescent="0.2">
      <c r="A683" s="5"/>
      <c r="B683" s="31"/>
      <c r="C683" s="31"/>
      <c r="D683" s="31"/>
      <c r="E683" s="31"/>
      <c r="F683" s="31"/>
      <c r="G683" s="31"/>
      <c r="H683" s="93"/>
      <c r="I683" s="31"/>
      <c r="J683" s="31"/>
      <c r="K683" s="31"/>
      <c r="L683" s="42"/>
      <c r="M683" s="31"/>
      <c r="N683" s="31"/>
      <c r="O683" s="42"/>
      <c r="P683" s="92"/>
      <c r="Q683" s="42"/>
      <c r="R683" s="46"/>
      <c r="S683" s="31"/>
      <c r="T683" s="31"/>
      <c r="U683" s="31"/>
      <c r="V683" s="31"/>
      <c r="W683" s="31"/>
      <c r="X683" s="31"/>
      <c r="Y683" s="31"/>
      <c r="Z683" s="31"/>
      <c r="AA683" s="31"/>
    </row>
    <row r="684" spans="1:27" x14ac:dyDescent="0.2">
      <c r="A684" s="5"/>
      <c r="B684" s="31"/>
      <c r="C684" s="31"/>
      <c r="D684" s="31"/>
      <c r="E684" s="31"/>
      <c r="F684" s="31"/>
      <c r="G684" s="31"/>
      <c r="H684" s="93"/>
      <c r="I684" s="31"/>
      <c r="J684" s="31"/>
      <c r="K684" s="31"/>
      <c r="L684" s="42"/>
      <c r="M684" s="31"/>
      <c r="N684" s="31"/>
      <c r="O684" s="42"/>
      <c r="P684" s="92"/>
      <c r="Q684" s="42"/>
      <c r="R684" s="46"/>
      <c r="S684" s="31"/>
      <c r="T684" s="31"/>
      <c r="U684" s="31"/>
      <c r="V684" s="31"/>
      <c r="W684" s="31"/>
      <c r="X684" s="31"/>
      <c r="Y684" s="31"/>
      <c r="Z684" s="31"/>
      <c r="AA684" s="31"/>
    </row>
    <row r="685" spans="1:27" x14ac:dyDescent="0.2">
      <c r="A685" s="5"/>
      <c r="B685" s="31"/>
      <c r="C685" s="31"/>
      <c r="D685" s="31"/>
      <c r="E685" s="31"/>
      <c r="F685" s="31"/>
      <c r="G685" s="31"/>
      <c r="H685" s="93"/>
      <c r="I685" s="31"/>
      <c r="J685" s="31"/>
      <c r="K685" s="31"/>
      <c r="L685" s="42"/>
      <c r="M685" s="31"/>
      <c r="N685" s="31"/>
      <c r="O685" s="42"/>
      <c r="P685" s="92"/>
      <c r="Q685" s="42"/>
      <c r="R685" s="46"/>
      <c r="S685" s="31"/>
      <c r="T685" s="31"/>
      <c r="U685" s="31"/>
      <c r="V685" s="31"/>
      <c r="W685" s="31"/>
      <c r="X685" s="31"/>
      <c r="Y685" s="31"/>
      <c r="Z685" s="31"/>
      <c r="AA685" s="31"/>
    </row>
    <row r="686" spans="1:27" x14ac:dyDescent="0.2">
      <c r="A686" s="5"/>
      <c r="B686" s="31"/>
      <c r="C686" s="31"/>
      <c r="D686" s="31"/>
      <c r="E686" s="31"/>
      <c r="F686" s="31"/>
      <c r="G686" s="31"/>
      <c r="H686" s="93"/>
      <c r="I686" s="31"/>
      <c r="J686" s="31"/>
      <c r="K686" s="31"/>
      <c r="L686" s="42"/>
      <c r="M686" s="31"/>
      <c r="N686" s="31"/>
      <c r="O686" s="42"/>
      <c r="P686" s="92"/>
      <c r="Q686" s="42"/>
      <c r="R686" s="46"/>
      <c r="S686" s="31"/>
      <c r="T686" s="31"/>
      <c r="U686" s="31"/>
      <c r="V686" s="31"/>
      <c r="W686" s="31"/>
      <c r="X686" s="31"/>
      <c r="Y686" s="31"/>
      <c r="Z686" s="31"/>
      <c r="AA686" s="31"/>
    </row>
    <row r="687" spans="1:27" x14ac:dyDescent="0.2">
      <c r="A687" s="5"/>
      <c r="B687" s="31"/>
      <c r="C687" s="31"/>
      <c r="D687" s="31"/>
      <c r="E687" s="31"/>
      <c r="F687" s="31"/>
      <c r="G687" s="31"/>
      <c r="H687" s="93"/>
      <c r="I687" s="31"/>
      <c r="J687" s="31"/>
      <c r="K687" s="31"/>
      <c r="L687" s="42"/>
      <c r="M687" s="31"/>
      <c r="N687" s="31"/>
      <c r="O687" s="42"/>
      <c r="P687" s="92"/>
      <c r="Q687" s="42"/>
      <c r="R687" s="46"/>
      <c r="S687" s="31"/>
      <c r="T687" s="31"/>
      <c r="U687" s="31"/>
      <c r="V687" s="31"/>
      <c r="W687" s="31"/>
      <c r="X687" s="31"/>
      <c r="Y687" s="31"/>
      <c r="Z687" s="31"/>
      <c r="AA687" s="31"/>
    </row>
    <row r="688" spans="1:27" x14ac:dyDescent="0.2">
      <c r="A688" s="5"/>
      <c r="B688" s="31"/>
      <c r="C688" s="31"/>
      <c r="D688" s="31"/>
      <c r="E688" s="31"/>
      <c r="F688" s="31"/>
      <c r="G688" s="31"/>
      <c r="H688" s="93"/>
      <c r="I688" s="31"/>
      <c r="J688" s="31"/>
      <c r="K688" s="31"/>
      <c r="L688" s="42"/>
      <c r="M688" s="31"/>
      <c r="N688" s="31"/>
      <c r="O688" s="42"/>
      <c r="P688" s="92"/>
      <c r="Q688" s="42"/>
      <c r="R688" s="46"/>
      <c r="S688" s="31"/>
      <c r="T688" s="31"/>
      <c r="U688" s="31"/>
      <c r="V688" s="31"/>
      <c r="W688" s="31"/>
      <c r="X688" s="31"/>
      <c r="Y688" s="31"/>
      <c r="Z688" s="31"/>
      <c r="AA688" s="31"/>
    </row>
    <row r="689" spans="1:27" x14ac:dyDescent="0.2">
      <c r="A689" s="5"/>
      <c r="B689" s="31"/>
      <c r="C689" s="31"/>
      <c r="D689" s="31"/>
      <c r="E689" s="31"/>
      <c r="F689" s="31"/>
      <c r="G689" s="31"/>
      <c r="H689" s="93"/>
      <c r="I689" s="31"/>
      <c r="J689" s="31"/>
      <c r="K689" s="31"/>
      <c r="L689" s="42"/>
      <c r="M689" s="31"/>
      <c r="N689" s="31"/>
      <c r="O689" s="42"/>
      <c r="P689" s="92"/>
      <c r="Q689" s="42"/>
      <c r="R689" s="46"/>
      <c r="S689" s="31"/>
      <c r="T689" s="31"/>
      <c r="U689" s="31"/>
      <c r="V689" s="31"/>
      <c r="W689" s="31"/>
      <c r="X689" s="31"/>
      <c r="Y689" s="31"/>
      <c r="Z689" s="31"/>
      <c r="AA689" s="31"/>
    </row>
    <row r="690" spans="1:27" x14ac:dyDescent="0.2">
      <c r="A690" s="5"/>
      <c r="B690" s="31"/>
      <c r="C690" s="31"/>
      <c r="D690" s="31"/>
      <c r="E690" s="31"/>
      <c r="F690" s="31"/>
      <c r="G690" s="31"/>
      <c r="H690" s="93"/>
      <c r="I690" s="31"/>
      <c r="J690" s="31"/>
      <c r="K690" s="31"/>
      <c r="L690" s="42"/>
      <c r="M690" s="31"/>
      <c r="N690" s="31"/>
      <c r="O690" s="42"/>
      <c r="P690" s="92"/>
      <c r="Q690" s="42"/>
      <c r="R690" s="46"/>
      <c r="S690" s="31"/>
      <c r="T690" s="31"/>
      <c r="U690" s="31"/>
      <c r="V690" s="31"/>
      <c r="W690" s="31"/>
      <c r="X690" s="31"/>
      <c r="Y690" s="31"/>
      <c r="Z690" s="31"/>
      <c r="AA690" s="31"/>
    </row>
    <row r="691" spans="1:27" x14ac:dyDescent="0.2">
      <c r="A691" s="5"/>
      <c r="B691" s="31"/>
      <c r="C691" s="31"/>
      <c r="D691" s="31"/>
      <c r="E691" s="31"/>
      <c r="F691" s="31"/>
      <c r="G691" s="31"/>
      <c r="H691" s="93"/>
      <c r="I691" s="31"/>
      <c r="J691" s="31"/>
      <c r="K691" s="31"/>
      <c r="L691" s="42"/>
      <c r="M691" s="31"/>
      <c r="N691" s="31"/>
      <c r="O691" s="42"/>
      <c r="P691" s="92"/>
      <c r="Q691" s="42"/>
      <c r="R691" s="46"/>
      <c r="S691" s="31"/>
      <c r="T691" s="31"/>
      <c r="U691" s="31"/>
      <c r="V691" s="31"/>
      <c r="W691" s="31"/>
      <c r="X691" s="31"/>
      <c r="Y691" s="31"/>
      <c r="Z691" s="31"/>
      <c r="AA691" s="31"/>
    </row>
    <row r="692" spans="1:27" x14ac:dyDescent="0.2">
      <c r="A692" s="5"/>
      <c r="B692" s="31"/>
      <c r="C692" s="31"/>
      <c r="D692" s="31"/>
      <c r="E692" s="31"/>
      <c r="F692" s="31"/>
      <c r="G692" s="31"/>
      <c r="H692" s="93"/>
      <c r="I692" s="31"/>
      <c r="J692" s="31"/>
      <c r="K692" s="31"/>
      <c r="L692" s="42"/>
      <c r="M692" s="31"/>
      <c r="N692" s="31"/>
      <c r="O692" s="42"/>
      <c r="P692" s="92"/>
      <c r="Q692" s="42"/>
      <c r="R692" s="46"/>
      <c r="S692" s="31"/>
      <c r="T692" s="31"/>
      <c r="U692" s="31"/>
      <c r="V692" s="31"/>
      <c r="W692" s="31"/>
      <c r="X692" s="31"/>
      <c r="Y692" s="31"/>
      <c r="Z692" s="31"/>
      <c r="AA692" s="31"/>
    </row>
    <row r="693" spans="1:27" x14ac:dyDescent="0.2">
      <c r="A693" s="5"/>
      <c r="B693" s="31"/>
      <c r="C693" s="31"/>
      <c r="D693" s="31"/>
      <c r="E693" s="31"/>
      <c r="F693" s="31"/>
      <c r="G693" s="31"/>
      <c r="H693" s="93"/>
      <c r="I693" s="31"/>
      <c r="J693" s="31"/>
      <c r="K693" s="31"/>
      <c r="L693" s="42"/>
      <c r="M693" s="31"/>
      <c r="N693" s="31"/>
      <c r="O693" s="42"/>
      <c r="P693" s="92"/>
      <c r="Q693" s="42"/>
      <c r="R693" s="46"/>
      <c r="S693" s="31"/>
      <c r="T693" s="31"/>
      <c r="U693" s="31"/>
      <c r="V693" s="31"/>
      <c r="W693" s="31"/>
      <c r="X693" s="31"/>
      <c r="Y693" s="31"/>
      <c r="Z693" s="31"/>
      <c r="AA693" s="31"/>
    </row>
    <row r="694" spans="1:27" x14ac:dyDescent="0.2">
      <c r="A694" s="5"/>
      <c r="B694" s="31"/>
      <c r="C694" s="31"/>
      <c r="D694" s="31"/>
      <c r="E694" s="31"/>
      <c r="F694" s="31"/>
      <c r="G694" s="31"/>
      <c r="H694" s="93"/>
      <c r="I694" s="31"/>
      <c r="J694" s="31"/>
      <c r="K694" s="31"/>
      <c r="L694" s="42"/>
      <c r="M694" s="31"/>
      <c r="N694" s="31"/>
      <c r="O694" s="42"/>
      <c r="P694" s="92"/>
      <c r="Q694" s="42"/>
      <c r="R694" s="46"/>
      <c r="S694" s="31"/>
      <c r="T694" s="31"/>
      <c r="U694" s="31"/>
      <c r="V694" s="31"/>
      <c r="W694" s="31"/>
      <c r="X694" s="31"/>
      <c r="Y694" s="31"/>
      <c r="Z694" s="31"/>
      <c r="AA694" s="31"/>
    </row>
    <row r="695" spans="1:27" x14ac:dyDescent="0.2">
      <c r="A695" s="5"/>
      <c r="B695" s="31"/>
      <c r="C695" s="31"/>
      <c r="D695" s="31"/>
      <c r="E695" s="31"/>
      <c r="F695" s="31"/>
      <c r="G695" s="31"/>
      <c r="H695" s="93"/>
      <c r="I695" s="31"/>
      <c r="J695" s="31"/>
      <c r="K695" s="31"/>
      <c r="L695" s="42"/>
      <c r="M695" s="31"/>
      <c r="N695" s="31"/>
      <c r="O695" s="42"/>
      <c r="P695" s="92"/>
      <c r="Q695" s="42"/>
      <c r="R695" s="46"/>
      <c r="S695" s="31"/>
      <c r="T695" s="31"/>
      <c r="U695" s="31"/>
      <c r="V695" s="31"/>
      <c r="W695" s="31"/>
      <c r="X695" s="31"/>
      <c r="Y695" s="31"/>
      <c r="Z695" s="31"/>
      <c r="AA695" s="31"/>
    </row>
    <row r="696" spans="1:27" x14ac:dyDescent="0.2">
      <c r="A696" s="5"/>
      <c r="B696" s="31"/>
      <c r="C696" s="31"/>
      <c r="D696" s="31"/>
      <c r="E696" s="31"/>
      <c r="F696" s="31"/>
      <c r="G696" s="31"/>
      <c r="H696" s="93"/>
      <c r="I696" s="31"/>
      <c r="J696" s="31"/>
      <c r="K696" s="31"/>
      <c r="L696" s="42"/>
      <c r="M696" s="31"/>
      <c r="N696" s="31"/>
      <c r="O696" s="42"/>
      <c r="P696" s="92"/>
      <c r="Q696" s="42"/>
      <c r="R696" s="46"/>
      <c r="S696" s="31"/>
      <c r="T696" s="31"/>
      <c r="U696" s="31"/>
      <c r="V696" s="31"/>
      <c r="W696" s="31"/>
      <c r="X696" s="31"/>
      <c r="Y696" s="31"/>
      <c r="Z696" s="31"/>
      <c r="AA696" s="31"/>
    </row>
    <row r="697" spans="1:27" x14ac:dyDescent="0.2">
      <c r="A697" s="5"/>
      <c r="B697" s="31"/>
      <c r="C697" s="31"/>
      <c r="D697" s="31"/>
      <c r="E697" s="31"/>
      <c r="F697" s="31"/>
      <c r="G697" s="31"/>
      <c r="H697" s="93"/>
      <c r="I697" s="31"/>
      <c r="J697" s="31"/>
      <c r="K697" s="31"/>
      <c r="L697" s="42"/>
      <c r="M697" s="31"/>
      <c r="N697" s="31"/>
      <c r="O697" s="42"/>
      <c r="P697" s="92"/>
      <c r="Q697" s="42"/>
      <c r="R697" s="46"/>
      <c r="S697" s="31"/>
      <c r="T697" s="31"/>
      <c r="U697" s="31"/>
      <c r="V697" s="31"/>
      <c r="W697" s="31"/>
      <c r="X697" s="31"/>
      <c r="Y697" s="31"/>
      <c r="Z697" s="31"/>
      <c r="AA697" s="31"/>
    </row>
    <row r="698" spans="1:27" x14ac:dyDescent="0.2">
      <c r="A698" s="5"/>
      <c r="B698" s="31"/>
      <c r="C698" s="31"/>
      <c r="D698" s="31"/>
      <c r="E698" s="31"/>
      <c r="F698" s="31"/>
      <c r="G698" s="31"/>
      <c r="H698" s="93"/>
      <c r="I698" s="31"/>
      <c r="J698" s="31"/>
      <c r="K698" s="31"/>
      <c r="L698" s="42"/>
      <c r="M698" s="31"/>
      <c r="N698" s="31"/>
      <c r="O698" s="42"/>
      <c r="P698" s="92"/>
      <c r="Q698" s="42"/>
      <c r="R698" s="46"/>
      <c r="S698" s="31"/>
      <c r="T698" s="31"/>
      <c r="U698" s="31"/>
      <c r="V698" s="31"/>
      <c r="W698" s="31"/>
      <c r="X698" s="31"/>
      <c r="Y698" s="31"/>
      <c r="Z698" s="31"/>
      <c r="AA698" s="31"/>
    </row>
    <row r="699" spans="1:27" x14ac:dyDescent="0.2">
      <c r="A699" s="5"/>
      <c r="B699" s="31"/>
      <c r="C699" s="31"/>
      <c r="D699" s="31"/>
      <c r="E699" s="31"/>
      <c r="F699" s="31"/>
      <c r="G699" s="31"/>
      <c r="H699" s="93"/>
      <c r="I699" s="31"/>
      <c r="J699" s="31"/>
      <c r="K699" s="31"/>
      <c r="L699" s="42"/>
      <c r="M699" s="31"/>
      <c r="N699" s="31"/>
      <c r="O699" s="42"/>
      <c r="P699" s="92"/>
      <c r="Q699" s="42"/>
      <c r="R699" s="46"/>
      <c r="S699" s="31"/>
      <c r="T699" s="31"/>
      <c r="U699" s="31"/>
      <c r="V699" s="31"/>
      <c r="W699" s="31"/>
      <c r="X699" s="31"/>
      <c r="Y699" s="31"/>
      <c r="Z699" s="31"/>
      <c r="AA699" s="31"/>
    </row>
    <row r="700" spans="1:27" x14ac:dyDescent="0.2">
      <c r="A700" s="5"/>
      <c r="B700" s="31"/>
      <c r="C700" s="31"/>
      <c r="D700" s="31"/>
      <c r="E700" s="31"/>
      <c r="F700" s="31"/>
      <c r="G700" s="31"/>
      <c r="H700" s="93"/>
      <c r="I700" s="31"/>
      <c r="J700" s="31"/>
      <c r="K700" s="31"/>
      <c r="L700" s="42"/>
      <c r="M700" s="31"/>
      <c r="N700" s="31"/>
      <c r="O700" s="42"/>
      <c r="P700" s="92"/>
      <c r="Q700" s="42"/>
      <c r="R700" s="46"/>
      <c r="S700" s="31"/>
      <c r="T700" s="31"/>
      <c r="U700" s="31"/>
      <c r="V700" s="31"/>
      <c r="W700" s="31"/>
      <c r="X700" s="31"/>
      <c r="Y700" s="31"/>
      <c r="Z700" s="31"/>
      <c r="AA700" s="31"/>
    </row>
    <row r="701" spans="1:27" x14ac:dyDescent="0.2">
      <c r="A701" s="5"/>
      <c r="B701" s="31"/>
      <c r="C701" s="31"/>
      <c r="D701" s="31"/>
      <c r="E701" s="31"/>
      <c r="F701" s="31"/>
      <c r="G701" s="31"/>
      <c r="H701" s="93"/>
      <c r="I701" s="31"/>
      <c r="J701" s="31"/>
      <c r="K701" s="31"/>
      <c r="L701" s="42"/>
      <c r="M701" s="31"/>
      <c r="N701" s="31"/>
      <c r="O701" s="42"/>
      <c r="P701" s="92"/>
      <c r="Q701" s="42"/>
      <c r="R701" s="46"/>
      <c r="S701" s="31"/>
      <c r="T701" s="31"/>
      <c r="U701" s="31"/>
      <c r="V701" s="31"/>
      <c r="W701" s="31"/>
      <c r="X701" s="31"/>
      <c r="Y701" s="31"/>
      <c r="Z701" s="31"/>
      <c r="AA701" s="31"/>
    </row>
    <row r="702" spans="1:27" x14ac:dyDescent="0.2">
      <c r="A702" s="5"/>
      <c r="B702" s="31"/>
      <c r="C702" s="31"/>
      <c r="D702" s="31"/>
      <c r="E702" s="31"/>
      <c r="F702" s="31"/>
      <c r="G702" s="31"/>
      <c r="H702" s="93"/>
      <c r="I702" s="31"/>
      <c r="J702" s="31"/>
      <c r="K702" s="31"/>
      <c r="L702" s="42"/>
      <c r="M702" s="31"/>
      <c r="N702" s="31"/>
      <c r="O702" s="42"/>
      <c r="P702" s="92"/>
      <c r="Q702" s="42"/>
      <c r="R702" s="46"/>
      <c r="S702" s="31"/>
      <c r="T702" s="31"/>
      <c r="U702" s="31"/>
      <c r="V702" s="31"/>
      <c r="W702" s="31"/>
      <c r="X702" s="31"/>
      <c r="Y702" s="31"/>
      <c r="Z702" s="31"/>
      <c r="AA702" s="31"/>
    </row>
    <row r="703" spans="1:27" x14ac:dyDescent="0.2">
      <c r="A703" s="5"/>
      <c r="B703" s="31"/>
      <c r="C703" s="31"/>
      <c r="D703" s="31"/>
      <c r="E703" s="31"/>
      <c r="F703" s="31"/>
      <c r="G703" s="31"/>
      <c r="H703" s="93"/>
      <c r="I703" s="31"/>
      <c r="J703" s="31"/>
      <c r="K703" s="31"/>
      <c r="L703" s="42"/>
      <c r="M703" s="31"/>
      <c r="N703" s="31"/>
      <c r="O703" s="42"/>
      <c r="P703" s="92"/>
      <c r="Q703" s="42"/>
      <c r="R703" s="46"/>
      <c r="S703" s="31"/>
      <c r="T703" s="31"/>
      <c r="U703" s="31"/>
      <c r="V703" s="31"/>
      <c r="W703" s="31"/>
      <c r="X703" s="31"/>
      <c r="Y703" s="31"/>
      <c r="Z703" s="31"/>
      <c r="AA703" s="31"/>
    </row>
    <row r="704" spans="1:27" x14ac:dyDescent="0.2">
      <c r="A704" s="5"/>
      <c r="B704" s="31"/>
      <c r="C704" s="31"/>
      <c r="D704" s="31"/>
      <c r="E704" s="31"/>
      <c r="F704" s="31"/>
      <c r="G704" s="31"/>
      <c r="H704" s="93"/>
      <c r="I704" s="31"/>
      <c r="J704" s="31"/>
      <c r="K704" s="31"/>
      <c r="L704" s="42"/>
      <c r="M704" s="31"/>
      <c r="N704" s="31"/>
      <c r="O704" s="42"/>
      <c r="P704" s="92"/>
      <c r="Q704" s="42"/>
      <c r="R704" s="46"/>
      <c r="S704" s="31"/>
      <c r="T704" s="31"/>
      <c r="U704" s="31"/>
      <c r="V704" s="31"/>
      <c r="W704" s="31"/>
      <c r="X704" s="31"/>
      <c r="Y704" s="31"/>
      <c r="Z704" s="31"/>
      <c r="AA704" s="31"/>
    </row>
    <row r="705" spans="1:27" x14ac:dyDescent="0.2">
      <c r="A705" s="5"/>
      <c r="B705" s="31"/>
      <c r="C705" s="31"/>
      <c r="D705" s="31"/>
      <c r="E705" s="31"/>
      <c r="F705" s="31"/>
      <c r="G705" s="31"/>
      <c r="H705" s="93"/>
      <c r="I705" s="31"/>
      <c r="J705" s="31"/>
      <c r="K705" s="31"/>
      <c r="L705" s="42"/>
      <c r="M705" s="31"/>
      <c r="N705" s="31"/>
      <c r="O705" s="42"/>
      <c r="P705" s="92"/>
      <c r="Q705" s="42"/>
      <c r="R705" s="46"/>
      <c r="S705" s="31"/>
      <c r="T705" s="31"/>
      <c r="U705" s="31"/>
      <c r="V705" s="31"/>
      <c r="W705" s="31"/>
      <c r="X705" s="31"/>
      <c r="Y705" s="31"/>
      <c r="Z705" s="31"/>
      <c r="AA705" s="31"/>
    </row>
    <row r="706" spans="1:27" x14ac:dyDescent="0.2">
      <c r="A706" s="5"/>
      <c r="B706" s="31"/>
      <c r="C706" s="31"/>
      <c r="D706" s="31"/>
      <c r="E706" s="31"/>
      <c r="F706" s="31"/>
      <c r="G706" s="31"/>
      <c r="H706" s="93"/>
      <c r="I706" s="31"/>
      <c r="J706" s="31"/>
      <c r="K706" s="31"/>
      <c r="L706" s="42"/>
      <c r="M706" s="31"/>
      <c r="N706" s="31"/>
      <c r="O706" s="42"/>
      <c r="P706" s="92"/>
      <c r="Q706" s="42"/>
      <c r="R706" s="46"/>
      <c r="S706" s="31"/>
      <c r="T706" s="31"/>
      <c r="U706" s="31"/>
      <c r="V706" s="31"/>
      <c r="W706" s="31"/>
      <c r="X706" s="31"/>
      <c r="Y706" s="31"/>
      <c r="Z706" s="31"/>
      <c r="AA706" s="31"/>
    </row>
    <row r="707" spans="1:27" x14ac:dyDescent="0.2">
      <c r="A707" s="5"/>
      <c r="B707" s="31"/>
      <c r="C707" s="31"/>
      <c r="D707" s="31"/>
      <c r="E707" s="31"/>
      <c r="F707" s="31"/>
      <c r="G707" s="31"/>
      <c r="H707" s="93"/>
      <c r="I707" s="31"/>
      <c r="J707" s="31"/>
      <c r="K707" s="31"/>
      <c r="L707" s="42"/>
      <c r="M707" s="31"/>
      <c r="N707" s="31"/>
      <c r="O707" s="42"/>
      <c r="P707" s="92"/>
      <c r="Q707" s="42"/>
      <c r="R707" s="46"/>
      <c r="S707" s="31"/>
      <c r="T707" s="31"/>
      <c r="U707" s="31"/>
      <c r="V707" s="31"/>
      <c r="W707" s="31"/>
      <c r="X707" s="31"/>
      <c r="Y707" s="31"/>
      <c r="Z707" s="31"/>
      <c r="AA707" s="31"/>
    </row>
    <row r="708" spans="1:27" x14ac:dyDescent="0.2">
      <c r="A708" s="5"/>
      <c r="B708" s="31"/>
      <c r="C708" s="31"/>
      <c r="D708" s="31"/>
      <c r="E708" s="31"/>
      <c r="F708" s="31"/>
      <c r="G708" s="31"/>
      <c r="H708" s="93"/>
      <c r="I708" s="31"/>
      <c r="J708" s="31"/>
      <c r="K708" s="31"/>
      <c r="L708" s="42"/>
      <c r="M708" s="31"/>
      <c r="N708" s="31"/>
      <c r="O708" s="42"/>
      <c r="P708" s="92"/>
      <c r="Q708" s="42"/>
      <c r="R708" s="46"/>
      <c r="S708" s="31"/>
      <c r="T708" s="31"/>
      <c r="U708" s="31"/>
      <c r="V708" s="31"/>
      <c r="W708" s="31"/>
      <c r="X708" s="31"/>
      <c r="Y708" s="31"/>
      <c r="Z708" s="31"/>
      <c r="AA708" s="31"/>
    </row>
    <row r="709" spans="1:27" x14ac:dyDescent="0.2">
      <c r="A709" s="5"/>
      <c r="B709" s="31"/>
      <c r="C709" s="31"/>
      <c r="D709" s="31"/>
      <c r="E709" s="31"/>
      <c r="F709" s="31"/>
      <c r="G709" s="31"/>
      <c r="H709" s="93"/>
      <c r="I709" s="31"/>
      <c r="J709" s="31"/>
      <c r="K709" s="31"/>
      <c r="L709" s="42"/>
      <c r="M709" s="31"/>
      <c r="N709" s="31"/>
      <c r="O709" s="42"/>
      <c r="P709" s="92"/>
      <c r="Q709" s="42"/>
      <c r="R709" s="46"/>
      <c r="S709" s="31"/>
      <c r="T709" s="31"/>
      <c r="U709" s="31"/>
      <c r="V709" s="31"/>
      <c r="W709" s="31"/>
      <c r="X709" s="31"/>
      <c r="Y709" s="31"/>
      <c r="Z709" s="31"/>
      <c r="AA709" s="31"/>
    </row>
    <row r="710" spans="1:27" x14ac:dyDescent="0.2">
      <c r="A710" s="5"/>
      <c r="B710" s="31"/>
      <c r="C710" s="31"/>
      <c r="D710" s="31"/>
      <c r="E710" s="31"/>
      <c r="F710" s="31"/>
      <c r="G710" s="31"/>
      <c r="H710" s="93"/>
      <c r="I710" s="31"/>
      <c r="J710" s="31"/>
      <c r="K710" s="31"/>
      <c r="L710" s="42"/>
      <c r="M710" s="31"/>
      <c r="N710" s="31"/>
      <c r="O710" s="42"/>
      <c r="P710" s="92"/>
      <c r="Q710" s="42"/>
      <c r="R710" s="46"/>
      <c r="S710" s="31"/>
      <c r="T710" s="31"/>
      <c r="U710" s="31"/>
      <c r="V710" s="31"/>
      <c r="W710" s="31"/>
      <c r="X710" s="31"/>
      <c r="Y710" s="31"/>
      <c r="Z710" s="31"/>
      <c r="AA710" s="31"/>
    </row>
    <row r="711" spans="1:27" x14ac:dyDescent="0.2">
      <c r="A711" s="5"/>
      <c r="B711" s="31"/>
      <c r="C711" s="31"/>
      <c r="D711" s="31"/>
      <c r="E711" s="31"/>
      <c r="F711" s="31"/>
      <c r="G711" s="31"/>
      <c r="H711" s="93"/>
      <c r="I711" s="31"/>
      <c r="J711" s="31"/>
      <c r="K711" s="31"/>
      <c r="L711" s="42"/>
      <c r="M711" s="31"/>
      <c r="N711" s="31"/>
      <c r="O711" s="42"/>
      <c r="P711" s="92"/>
      <c r="Q711" s="42"/>
      <c r="R711" s="46"/>
      <c r="S711" s="31"/>
      <c r="T711" s="31"/>
      <c r="U711" s="31"/>
      <c r="V711" s="31"/>
      <c r="W711" s="31"/>
      <c r="X711" s="31"/>
      <c r="Y711" s="31"/>
      <c r="Z711" s="31"/>
      <c r="AA711" s="31"/>
    </row>
    <row r="712" spans="1:27" x14ac:dyDescent="0.2">
      <c r="A712" s="5"/>
      <c r="B712" s="31"/>
      <c r="C712" s="31"/>
      <c r="D712" s="31"/>
      <c r="E712" s="31"/>
      <c r="F712" s="31"/>
      <c r="G712" s="31"/>
      <c r="H712" s="93"/>
      <c r="I712" s="31"/>
      <c r="J712" s="31"/>
      <c r="K712" s="31"/>
      <c r="L712" s="42"/>
      <c r="M712" s="31"/>
      <c r="N712" s="31"/>
      <c r="O712" s="42"/>
      <c r="P712" s="92"/>
      <c r="Q712" s="42"/>
      <c r="R712" s="46"/>
      <c r="S712" s="31"/>
      <c r="T712" s="31"/>
      <c r="U712" s="31"/>
      <c r="V712" s="31"/>
      <c r="W712" s="31"/>
      <c r="X712" s="31"/>
      <c r="Y712" s="31"/>
      <c r="Z712" s="31"/>
      <c r="AA712" s="31"/>
    </row>
    <row r="713" spans="1:27" x14ac:dyDescent="0.2">
      <c r="A713" s="5"/>
      <c r="B713" s="31"/>
      <c r="C713" s="31"/>
      <c r="D713" s="31"/>
      <c r="E713" s="31"/>
      <c r="F713" s="31"/>
      <c r="G713" s="31"/>
      <c r="H713" s="93"/>
      <c r="I713" s="31"/>
      <c r="J713" s="31"/>
      <c r="K713" s="31"/>
      <c r="L713" s="42"/>
      <c r="M713" s="31"/>
      <c r="N713" s="31"/>
      <c r="O713" s="42"/>
      <c r="P713" s="92"/>
      <c r="Q713" s="42"/>
      <c r="R713" s="46"/>
      <c r="S713" s="31"/>
      <c r="T713" s="31"/>
      <c r="U713" s="31"/>
      <c r="V713" s="31"/>
      <c r="W713" s="31"/>
      <c r="X713" s="31"/>
      <c r="Y713" s="31"/>
      <c r="Z713" s="31"/>
      <c r="AA713" s="31"/>
    </row>
    <row r="714" spans="1:27" x14ac:dyDescent="0.2">
      <c r="A714" s="5"/>
      <c r="B714" s="31"/>
      <c r="C714" s="31"/>
      <c r="D714" s="31"/>
      <c r="E714" s="31"/>
      <c r="F714" s="31"/>
      <c r="G714" s="31"/>
      <c r="H714" s="93"/>
      <c r="I714" s="31"/>
      <c r="J714" s="31"/>
      <c r="K714" s="31"/>
      <c r="L714" s="42"/>
      <c r="M714" s="31"/>
      <c r="N714" s="31"/>
      <c r="O714" s="42"/>
      <c r="P714" s="92"/>
      <c r="Q714" s="42"/>
      <c r="R714" s="46"/>
      <c r="S714" s="31"/>
      <c r="T714" s="31"/>
      <c r="U714" s="31"/>
      <c r="V714" s="31"/>
      <c r="W714" s="31"/>
      <c r="X714" s="31"/>
      <c r="Y714" s="31"/>
      <c r="Z714" s="31"/>
      <c r="AA714" s="31"/>
    </row>
    <row r="715" spans="1:27" x14ac:dyDescent="0.2">
      <c r="A715" s="5"/>
      <c r="B715" s="31"/>
      <c r="C715" s="31"/>
      <c r="D715" s="31"/>
      <c r="E715" s="31"/>
      <c r="F715" s="31"/>
      <c r="G715" s="31"/>
      <c r="H715" s="93"/>
      <c r="I715" s="31"/>
      <c r="J715" s="31"/>
      <c r="K715" s="31"/>
      <c r="L715" s="42"/>
      <c r="M715" s="31"/>
      <c r="N715" s="31"/>
      <c r="O715" s="42"/>
      <c r="P715" s="92"/>
      <c r="Q715" s="42"/>
      <c r="R715" s="46"/>
      <c r="S715" s="31"/>
      <c r="T715" s="31"/>
      <c r="U715" s="31"/>
      <c r="V715" s="31"/>
      <c r="W715" s="31"/>
      <c r="X715" s="31"/>
      <c r="Y715" s="31"/>
      <c r="Z715" s="31"/>
      <c r="AA715" s="31"/>
    </row>
    <row r="716" spans="1:27" x14ac:dyDescent="0.2">
      <c r="A716" s="5"/>
      <c r="B716" s="31"/>
      <c r="C716" s="31"/>
      <c r="D716" s="31"/>
      <c r="E716" s="31"/>
      <c r="F716" s="31"/>
      <c r="G716" s="31"/>
      <c r="H716" s="93"/>
      <c r="I716" s="31"/>
      <c r="J716" s="31"/>
      <c r="K716" s="31"/>
      <c r="L716" s="42"/>
      <c r="M716" s="31"/>
      <c r="N716" s="31"/>
      <c r="O716" s="42"/>
      <c r="P716" s="92"/>
      <c r="Q716" s="42"/>
      <c r="R716" s="46"/>
      <c r="S716" s="31"/>
      <c r="T716" s="31"/>
      <c r="U716" s="31"/>
      <c r="V716" s="31"/>
      <c r="W716" s="31"/>
      <c r="X716" s="31"/>
      <c r="Y716" s="31"/>
      <c r="Z716" s="31"/>
      <c r="AA716" s="31"/>
    </row>
    <row r="717" spans="1:27" x14ac:dyDescent="0.2">
      <c r="A717" s="5"/>
      <c r="B717" s="31"/>
      <c r="C717" s="31"/>
      <c r="D717" s="31"/>
      <c r="E717" s="31"/>
      <c r="F717" s="31"/>
      <c r="G717" s="31"/>
      <c r="H717" s="93"/>
      <c r="I717" s="31"/>
      <c r="J717" s="31"/>
      <c r="K717" s="31"/>
      <c r="L717" s="42"/>
      <c r="M717" s="31"/>
      <c r="N717" s="31"/>
      <c r="O717" s="42"/>
      <c r="P717" s="92"/>
      <c r="Q717" s="42"/>
      <c r="R717" s="46"/>
      <c r="S717" s="31"/>
      <c r="T717" s="31"/>
      <c r="U717" s="31"/>
      <c r="V717" s="31"/>
      <c r="W717" s="31"/>
      <c r="X717" s="31"/>
      <c r="Y717" s="31"/>
      <c r="Z717" s="31"/>
      <c r="AA717" s="31"/>
    </row>
    <row r="718" spans="1:27" x14ac:dyDescent="0.2">
      <c r="A718" s="5"/>
      <c r="B718" s="31"/>
      <c r="C718" s="31"/>
      <c r="D718" s="31"/>
      <c r="E718" s="31"/>
      <c r="F718" s="31"/>
      <c r="G718" s="31"/>
      <c r="H718" s="93"/>
      <c r="I718" s="31"/>
      <c r="J718" s="31"/>
      <c r="K718" s="31"/>
      <c r="L718" s="42"/>
      <c r="M718" s="31"/>
      <c r="N718" s="31"/>
      <c r="O718" s="42"/>
      <c r="P718" s="92"/>
      <c r="Q718" s="42"/>
      <c r="R718" s="46"/>
      <c r="S718" s="31"/>
      <c r="T718" s="31"/>
      <c r="U718" s="31"/>
      <c r="V718" s="31"/>
      <c r="W718" s="31"/>
      <c r="X718" s="31"/>
      <c r="Y718" s="31"/>
      <c r="Z718" s="31"/>
      <c r="AA718" s="31"/>
    </row>
    <row r="719" spans="1:27" x14ac:dyDescent="0.2">
      <c r="A719" s="5"/>
      <c r="B719" s="31"/>
      <c r="C719" s="31"/>
      <c r="D719" s="31"/>
      <c r="E719" s="31"/>
      <c r="F719" s="31"/>
      <c r="G719" s="31"/>
      <c r="H719" s="93"/>
      <c r="I719" s="31"/>
      <c r="J719" s="31"/>
      <c r="K719" s="31"/>
      <c r="L719" s="42"/>
      <c r="M719" s="31"/>
      <c r="N719" s="31"/>
      <c r="O719" s="42"/>
      <c r="P719" s="92"/>
      <c r="Q719" s="42"/>
      <c r="R719" s="46"/>
      <c r="S719" s="31"/>
      <c r="T719" s="31"/>
      <c r="U719" s="31"/>
      <c r="V719" s="31"/>
      <c r="W719" s="31"/>
      <c r="X719" s="31"/>
      <c r="Y719" s="31"/>
      <c r="Z719" s="31"/>
      <c r="AA719" s="31"/>
    </row>
    <row r="720" spans="1:27" x14ac:dyDescent="0.2">
      <c r="A720" s="5"/>
      <c r="B720" s="31"/>
      <c r="C720" s="31"/>
      <c r="D720" s="31"/>
      <c r="E720" s="31"/>
      <c r="F720" s="31"/>
      <c r="G720" s="31"/>
      <c r="H720" s="93"/>
      <c r="I720" s="31"/>
      <c r="J720" s="31"/>
      <c r="K720" s="31"/>
      <c r="L720" s="42"/>
      <c r="M720" s="31"/>
      <c r="N720" s="31"/>
      <c r="O720" s="42"/>
      <c r="P720" s="92"/>
      <c r="Q720" s="42"/>
      <c r="R720" s="46"/>
      <c r="S720" s="31"/>
      <c r="T720" s="31"/>
      <c r="U720" s="31"/>
      <c r="V720" s="31"/>
      <c r="W720" s="31"/>
      <c r="X720" s="31"/>
      <c r="Y720" s="31"/>
      <c r="Z720" s="31"/>
      <c r="AA720" s="31"/>
    </row>
    <row r="721" spans="1:27" x14ac:dyDescent="0.2">
      <c r="A721" s="5"/>
      <c r="B721" s="31"/>
      <c r="C721" s="31"/>
      <c r="D721" s="31"/>
      <c r="E721" s="31"/>
      <c r="F721" s="31"/>
      <c r="G721" s="31"/>
      <c r="H721" s="93"/>
      <c r="I721" s="31"/>
      <c r="J721" s="31"/>
      <c r="K721" s="31"/>
      <c r="L721" s="42"/>
      <c r="M721" s="31"/>
      <c r="N721" s="31"/>
      <c r="O721" s="42"/>
      <c r="P721" s="92"/>
      <c r="Q721" s="42"/>
      <c r="R721" s="46"/>
      <c r="S721" s="31"/>
      <c r="T721" s="31"/>
      <c r="U721" s="31"/>
      <c r="V721" s="31"/>
      <c r="W721" s="31"/>
      <c r="X721" s="31"/>
      <c r="Y721" s="31"/>
      <c r="Z721" s="31"/>
      <c r="AA721" s="31"/>
    </row>
    <row r="722" spans="1:27" x14ac:dyDescent="0.2">
      <c r="A722" s="5"/>
      <c r="B722" s="31"/>
      <c r="C722" s="31"/>
      <c r="D722" s="31"/>
      <c r="E722" s="31"/>
      <c r="F722" s="31"/>
      <c r="G722" s="31"/>
      <c r="H722" s="93"/>
      <c r="I722" s="31"/>
      <c r="J722" s="31"/>
      <c r="K722" s="31"/>
      <c r="L722" s="42"/>
      <c r="M722" s="31"/>
      <c r="N722" s="31"/>
      <c r="O722" s="42"/>
      <c r="P722" s="92"/>
      <c r="Q722" s="42"/>
      <c r="R722" s="46"/>
      <c r="S722" s="31"/>
      <c r="T722" s="31"/>
      <c r="U722" s="31"/>
      <c r="V722" s="31"/>
      <c r="W722" s="31"/>
      <c r="X722" s="31"/>
      <c r="Y722" s="31"/>
      <c r="Z722" s="31"/>
      <c r="AA722" s="31"/>
    </row>
    <row r="723" spans="1:27" x14ac:dyDescent="0.2">
      <c r="A723" s="5"/>
      <c r="B723" s="31"/>
      <c r="C723" s="31"/>
      <c r="D723" s="31"/>
      <c r="E723" s="31"/>
      <c r="F723" s="31"/>
      <c r="G723" s="31"/>
      <c r="H723" s="93"/>
      <c r="I723" s="31"/>
      <c r="J723" s="31"/>
      <c r="K723" s="31"/>
      <c r="L723" s="42"/>
      <c r="M723" s="31"/>
      <c r="N723" s="31"/>
      <c r="O723" s="42"/>
      <c r="P723" s="92"/>
      <c r="Q723" s="42"/>
      <c r="R723" s="46"/>
      <c r="S723" s="31"/>
      <c r="T723" s="31"/>
      <c r="U723" s="31"/>
      <c r="V723" s="31"/>
      <c r="W723" s="31"/>
      <c r="X723" s="31"/>
      <c r="Y723" s="31"/>
      <c r="Z723" s="31"/>
      <c r="AA723" s="31"/>
    </row>
    <row r="724" spans="1:27" x14ac:dyDescent="0.2">
      <c r="A724" s="5"/>
      <c r="B724" s="31"/>
      <c r="C724" s="31"/>
      <c r="D724" s="31"/>
      <c r="E724" s="31"/>
      <c r="F724" s="31"/>
      <c r="G724" s="31"/>
      <c r="H724" s="93"/>
      <c r="I724" s="31"/>
      <c r="J724" s="31"/>
      <c r="K724" s="31"/>
      <c r="L724" s="42"/>
      <c r="M724" s="31"/>
      <c r="N724" s="31"/>
      <c r="O724" s="42"/>
      <c r="P724" s="92"/>
      <c r="Q724" s="42"/>
      <c r="R724" s="46"/>
      <c r="S724" s="31"/>
      <c r="T724" s="31"/>
      <c r="U724" s="31"/>
      <c r="V724" s="31"/>
      <c r="W724" s="31"/>
      <c r="X724" s="31"/>
      <c r="Y724" s="31"/>
      <c r="Z724" s="31"/>
      <c r="AA724" s="31"/>
    </row>
    <row r="725" spans="1:27" x14ac:dyDescent="0.2">
      <c r="A725" s="5"/>
      <c r="B725" s="31"/>
      <c r="C725" s="31"/>
      <c r="D725" s="31"/>
      <c r="E725" s="31"/>
      <c r="F725" s="31"/>
      <c r="G725" s="31"/>
      <c r="H725" s="93"/>
      <c r="I725" s="31"/>
      <c r="J725" s="31"/>
      <c r="K725" s="31"/>
      <c r="L725" s="42"/>
      <c r="M725" s="31"/>
      <c r="N725" s="31"/>
      <c r="O725" s="42"/>
      <c r="P725" s="92"/>
      <c r="Q725" s="42"/>
      <c r="R725" s="46"/>
      <c r="S725" s="31"/>
      <c r="T725" s="31"/>
      <c r="U725" s="31"/>
      <c r="V725" s="31"/>
      <c r="W725" s="31"/>
      <c r="X725" s="31"/>
      <c r="Y725" s="31"/>
      <c r="Z725" s="31"/>
      <c r="AA725" s="31"/>
    </row>
    <row r="726" spans="1:27" x14ac:dyDescent="0.2">
      <c r="A726" s="5"/>
      <c r="B726" s="31"/>
      <c r="C726" s="31"/>
      <c r="D726" s="31"/>
      <c r="E726" s="31"/>
      <c r="F726" s="31"/>
      <c r="G726" s="31"/>
      <c r="H726" s="93"/>
      <c r="I726" s="31"/>
      <c r="J726" s="31"/>
      <c r="K726" s="31"/>
      <c r="L726" s="42"/>
      <c r="M726" s="31"/>
      <c r="N726" s="31"/>
      <c r="O726" s="42"/>
      <c r="P726" s="92"/>
      <c r="Q726" s="42"/>
      <c r="R726" s="46"/>
      <c r="S726" s="31"/>
      <c r="T726" s="31"/>
      <c r="U726" s="31"/>
      <c r="V726" s="31"/>
      <c r="W726" s="31"/>
      <c r="X726" s="31"/>
      <c r="Y726" s="31"/>
      <c r="Z726" s="31"/>
      <c r="AA726" s="31"/>
    </row>
    <row r="727" spans="1:27" x14ac:dyDescent="0.2">
      <c r="A727" s="5"/>
      <c r="B727" s="31"/>
      <c r="C727" s="31"/>
      <c r="D727" s="31"/>
      <c r="E727" s="31"/>
      <c r="F727" s="31"/>
      <c r="G727" s="31"/>
      <c r="H727" s="93"/>
      <c r="I727" s="31"/>
      <c r="J727" s="31"/>
      <c r="K727" s="31"/>
      <c r="L727" s="42"/>
      <c r="M727" s="31"/>
      <c r="N727" s="31"/>
      <c r="O727" s="42"/>
      <c r="P727" s="92"/>
      <c r="Q727" s="42"/>
      <c r="R727" s="46"/>
      <c r="S727" s="31"/>
      <c r="T727" s="31"/>
      <c r="U727" s="31"/>
      <c r="V727" s="31"/>
      <c r="W727" s="31"/>
      <c r="X727" s="31"/>
      <c r="Y727" s="31"/>
      <c r="Z727" s="31"/>
      <c r="AA727" s="31"/>
    </row>
    <row r="728" spans="1:27" x14ac:dyDescent="0.2">
      <c r="A728" s="5"/>
      <c r="B728" s="31"/>
      <c r="C728" s="31"/>
      <c r="D728" s="31"/>
      <c r="E728" s="31"/>
      <c r="F728" s="31"/>
      <c r="G728" s="31"/>
      <c r="H728" s="93"/>
      <c r="I728" s="31"/>
      <c r="J728" s="31"/>
      <c r="K728" s="31"/>
      <c r="L728" s="42"/>
      <c r="M728" s="31"/>
      <c r="N728" s="31"/>
      <c r="O728" s="42"/>
      <c r="P728" s="92"/>
      <c r="Q728" s="42"/>
      <c r="R728" s="46"/>
      <c r="S728" s="31"/>
      <c r="T728" s="31"/>
      <c r="U728" s="31"/>
      <c r="V728" s="31"/>
      <c r="W728" s="31"/>
      <c r="X728" s="31"/>
      <c r="Y728" s="31"/>
      <c r="Z728" s="31"/>
      <c r="AA728" s="31"/>
    </row>
    <row r="729" spans="1:27" x14ac:dyDescent="0.2">
      <c r="A729" s="5"/>
      <c r="B729" s="31"/>
      <c r="C729" s="31"/>
      <c r="D729" s="31"/>
      <c r="E729" s="31"/>
      <c r="F729" s="31"/>
      <c r="G729" s="31"/>
      <c r="H729" s="93"/>
      <c r="I729" s="31"/>
      <c r="J729" s="31"/>
      <c r="K729" s="31"/>
      <c r="L729" s="42"/>
      <c r="M729" s="31"/>
      <c r="N729" s="31"/>
      <c r="O729" s="42"/>
      <c r="P729" s="92"/>
      <c r="Q729" s="42"/>
      <c r="R729" s="46"/>
      <c r="S729" s="31"/>
      <c r="T729" s="31"/>
      <c r="U729" s="31"/>
      <c r="V729" s="31"/>
      <c r="W729" s="31"/>
      <c r="X729" s="31"/>
      <c r="Y729" s="31"/>
      <c r="Z729" s="31"/>
      <c r="AA729" s="31"/>
    </row>
    <row r="730" spans="1:27" x14ac:dyDescent="0.2">
      <c r="A730" s="5"/>
      <c r="B730" s="31"/>
      <c r="C730" s="31"/>
      <c r="D730" s="31"/>
      <c r="E730" s="31"/>
      <c r="F730" s="31"/>
      <c r="G730" s="31"/>
      <c r="H730" s="93"/>
      <c r="I730" s="31"/>
      <c r="J730" s="31"/>
      <c r="K730" s="31"/>
      <c r="L730" s="42"/>
      <c r="M730" s="31"/>
      <c r="N730" s="31"/>
      <c r="O730" s="42"/>
      <c r="P730" s="92"/>
      <c r="Q730" s="42"/>
      <c r="R730" s="46"/>
      <c r="S730" s="31"/>
      <c r="T730" s="31"/>
      <c r="U730" s="31"/>
      <c r="V730" s="31"/>
      <c r="W730" s="31"/>
      <c r="X730" s="31"/>
      <c r="Y730" s="31"/>
      <c r="Z730" s="31"/>
      <c r="AA730" s="31"/>
    </row>
    <row r="731" spans="1:27" x14ac:dyDescent="0.2">
      <c r="A731" s="5"/>
      <c r="B731" s="31"/>
      <c r="C731" s="31"/>
      <c r="D731" s="31"/>
      <c r="E731" s="31"/>
      <c r="F731" s="31"/>
      <c r="G731" s="31"/>
      <c r="H731" s="93"/>
      <c r="I731" s="31"/>
      <c r="J731" s="31"/>
      <c r="K731" s="31"/>
      <c r="L731" s="42"/>
      <c r="M731" s="31"/>
      <c r="N731" s="31"/>
      <c r="O731" s="42"/>
      <c r="P731" s="92"/>
      <c r="Q731" s="42"/>
      <c r="R731" s="46"/>
      <c r="S731" s="31"/>
      <c r="T731" s="31"/>
      <c r="U731" s="31"/>
      <c r="V731" s="31"/>
      <c r="W731" s="31"/>
      <c r="X731" s="31"/>
      <c r="Y731" s="31"/>
      <c r="Z731" s="31"/>
      <c r="AA731" s="31"/>
    </row>
    <row r="732" spans="1:27" x14ac:dyDescent="0.2">
      <c r="A732" s="5"/>
      <c r="B732" s="31"/>
      <c r="C732" s="31"/>
      <c r="D732" s="31"/>
      <c r="E732" s="31"/>
      <c r="F732" s="31"/>
      <c r="G732" s="31"/>
      <c r="H732" s="93"/>
      <c r="I732" s="31"/>
      <c r="J732" s="31"/>
      <c r="K732" s="31"/>
      <c r="L732" s="42"/>
      <c r="M732" s="31"/>
      <c r="N732" s="31"/>
      <c r="O732" s="42"/>
      <c r="P732" s="92"/>
      <c r="Q732" s="42"/>
      <c r="R732" s="46"/>
      <c r="S732" s="31"/>
      <c r="T732" s="31"/>
      <c r="U732" s="31"/>
      <c r="V732" s="31"/>
      <c r="W732" s="31"/>
      <c r="X732" s="31"/>
      <c r="Y732" s="31"/>
      <c r="Z732" s="31"/>
      <c r="AA732" s="31"/>
    </row>
    <row r="733" spans="1:27" x14ac:dyDescent="0.2">
      <c r="A733" s="5"/>
      <c r="B733" s="31"/>
      <c r="C733" s="31"/>
      <c r="D733" s="31"/>
      <c r="E733" s="31"/>
      <c r="F733" s="31"/>
      <c r="G733" s="31"/>
      <c r="H733" s="93"/>
      <c r="I733" s="31"/>
      <c r="J733" s="31"/>
      <c r="K733" s="31"/>
      <c r="L733" s="42"/>
      <c r="M733" s="31"/>
      <c r="N733" s="31"/>
      <c r="O733" s="42"/>
      <c r="P733" s="92"/>
      <c r="Q733" s="42"/>
      <c r="R733" s="46"/>
      <c r="S733" s="31"/>
      <c r="T733" s="31"/>
      <c r="U733" s="31"/>
      <c r="V733" s="31"/>
      <c r="W733" s="31"/>
      <c r="X733" s="31"/>
      <c r="Y733" s="31"/>
      <c r="Z733" s="31"/>
      <c r="AA733" s="31"/>
    </row>
    <row r="734" spans="1:27" x14ac:dyDescent="0.2">
      <c r="A734" s="5"/>
      <c r="B734" s="31"/>
      <c r="C734" s="31"/>
      <c r="D734" s="31"/>
      <c r="E734" s="31"/>
      <c r="F734" s="31"/>
      <c r="G734" s="31"/>
      <c r="H734" s="93"/>
      <c r="I734" s="31"/>
      <c r="J734" s="31"/>
      <c r="K734" s="31"/>
      <c r="L734" s="42"/>
      <c r="M734" s="31"/>
      <c r="N734" s="31"/>
      <c r="O734" s="42"/>
      <c r="P734" s="92"/>
      <c r="Q734" s="42"/>
      <c r="R734" s="46"/>
      <c r="S734" s="31"/>
      <c r="T734" s="31"/>
      <c r="U734" s="31"/>
      <c r="V734" s="31"/>
      <c r="W734" s="31"/>
      <c r="X734" s="31"/>
      <c r="Y734" s="31"/>
      <c r="Z734" s="31"/>
      <c r="AA734" s="31"/>
    </row>
    <row r="735" spans="1:27" x14ac:dyDescent="0.2">
      <c r="A735" s="5"/>
      <c r="B735" s="31"/>
      <c r="C735" s="31"/>
      <c r="D735" s="31"/>
      <c r="E735" s="31"/>
      <c r="F735" s="31"/>
      <c r="G735" s="31"/>
      <c r="H735" s="93"/>
      <c r="I735" s="31"/>
      <c r="J735" s="31"/>
      <c r="K735" s="31"/>
      <c r="L735" s="42"/>
      <c r="M735" s="31"/>
      <c r="N735" s="31"/>
      <c r="O735" s="42"/>
      <c r="P735" s="92"/>
      <c r="Q735" s="42"/>
      <c r="R735" s="46"/>
      <c r="S735" s="31"/>
      <c r="T735" s="31"/>
      <c r="U735" s="31"/>
      <c r="V735" s="31"/>
      <c r="W735" s="31"/>
      <c r="X735" s="31"/>
      <c r="Y735" s="31"/>
      <c r="Z735" s="31"/>
      <c r="AA735" s="31"/>
    </row>
    <row r="736" spans="1:27" x14ac:dyDescent="0.2">
      <c r="A736" s="5"/>
      <c r="B736" s="31"/>
      <c r="C736" s="31"/>
      <c r="D736" s="31"/>
      <c r="E736" s="31"/>
      <c r="F736" s="31"/>
      <c r="G736" s="31"/>
      <c r="H736" s="93"/>
      <c r="I736" s="31"/>
      <c r="J736" s="31"/>
      <c r="K736" s="31"/>
      <c r="L736" s="42"/>
      <c r="M736" s="31"/>
      <c r="N736" s="31"/>
      <c r="O736" s="42"/>
      <c r="P736" s="92"/>
      <c r="Q736" s="42"/>
      <c r="R736" s="46"/>
      <c r="S736" s="31"/>
      <c r="T736" s="31"/>
      <c r="U736" s="31"/>
      <c r="V736" s="31"/>
      <c r="W736" s="31"/>
      <c r="X736" s="31"/>
      <c r="Y736" s="31"/>
      <c r="Z736" s="31"/>
      <c r="AA736" s="31"/>
    </row>
    <row r="737" spans="1:27" x14ac:dyDescent="0.2">
      <c r="A737" s="5"/>
      <c r="B737" s="31"/>
      <c r="C737" s="31"/>
      <c r="D737" s="31"/>
      <c r="E737" s="31"/>
      <c r="F737" s="31"/>
      <c r="G737" s="31"/>
      <c r="H737" s="93"/>
      <c r="I737" s="31"/>
      <c r="J737" s="31"/>
      <c r="K737" s="31"/>
      <c r="L737" s="42"/>
      <c r="M737" s="31"/>
      <c r="N737" s="31"/>
      <c r="O737" s="42"/>
      <c r="P737" s="92"/>
      <c r="Q737" s="42"/>
      <c r="R737" s="46"/>
      <c r="S737" s="31"/>
      <c r="T737" s="31"/>
      <c r="U737" s="31"/>
      <c r="V737" s="31"/>
      <c r="W737" s="31"/>
      <c r="X737" s="31"/>
      <c r="Y737" s="31"/>
      <c r="Z737" s="31"/>
      <c r="AA737" s="31"/>
    </row>
    <row r="738" spans="1:27" x14ac:dyDescent="0.2">
      <c r="A738" s="5"/>
      <c r="B738" s="31"/>
      <c r="C738" s="31"/>
      <c r="D738" s="31"/>
      <c r="E738" s="31"/>
      <c r="F738" s="31"/>
      <c r="G738" s="31"/>
      <c r="H738" s="93"/>
      <c r="I738" s="31"/>
      <c r="J738" s="31"/>
      <c r="K738" s="31"/>
      <c r="L738" s="42"/>
      <c r="M738" s="31"/>
      <c r="N738" s="31"/>
      <c r="O738" s="42"/>
      <c r="P738" s="92"/>
      <c r="Q738" s="42"/>
      <c r="R738" s="46"/>
      <c r="S738" s="31"/>
      <c r="T738" s="31"/>
      <c r="U738" s="31"/>
      <c r="V738" s="31"/>
      <c r="W738" s="31"/>
      <c r="X738" s="31"/>
      <c r="Y738" s="31"/>
      <c r="Z738" s="31"/>
      <c r="AA738" s="31"/>
    </row>
    <row r="739" spans="1:27" x14ac:dyDescent="0.2">
      <c r="A739" s="5"/>
      <c r="B739" s="31"/>
      <c r="C739" s="31"/>
      <c r="D739" s="31"/>
      <c r="E739" s="31"/>
      <c r="F739" s="31"/>
      <c r="G739" s="31"/>
      <c r="H739" s="93"/>
      <c r="I739" s="31"/>
      <c r="J739" s="31"/>
      <c r="K739" s="31"/>
      <c r="L739" s="42"/>
      <c r="M739" s="31"/>
      <c r="N739" s="31"/>
      <c r="O739" s="42"/>
      <c r="P739" s="92"/>
      <c r="Q739" s="42"/>
      <c r="R739" s="46"/>
      <c r="S739" s="31"/>
      <c r="T739" s="31"/>
      <c r="U739" s="31"/>
      <c r="V739" s="31"/>
      <c r="W739" s="31"/>
      <c r="X739" s="31"/>
      <c r="Y739" s="31"/>
      <c r="Z739" s="31"/>
      <c r="AA739" s="31"/>
    </row>
    <row r="740" spans="1:27" x14ac:dyDescent="0.2">
      <c r="A740" s="5"/>
      <c r="B740" s="31"/>
      <c r="C740" s="31"/>
      <c r="D740" s="31"/>
      <c r="E740" s="31"/>
      <c r="F740" s="31"/>
      <c r="G740" s="31"/>
      <c r="H740" s="93"/>
      <c r="I740" s="31"/>
      <c r="J740" s="31"/>
      <c r="K740" s="31"/>
      <c r="L740" s="42"/>
      <c r="M740" s="31"/>
      <c r="N740" s="31"/>
      <c r="O740" s="42"/>
      <c r="P740" s="92"/>
      <c r="Q740" s="42"/>
      <c r="R740" s="46"/>
      <c r="S740" s="31"/>
      <c r="T740" s="31"/>
      <c r="U740" s="31"/>
      <c r="V740" s="31"/>
      <c r="W740" s="31"/>
      <c r="X740" s="31"/>
      <c r="Y740" s="31"/>
      <c r="Z740" s="31"/>
      <c r="AA740" s="31"/>
    </row>
    <row r="741" spans="1:27" x14ac:dyDescent="0.2">
      <c r="A741" s="5"/>
      <c r="B741" s="31"/>
      <c r="C741" s="31"/>
      <c r="D741" s="31"/>
      <c r="E741" s="31"/>
      <c r="F741" s="31"/>
      <c r="G741" s="31"/>
      <c r="H741" s="93"/>
      <c r="I741" s="31"/>
      <c r="J741" s="31"/>
      <c r="K741" s="31"/>
      <c r="L741" s="42"/>
      <c r="M741" s="31"/>
      <c r="N741" s="31"/>
      <c r="O741" s="42"/>
      <c r="P741" s="92"/>
      <c r="Q741" s="42"/>
      <c r="R741" s="46"/>
      <c r="S741" s="31"/>
      <c r="T741" s="31"/>
      <c r="U741" s="31"/>
      <c r="V741" s="31"/>
      <c r="W741" s="31"/>
      <c r="X741" s="31"/>
      <c r="Y741" s="31"/>
      <c r="Z741" s="31"/>
      <c r="AA741" s="31"/>
    </row>
    <row r="742" spans="1:27" x14ac:dyDescent="0.2">
      <c r="A742" s="5"/>
      <c r="B742" s="31"/>
      <c r="C742" s="31"/>
      <c r="D742" s="31"/>
      <c r="E742" s="31"/>
      <c r="F742" s="31"/>
      <c r="G742" s="31"/>
      <c r="H742" s="93"/>
      <c r="I742" s="31"/>
      <c r="J742" s="31"/>
      <c r="K742" s="31"/>
      <c r="L742" s="42"/>
      <c r="M742" s="31"/>
      <c r="N742" s="31"/>
      <c r="O742" s="42"/>
      <c r="P742" s="92"/>
      <c r="Q742" s="42"/>
      <c r="R742" s="46"/>
      <c r="S742" s="31"/>
      <c r="T742" s="31"/>
      <c r="U742" s="31"/>
      <c r="V742" s="31"/>
      <c r="W742" s="31"/>
      <c r="X742" s="31"/>
      <c r="Y742" s="31"/>
      <c r="Z742" s="31"/>
      <c r="AA742" s="31"/>
    </row>
    <row r="743" spans="1:27" x14ac:dyDescent="0.2">
      <c r="A743" s="5"/>
      <c r="B743" s="31"/>
      <c r="C743" s="31"/>
      <c r="D743" s="31"/>
      <c r="E743" s="31"/>
      <c r="F743" s="31"/>
      <c r="G743" s="31"/>
      <c r="H743" s="93"/>
      <c r="I743" s="31"/>
      <c r="J743" s="31"/>
      <c r="K743" s="31"/>
      <c r="L743" s="42"/>
      <c r="M743" s="31"/>
      <c r="N743" s="31"/>
      <c r="O743" s="42"/>
      <c r="P743" s="92"/>
      <c r="Q743" s="42"/>
      <c r="R743" s="46"/>
      <c r="S743" s="31"/>
      <c r="T743" s="31"/>
      <c r="U743" s="31"/>
      <c r="V743" s="31"/>
      <c r="W743" s="31"/>
      <c r="X743" s="31"/>
      <c r="Y743" s="31"/>
      <c r="Z743" s="31"/>
      <c r="AA743" s="31"/>
    </row>
    <row r="744" spans="1:27" x14ac:dyDescent="0.2">
      <c r="A744" s="5"/>
      <c r="B744" s="31"/>
      <c r="C744" s="31"/>
      <c r="D744" s="31"/>
      <c r="E744" s="31"/>
      <c r="F744" s="31"/>
      <c r="G744" s="31"/>
      <c r="H744" s="93"/>
      <c r="I744" s="31"/>
      <c r="J744" s="31"/>
      <c r="K744" s="31"/>
      <c r="L744" s="42"/>
      <c r="M744" s="31"/>
      <c r="N744" s="31"/>
      <c r="O744" s="42"/>
      <c r="P744" s="92"/>
      <c r="Q744" s="42"/>
      <c r="R744" s="46"/>
      <c r="S744" s="31"/>
      <c r="T744" s="31"/>
      <c r="U744" s="31"/>
      <c r="V744" s="31"/>
      <c r="W744" s="31"/>
      <c r="X744" s="31"/>
      <c r="Y744" s="31"/>
      <c r="Z744" s="31"/>
      <c r="AA744" s="31"/>
    </row>
    <row r="745" spans="1:27" x14ac:dyDescent="0.2">
      <c r="A745" s="5"/>
      <c r="B745" s="31"/>
      <c r="C745" s="31"/>
      <c r="D745" s="31"/>
      <c r="E745" s="31"/>
      <c r="F745" s="31"/>
      <c r="G745" s="31"/>
      <c r="H745" s="93"/>
      <c r="I745" s="31"/>
      <c r="J745" s="31"/>
      <c r="K745" s="31"/>
      <c r="L745" s="42"/>
      <c r="M745" s="31"/>
      <c r="N745" s="31"/>
      <c r="O745" s="42"/>
      <c r="P745" s="92"/>
      <c r="Q745" s="42"/>
      <c r="R745" s="46"/>
      <c r="S745" s="31"/>
      <c r="T745" s="31"/>
      <c r="U745" s="31"/>
      <c r="V745" s="31"/>
      <c r="W745" s="31"/>
      <c r="X745" s="31"/>
      <c r="Y745" s="31"/>
      <c r="Z745" s="31"/>
      <c r="AA745" s="31"/>
    </row>
    <row r="746" spans="1:27" x14ac:dyDescent="0.2">
      <c r="A746" s="5"/>
      <c r="B746" s="31"/>
      <c r="C746" s="31"/>
      <c r="D746" s="31"/>
      <c r="E746" s="31"/>
      <c r="F746" s="31"/>
      <c r="G746" s="31"/>
      <c r="H746" s="93"/>
      <c r="I746" s="31"/>
      <c r="J746" s="31"/>
      <c r="K746" s="31"/>
      <c r="L746" s="42"/>
      <c r="M746" s="31"/>
      <c r="N746" s="31"/>
      <c r="O746" s="42"/>
      <c r="P746" s="92"/>
      <c r="Q746" s="42"/>
      <c r="R746" s="46"/>
      <c r="S746" s="31"/>
      <c r="T746" s="31"/>
      <c r="U746" s="31"/>
      <c r="V746" s="31"/>
      <c r="W746" s="31"/>
      <c r="X746" s="31"/>
      <c r="Y746" s="31"/>
      <c r="Z746" s="31"/>
      <c r="AA746" s="31"/>
    </row>
    <row r="747" spans="1:27" x14ac:dyDescent="0.2">
      <c r="A747" s="5"/>
      <c r="B747" s="31"/>
      <c r="C747" s="31"/>
      <c r="D747" s="31"/>
      <c r="E747" s="31"/>
      <c r="F747" s="31"/>
      <c r="G747" s="31"/>
      <c r="H747" s="93"/>
      <c r="I747" s="31"/>
      <c r="J747" s="31"/>
      <c r="K747" s="31"/>
      <c r="L747" s="42"/>
      <c r="M747" s="31"/>
      <c r="N747" s="31"/>
      <c r="O747" s="42"/>
      <c r="P747" s="92"/>
      <c r="Q747" s="42"/>
      <c r="R747" s="46"/>
      <c r="S747" s="31"/>
      <c r="T747" s="31"/>
      <c r="U747" s="31"/>
      <c r="V747" s="31"/>
      <c r="W747" s="31"/>
      <c r="X747" s="31"/>
      <c r="Y747" s="31"/>
      <c r="Z747" s="31"/>
      <c r="AA747" s="31"/>
    </row>
    <row r="748" spans="1:27" x14ac:dyDescent="0.2">
      <c r="A748" s="5"/>
      <c r="B748" s="31"/>
      <c r="C748" s="31"/>
      <c r="D748" s="31"/>
      <c r="E748" s="31"/>
      <c r="F748" s="31"/>
      <c r="G748" s="31"/>
      <c r="H748" s="93"/>
      <c r="I748" s="31"/>
      <c r="J748" s="31"/>
      <c r="K748" s="31"/>
      <c r="L748" s="42"/>
      <c r="M748" s="31"/>
      <c r="N748" s="31"/>
      <c r="O748" s="42"/>
      <c r="P748" s="92"/>
      <c r="Q748" s="42"/>
      <c r="R748" s="46"/>
      <c r="S748" s="31"/>
      <c r="T748" s="31"/>
      <c r="U748" s="31"/>
      <c r="V748" s="31"/>
      <c r="W748" s="31"/>
      <c r="X748" s="31"/>
      <c r="Y748" s="31"/>
      <c r="Z748" s="31"/>
      <c r="AA748" s="31"/>
    </row>
    <row r="749" spans="1:27" x14ac:dyDescent="0.2">
      <c r="A749" s="5"/>
      <c r="B749" s="31"/>
      <c r="C749" s="31"/>
      <c r="D749" s="31"/>
      <c r="E749" s="31"/>
      <c r="F749" s="31"/>
      <c r="G749" s="31"/>
      <c r="H749" s="93"/>
      <c r="I749" s="31"/>
      <c r="J749" s="31"/>
      <c r="K749" s="31"/>
      <c r="L749" s="42"/>
      <c r="M749" s="31"/>
      <c r="N749" s="31"/>
      <c r="O749" s="42"/>
      <c r="P749" s="92"/>
      <c r="Q749" s="42"/>
      <c r="R749" s="46"/>
      <c r="S749" s="31"/>
      <c r="T749" s="31"/>
      <c r="U749" s="31"/>
      <c r="V749" s="31"/>
      <c r="W749" s="31"/>
      <c r="X749" s="31"/>
      <c r="Y749" s="31"/>
      <c r="Z749" s="31"/>
      <c r="AA749" s="31"/>
    </row>
    <row r="750" spans="1:27" x14ac:dyDescent="0.2">
      <c r="A750" s="5"/>
      <c r="B750" s="31"/>
      <c r="C750" s="31"/>
      <c r="D750" s="31"/>
      <c r="E750" s="31"/>
      <c r="F750" s="31"/>
      <c r="G750" s="31"/>
      <c r="H750" s="93"/>
      <c r="I750" s="31"/>
      <c r="J750" s="31"/>
      <c r="K750" s="31"/>
      <c r="L750" s="42"/>
      <c r="M750" s="31"/>
      <c r="N750" s="31"/>
      <c r="O750" s="42"/>
      <c r="P750" s="92"/>
      <c r="Q750" s="42"/>
      <c r="R750" s="46"/>
      <c r="S750" s="31"/>
      <c r="T750" s="31"/>
      <c r="U750" s="31"/>
      <c r="V750" s="31"/>
      <c r="W750" s="31"/>
      <c r="X750" s="31"/>
      <c r="Y750" s="31"/>
      <c r="Z750" s="31"/>
      <c r="AA750" s="31"/>
    </row>
    <row r="751" spans="1:27" x14ac:dyDescent="0.2">
      <c r="A751" s="5"/>
      <c r="B751" s="31"/>
      <c r="C751" s="31"/>
      <c r="D751" s="31"/>
      <c r="E751" s="31"/>
      <c r="F751" s="31"/>
      <c r="G751" s="31"/>
      <c r="H751" s="93"/>
      <c r="I751" s="31"/>
      <c r="J751" s="31"/>
      <c r="K751" s="31"/>
      <c r="L751" s="42"/>
      <c r="M751" s="31"/>
      <c r="N751" s="31"/>
      <c r="O751" s="42"/>
      <c r="P751" s="92"/>
      <c r="Q751" s="42"/>
      <c r="R751" s="46"/>
      <c r="S751" s="31"/>
      <c r="T751" s="31"/>
      <c r="U751" s="31"/>
      <c r="V751" s="31"/>
      <c r="W751" s="31"/>
      <c r="X751" s="31"/>
      <c r="Y751" s="31"/>
      <c r="Z751" s="31"/>
      <c r="AA751" s="31"/>
    </row>
    <row r="752" spans="1:27" x14ac:dyDescent="0.2">
      <c r="A752" s="5"/>
      <c r="B752" s="31"/>
      <c r="C752" s="31"/>
      <c r="D752" s="31"/>
      <c r="E752" s="31"/>
      <c r="F752" s="31"/>
      <c r="G752" s="31"/>
      <c r="H752" s="93"/>
      <c r="I752" s="31"/>
      <c r="J752" s="31"/>
      <c r="K752" s="31"/>
      <c r="L752" s="42"/>
      <c r="M752" s="31"/>
      <c r="N752" s="31"/>
      <c r="O752" s="42"/>
      <c r="P752" s="92"/>
      <c r="Q752" s="42"/>
      <c r="R752" s="46"/>
      <c r="S752" s="31"/>
      <c r="T752" s="31"/>
      <c r="U752" s="31"/>
      <c r="V752" s="31"/>
      <c r="W752" s="31"/>
      <c r="X752" s="31"/>
      <c r="Y752" s="31"/>
      <c r="Z752" s="31"/>
      <c r="AA752" s="31"/>
    </row>
    <row r="753" spans="1:27" x14ac:dyDescent="0.2">
      <c r="A753" s="5"/>
      <c r="B753" s="31"/>
      <c r="C753" s="31"/>
      <c r="D753" s="31"/>
      <c r="E753" s="31"/>
      <c r="F753" s="31"/>
      <c r="G753" s="31"/>
      <c r="H753" s="93"/>
      <c r="I753" s="31"/>
      <c r="J753" s="31"/>
      <c r="K753" s="31"/>
      <c r="L753" s="42"/>
      <c r="M753" s="31"/>
      <c r="N753" s="31"/>
      <c r="O753" s="42"/>
      <c r="P753" s="92"/>
      <c r="Q753" s="42"/>
      <c r="R753" s="46"/>
      <c r="S753" s="31"/>
      <c r="T753" s="31"/>
      <c r="U753" s="31"/>
      <c r="V753" s="31"/>
      <c r="W753" s="31"/>
      <c r="X753" s="31"/>
      <c r="Y753" s="31"/>
      <c r="Z753" s="31"/>
      <c r="AA753" s="31"/>
    </row>
    <row r="754" spans="1:27" x14ac:dyDescent="0.2">
      <c r="A754" s="5"/>
      <c r="B754" s="31"/>
      <c r="C754" s="31"/>
      <c r="D754" s="31"/>
      <c r="E754" s="31"/>
      <c r="F754" s="31"/>
      <c r="G754" s="31"/>
      <c r="H754" s="93"/>
      <c r="I754" s="31"/>
      <c r="J754" s="31"/>
      <c r="K754" s="31"/>
      <c r="L754" s="42"/>
      <c r="M754" s="31"/>
      <c r="N754" s="31"/>
      <c r="O754" s="42"/>
      <c r="P754" s="92"/>
      <c r="Q754" s="42"/>
      <c r="R754" s="46"/>
      <c r="S754" s="31"/>
      <c r="T754" s="31"/>
      <c r="U754" s="31"/>
      <c r="V754" s="31"/>
      <c r="W754" s="31"/>
      <c r="X754" s="31"/>
      <c r="Y754" s="31"/>
      <c r="Z754" s="31"/>
      <c r="AA754" s="31"/>
    </row>
    <row r="755" spans="1:27" x14ac:dyDescent="0.2">
      <c r="A755" s="5"/>
      <c r="B755" s="31"/>
      <c r="C755" s="31"/>
      <c r="D755" s="31"/>
      <c r="E755" s="31"/>
      <c r="F755" s="31"/>
      <c r="G755" s="31"/>
      <c r="H755" s="93"/>
      <c r="I755" s="31"/>
      <c r="J755" s="31"/>
      <c r="K755" s="31"/>
      <c r="L755" s="42"/>
      <c r="M755" s="31"/>
      <c r="N755" s="31"/>
      <c r="O755" s="42"/>
      <c r="P755" s="92"/>
      <c r="Q755" s="42"/>
      <c r="R755" s="46"/>
      <c r="S755" s="31"/>
      <c r="T755" s="31"/>
      <c r="U755" s="31"/>
      <c r="V755" s="31"/>
      <c r="W755" s="31"/>
      <c r="X755" s="31"/>
      <c r="Y755" s="31"/>
      <c r="Z755" s="31"/>
      <c r="AA755" s="31"/>
    </row>
    <row r="756" spans="1:27" x14ac:dyDescent="0.2">
      <c r="A756" s="5"/>
      <c r="B756" s="31"/>
      <c r="C756" s="31"/>
      <c r="D756" s="31"/>
      <c r="E756" s="31"/>
      <c r="F756" s="31"/>
      <c r="G756" s="31"/>
      <c r="H756" s="93"/>
      <c r="I756" s="31"/>
      <c r="J756" s="31"/>
      <c r="K756" s="31"/>
      <c r="L756" s="42"/>
      <c r="M756" s="31"/>
      <c r="N756" s="31"/>
      <c r="O756" s="42"/>
      <c r="P756" s="92"/>
      <c r="Q756" s="42"/>
      <c r="R756" s="46"/>
      <c r="S756" s="31"/>
      <c r="T756" s="31"/>
      <c r="U756" s="31"/>
      <c r="V756" s="31"/>
      <c r="W756" s="31"/>
      <c r="X756" s="31"/>
      <c r="Y756" s="31"/>
      <c r="Z756" s="31"/>
      <c r="AA756" s="31"/>
    </row>
    <row r="757" spans="1:27" x14ac:dyDescent="0.2">
      <c r="A757" s="5"/>
      <c r="B757" s="31"/>
      <c r="C757" s="31"/>
      <c r="D757" s="31"/>
      <c r="E757" s="31"/>
      <c r="F757" s="31"/>
      <c r="G757" s="31"/>
      <c r="H757" s="93"/>
      <c r="I757" s="31"/>
      <c r="J757" s="31"/>
      <c r="K757" s="31"/>
      <c r="L757" s="42"/>
      <c r="M757" s="31"/>
      <c r="N757" s="31"/>
      <c r="O757" s="42"/>
      <c r="P757" s="92"/>
      <c r="Q757" s="42"/>
      <c r="R757" s="46"/>
      <c r="S757" s="31"/>
      <c r="T757" s="31"/>
      <c r="U757" s="31"/>
      <c r="V757" s="31"/>
      <c r="W757" s="31"/>
      <c r="X757" s="31"/>
      <c r="Y757" s="31"/>
      <c r="Z757" s="31"/>
      <c r="AA757" s="31"/>
    </row>
    <row r="758" spans="1:27" x14ac:dyDescent="0.2">
      <c r="A758" s="5"/>
      <c r="B758" s="31"/>
      <c r="C758" s="31"/>
      <c r="D758" s="31"/>
      <c r="E758" s="31"/>
      <c r="F758" s="31"/>
      <c r="G758" s="31"/>
      <c r="H758" s="93"/>
      <c r="I758" s="31"/>
      <c r="J758" s="31"/>
      <c r="K758" s="31"/>
      <c r="L758" s="42"/>
      <c r="M758" s="31"/>
      <c r="N758" s="31"/>
      <c r="O758" s="42"/>
      <c r="P758" s="92"/>
      <c r="Q758" s="42"/>
      <c r="R758" s="46"/>
      <c r="S758" s="31"/>
      <c r="T758" s="31"/>
      <c r="U758" s="31"/>
      <c r="V758" s="31"/>
      <c r="W758" s="31"/>
      <c r="X758" s="31"/>
      <c r="Y758" s="31"/>
      <c r="Z758" s="31"/>
      <c r="AA758" s="31"/>
    </row>
    <row r="759" spans="1:27" x14ac:dyDescent="0.2">
      <c r="A759" s="5"/>
      <c r="B759" s="31"/>
      <c r="C759" s="31"/>
      <c r="D759" s="31"/>
      <c r="E759" s="31"/>
      <c r="F759" s="31"/>
      <c r="G759" s="31"/>
      <c r="H759" s="93"/>
      <c r="I759" s="31"/>
      <c r="J759" s="31"/>
      <c r="K759" s="31"/>
      <c r="L759" s="42"/>
      <c r="M759" s="31"/>
      <c r="N759" s="31"/>
      <c r="O759" s="42"/>
      <c r="P759" s="92"/>
      <c r="Q759" s="42"/>
      <c r="R759" s="46"/>
      <c r="S759" s="31"/>
      <c r="T759" s="31"/>
      <c r="U759" s="31"/>
      <c r="V759" s="31"/>
      <c r="W759" s="31"/>
      <c r="X759" s="31"/>
      <c r="Y759" s="31"/>
      <c r="Z759" s="31"/>
      <c r="AA759" s="31"/>
    </row>
    <row r="760" spans="1:27" x14ac:dyDescent="0.2">
      <c r="A760" s="5"/>
      <c r="B760" s="31"/>
      <c r="C760" s="31"/>
      <c r="D760" s="31"/>
      <c r="E760" s="31"/>
      <c r="F760" s="31"/>
      <c r="G760" s="31"/>
      <c r="H760" s="93"/>
      <c r="I760" s="31"/>
      <c r="J760" s="31"/>
      <c r="K760" s="31"/>
      <c r="L760" s="42"/>
      <c r="M760" s="31"/>
      <c r="N760" s="31"/>
      <c r="O760" s="42"/>
      <c r="P760" s="92"/>
      <c r="Q760" s="42"/>
      <c r="R760" s="46"/>
      <c r="S760" s="31"/>
      <c r="T760" s="31"/>
      <c r="U760" s="31"/>
      <c r="V760" s="31"/>
      <c r="W760" s="31"/>
      <c r="X760" s="31"/>
      <c r="Y760" s="31"/>
      <c r="Z760" s="31"/>
      <c r="AA760" s="31"/>
    </row>
    <row r="761" spans="1:27" x14ac:dyDescent="0.2">
      <c r="A761" s="5"/>
      <c r="B761" s="31"/>
      <c r="C761" s="31"/>
      <c r="D761" s="31"/>
      <c r="E761" s="31"/>
      <c r="F761" s="31"/>
      <c r="G761" s="31"/>
      <c r="H761" s="93"/>
      <c r="I761" s="31"/>
      <c r="J761" s="31"/>
      <c r="K761" s="31"/>
      <c r="L761" s="42"/>
      <c r="M761" s="31"/>
      <c r="N761" s="31"/>
      <c r="O761" s="42"/>
      <c r="P761" s="92"/>
      <c r="Q761" s="42"/>
      <c r="R761" s="46"/>
      <c r="S761" s="31"/>
      <c r="T761" s="31"/>
      <c r="U761" s="31"/>
      <c r="V761" s="31"/>
      <c r="W761" s="31"/>
      <c r="X761" s="31"/>
      <c r="Y761" s="31"/>
      <c r="Z761" s="31"/>
      <c r="AA761" s="31"/>
    </row>
    <row r="762" spans="1:27" x14ac:dyDescent="0.2">
      <c r="A762" s="5"/>
      <c r="B762" s="31"/>
      <c r="C762" s="31"/>
      <c r="D762" s="31"/>
      <c r="E762" s="31"/>
      <c r="F762" s="31"/>
      <c r="G762" s="31"/>
      <c r="H762" s="93"/>
      <c r="I762" s="31"/>
      <c r="J762" s="31"/>
      <c r="K762" s="31"/>
      <c r="L762" s="42"/>
      <c r="M762" s="31"/>
      <c r="N762" s="31"/>
      <c r="O762" s="42"/>
      <c r="P762" s="92"/>
      <c r="Q762" s="42"/>
      <c r="R762" s="46"/>
      <c r="S762" s="31"/>
      <c r="T762" s="31"/>
      <c r="U762" s="31"/>
      <c r="V762" s="31"/>
      <c r="W762" s="31"/>
      <c r="X762" s="31"/>
      <c r="Y762" s="31"/>
      <c r="Z762" s="31"/>
      <c r="AA762" s="31"/>
    </row>
    <row r="763" spans="1:27" x14ac:dyDescent="0.2">
      <c r="A763" s="5"/>
      <c r="B763" s="31"/>
      <c r="C763" s="31"/>
      <c r="D763" s="31"/>
      <c r="E763" s="31"/>
      <c r="F763" s="31"/>
      <c r="G763" s="31"/>
      <c r="H763" s="93"/>
      <c r="I763" s="31"/>
      <c r="J763" s="31"/>
      <c r="K763" s="31"/>
      <c r="L763" s="42"/>
      <c r="M763" s="31"/>
      <c r="N763" s="31"/>
      <c r="O763" s="42"/>
      <c r="P763" s="92"/>
      <c r="Q763" s="42"/>
      <c r="R763" s="46"/>
      <c r="S763" s="31"/>
      <c r="T763" s="31"/>
      <c r="U763" s="31"/>
      <c r="V763" s="31"/>
      <c r="W763" s="31"/>
      <c r="X763" s="31"/>
      <c r="Y763" s="31"/>
      <c r="Z763" s="31"/>
      <c r="AA763" s="31"/>
    </row>
    <row r="764" spans="1:27" x14ac:dyDescent="0.2">
      <c r="A764" s="5"/>
      <c r="B764" s="31"/>
      <c r="C764" s="31"/>
      <c r="D764" s="31"/>
      <c r="E764" s="31"/>
      <c r="F764" s="31"/>
      <c r="G764" s="31"/>
      <c r="H764" s="93"/>
      <c r="I764" s="31"/>
      <c r="J764" s="31"/>
      <c r="K764" s="31"/>
      <c r="L764" s="42"/>
      <c r="M764" s="31"/>
      <c r="N764" s="31"/>
      <c r="O764" s="42"/>
      <c r="P764" s="92"/>
      <c r="Q764" s="42"/>
      <c r="R764" s="46"/>
      <c r="S764" s="31"/>
      <c r="T764" s="31"/>
      <c r="U764" s="31"/>
      <c r="V764" s="31"/>
      <c r="W764" s="31"/>
      <c r="X764" s="31"/>
      <c r="Y764" s="31"/>
      <c r="Z764" s="31"/>
      <c r="AA764" s="31"/>
    </row>
    <row r="765" spans="1:27" x14ac:dyDescent="0.2">
      <c r="A765" s="5"/>
      <c r="B765" s="31"/>
      <c r="C765" s="31"/>
      <c r="D765" s="31"/>
      <c r="E765" s="31"/>
      <c r="F765" s="31"/>
      <c r="G765" s="31"/>
      <c r="H765" s="93"/>
      <c r="I765" s="31"/>
      <c r="J765" s="31"/>
      <c r="K765" s="31"/>
      <c r="L765" s="42"/>
      <c r="M765" s="31"/>
      <c r="N765" s="31"/>
      <c r="O765" s="42"/>
      <c r="P765" s="92"/>
      <c r="Q765" s="42"/>
      <c r="R765" s="46"/>
      <c r="S765" s="31"/>
      <c r="T765" s="31"/>
      <c r="U765" s="31"/>
      <c r="V765" s="31"/>
      <c r="W765" s="31"/>
      <c r="X765" s="31"/>
      <c r="Y765" s="31"/>
      <c r="Z765" s="31"/>
      <c r="AA765" s="31"/>
    </row>
    <row r="766" spans="1:27" x14ac:dyDescent="0.2">
      <c r="A766" s="5"/>
      <c r="B766" s="31"/>
      <c r="C766" s="31"/>
      <c r="D766" s="31"/>
      <c r="E766" s="31"/>
      <c r="F766" s="31"/>
      <c r="G766" s="31"/>
      <c r="H766" s="93"/>
      <c r="I766" s="31"/>
      <c r="J766" s="31"/>
      <c r="K766" s="31"/>
      <c r="L766" s="42"/>
      <c r="M766" s="31"/>
      <c r="N766" s="31"/>
      <c r="O766" s="42"/>
      <c r="P766" s="92"/>
      <c r="Q766" s="42"/>
      <c r="R766" s="46"/>
      <c r="S766" s="31"/>
      <c r="T766" s="31"/>
      <c r="U766" s="31"/>
      <c r="V766" s="31"/>
      <c r="W766" s="31"/>
      <c r="X766" s="31"/>
      <c r="Y766" s="31"/>
      <c r="Z766" s="31"/>
      <c r="AA766" s="31"/>
    </row>
    <row r="767" spans="1:27" x14ac:dyDescent="0.2">
      <c r="A767" s="5"/>
      <c r="B767" s="31"/>
      <c r="C767" s="31"/>
      <c r="D767" s="31"/>
      <c r="E767" s="31"/>
      <c r="F767" s="31"/>
      <c r="G767" s="31"/>
      <c r="H767" s="93"/>
      <c r="I767" s="31"/>
      <c r="J767" s="31"/>
      <c r="K767" s="31"/>
      <c r="L767" s="42"/>
      <c r="M767" s="31"/>
      <c r="N767" s="31"/>
      <c r="O767" s="42"/>
      <c r="P767" s="92"/>
      <c r="Q767" s="42"/>
      <c r="R767" s="46"/>
      <c r="S767" s="31"/>
      <c r="T767" s="31"/>
      <c r="U767" s="31"/>
      <c r="V767" s="31"/>
      <c r="W767" s="31"/>
      <c r="X767" s="31"/>
      <c r="Y767" s="31"/>
      <c r="Z767" s="31"/>
      <c r="AA767" s="31"/>
    </row>
    <row r="768" spans="1:27" x14ac:dyDescent="0.2">
      <c r="A768" s="5"/>
      <c r="B768" s="31"/>
      <c r="C768" s="31"/>
      <c r="D768" s="31"/>
      <c r="E768" s="31"/>
      <c r="F768" s="31"/>
      <c r="G768" s="31"/>
      <c r="H768" s="93"/>
      <c r="I768" s="31"/>
      <c r="J768" s="31"/>
      <c r="K768" s="31"/>
      <c r="L768" s="42"/>
      <c r="M768" s="31"/>
      <c r="N768" s="31"/>
      <c r="O768" s="42"/>
      <c r="P768" s="92"/>
      <c r="Q768" s="42"/>
      <c r="R768" s="46"/>
      <c r="S768" s="31"/>
      <c r="T768" s="31"/>
      <c r="U768" s="31"/>
      <c r="V768" s="31"/>
      <c r="W768" s="31"/>
      <c r="X768" s="31"/>
      <c r="Y768" s="31"/>
      <c r="Z768" s="31"/>
      <c r="AA768" s="31"/>
    </row>
    <row r="769" spans="1:27" x14ac:dyDescent="0.2">
      <c r="A769" s="5"/>
      <c r="B769" s="31"/>
      <c r="C769" s="31"/>
      <c r="D769" s="31"/>
      <c r="E769" s="31"/>
      <c r="F769" s="31"/>
      <c r="G769" s="31"/>
      <c r="H769" s="93"/>
      <c r="I769" s="31"/>
      <c r="J769" s="31"/>
      <c r="K769" s="31"/>
      <c r="L769" s="42"/>
      <c r="M769" s="31"/>
      <c r="N769" s="31"/>
      <c r="O769" s="42"/>
      <c r="P769" s="92"/>
      <c r="Q769" s="42"/>
      <c r="R769" s="46"/>
      <c r="S769" s="31"/>
      <c r="T769" s="31"/>
      <c r="U769" s="31"/>
      <c r="V769" s="31"/>
      <c r="W769" s="31"/>
      <c r="X769" s="31"/>
      <c r="Y769" s="31"/>
      <c r="Z769" s="31"/>
      <c r="AA769" s="31"/>
    </row>
    <row r="770" spans="1:27" x14ac:dyDescent="0.2">
      <c r="A770" s="5"/>
      <c r="B770" s="31"/>
      <c r="C770" s="31"/>
      <c r="D770" s="31"/>
      <c r="E770" s="31"/>
      <c r="F770" s="31"/>
      <c r="G770" s="31"/>
      <c r="H770" s="93"/>
      <c r="I770" s="31"/>
      <c r="J770" s="31"/>
      <c r="K770" s="31"/>
      <c r="L770" s="42"/>
      <c r="M770" s="31"/>
      <c r="N770" s="31"/>
      <c r="O770" s="42"/>
      <c r="P770" s="92"/>
      <c r="Q770" s="42"/>
      <c r="R770" s="46"/>
      <c r="S770" s="31"/>
      <c r="T770" s="31"/>
      <c r="U770" s="31"/>
      <c r="V770" s="31"/>
      <c r="W770" s="31"/>
      <c r="X770" s="31"/>
      <c r="Y770" s="31"/>
      <c r="Z770" s="31"/>
      <c r="AA770" s="31"/>
    </row>
    <row r="771" spans="1:27" x14ac:dyDescent="0.2">
      <c r="A771" s="5"/>
      <c r="B771" s="31"/>
      <c r="C771" s="31"/>
      <c r="D771" s="31"/>
      <c r="E771" s="31"/>
      <c r="F771" s="31"/>
      <c r="G771" s="31"/>
      <c r="H771" s="93"/>
      <c r="I771" s="31"/>
      <c r="J771" s="31"/>
      <c r="K771" s="31"/>
      <c r="L771" s="42"/>
      <c r="M771" s="31"/>
      <c r="N771" s="31"/>
      <c r="O771" s="42"/>
      <c r="P771" s="92"/>
      <c r="Q771" s="42"/>
      <c r="R771" s="46"/>
      <c r="S771" s="31"/>
      <c r="T771" s="31"/>
      <c r="U771" s="31"/>
      <c r="V771" s="31"/>
      <c r="W771" s="31"/>
      <c r="X771" s="31"/>
      <c r="Y771" s="31"/>
      <c r="Z771" s="31"/>
      <c r="AA771" s="31"/>
    </row>
    <row r="772" spans="1:27" x14ac:dyDescent="0.2">
      <c r="A772" s="5"/>
      <c r="B772" s="31"/>
      <c r="C772" s="31"/>
      <c r="D772" s="31"/>
      <c r="E772" s="31"/>
      <c r="F772" s="31"/>
      <c r="G772" s="31"/>
      <c r="H772" s="93"/>
      <c r="I772" s="31"/>
      <c r="J772" s="31"/>
      <c r="K772" s="31"/>
      <c r="L772" s="42"/>
      <c r="M772" s="31"/>
      <c r="N772" s="31"/>
      <c r="O772" s="42"/>
      <c r="P772" s="92"/>
      <c r="Q772" s="42"/>
      <c r="R772" s="46"/>
      <c r="S772" s="31"/>
      <c r="T772" s="31"/>
      <c r="U772" s="31"/>
      <c r="V772" s="31"/>
      <c r="W772" s="31"/>
      <c r="X772" s="31"/>
      <c r="Y772" s="31"/>
      <c r="Z772" s="31"/>
      <c r="AA772" s="31"/>
    </row>
    <row r="773" spans="1:27" x14ac:dyDescent="0.2">
      <c r="A773" s="5"/>
      <c r="B773" s="31"/>
      <c r="C773" s="31"/>
      <c r="D773" s="31"/>
      <c r="E773" s="31"/>
      <c r="F773" s="31"/>
      <c r="G773" s="31"/>
      <c r="H773" s="93"/>
      <c r="I773" s="31"/>
      <c r="J773" s="31"/>
      <c r="K773" s="31"/>
      <c r="L773" s="42"/>
      <c r="M773" s="31"/>
      <c r="N773" s="31"/>
      <c r="O773" s="42"/>
      <c r="P773" s="92"/>
      <c r="Q773" s="42"/>
      <c r="R773" s="46"/>
      <c r="S773" s="31"/>
      <c r="T773" s="31"/>
      <c r="U773" s="31"/>
      <c r="V773" s="31"/>
      <c r="W773" s="31"/>
      <c r="X773" s="31"/>
      <c r="Y773" s="31"/>
      <c r="Z773" s="31"/>
      <c r="AA773" s="31"/>
    </row>
    <row r="774" spans="1:27" x14ac:dyDescent="0.2">
      <c r="A774" s="5"/>
      <c r="B774" s="31"/>
      <c r="C774" s="31"/>
      <c r="D774" s="31"/>
      <c r="E774" s="31"/>
      <c r="F774" s="31"/>
      <c r="G774" s="31"/>
      <c r="H774" s="93"/>
      <c r="I774" s="31"/>
      <c r="J774" s="31"/>
      <c r="K774" s="31"/>
      <c r="L774" s="42"/>
      <c r="M774" s="31"/>
      <c r="N774" s="31"/>
      <c r="O774" s="42"/>
      <c r="P774" s="92"/>
      <c r="Q774" s="42"/>
      <c r="R774" s="46"/>
      <c r="S774" s="31"/>
      <c r="T774" s="31"/>
      <c r="U774" s="31"/>
      <c r="V774" s="31"/>
      <c r="W774" s="31"/>
      <c r="X774" s="31"/>
      <c r="Y774" s="31"/>
      <c r="Z774" s="31"/>
      <c r="AA774" s="31"/>
    </row>
    <row r="775" spans="1:27" x14ac:dyDescent="0.2">
      <c r="A775" s="5"/>
      <c r="B775" s="31"/>
      <c r="C775" s="31"/>
      <c r="D775" s="31"/>
      <c r="E775" s="31"/>
      <c r="F775" s="31"/>
      <c r="G775" s="31"/>
      <c r="H775" s="93"/>
      <c r="I775" s="31"/>
      <c r="J775" s="31"/>
      <c r="K775" s="31"/>
      <c r="L775" s="42"/>
      <c r="M775" s="31"/>
      <c r="N775" s="31"/>
      <c r="O775" s="42"/>
      <c r="P775" s="92"/>
      <c r="Q775" s="42"/>
      <c r="R775" s="46"/>
      <c r="S775" s="31"/>
      <c r="T775" s="31"/>
      <c r="U775" s="31"/>
      <c r="V775" s="31"/>
      <c r="W775" s="31"/>
      <c r="X775" s="31"/>
      <c r="Y775" s="31"/>
      <c r="Z775" s="31"/>
      <c r="AA775" s="31"/>
    </row>
    <row r="776" spans="1:27" x14ac:dyDescent="0.2">
      <c r="A776" s="5"/>
      <c r="B776" s="31"/>
      <c r="C776" s="31"/>
      <c r="D776" s="31"/>
      <c r="E776" s="31"/>
      <c r="F776" s="31"/>
      <c r="G776" s="31"/>
      <c r="H776" s="93"/>
      <c r="I776" s="31"/>
      <c r="J776" s="31"/>
      <c r="K776" s="31"/>
      <c r="L776" s="42"/>
      <c r="M776" s="31"/>
      <c r="N776" s="31"/>
      <c r="O776" s="42"/>
      <c r="P776" s="92"/>
      <c r="Q776" s="42"/>
      <c r="R776" s="46"/>
      <c r="S776" s="31"/>
      <c r="T776" s="31"/>
      <c r="U776" s="31"/>
      <c r="V776" s="31"/>
      <c r="W776" s="31"/>
      <c r="X776" s="31"/>
      <c r="Y776" s="31"/>
      <c r="Z776" s="31"/>
      <c r="AA776" s="31"/>
    </row>
    <row r="777" spans="1:27" x14ac:dyDescent="0.2">
      <c r="A777" s="5"/>
      <c r="B777" s="31"/>
      <c r="C777" s="31"/>
      <c r="D777" s="31"/>
      <c r="E777" s="31"/>
      <c r="F777" s="31"/>
      <c r="G777" s="31"/>
      <c r="H777" s="93"/>
      <c r="I777" s="31"/>
      <c r="J777" s="31"/>
      <c r="K777" s="31"/>
      <c r="L777" s="42"/>
      <c r="M777" s="31"/>
      <c r="N777" s="31"/>
      <c r="O777" s="42"/>
      <c r="P777" s="92"/>
      <c r="Q777" s="42"/>
      <c r="R777" s="46"/>
      <c r="S777" s="31"/>
      <c r="T777" s="31"/>
      <c r="U777" s="31"/>
      <c r="V777" s="31"/>
      <c r="W777" s="31"/>
      <c r="X777" s="31"/>
      <c r="Y777" s="31"/>
      <c r="Z777" s="31"/>
      <c r="AA777" s="31"/>
    </row>
    <row r="778" spans="1:27" x14ac:dyDescent="0.2">
      <c r="A778" s="5"/>
      <c r="B778" s="31"/>
      <c r="C778" s="31"/>
      <c r="D778" s="31"/>
      <c r="E778" s="31"/>
      <c r="F778" s="31"/>
      <c r="G778" s="31"/>
      <c r="H778" s="93"/>
      <c r="I778" s="31"/>
      <c r="J778" s="31"/>
      <c r="K778" s="31"/>
      <c r="L778" s="42"/>
      <c r="M778" s="31"/>
      <c r="N778" s="31"/>
      <c r="O778" s="42"/>
      <c r="P778" s="92"/>
      <c r="Q778" s="42"/>
      <c r="R778" s="46"/>
      <c r="S778" s="31"/>
      <c r="T778" s="31"/>
      <c r="U778" s="31"/>
      <c r="V778" s="31"/>
      <c r="W778" s="31"/>
      <c r="X778" s="31"/>
      <c r="Y778" s="31"/>
      <c r="Z778" s="31"/>
      <c r="AA778" s="31"/>
    </row>
    <row r="779" spans="1:27" x14ac:dyDescent="0.2">
      <c r="A779" s="5"/>
      <c r="B779" s="31"/>
      <c r="C779" s="31"/>
      <c r="D779" s="31"/>
      <c r="E779" s="31"/>
      <c r="F779" s="31"/>
      <c r="G779" s="31"/>
      <c r="H779" s="93"/>
      <c r="I779" s="31"/>
      <c r="J779" s="31"/>
      <c r="K779" s="31"/>
      <c r="L779" s="42"/>
      <c r="M779" s="31"/>
      <c r="N779" s="31"/>
      <c r="O779" s="42"/>
      <c r="P779" s="92"/>
      <c r="Q779" s="42"/>
      <c r="R779" s="46"/>
      <c r="S779" s="31"/>
      <c r="T779" s="31"/>
      <c r="U779" s="31"/>
      <c r="V779" s="31"/>
      <c r="W779" s="31"/>
      <c r="X779" s="31"/>
      <c r="Y779" s="31"/>
      <c r="Z779" s="31"/>
      <c r="AA779" s="31"/>
    </row>
    <row r="780" spans="1:27" x14ac:dyDescent="0.2">
      <c r="A780" s="5"/>
      <c r="B780" s="31"/>
      <c r="C780" s="31"/>
      <c r="D780" s="31"/>
      <c r="E780" s="31"/>
      <c r="F780" s="31"/>
      <c r="G780" s="31"/>
      <c r="H780" s="93"/>
      <c r="I780" s="31"/>
      <c r="J780" s="31"/>
      <c r="K780" s="31"/>
      <c r="L780" s="42"/>
      <c r="M780" s="31"/>
      <c r="N780" s="31"/>
      <c r="O780" s="42"/>
      <c r="P780" s="92"/>
      <c r="Q780" s="42"/>
      <c r="R780" s="46"/>
      <c r="S780" s="31"/>
      <c r="T780" s="31"/>
      <c r="U780" s="31"/>
      <c r="V780" s="31"/>
      <c r="W780" s="31"/>
      <c r="X780" s="31"/>
      <c r="Y780" s="31"/>
      <c r="Z780" s="31"/>
      <c r="AA780" s="31"/>
    </row>
    <row r="781" spans="1:27" x14ac:dyDescent="0.2">
      <c r="A781" s="5"/>
      <c r="B781" s="31"/>
      <c r="C781" s="31"/>
      <c r="D781" s="31"/>
      <c r="E781" s="31"/>
      <c r="F781" s="31"/>
      <c r="G781" s="31"/>
      <c r="H781" s="93"/>
      <c r="I781" s="31"/>
      <c r="J781" s="31"/>
      <c r="K781" s="31"/>
      <c r="L781" s="42"/>
      <c r="M781" s="31"/>
      <c r="N781" s="31"/>
      <c r="O781" s="42"/>
      <c r="P781" s="92"/>
      <c r="Q781" s="42"/>
      <c r="R781" s="46"/>
      <c r="S781" s="31"/>
      <c r="T781" s="31"/>
      <c r="U781" s="31"/>
      <c r="V781" s="31"/>
      <c r="W781" s="31"/>
      <c r="X781" s="31"/>
      <c r="Y781" s="31"/>
      <c r="Z781" s="31"/>
      <c r="AA781" s="31"/>
    </row>
    <row r="782" spans="1:27" x14ac:dyDescent="0.2">
      <c r="A782" s="5"/>
      <c r="B782" s="31"/>
      <c r="C782" s="31"/>
      <c r="D782" s="31"/>
      <c r="E782" s="31"/>
      <c r="F782" s="31"/>
      <c r="G782" s="31"/>
      <c r="H782" s="93"/>
      <c r="I782" s="31"/>
      <c r="J782" s="31"/>
      <c r="K782" s="31"/>
      <c r="L782" s="42"/>
      <c r="M782" s="31"/>
      <c r="N782" s="31"/>
      <c r="O782" s="42"/>
      <c r="P782" s="92"/>
      <c r="Q782" s="42"/>
      <c r="R782" s="46"/>
      <c r="S782" s="31"/>
      <c r="T782" s="31"/>
      <c r="U782" s="31"/>
      <c r="V782" s="31"/>
      <c r="W782" s="31"/>
      <c r="X782" s="31"/>
      <c r="Y782" s="31"/>
      <c r="Z782" s="31"/>
      <c r="AA782" s="31"/>
    </row>
    <row r="783" spans="1:27" x14ac:dyDescent="0.2">
      <c r="A783" s="5"/>
      <c r="B783" s="31"/>
      <c r="C783" s="31"/>
      <c r="D783" s="31"/>
      <c r="E783" s="31"/>
      <c r="F783" s="31"/>
      <c r="G783" s="31"/>
      <c r="H783" s="93"/>
      <c r="I783" s="31"/>
      <c r="J783" s="31"/>
      <c r="K783" s="31"/>
      <c r="L783" s="42"/>
      <c r="M783" s="31"/>
      <c r="N783" s="31"/>
      <c r="O783" s="42"/>
      <c r="P783" s="92"/>
      <c r="Q783" s="42"/>
      <c r="R783" s="46"/>
      <c r="S783" s="31"/>
      <c r="T783" s="31"/>
      <c r="U783" s="31"/>
      <c r="V783" s="31"/>
      <c r="W783" s="31"/>
      <c r="X783" s="31"/>
      <c r="Y783" s="31"/>
      <c r="Z783" s="31"/>
      <c r="AA783" s="31"/>
    </row>
    <row r="784" spans="1:27" x14ac:dyDescent="0.2">
      <c r="A784" s="5"/>
      <c r="B784" s="31"/>
      <c r="C784" s="31"/>
      <c r="D784" s="31"/>
      <c r="E784" s="31"/>
      <c r="F784" s="31"/>
      <c r="G784" s="31"/>
      <c r="H784" s="93"/>
      <c r="I784" s="31"/>
      <c r="J784" s="31"/>
      <c r="K784" s="31"/>
      <c r="L784" s="42"/>
      <c r="M784" s="31"/>
      <c r="N784" s="31"/>
      <c r="O784" s="42"/>
      <c r="P784" s="92"/>
      <c r="Q784" s="42"/>
      <c r="R784" s="46"/>
      <c r="S784" s="31"/>
      <c r="T784" s="31"/>
      <c r="U784" s="31"/>
      <c r="V784" s="31"/>
      <c r="W784" s="31"/>
      <c r="X784" s="31"/>
      <c r="Y784" s="31"/>
      <c r="Z784" s="31"/>
      <c r="AA784" s="31"/>
    </row>
    <row r="785" spans="1:27" x14ac:dyDescent="0.2">
      <c r="A785" s="5"/>
      <c r="B785" s="31"/>
      <c r="C785" s="31"/>
      <c r="D785" s="31"/>
      <c r="E785" s="31"/>
      <c r="F785" s="31"/>
      <c r="G785" s="31"/>
      <c r="H785" s="93"/>
      <c r="I785" s="31"/>
      <c r="J785" s="31"/>
      <c r="K785" s="31"/>
      <c r="L785" s="42"/>
      <c r="M785" s="31"/>
      <c r="N785" s="31"/>
      <c r="O785" s="42"/>
      <c r="P785" s="92"/>
      <c r="Q785" s="42"/>
      <c r="R785" s="46"/>
      <c r="S785" s="31"/>
      <c r="T785" s="31"/>
      <c r="U785" s="31"/>
      <c r="V785" s="31"/>
      <c r="W785" s="31"/>
      <c r="X785" s="31"/>
      <c r="Y785" s="31"/>
      <c r="Z785" s="31"/>
      <c r="AA785" s="31"/>
    </row>
    <row r="786" spans="1:27" x14ac:dyDescent="0.2">
      <c r="A786" s="5"/>
      <c r="B786" s="31"/>
      <c r="C786" s="31"/>
      <c r="D786" s="31"/>
      <c r="E786" s="31"/>
      <c r="F786" s="31"/>
      <c r="G786" s="31"/>
      <c r="H786" s="93"/>
      <c r="I786" s="31"/>
      <c r="J786" s="31"/>
      <c r="K786" s="31"/>
      <c r="L786" s="42"/>
      <c r="M786" s="31"/>
      <c r="N786" s="31"/>
      <c r="O786" s="42"/>
      <c r="P786" s="92"/>
      <c r="Q786" s="42"/>
      <c r="R786" s="46"/>
      <c r="S786" s="31"/>
      <c r="T786" s="31"/>
      <c r="U786" s="31"/>
      <c r="V786" s="31"/>
      <c r="W786" s="31"/>
      <c r="X786" s="31"/>
      <c r="Y786" s="31"/>
      <c r="Z786" s="31"/>
      <c r="AA786" s="31"/>
    </row>
    <row r="787" spans="1:27" x14ac:dyDescent="0.2">
      <c r="A787" s="5"/>
      <c r="B787" s="31"/>
      <c r="C787" s="31"/>
      <c r="D787" s="31"/>
      <c r="E787" s="31"/>
      <c r="F787" s="31"/>
      <c r="G787" s="31"/>
      <c r="H787" s="93"/>
      <c r="I787" s="31"/>
      <c r="J787" s="31"/>
      <c r="K787" s="31"/>
      <c r="L787" s="42"/>
      <c r="M787" s="31"/>
      <c r="N787" s="31"/>
      <c r="O787" s="42"/>
      <c r="P787" s="92"/>
      <c r="Q787" s="42"/>
      <c r="R787" s="46"/>
      <c r="S787" s="31"/>
      <c r="T787" s="31"/>
      <c r="U787" s="31"/>
      <c r="V787" s="31"/>
      <c r="W787" s="31"/>
      <c r="X787" s="31"/>
      <c r="Y787" s="31"/>
      <c r="Z787" s="31"/>
      <c r="AA787" s="31"/>
    </row>
    <row r="788" spans="1:27" x14ac:dyDescent="0.2">
      <c r="A788" s="5"/>
      <c r="B788" s="31"/>
      <c r="C788" s="31"/>
      <c r="D788" s="31"/>
      <c r="E788" s="31"/>
      <c r="F788" s="31"/>
      <c r="G788" s="31"/>
      <c r="H788" s="93"/>
      <c r="I788" s="31"/>
      <c r="J788" s="31"/>
      <c r="K788" s="31"/>
      <c r="L788" s="42"/>
      <c r="M788" s="31"/>
      <c r="N788" s="31"/>
      <c r="O788" s="42"/>
      <c r="P788" s="92"/>
      <c r="Q788" s="42"/>
      <c r="R788" s="46"/>
      <c r="S788" s="31"/>
      <c r="T788" s="31"/>
      <c r="U788" s="31"/>
      <c r="V788" s="31"/>
      <c r="W788" s="31"/>
      <c r="X788" s="31"/>
      <c r="Y788" s="31"/>
      <c r="Z788" s="31"/>
      <c r="AA788" s="31"/>
    </row>
    <row r="789" spans="1:27" x14ac:dyDescent="0.2">
      <c r="A789" s="5"/>
      <c r="B789" s="31"/>
      <c r="C789" s="31"/>
      <c r="D789" s="31"/>
      <c r="E789" s="31"/>
      <c r="F789" s="31"/>
      <c r="G789" s="31"/>
      <c r="H789" s="93"/>
      <c r="I789" s="31"/>
      <c r="J789" s="31"/>
      <c r="K789" s="31"/>
      <c r="L789" s="42"/>
      <c r="M789" s="31"/>
      <c r="N789" s="31"/>
      <c r="O789" s="42"/>
      <c r="P789" s="92"/>
      <c r="Q789" s="42"/>
      <c r="R789" s="46"/>
      <c r="S789" s="31"/>
      <c r="T789" s="31"/>
      <c r="U789" s="31"/>
      <c r="V789" s="31"/>
      <c r="W789" s="31"/>
      <c r="X789" s="31"/>
      <c r="Y789" s="31"/>
      <c r="Z789" s="31"/>
      <c r="AA789" s="31"/>
    </row>
    <row r="790" spans="1:27" x14ac:dyDescent="0.2">
      <c r="A790" s="5"/>
      <c r="B790" s="31"/>
      <c r="C790" s="31"/>
      <c r="D790" s="31"/>
      <c r="E790" s="31"/>
      <c r="F790" s="31"/>
      <c r="G790" s="31"/>
      <c r="H790" s="93"/>
      <c r="I790" s="31"/>
      <c r="J790" s="31"/>
      <c r="K790" s="31"/>
      <c r="L790" s="42"/>
      <c r="M790" s="31"/>
      <c r="N790" s="31"/>
      <c r="O790" s="42"/>
      <c r="P790" s="92"/>
      <c r="Q790" s="42"/>
      <c r="R790" s="46"/>
      <c r="S790" s="31"/>
      <c r="T790" s="31"/>
      <c r="U790" s="31"/>
      <c r="V790" s="31"/>
      <c r="W790" s="31"/>
      <c r="X790" s="31"/>
      <c r="Y790" s="31"/>
      <c r="Z790" s="31"/>
      <c r="AA790" s="31"/>
    </row>
    <row r="791" spans="1:27" x14ac:dyDescent="0.2">
      <c r="A791" s="5"/>
      <c r="B791" s="31"/>
      <c r="C791" s="31"/>
      <c r="D791" s="31"/>
      <c r="E791" s="31"/>
      <c r="F791" s="31"/>
      <c r="G791" s="31"/>
      <c r="H791" s="93"/>
      <c r="I791" s="31"/>
      <c r="J791" s="31"/>
      <c r="K791" s="31"/>
      <c r="L791" s="42"/>
      <c r="M791" s="31"/>
      <c r="N791" s="31"/>
      <c r="O791" s="42"/>
      <c r="P791" s="92"/>
      <c r="Q791" s="42"/>
      <c r="R791" s="46"/>
      <c r="S791" s="31"/>
      <c r="T791" s="31"/>
      <c r="U791" s="31"/>
      <c r="V791" s="31"/>
      <c r="W791" s="31"/>
      <c r="X791" s="31"/>
      <c r="Y791" s="31"/>
      <c r="Z791" s="31"/>
      <c r="AA791" s="31"/>
    </row>
    <row r="792" spans="1:27" x14ac:dyDescent="0.2">
      <c r="A792" s="5"/>
      <c r="B792" s="31"/>
      <c r="C792" s="31"/>
      <c r="D792" s="31"/>
      <c r="E792" s="31"/>
      <c r="F792" s="31"/>
      <c r="G792" s="31"/>
      <c r="H792" s="93"/>
      <c r="I792" s="31"/>
      <c r="J792" s="31"/>
      <c r="K792" s="31"/>
      <c r="L792" s="42"/>
      <c r="M792" s="31"/>
      <c r="N792" s="31"/>
      <c r="O792" s="42"/>
      <c r="P792" s="92"/>
      <c r="Q792" s="42"/>
      <c r="R792" s="46"/>
      <c r="S792" s="31"/>
      <c r="T792" s="31"/>
      <c r="U792" s="31"/>
      <c r="V792" s="31"/>
      <c r="W792" s="31"/>
      <c r="X792" s="31"/>
      <c r="Y792" s="31"/>
      <c r="Z792" s="31"/>
      <c r="AA792" s="31"/>
    </row>
    <row r="793" spans="1:27" x14ac:dyDescent="0.2">
      <c r="A793" s="5"/>
      <c r="B793" s="31"/>
      <c r="C793" s="31"/>
      <c r="D793" s="31"/>
      <c r="E793" s="31"/>
      <c r="F793" s="31"/>
      <c r="G793" s="31"/>
      <c r="H793" s="93"/>
      <c r="I793" s="31"/>
      <c r="J793" s="31"/>
      <c r="K793" s="31"/>
      <c r="L793" s="42"/>
      <c r="M793" s="31"/>
      <c r="N793" s="31"/>
      <c r="O793" s="42"/>
      <c r="P793" s="92"/>
      <c r="Q793" s="42"/>
      <c r="R793" s="46"/>
      <c r="S793" s="31"/>
      <c r="T793" s="31"/>
      <c r="U793" s="31"/>
      <c r="V793" s="31"/>
      <c r="W793" s="31"/>
      <c r="X793" s="31"/>
      <c r="Y793" s="31"/>
      <c r="Z793" s="31"/>
      <c r="AA793" s="31"/>
    </row>
    <row r="794" spans="1:27" x14ac:dyDescent="0.2">
      <c r="A794" s="5"/>
      <c r="B794" s="31"/>
      <c r="C794" s="31"/>
      <c r="D794" s="31"/>
      <c r="E794" s="31"/>
      <c r="F794" s="31"/>
      <c r="G794" s="31"/>
      <c r="H794" s="93"/>
      <c r="I794" s="31"/>
      <c r="J794" s="31"/>
      <c r="K794" s="31"/>
      <c r="L794" s="42"/>
      <c r="M794" s="31"/>
      <c r="N794" s="31"/>
      <c r="O794" s="42"/>
      <c r="P794" s="92"/>
      <c r="Q794" s="42"/>
      <c r="R794" s="46"/>
      <c r="S794" s="31"/>
      <c r="T794" s="31"/>
      <c r="U794" s="31"/>
      <c r="V794" s="31"/>
      <c r="W794" s="31"/>
      <c r="X794" s="31"/>
      <c r="Y794" s="31"/>
      <c r="Z794" s="31"/>
      <c r="AA794" s="31"/>
    </row>
    <row r="795" spans="1:27" x14ac:dyDescent="0.2">
      <c r="A795" s="5"/>
      <c r="B795" s="31"/>
      <c r="C795" s="31"/>
      <c r="D795" s="31"/>
      <c r="E795" s="31"/>
      <c r="F795" s="31"/>
      <c r="G795" s="31"/>
      <c r="H795" s="93"/>
      <c r="I795" s="31"/>
      <c r="J795" s="31"/>
      <c r="K795" s="31"/>
      <c r="L795" s="42"/>
      <c r="M795" s="31"/>
      <c r="N795" s="31"/>
      <c r="O795" s="42"/>
      <c r="P795" s="92"/>
      <c r="Q795" s="42"/>
      <c r="R795" s="46"/>
      <c r="S795" s="31"/>
      <c r="T795" s="31"/>
      <c r="U795" s="31"/>
      <c r="V795" s="31"/>
      <c r="W795" s="31"/>
      <c r="X795" s="31"/>
      <c r="Y795" s="31"/>
      <c r="Z795" s="31"/>
      <c r="AA795" s="31"/>
    </row>
    <row r="796" spans="1:27" x14ac:dyDescent="0.2">
      <c r="A796" s="5"/>
      <c r="B796" s="31"/>
      <c r="C796" s="31"/>
      <c r="D796" s="31"/>
      <c r="E796" s="31"/>
      <c r="F796" s="31"/>
      <c r="G796" s="31"/>
      <c r="H796" s="93"/>
      <c r="I796" s="31"/>
      <c r="J796" s="31"/>
      <c r="K796" s="31"/>
      <c r="L796" s="42"/>
      <c r="M796" s="31"/>
      <c r="N796" s="31"/>
      <c r="O796" s="42"/>
      <c r="P796" s="92"/>
      <c r="Q796" s="42"/>
      <c r="R796" s="46"/>
      <c r="S796" s="31"/>
      <c r="T796" s="31"/>
      <c r="U796" s="31"/>
      <c r="V796" s="31"/>
      <c r="W796" s="31"/>
      <c r="X796" s="31"/>
      <c r="Y796" s="31"/>
      <c r="Z796" s="31"/>
      <c r="AA796" s="31"/>
    </row>
    <row r="797" spans="1:27" x14ac:dyDescent="0.2">
      <c r="A797" s="5"/>
      <c r="B797" s="31"/>
      <c r="C797" s="31"/>
      <c r="D797" s="31"/>
      <c r="E797" s="31"/>
      <c r="F797" s="31"/>
      <c r="G797" s="31"/>
      <c r="H797" s="93"/>
      <c r="I797" s="31"/>
      <c r="J797" s="31"/>
      <c r="K797" s="31"/>
      <c r="L797" s="42"/>
      <c r="M797" s="31"/>
      <c r="N797" s="31"/>
      <c r="O797" s="42"/>
      <c r="P797" s="92"/>
      <c r="Q797" s="42"/>
      <c r="R797" s="46"/>
      <c r="S797" s="31"/>
      <c r="T797" s="31"/>
      <c r="U797" s="31"/>
      <c r="V797" s="31"/>
      <c r="W797" s="31"/>
      <c r="X797" s="31"/>
      <c r="Y797" s="31"/>
      <c r="Z797" s="31"/>
      <c r="AA797" s="31"/>
    </row>
    <row r="798" spans="1:27" x14ac:dyDescent="0.2">
      <c r="A798" s="5"/>
      <c r="B798" s="31"/>
      <c r="C798" s="31"/>
      <c r="D798" s="31"/>
      <c r="E798" s="31"/>
      <c r="F798" s="31"/>
      <c r="G798" s="31"/>
      <c r="H798" s="93"/>
      <c r="I798" s="31"/>
      <c r="J798" s="31"/>
      <c r="K798" s="31"/>
      <c r="L798" s="42"/>
      <c r="M798" s="31"/>
      <c r="N798" s="31"/>
      <c r="O798" s="42"/>
      <c r="P798" s="92"/>
      <c r="Q798" s="42"/>
      <c r="R798" s="46"/>
      <c r="S798" s="31"/>
      <c r="T798" s="31"/>
      <c r="U798" s="31"/>
      <c r="V798" s="31"/>
      <c r="W798" s="31"/>
      <c r="X798" s="31"/>
      <c r="Y798" s="31"/>
      <c r="Z798" s="31"/>
      <c r="AA798" s="31"/>
    </row>
    <row r="799" spans="1:27" x14ac:dyDescent="0.2">
      <c r="A799" s="5"/>
      <c r="B799" s="31"/>
      <c r="C799" s="31"/>
      <c r="D799" s="31"/>
      <c r="E799" s="31"/>
      <c r="F799" s="31"/>
      <c r="G799" s="31"/>
      <c r="H799" s="93"/>
      <c r="I799" s="31"/>
      <c r="J799" s="31"/>
      <c r="K799" s="31"/>
      <c r="L799" s="42"/>
      <c r="M799" s="31"/>
      <c r="N799" s="31"/>
      <c r="O799" s="42"/>
      <c r="P799" s="92"/>
      <c r="Q799" s="42"/>
      <c r="R799" s="46"/>
      <c r="S799" s="31"/>
      <c r="T799" s="31"/>
      <c r="U799" s="31"/>
      <c r="V799" s="31"/>
      <c r="W799" s="31"/>
      <c r="X799" s="31"/>
      <c r="Y799" s="31"/>
      <c r="Z799" s="31"/>
      <c r="AA799" s="31"/>
    </row>
    <row r="800" spans="1:27" x14ac:dyDescent="0.2">
      <c r="A800" s="5"/>
      <c r="B800" s="31"/>
      <c r="C800" s="31"/>
      <c r="D800" s="31"/>
      <c r="E800" s="31"/>
      <c r="F800" s="31"/>
      <c r="G800" s="31"/>
      <c r="H800" s="93"/>
      <c r="I800" s="31"/>
      <c r="J800" s="31"/>
      <c r="K800" s="31"/>
      <c r="L800" s="42"/>
      <c r="M800" s="31"/>
      <c r="N800" s="31"/>
      <c r="O800" s="42"/>
      <c r="P800" s="92"/>
      <c r="Q800" s="42"/>
      <c r="R800" s="46"/>
      <c r="S800" s="31"/>
      <c r="T800" s="31"/>
      <c r="U800" s="31"/>
      <c r="V800" s="31"/>
      <c r="W800" s="31"/>
      <c r="X800" s="31"/>
      <c r="Y800" s="31"/>
      <c r="Z800" s="31"/>
      <c r="AA800" s="31"/>
    </row>
    <row r="801" spans="1:27" x14ac:dyDescent="0.2">
      <c r="A801" s="5"/>
      <c r="B801" s="31"/>
      <c r="C801" s="31"/>
      <c r="D801" s="31"/>
      <c r="E801" s="31"/>
      <c r="F801" s="31"/>
      <c r="G801" s="31"/>
      <c r="H801" s="93"/>
      <c r="I801" s="31"/>
      <c r="J801" s="31"/>
      <c r="K801" s="31"/>
      <c r="L801" s="42"/>
      <c r="M801" s="31"/>
      <c r="N801" s="31"/>
      <c r="O801" s="42"/>
      <c r="P801" s="92"/>
      <c r="Q801" s="42"/>
      <c r="R801" s="46"/>
      <c r="S801" s="31"/>
      <c r="T801" s="31"/>
      <c r="U801" s="31"/>
      <c r="V801" s="31"/>
      <c r="W801" s="31"/>
      <c r="X801" s="31"/>
      <c r="Y801" s="31"/>
      <c r="Z801" s="31"/>
      <c r="AA801" s="31"/>
    </row>
    <row r="802" spans="1:27" x14ac:dyDescent="0.2">
      <c r="A802" s="5"/>
      <c r="B802" s="31"/>
      <c r="C802" s="31"/>
      <c r="D802" s="31"/>
      <c r="E802" s="31"/>
      <c r="F802" s="31"/>
      <c r="G802" s="31"/>
      <c r="H802" s="93"/>
      <c r="I802" s="31"/>
      <c r="J802" s="31"/>
      <c r="K802" s="31"/>
      <c r="L802" s="42"/>
      <c r="M802" s="31"/>
      <c r="N802" s="31"/>
      <c r="O802" s="42"/>
      <c r="P802" s="92"/>
      <c r="Q802" s="42"/>
      <c r="R802" s="46"/>
      <c r="S802" s="31"/>
      <c r="T802" s="31"/>
      <c r="U802" s="31"/>
      <c r="V802" s="31"/>
      <c r="W802" s="31"/>
      <c r="X802" s="31"/>
      <c r="Y802" s="31"/>
      <c r="Z802" s="31"/>
      <c r="AA802" s="31"/>
    </row>
    <row r="803" spans="1:27" x14ac:dyDescent="0.2">
      <c r="A803" s="5"/>
      <c r="B803" s="31"/>
      <c r="C803" s="31"/>
      <c r="D803" s="31"/>
      <c r="E803" s="31"/>
      <c r="F803" s="31"/>
      <c r="G803" s="31"/>
      <c r="H803" s="93"/>
      <c r="I803" s="31"/>
      <c r="J803" s="31"/>
      <c r="K803" s="31"/>
      <c r="L803" s="42"/>
      <c r="M803" s="31"/>
      <c r="N803" s="31"/>
      <c r="O803" s="42"/>
      <c r="P803" s="92"/>
      <c r="Q803" s="42"/>
      <c r="R803" s="46"/>
      <c r="S803" s="31"/>
      <c r="T803" s="31"/>
      <c r="U803" s="31"/>
      <c r="V803" s="31"/>
      <c r="W803" s="31"/>
      <c r="X803" s="31"/>
      <c r="Y803" s="31"/>
      <c r="Z803" s="31"/>
      <c r="AA803" s="31"/>
    </row>
    <row r="804" spans="1:27" x14ac:dyDescent="0.2">
      <c r="A804" s="5"/>
      <c r="B804" s="31"/>
      <c r="C804" s="31"/>
      <c r="D804" s="31"/>
      <c r="E804" s="31"/>
      <c r="F804" s="31"/>
      <c r="G804" s="31"/>
      <c r="H804" s="93"/>
      <c r="I804" s="31"/>
      <c r="J804" s="31"/>
      <c r="K804" s="31"/>
      <c r="L804" s="42"/>
      <c r="M804" s="31"/>
      <c r="N804" s="31"/>
      <c r="O804" s="42"/>
      <c r="P804" s="92"/>
      <c r="Q804" s="42"/>
      <c r="R804" s="46"/>
      <c r="S804" s="31"/>
      <c r="T804" s="31"/>
      <c r="U804" s="31"/>
      <c r="V804" s="31"/>
      <c r="W804" s="31"/>
      <c r="X804" s="31"/>
      <c r="Y804" s="31"/>
      <c r="Z804" s="31"/>
      <c r="AA804" s="31"/>
    </row>
    <row r="805" spans="1:27" x14ac:dyDescent="0.2">
      <c r="A805" s="5"/>
      <c r="B805" s="31"/>
      <c r="C805" s="31"/>
      <c r="D805" s="31"/>
      <c r="E805" s="31"/>
      <c r="F805" s="31"/>
      <c r="G805" s="31"/>
      <c r="H805" s="93"/>
      <c r="I805" s="31"/>
      <c r="J805" s="31"/>
      <c r="K805" s="31"/>
      <c r="L805" s="42"/>
      <c r="M805" s="31"/>
      <c r="N805" s="31"/>
      <c r="O805" s="42"/>
      <c r="P805" s="92"/>
      <c r="Q805" s="42"/>
      <c r="R805" s="46"/>
      <c r="S805" s="31"/>
      <c r="T805" s="31"/>
      <c r="U805" s="31"/>
      <c r="V805" s="31"/>
      <c r="W805" s="31"/>
      <c r="X805" s="31"/>
      <c r="Y805" s="31"/>
      <c r="Z805" s="31"/>
      <c r="AA805" s="31"/>
    </row>
    <row r="806" spans="1:27" x14ac:dyDescent="0.2">
      <c r="A806" s="5"/>
      <c r="B806" s="31"/>
      <c r="C806" s="31"/>
      <c r="D806" s="31"/>
      <c r="E806" s="31"/>
      <c r="F806" s="31"/>
      <c r="G806" s="31"/>
      <c r="H806" s="93"/>
      <c r="I806" s="31"/>
      <c r="J806" s="31"/>
      <c r="K806" s="31"/>
      <c r="L806" s="42"/>
      <c r="M806" s="31"/>
      <c r="N806" s="31"/>
      <c r="O806" s="42"/>
      <c r="P806" s="92"/>
      <c r="Q806" s="42"/>
      <c r="R806" s="46"/>
      <c r="S806" s="31"/>
      <c r="T806" s="31"/>
      <c r="U806" s="31"/>
      <c r="V806" s="31"/>
      <c r="W806" s="31"/>
      <c r="X806" s="31"/>
      <c r="Y806" s="31"/>
      <c r="Z806" s="31"/>
      <c r="AA806" s="31"/>
    </row>
    <row r="807" spans="1:27" x14ac:dyDescent="0.2">
      <c r="A807" s="5"/>
      <c r="B807" s="31"/>
      <c r="C807" s="31"/>
      <c r="D807" s="31"/>
      <c r="E807" s="31"/>
      <c r="F807" s="31"/>
      <c r="G807" s="31"/>
      <c r="H807" s="93"/>
      <c r="I807" s="31"/>
      <c r="J807" s="31"/>
      <c r="K807" s="31"/>
      <c r="L807" s="42"/>
      <c r="M807" s="31"/>
      <c r="N807" s="31"/>
      <c r="O807" s="42"/>
      <c r="P807" s="92"/>
      <c r="Q807" s="42"/>
      <c r="R807" s="46"/>
      <c r="S807" s="31"/>
      <c r="T807" s="31"/>
      <c r="U807" s="31"/>
      <c r="V807" s="31"/>
      <c r="W807" s="31"/>
      <c r="X807" s="31"/>
      <c r="Y807" s="31"/>
      <c r="Z807" s="31"/>
      <c r="AA807" s="31"/>
    </row>
    <row r="808" spans="1:27" x14ac:dyDescent="0.2">
      <c r="A808" s="5"/>
      <c r="B808" s="31"/>
      <c r="C808" s="31"/>
      <c r="D808" s="31"/>
      <c r="E808" s="31"/>
      <c r="F808" s="31"/>
      <c r="G808" s="31"/>
      <c r="H808" s="93"/>
      <c r="I808" s="31"/>
      <c r="J808" s="31"/>
      <c r="K808" s="31"/>
      <c r="L808" s="42"/>
      <c r="M808" s="31"/>
      <c r="N808" s="31"/>
      <c r="O808" s="42"/>
      <c r="P808" s="92"/>
      <c r="Q808" s="42"/>
      <c r="R808" s="46"/>
      <c r="S808" s="31"/>
      <c r="T808" s="31"/>
      <c r="U808" s="31"/>
      <c r="V808" s="31"/>
      <c r="W808" s="31"/>
      <c r="X808" s="31"/>
      <c r="Y808" s="31"/>
      <c r="Z808" s="31"/>
      <c r="AA808" s="31"/>
    </row>
    <row r="809" spans="1:27" x14ac:dyDescent="0.2">
      <c r="A809" s="5"/>
      <c r="B809" s="31"/>
      <c r="C809" s="31"/>
      <c r="D809" s="31"/>
      <c r="E809" s="31"/>
      <c r="F809" s="31"/>
      <c r="G809" s="31"/>
      <c r="H809" s="93"/>
      <c r="I809" s="31"/>
      <c r="J809" s="31"/>
      <c r="K809" s="31"/>
      <c r="L809" s="42"/>
      <c r="M809" s="31"/>
      <c r="N809" s="31"/>
      <c r="O809" s="42"/>
      <c r="P809" s="92"/>
      <c r="Q809" s="42"/>
      <c r="R809" s="46"/>
      <c r="S809" s="31"/>
      <c r="T809" s="31"/>
      <c r="U809" s="31"/>
      <c r="V809" s="31"/>
      <c r="W809" s="31"/>
      <c r="X809" s="31"/>
      <c r="Y809" s="31"/>
      <c r="Z809" s="31"/>
      <c r="AA809" s="31"/>
    </row>
    <row r="810" spans="1:27" x14ac:dyDescent="0.2">
      <c r="A810" s="5"/>
      <c r="B810" s="31"/>
      <c r="C810" s="31"/>
      <c r="D810" s="31"/>
      <c r="E810" s="31"/>
      <c r="F810" s="31"/>
      <c r="G810" s="31"/>
      <c r="H810" s="93"/>
      <c r="I810" s="31"/>
      <c r="J810" s="31"/>
      <c r="K810" s="31"/>
      <c r="L810" s="42"/>
      <c r="M810" s="31"/>
      <c r="N810" s="31"/>
      <c r="O810" s="42"/>
      <c r="P810" s="92"/>
      <c r="Q810" s="42"/>
      <c r="R810" s="46"/>
      <c r="S810" s="31"/>
      <c r="T810" s="31"/>
      <c r="U810" s="31"/>
      <c r="V810" s="31"/>
      <c r="W810" s="31"/>
      <c r="X810" s="31"/>
      <c r="Y810" s="31"/>
      <c r="Z810" s="31"/>
      <c r="AA810" s="31"/>
    </row>
    <row r="811" spans="1:27" x14ac:dyDescent="0.2">
      <c r="A811" s="5"/>
      <c r="B811" s="31"/>
      <c r="C811" s="31"/>
      <c r="D811" s="31"/>
      <c r="E811" s="31"/>
      <c r="F811" s="31"/>
      <c r="G811" s="31"/>
      <c r="H811" s="93"/>
      <c r="I811" s="31"/>
      <c r="J811" s="31"/>
      <c r="K811" s="31"/>
      <c r="L811" s="42"/>
      <c r="M811" s="31"/>
      <c r="N811" s="31"/>
      <c r="O811" s="42"/>
      <c r="P811" s="92"/>
      <c r="Q811" s="42"/>
      <c r="R811" s="46"/>
      <c r="S811" s="31"/>
      <c r="T811" s="31"/>
      <c r="U811" s="31"/>
      <c r="V811" s="31"/>
      <c r="W811" s="31"/>
      <c r="X811" s="31"/>
      <c r="Y811" s="31"/>
      <c r="Z811" s="31"/>
      <c r="AA811" s="31"/>
    </row>
    <row r="812" spans="1:27" x14ac:dyDescent="0.2">
      <c r="A812" s="5"/>
      <c r="B812" s="31"/>
      <c r="C812" s="31"/>
      <c r="D812" s="31"/>
      <c r="E812" s="31"/>
      <c r="F812" s="31"/>
      <c r="G812" s="31"/>
      <c r="H812" s="93"/>
      <c r="I812" s="31"/>
      <c r="J812" s="31"/>
      <c r="K812" s="31"/>
      <c r="L812" s="42"/>
      <c r="M812" s="31"/>
      <c r="N812" s="31"/>
      <c r="O812" s="42"/>
      <c r="P812" s="92"/>
      <c r="Q812" s="42"/>
      <c r="R812" s="46"/>
      <c r="S812" s="31"/>
      <c r="T812" s="31"/>
      <c r="U812" s="31"/>
      <c r="V812" s="31"/>
      <c r="W812" s="31"/>
      <c r="X812" s="31"/>
      <c r="Y812" s="31"/>
      <c r="Z812" s="31"/>
      <c r="AA812" s="31"/>
    </row>
    <row r="813" spans="1:27" x14ac:dyDescent="0.2">
      <c r="A813" s="5"/>
      <c r="B813" s="31"/>
      <c r="C813" s="31"/>
      <c r="D813" s="31"/>
      <c r="E813" s="31"/>
      <c r="F813" s="31"/>
      <c r="G813" s="31"/>
      <c r="H813" s="93"/>
      <c r="I813" s="31"/>
      <c r="J813" s="31"/>
      <c r="K813" s="31"/>
      <c r="L813" s="42"/>
      <c r="M813" s="31"/>
      <c r="N813" s="31"/>
      <c r="O813" s="42"/>
      <c r="P813" s="92"/>
      <c r="Q813" s="42"/>
      <c r="R813" s="46"/>
      <c r="S813" s="31"/>
      <c r="T813" s="31"/>
      <c r="U813" s="31"/>
      <c r="V813" s="31"/>
      <c r="W813" s="31"/>
      <c r="X813" s="31"/>
      <c r="Y813" s="31"/>
      <c r="Z813" s="31"/>
      <c r="AA813" s="31"/>
    </row>
    <row r="814" spans="1:27" x14ac:dyDescent="0.2">
      <c r="A814" s="5"/>
      <c r="B814" s="31"/>
      <c r="C814" s="31"/>
      <c r="D814" s="31"/>
      <c r="E814" s="31"/>
      <c r="F814" s="31"/>
      <c r="G814" s="31"/>
      <c r="H814" s="93"/>
      <c r="I814" s="31"/>
      <c r="J814" s="31"/>
      <c r="K814" s="31"/>
      <c r="L814" s="42"/>
      <c r="M814" s="31"/>
      <c r="N814" s="31"/>
      <c r="O814" s="42"/>
      <c r="P814" s="92"/>
      <c r="Q814" s="42"/>
      <c r="R814" s="46"/>
      <c r="S814" s="31"/>
      <c r="T814" s="31"/>
      <c r="U814" s="31"/>
      <c r="V814" s="31"/>
      <c r="W814" s="31"/>
      <c r="X814" s="31"/>
      <c r="Y814" s="31"/>
      <c r="Z814" s="31"/>
      <c r="AA814" s="31"/>
    </row>
    <row r="815" spans="1:27" x14ac:dyDescent="0.2">
      <c r="A815" s="5"/>
      <c r="B815" s="31"/>
      <c r="C815" s="31"/>
      <c r="D815" s="31"/>
      <c r="E815" s="31"/>
      <c r="F815" s="31"/>
      <c r="G815" s="31"/>
      <c r="H815" s="93"/>
      <c r="I815" s="31"/>
      <c r="J815" s="31"/>
      <c r="K815" s="31"/>
      <c r="L815" s="42"/>
      <c r="M815" s="31"/>
      <c r="N815" s="31"/>
      <c r="O815" s="42"/>
      <c r="P815" s="92"/>
      <c r="Q815" s="42"/>
      <c r="R815" s="46"/>
      <c r="S815" s="31"/>
      <c r="T815" s="31"/>
      <c r="U815" s="31"/>
      <c r="V815" s="31"/>
      <c r="W815" s="31"/>
      <c r="X815" s="31"/>
      <c r="Y815" s="31"/>
      <c r="Z815" s="31"/>
      <c r="AA815" s="31"/>
    </row>
    <row r="816" spans="1:27" x14ac:dyDescent="0.2">
      <c r="A816" s="5"/>
      <c r="B816" s="31"/>
      <c r="C816" s="31"/>
      <c r="D816" s="31"/>
      <c r="E816" s="31"/>
      <c r="F816" s="31"/>
      <c r="G816" s="31"/>
      <c r="H816" s="93"/>
      <c r="I816" s="31"/>
      <c r="J816" s="31"/>
      <c r="K816" s="31"/>
      <c r="L816" s="42"/>
      <c r="M816" s="31"/>
      <c r="N816" s="31"/>
      <c r="O816" s="42"/>
      <c r="P816" s="92"/>
      <c r="Q816" s="42"/>
      <c r="R816" s="46"/>
      <c r="S816" s="31"/>
      <c r="T816" s="31"/>
      <c r="U816" s="31"/>
      <c r="V816" s="31"/>
      <c r="W816" s="31"/>
      <c r="X816" s="31"/>
      <c r="Y816" s="31"/>
      <c r="Z816" s="31"/>
      <c r="AA816" s="31"/>
    </row>
    <row r="817" spans="1:27" x14ac:dyDescent="0.2">
      <c r="A817" s="5"/>
      <c r="B817" s="31"/>
      <c r="C817" s="31"/>
      <c r="D817" s="31"/>
      <c r="E817" s="31"/>
      <c r="F817" s="31"/>
      <c r="G817" s="31"/>
      <c r="H817" s="93"/>
      <c r="I817" s="31"/>
      <c r="J817" s="31"/>
      <c r="K817" s="31"/>
      <c r="L817" s="42"/>
      <c r="M817" s="31"/>
      <c r="N817" s="31"/>
      <c r="O817" s="42"/>
      <c r="P817" s="92"/>
      <c r="Q817" s="42"/>
      <c r="R817" s="46"/>
      <c r="S817" s="31"/>
      <c r="T817" s="31"/>
      <c r="U817" s="31"/>
      <c r="V817" s="31"/>
      <c r="W817" s="31"/>
      <c r="X817" s="31"/>
      <c r="Y817" s="31"/>
      <c r="Z817" s="31"/>
      <c r="AA817" s="31"/>
    </row>
    <row r="818" spans="1:27" x14ac:dyDescent="0.2">
      <c r="A818" s="5"/>
      <c r="B818" s="31"/>
      <c r="C818" s="31"/>
      <c r="D818" s="31"/>
      <c r="E818" s="31"/>
      <c r="F818" s="31"/>
      <c r="G818" s="31"/>
      <c r="H818" s="93"/>
      <c r="I818" s="31"/>
      <c r="J818" s="31"/>
      <c r="K818" s="31"/>
      <c r="L818" s="42"/>
      <c r="M818" s="31"/>
      <c r="N818" s="31"/>
      <c r="O818" s="42"/>
      <c r="P818" s="92"/>
      <c r="Q818" s="42"/>
      <c r="R818" s="46"/>
      <c r="S818" s="31"/>
      <c r="T818" s="31"/>
      <c r="U818" s="31"/>
      <c r="V818" s="31"/>
      <c r="W818" s="31"/>
      <c r="X818" s="31"/>
      <c r="Y818" s="31"/>
      <c r="Z818" s="31"/>
      <c r="AA818" s="31"/>
    </row>
    <row r="819" spans="1:27" x14ac:dyDescent="0.2">
      <c r="A819" s="5"/>
      <c r="B819" s="31"/>
      <c r="C819" s="31"/>
      <c r="D819" s="31"/>
      <c r="E819" s="31"/>
      <c r="F819" s="31"/>
      <c r="G819" s="31"/>
      <c r="H819" s="93"/>
      <c r="I819" s="31"/>
      <c r="J819" s="31"/>
      <c r="K819" s="31"/>
      <c r="L819" s="42"/>
      <c r="M819" s="31"/>
      <c r="N819" s="31"/>
      <c r="O819" s="42"/>
      <c r="P819" s="92"/>
      <c r="Q819" s="42"/>
      <c r="R819" s="46"/>
      <c r="S819" s="31"/>
      <c r="T819" s="31"/>
      <c r="U819" s="31"/>
      <c r="V819" s="31"/>
      <c r="W819" s="31"/>
      <c r="X819" s="31"/>
      <c r="Y819" s="31"/>
      <c r="Z819" s="31"/>
      <c r="AA819" s="31"/>
    </row>
    <row r="820" spans="1:27" x14ac:dyDescent="0.2">
      <c r="A820" s="5"/>
      <c r="B820" s="31"/>
      <c r="C820" s="31"/>
      <c r="D820" s="31"/>
      <c r="E820" s="31"/>
      <c r="F820" s="31"/>
      <c r="G820" s="31"/>
      <c r="H820" s="93"/>
      <c r="I820" s="31"/>
      <c r="J820" s="31"/>
      <c r="K820" s="31"/>
      <c r="L820" s="42"/>
      <c r="M820" s="31"/>
      <c r="N820" s="31"/>
      <c r="O820" s="42"/>
      <c r="P820" s="92"/>
      <c r="Q820" s="42"/>
      <c r="R820" s="46"/>
      <c r="S820" s="31"/>
      <c r="T820" s="31"/>
      <c r="U820" s="31"/>
      <c r="V820" s="31"/>
      <c r="W820" s="31"/>
      <c r="X820" s="31"/>
      <c r="Y820" s="31"/>
      <c r="Z820" s="31"/>
      <c r="AA820" s="31"/>
    </row>
    <row r="821" spans="1:27" x14ac:dyDescent="0.2">
      <c r="A821" s="5"/>
      <c r="B821" s="31"/>
      <c r="C821" s="31"/>
      <c r="D821" s="31"/>
      <c r="E821" s="31"/>
      <c r="F821" s="31"/>
      <c r="G821" s="31"/>
      <c r="H821" s="93"/>
      <c r="I821" s="31"/>
      <c r="J821" s="31"/>
      <c r="K821" s="31"/>
      <c r="L821" s="42"/>
      <c r="M821" s="31"/>
      <c r="N821" s="31"/>
      <c r="O821" s="42"/>
      <c r="P821" s="92"/>
      <c r="Q821" s="42"/>
      <c r="R821" s="46"/>
      <c r="S821" s="31"/>
      <c r="T821" s="31"/>
      <c r="U821" s="31"/>
      <c r="V821" s="31"/>
      <c r="W821" s="31"/>
      <c r="X821" s="31"/>
      <c r="Y821" s="31"/>
      <c r="Z821" s="31"/>
      <c r="AA821" s="31"/>
    </row>
    <row r="822" spans="1:27" x14ac:dyDescent="0.2">
      <c r="A822" s="5"/>
      <c r="B822" s="31"/>
      <c r="C822" s="31"/>
      <c r="D822" s="31"/>
      <c r="E822" s="31"/>
      <c r="F822" s="31"/>
      <c r="G822" s="31"/>
      <c r="H822" s="93"/>
      <c r="I822" s="31"/>
      <c r="J822" s="31"/>
      <c r="K822" s="31"/>
      <c r="L822" s="42"/>
      <c r="M822" s="31"/>
      <c r="N822" s="31"/>
      <c r="O822" s="42"/>
      <c r="P822" s="92"/>
      <c r="Q822" s="42"/>
      <c r="R822" s="46"/>
      <c r="S822" s="31"/>
      <c r="T822" s="31"/>
      <c r="U822" s="31"/>
      <c r="V822" s="31"/>
      <c r="W822" s="31"/>
      <c r="X822" s="31"/>
      <c r="Y822" s="31"/>
      <c r="Z822" s="31"/>
      <c r="AA822" s="31"/>
    </row>
    <row r="823" spans="1:27" x14ac:dyDescent="0.2">
      <c r="A823" s="5"/>
      <c r="B823" s="31"/>
      <c r="C823" s="31"/>
      <c r="D823" s="31"/>
      <c r="E823" s="31"/>
      <c r="F823" s="31"/>
      <c r="G823" s="31"/>
      <c r="H823" s="93"/>
      <c r="I823" s="31"/>
      <c r="J823" s="31"/>
      <c r="K823" s="31"/>
      <c r="L823" s="42"/>
      <c r="M823" s="31"/>
      <c r="N823" s="31"/>
      <c r="O823" s="42"/>
      <c r="P823" s="92"/>
      <c r="Q823" s="42"/>
      <c r="R823" s="46"/>
      <c r="S823" s="31"/>
      <c r="T823" s="31"/>
      <c r="U823" s="31"/>
      <c r="V823" s="31"/>
      <c r="W823" s="31"/>
      <c r="X823" s="31"/>
      <c r="Y823" s="31"/>
      <c r="Z823" s="31"/>
      <c r="AA823" s="31"/>
    </row>
    <row r="824" spans="1:27" x14ac:dyDescent="0.2">
      <c r="A824" s="5"/>
      <c r="B824" s="31"/>
      <c r="C824" s="31"/>
      <c r="D824" s="31"/>
      <c r="E824" s="31"/>
      <c r="F824" s="31"/>
      <c r="G824" s="31"/>
      <c r="H824" s="93"/>
      <c r="I824" s="31"/>
      <c r="J824" s="31"/>
      <c r="K824" s="31"/>
      <c r="L824" s="42"/>
      <c r="M824" s="31"/>
      <c r="N824" s="31"/>
      <c r="O824" s="42"/>
      <c r="P824" s="92"/>
      <c r="Q824" s="42"/>
      <c r="R824" s="46"/>
      <c r="S824" s="31"/>
      <c r="T824" s="31"/>
      <c r="U824" s="31"/>
      <c r="V824" s="31"/>
      <c r="W824" s="31"/>
      <c r="X824" s="31"/>
      <c r="Y824" s="31"/>
      <c r="Z824" s="31"/>
      <c r="AA824" s="31"/>
    </row>
    <row r="825" spans="1:27" x14ac:dyDescent="0.2">
      <c r="A825" s="5"/>
      <c r="B825" s="31"/>
      <c r="C825" s="31"/>
      <c r="D825" s="31"/>
      <c r="E825" s="31"/>
      <c r="F825" s="31"/>
      <c r="G825" s="31"/>
      <c r="H825" s="93"/>
      <c r="I825" s="31"/>
      <c r="J825" s="31"/>
      <c r="K825" s="31"/>
      <c r="L825" s="42"/>
      <c r="M825" s="31"/>
      <c r="N825" s="31"/>
      <c r="O825" s="42"/>
      <c r="P825" s="92"/>
      <c r="Q825" s="42"/>
      <c r="R825" s="46"/>
      <c r="S825" s="31"/>
      <c r="T825" s="31"/>
      <c r="U825" s="31"/>
      <c r="V825" s="31"/>
      <c r="W825" s="31"/>
      <c r="X825" s="31"/>
      <c r="Y825" s="31"/>
      <c r="Z825" s="31"/>
      <c r="AA825" s="31"/>
    </row>
    <row r="826" spans="1:27" x14ac:dyDescent="0.2">
      <c r="A826" s="5"/>
      <c r="B826" s="31"/>
      <c r="C826" s="31"/>
      <c r="D826" s="31"/>
      <c r="E826" s="31"/>
      <c r="F826" s="31"/>
      <c r="G826" s="31"/>
      <c r="H826" s="93"/>
      <c r="I826" s="31"/>
      <c r="J826" s="31"/>
      <c r="K826" s="31"/>
      <c r="L826" s="42"/>
      <c r="M826" s="31"/>
      <c r="N826" s="31"/>
      <c r="O826" s="42"/>
      <c r="P826" s="92"/>
      <c r="Q826" s="42"/>
      <c r="R826" s="46"/>
      <c r="S826" s="31"/>
      <c r="T826" s="31"/>
      <c r="U826" s="31"/>
      <c r="V826" s="31"/>
      <c r="W826" s="31"/>
      <c r="X826" s="31"/>
      <c r="Y826" s="31"/>
      <c r="Z826" s="31"/>
      <c r="AA826" s="31"/>
    </row>
    <row r="827" spans="1:27" x14ac:dyDescent="0.2">
      <c r="A827" s="5"/>
      <c r="B827" s="31"/>
      <c r="C827" s="31"/>
      <c r="D827" s="31"/>
      <c r="E827" s="31"/>
      <c r="F827" s="31"/>
      <c r="G827" s="31"/>
      <c r="H827" s="93"/>
      <c r="I827" s="31"/>
      <c r="J827" s="31"/>
      <c r="K827" s="31"/>
      <c r="L827" s="42"/>
      <c r="M827" s="31"/>
      <c r="N827" s="31"/>
      <c r="O827" s="42"/>
      <c r="P827" s="92"/>
      <c r="Q827" s="42"/>
      <c r="R827" s="46"/>
      <c r="S827" s="31"/>
      <c r="T827" s="31"/>
      <c r="U827" s="31"/>
      <c r="V827" s="31"/>
      <c r="W827" s="31"/>
      <c r="X827" s="31"/>
      <c r="Y827" s="31"/>
      <c r="Z827" s="31"/>
      <c r="AA827" s="31"/>
    </row>
    <row r="828" spans="1:27" x14ac:dyDescent="0.2">
      <c r="A828" s="5"/>
      <c r="B828" s="31"/>
      <c r="C828" s="31"/>
      <c r="D828" s="31"/>
      <c r="E828" s="31"/>
      <c r="F828" s="31"/>
      <c r="G828" s="31"/>
      <c r="H828" s="93"/>
      <c r="I828" s="31"/>
      <c r="J828" s="31"/>
      <c r="K828" s="31"/>
      <c r="L828" s="42"/>
      <c r="M828" s="31"/>
      <c r="N828" s="31"/>
      <c r="O828" s="42"/>
      <c r="P828" s="92"/>
      <c r="Q828" s="42"/>
      <c r="R828" s="46"/>
      <c r="S828" s="31"/>
      <c r="T828" s="31"/>
      <c r="U828" s="31"/>
      <c r="V828" s="31"/>
      <c r="W828" s="31"/>
      <c r="X828" s="31"/>
      <c r="Y828" s="31"/>
      <c r="Z828" s="31"/>
      <c r="AA828" s="31"/>
    </row>
    <row r="829" spans="1:27" x14ac:dyDescent="0.2">
      <c r="A829" s="5"/>
      <c r="B829" s="31"/>
      <c r="C829" s="31"/>
      <c r="D829" s="31"/>
      <c r="E829" s="31"/>
      <c r="F829" s="31"/>
      <c r="G829" s="31"/>
      <c r="H829" s="93"/>
      <c r="I829" s="31"/>
      <c r="J829" s="31"/>
      <c r="K829" s="31"/>
      <c r="L829" s="42"/>
      <c r="M829" s="31"/>
      <c r="N829" s="31"/>
      <c r="O829" s="42"/>
      <c r="P829" s="92"/>
      <c r="Q829" s="42"/>
      <c r="R829" s="46"/>
      <c r="S829" s="31"/>
      <c r="T829" s="31"/>
      <c r="U829" s="31"/>
      <c r="V829" s="31"/>
      <c r="W829" s="31"/>
      <c r="X829" s="31"/>
      <c r="Y829" s="31"/>
      <c r="Z829" s="31"/>
      <c r="AA829" s="31"/>
    </row>
    <row r="830" spans="1:27" x14ac:dyDescent="0.2">
      <c r="A830" s="5"/>
      <c r="B830" s="31"/>
      <c r="C830" s="31"/>
      <c r="D830" s="31"/>
      <c r="E830" s="31"/>
      <c r="F830" s="31"/>
      <c r="G830" s="31"/>
      <c r="H830" s="93"/>
      <c r="I830" s="31"/>
      <c r="J830" s="31"/>
      <c r="K830" s="31"/>
      <c r="L830" s="42"/>
      <c r="M830" s="31"/>
      <c r="N830" s="31"/>
      <c r="O830" s="42"/>
      <c r="P830" s="92"/>
      <c r="Q830" s="42"/>
      <c r="R830" s="46"/>
      <c r="S830" s="31"/>
      <c r="T830" s="31"/>
      <c r="U830" s="31"/>
      <c r="V830" s="31"/>
      <c r="W830" s="31"/>
      <c r="X830" s="31"/>
      <c r="Y830" s="31"/>
      <c r="Z830" s="31"/>
      <c r="AA830" s="31"/>
    </row>
    <row r="831" spans="1:27" x14ac:dyDescent="0.2">
      <c r="A831" s="5"/>
      <c r="B831" s="31"/>
      <c r="C831" s="31"/>
      <c r="D831" s="31"/>
      <c r="E831" s="31"/>
      <c r="F831" s="31"/>
      <c r="G831" s="31"/>
      <c r="H831" s="93"/>
      <c r="I831" s="31"/>
      <c r="J831" s="31"/>
      <c r="K831" s="31"/>
      <c r="L831" s="42"/>
      <c r="M831" s="31"/>
      <c r="N831" s="31"/>
      <c r="O831" s="42"/>
      <c r="P831" s="92"/>
      <c r="Q831" s="42"/>
      <c r="R831" s="46"/>
      <c r="S831" s="31"/>
      <c r="T831" s="31"/>
      <c r="U831" s="31"/>
      <c r="V831" s="31"/>
      <c r="W831" s="31"/>
      <c r="X831" s="31"/>
      <c r="Y831" s="31"/>
      <c r="Z831" s="31"/>
      <c r="AA831" s="31"/>
    </row>
    <row r="832" spans="1:27" x14ac:dyDescent="0.2">
      <c r="A832" s="5"/>
      <c r="B832" s="31"/>
      <c r="C832" s="31"/>
      <c r="D832" s="31"/>
      <c r="E832" s="31"/>
      <c r="F832" s="31"/>
      <c r="G832" s="31"/>
      <c r="H832" s="93"/>
      <c r="I832" s="31"/>
      <c r="J832" s="31"/>
      <c r="K832" s="31"/>
      <c r="L832" s="42"/>
      <c r="M832" s="31"/>
      <c r="N832" s="31"/>
      <c r="O832" s="42"/>
      <c r="P832" s="92"/>
      <c r="Q832" s="42"/>
      <c r="R832" s="46"/>
      <c r="S832" s="31"/>
      <c r="T832" s="31"/>
      <c r="U832" s="31"/>
      <c r="V832" s="31"/>
      <c r="W832" s="31"/>
      <c r="X832" s="31"/>
      <c r="Y832" s="31"/>
      <c r="Z832" s="31"/>
      <c r="AA832" s="31"/>
    </row>
    <row r="833" spans="1:27" x14ac:dyDescent="0.2">
      <c r="A833" s="5"/>
      <c r="B833" s="31"/>
      <c r="C833" s="31"/>
      <c r="D833" s="31"/>
      <c r="E833" s="31"/>
      <c r="F833" s="31"/>
      <c r="G833" s="31"/>
      <c r="H833" s="93"/>
      <c r="I833" s="31"/>
      <c r="J833" s="31"/>
      <c r="K833" s="31"/>
      <c r="L833" s="42"/>
      <c r="M833" s="31"/>
      <c r="N833" s="31"/>
      <c r="O833" s="42"/>
      <c r="P833" s="92"/>
      <c r="Q833" s="42"/>
      <c r="R833" s="46"/>
      <c r="S833" s="31"/>
      <c r="T833" s="31"/>
      <c r="U833" s="31"/>
      <c r="V833" s="31"/>
      <c r="W833" s="31"/>
      <c r="X833" s="31"/>
      <c r="Y833" s="31"/>
      <c r="Z833" s="31"/>
      <c r="AA833" s="31"/>
    </row>
    <row r="834" spans="1:27" x14ac:dyDescent="0.2">
      <c r="A834" s="5"/>
      <c r="B834" s="31"/>
      <c r="C834" s="31"/>
      <c r="D834" s="31"/>
      <c r="E834" s="31"/>
      <c r="F834" s="31"/>
      <c r="G834" s="31"/>
      <c r="H834" s="93"/>
      <c r="I834" s="31"/>
      <c r="J834" s="31"/>
      <c r="K834" s="31"/>
      <c r="L834" s="42"/>
      <c r="M834" s="31"/>
      <c r="N834" s="31"/>
      <c r="O834" s="42"/>
      <c r="P834" s="92"/>
      <c r="Q834" s="42"/>
      <c r="R834" s="46"/>
      <c r="S834" s="31"/>
      <c r="T834" s="31"/>
      <c r="U834" s="31"/>
      <c r="V834" s="31"/>
      <c r="W834" s="31"/>
      <c r="X834" s="31"/>
      <c r="Y834" s="31"/>
      <c r="Z834" s="31"/>
      <c r="AA834" s="31"/>
    </row>
    <row r="835" spans="1:27" x14ac:dyDescent="0.2">
      <c r="A835" s="5"/>
      <c r="B835" s="31"/>
      <c r="C835" s="31"/>
      <c r="D835" s="31"/>
      <c r="E835" s="31"/>
      <c r="F835" s="31"/>
      <c r="G835" s="31"/>
      <c r="H835" s="93"/>
      <c r="I835" s="31"/>
      <c r="J835" s="31"/>
      <c r="K835" s="31"/>
      <c r="L835" s="42"/>
      <c r="M835" s="31"/>
      <c r="N835" s="31"/>
      <c r="O835" s="42"/>
      <c r="P835" s="92"/>
      <c r="Q835" s="42"/>
      <c r="R835" s="46"/>
      <c r="S835" s="31"/>
      <c r="T835" s="31"/>
      <c r="U835" s="31"/>
      <c r="V835" s="31"/>
      <c r="W835" s="31"/>
      <c r="X835" s="31"/>
      <c r="Y835" s="31"/>
      <c r="Z835" s="31"/>
      <c r="AA835" s="31"/>
    </row>
    <row r="836" spans="1:27" x14ac:dyDescent="0.2">
      <c r="A836" s="5"/>
      <c r="B836" s="31"/>
      <c r="C836" s="31"/>
      <c r="D836" s="31"/>
      <c r="E836" s="31"/>
      <c r="F836" s="31"/>
      <c r="G836" s="31"/>
      <c r="H836" s="93"/>
      <c r="I836" s="31"/>
      <c r="J836" s="31"/>
      <c r="K836" s="31"/>
      <c r="L836" s="42"/>
      <c r="M836" s="31"/>
      <c r="N836" s="31"/>
      <c r="O836" s="42"/>
      <c r="P836" s="92"/>
      <c r="Q836" s="42"/>
      <c r="R836" s="46"/>
      <c r="S836" s="31"/>
      <c r="T836" s="31"/>
      <c r="U836" s="31"/>
      <c r="V836" s="31"/>
      <c r="W836" s="31"/>
      <c r="X836" s="31"/>
      <c r="Y836" s="31"/>
      <c r="Z836" s="31"/>
      <c r="AA836" s="31"/>
    </row>
    <row r="837" spans="1:27" x14ac:dyDescent="0.2">
      <c r="A837" s="5"/>
      <c r="B837" s="31"/>
      <c r="C837" s="31"/>
      <c r="D837" s="31"/>
      <c r="E837" s="31"/>
      <c r="F837" s="31"/>
      <c r="G837" s="31"/>
      <c r="H837" s="93"/>
      <c r="I837" s="31"/>
      <c r="J837" s="31"/>
      <c r="K837" s="31"/>
      <c r="L837" s="42"/>
      <c r="M837" s="31"/>
      <c r="N837" s="31"/>
      <c r="O837" s="42"/>
      <c r="P837" s="92"/>
      <c r="Q837" s="42"/>
      <c r="R837" s="46"/>
      <c r="S837" s="31"/>
      <c r="T837" s="31"/>
      <c r="U837" s="31"/>
      <c r="V837" s="31"/>
      <c r="W837" s="31"/>
      <c r="X837" s="31"/>
      <c r="Y837" s="31"/>
      <c r="Z837" s="31"/>
      <c r="AA837" s="31"/>
    </row>
    <row r="838" spans="1:27" x14ac:dyDescent="0.2">
      <c r="A838" s="5"/>
      <c r="B838" s="31"/>
      <c r="C838" s="31"/>
      <c r="D838" s="31"/>
      <c r="E838" s="31"/>
      <c r="F838" s="31"/>
      <c r="G838" s="31"/>
      <c r="H838" s="93"/>
      <c r="I838" s="31"/>
      <c r="J838" s="31"/>
      <c r="K838" s="31"/>
      <c r="L838" s="42"/>
      <c r="M838" s="31"/>
      <c r="N838" s="31"/>
      <c r="O838" s="42"/>
      <c r="P838" s="92"/>
      <c r="Q838" s="42"/>
      <c r="R838" s="46"/>
      <c r="S838" s="31"/>
      <c r="T838" s="31"/>
      <c r="U838" s="31"/>
      <c r="V838" s="31"/>
      <c r="W838" s="31"/>
      <c r="X838" s="31"/>
      <c r="Y838" s="31"/>
      <c r="Z838" s="31"/>
      <c r="AA838" s="31"/>
    </row>
    <row r="839" spans="1:27" x14ac:dyDescent="0.2">
      <c r="A839" s="5"/>
      <c r="B839" s="31"/>
      <c r="C839" s="31"/>
      <c r="D839" s="31"/>
      <c r="E839" s="31"/>
      <c r="F839" s="31"/>
      <c r="G839" s="31"/>
      <c r="H839" s="93"/>
      <c r="I839" s="31"/>
      <c r="J839" s="31"/>
      <c r="K839" s="31"/>
      <c r="L839" s="42"/>
      <c r="M839" s="31"/>
      <c r="N839" s="31"/>
      <c r="O839" s="42"/>
      <c r="P839" s="92"/>
      <c r="Q839" s="42"/>
      <c r="R839" s="46"/>
      <c r="S839" s="31"/>
      <c r="T839" s="31"/>
      <c r="U839" s="31"/>
      <c r="V839" s="31"/>
      <c r="W839" s="31"/>
      <c r="X839" s="31"/>
      <c r="Y839" s="31"/>
      <c r="Z839" s="31"/>
      <c r="AA839" s="31"/>
    </row>
    <row r="840" spans="1:27" x14ac:dyDescent="0.2">
      <c r="A840" s="5"/>
      <c r="B840" s="31"/>
      <c r="C840" s="31"/>
      <c r="D840" s="31"/>
      <c r="E840" s="31"/>
      <c r="F840" s="31"/>
      <c r="G840" s="31"/>
      <c r="H840" s="93"/>
      <c r="I840" s="31"/>
      <c r="J840" s="31"/>
      <c r="K840" s="31"/>
      <c r="L840" s="42"/>
      <c r="M840" s="31"/>
      <c r="N840" s="31"/>
      <c r="O840" s="42"/>
      <c r="P840" s="92"/>
      <c r="Q840" s="42"/>
      <c r="R840" s="46"/>
      <c r="S840" s="31"/>
      <c r="T840" s="31"/>
      <c r="U840" s="31"/>
      <c r="V840" s="31"/>
      <c r="W840" s="31"/>
      <c r="X840" s="31"/>
      <c r="Y840" s="31"/>
      <c r="Z840" s="31"/>
      <c r="AA840" s="31"/>
    </row>
    <row r="841" spans="1:27" x14ac:dyDescent="0.2">
      <c r="A841" s="5"/>
      <c r="B841" s="31"/>
      <c r="C841" s="31"/>
      <c r="D841" s="31"/>
      <c r="E841" s="31"/>
      <c r="F841" s="31"/>
      <c r="G841" s="31"/>
      <c r="H841" s="93"/>
      <c r="I841" s="31"/>
      <c r="J841" s="31"/>
      <c r="K841" s="31"/>
      <c r="L841" s="42"/>
      <c r="M841" s="31"/>
      <c r="N841" s="31"/>
      <c r="O841" s="42"/>
      <c r="P841" s="92"/>
      <c r="Q841" s="42"/>
      <c r="R841" s="46"/>
      <c r="S841" s="31"/>
      <c r="T841" s="31"/>
      <c r="U841" s="31"/>
      <c r="V841" s="31"/>
      <c r="W841" s="31"/>
      <c r="X841" s="31"/>
      <c r="Y841" s="31"/>
      <c r="Z841" s="31"/>
      <c r="AA841" s="31"/>
    </row>
    <row r="842" spans="1:27" x14ac:dyDescent="0.2">
      <c r="A842" s="5"/>
      <c r="B842" s="31"/>
      <c r="C842" s="31"/>
      <c r="D842" s="31"/>
      <c r="E842" s="31"/>
      <c r="F842" s="31"/>
      <c r="G842" s="31"/>
      <c r="H842" s="93"/>
      <c r="I842" s="31"/>
      <c r="J842" s="31"/>
      <c r="K842" s="31"/>
      <c r="L842" s="42"/>
      <c r="M842" s="31"/>
      <c r="N842" s="31"/>
      <c r="O842" s="42"/>
      <c r="P842" s="92"/>
      <c r="Q842" s="42"/>
      <c r="R842" s="46"/>
      <c r="S842" s="31"/>
      <c r="T842" s="31"/>
      <c r="U842" s="31"/>
      <c r="V842" s="31"/>
      <c r="W842" s="31"/>
      <c r="X842" s="31"/>
      <c r="Y842" s="31"/>
      <c r="Z842" s="31"/>
      <c r="AA842" s="31"/>
    </row>
    <row r="843" spans="1:27" x14ac:dyDescent="0.2">
      <c r="A843" s="5"/>
      <c r="B843" s="31"/>
      <c r="C843" s="31"/>
      <c r="D843" s="31"/>
      <c r="E843" s="31"/>
      <c r="F843" s="31"/>
      <c r="G843" s="31"/>
      <c r="H843" s="93"/>
      <c r="I843" s="31"/>
      <c r="J843" s="31"/>
      <c r="K843" s="31"/>
      <c r="L843" s="42"/>
      <c r="M843" s="31"/>
      <c r="N843" s="31"/>
      <c r="O843" s="42"/>
      <c r="P843" s="92"/>
      <c r="Q843" s="42"/>
      <c r="R843" s="46"/>
      <c r="S843" s="31"/>
      <c r="T843" s="31"/>
      <c r="U843" s="31"/>
      <c r="V843" s="31"/>
      <c r="W843" s="31"/>
      <c r="X843" s="31"/>
      <c r="Y843" s="31"/>
      <c r="Z843" s="31"/>
      <c r="AA843" s="31"/>
    </row>
    <row r="844" spans="1:27" x14ac:dyDescent="0.2">
      <c r="A844" s="5"/>
      <c r="B844" s="31"/>
      <c r="C844" s="31"/>
      <c r="D844" s="31"/>
      <c r="E844" s="31"/>
      <c r="F844" s="31"/>
      <c r="G844" s="31"/>
      <c r="H844" s="93"/>
      <c r="I844" s="31"/>
      <c r="J844" s="31"/>
      <c r="K844" s="31"/>
      <c r="L844" s="42"/>
      <c r="M844" s="31"/>
      <c r="N844" s="31"/>
      <c r="O844" s="42"/>
      <c r="P844" s="92"/>
      <c r="Q844" s="42"/>
      <c r="R844" s="46"/>
      <c r="S844" s="31"/>
      <c r="T844" s="31"/>
      <c r="U844" s="31"/>
      <c r="V844" s="31"/>
      <c r="W844" s="31"/>
      <c r="X844" s="31"/>
      <c r="Y844" s="31"/>
      <c r="Z844" s="31"/>
      <c r="AA844" s="31"/>
    </row>
    <row r="845" spans="1:27" x14ac:dyDescent="0.2">
      <c r="A845" s="5"/>
      <c r="B845" s="31"/>
      <c r="C845" s="31"/>
      <c r="D845" s="31"/>
      <c r="E845" s="31"/>
      <c r="F845" s="31"/>
      <c r="G845" s="31"/>
      <c r="H845" s="93"/>
      <c r="I845" s="31"/>
      <c r="J845" s="31"/>
      <c r="K845" s="31"/>
      <c r="L845" s="42"/>
      <c r="M845" s="31"/>
      <c r="N845" s="31"/>
      <c r="O845" s="42"/>
      <c r="P845" s="92"/>
      <c r="Q845" s="42"/>
      <c r="R845" s="46"/>
      <c r="S845" s="31"/>
      <c r="T845" s="31"/>
      <c r="U845" s="31"/>
      <c r="V845" s="31"/>
      <c r="W845" s="31"/>
      <c r="X845" s="31"/>
      <c r="Y845" s="31"/>
      <c r="Z845" s="31"/>
      <c r="AA845" s="31"/>
    </row>
    <row r="846" spans="1:27" x14ac:dyDescent="0.2">
      <c r="A846" s="5"/>
      <c r="B846" s="31"/>
      <c r="C846" s="31"/>
      <c r="D846" s="31"/>
      <c r="E846" s="31"/>
      <c r="F846" s="31"/>
      <c r="G846" s="31"/>
      <c r="H846" s="93"/>
      <c r="I846" s="31"/>
      <c r="J846" s="31"/>
      <c r="K846" s="31"/>
      <c r="L846" s="42"/>
      <c r="M846" s="31"/>
      <c r="N846" s="31"/>
      <c r="O846" s="42"/>
      <c r="P846" s="92"/>
      <c r="Q846" s="42"/>
      <c r="R846" s="46"/>
      <c r="S846" s="31"/>
      <c r="T846" s="31"/>
      <c r="U846" s="31"/>
      <c r="V846" s="31"/>
      <c r="W846" s="31"/>
      <c r="X846" s="31"/>
      <c r="Y846" s="31"/>
      <c r="Z846" s="31"/>
      <c r="AA846" s="31"/>
    </row>
    <row r="847" spans="1:27" x14ac:dyDescent="0.2">
      <c r="A847" s="5"/>
      <c r="B847" s="31"/>
      <c r="C847" s="31"/>
      <c r="D847" s="31"/>
      <c r="E847" s="31"/>
      <c r="F847" s="31"/>
      <c r="G847" s="31"/>
      <c r="H847" s="93"/>
      <c r="I847" s="31"/>
      <c r="J847" s="31"/>
      <c r="K847" s="31"/>
      <c r="L847" s="42"/>
      <c r="M847" s="31"/>
      <c r="N847" s="31"/>
      <c r="O847" s="42"/>
      <c r="P847" s="92"/>
      <c r="Q847" s="42"/>
      <c r="R847" s="46"/>
      <c r="S847" s="31"/>
      <c r="T847" s="31"/>
      <c r="U847" s="31"/>
      <c r="V847" s="31"/>
      <c r="W847" s="31"/>
      <c r="X847" s="31"/>
      <c r="Y847" s="31"/>
      <c r="Z847" s="31"/>
      <c r="AA847" s="31"/>
    </row>
    <row r="848" spans="1:27" x14ac:dyDescent="0.2">
      <c r="A848" s="5"/>
      <c r="B848" s="31"/>
      <c r="C848" s="31"/>
      <c r="D848" s="31"/>
      <c r="E848" s="31"/>
      <c r="F848" s="31"/>
      <c r="G848" s="31"/>
      <c r="H848" s="93"/>
      <c r="I848" s="31"/>
      <c r="J848" s="31"/>
      <c r="K848" s="31"/>
      <c r="L848" s="42"/>
      <c r="M848" s="31"/>
      <c r="N848" s="31"/>
      <c r="O848" s="42"/>
      <c r="P848" s="92"/>
      <c r="Q848" s="42"/>
      <c r="R848" s="46"/>
      <c r="S848" s="31"/>
      <c r="T848" s="31"/>
      <c r="U848" s="31"/>
      <c r="V848" s="31"/>
      <c r="W848" s="31"/>
      <c r="X848" s="31"/>
      <c r="Y848" s="31"/>
      <c r="Z848" s="31"/>
      <c r="AA848" s="31"/>
    </row>
    <row r="849" spans="1:27" x14ac:dyDescent="0.2">
      <c r="A849" s="5"/>
      <c r="B849" s="31"/>
      <c r="C849" s="31"/>
      <c r="D849" s="31"/>
      <c r="E849" s="31"/>
      <c r="F849" s="31"/>
      <c r="G849" s="31"/>
      <c r="H849" s="93"/>
      <c r="I849" s="31"/>
      <c r="J849" s="31"/>
      <c r="K849" s="31"/>
      <c r="L849" s="42"/>
      <c r="M849" s="31"/>
      <c r="N849" s="31"/>
      <c r="O849" s="42"/>
      <c r="P849" s="92"/>
      <c r="Q849" s="42"/>
      <c r="R849" s="46"/>
      <c r="S849" s="31"/>
      <c r="T849" s="31"/>
      <c r="U849" s="31"/>
      <c r="V849" s="31"/>
      <c r="W849" s="31"/>
      <c r="X849" s="31"/>
      <c r="Y849" s="31"/>
      <c r="Z849" s="31"/>
      <c r="AA849" s="31"/>
    </row>
    <row r="850" spans="1:27" x14ac:dyDescent="0.2">
      <c r="A850" s="5"/>
      <c r="B850" s="31"/>
      <c r="C850" s="31"/>
      <c r="D850" s="31"/>
      <c r="E850" s="31"/>
      <c r="F850" s="31"/>
      <c r="G850" s="31"/>
      <c r="H850" s="93"/>
      <c r="I850" s="31"/>
      <c r="J850" s="31"/>
      <c r="K850" s="31"/>
      <c r="L850" s="42"/>
      <c r="M850" s="31"/>
      <c r="N850" s="31"/>
      <c r="O850" s="42"/>
      <c r="P850" s="92"/>
      <c r="Q850" s="42"/>
      <c r="R850" s="46"/>
      <c r="S850" s="31"/>
      <c r="T850" s="31"/>
      <c r="U850" s="31"/>
      <c r="V850" s="31"/>
      <c r="W850" s="31"/>
      <c r="X850" s="31"/>
      <c r="Y850" s="31"/>
      <c r="Z850" s="31"/>
      <c r="AA850" s="31"/>
    </row>
    <row r="851" spans="1:27" x14ac:dyDescent="0.2">
      <c r="A851" s="5"/>
      <c r="B851" s="31"/>
      <c r="C851" s="31"/>
      <c r="D851" s="31"/>
      <c r="E851" s="31"/>
      <c r="F851" s="31"/>
      <c r="G851" s="31"/>
      <c r="H851" s="93"/>
      <c r="I851" s="31"/>
      <c r="J851" s="31"/>
      <c r="K851" s="31"/>
      <c r="L851" s="42"/>
      <c r="M851" s="31"/>
      <c r="N851" s="31"/>
      <c r="O851" s="42"/>
      <c r="P851" s="92"/>
      <c r="Q851" s="42"/>
      <c r="R851" s="46"/>
      <c r="S851" s="31"/>
      <c r="T851" s="31"/>
      <c r="U851" s="31"/>
      <c r="V851" s="31"/>
      <c r="W851" s="31"/>
      <c r="X851" s="31"/>
      <c r="Y851" s="31"/>
      <c r="Z851" s="31"/>
      <c r="AA851" s="31"/>
    </row>
    <row r="852" spans="1:27" x14ac:dyDescent="0.2">
      <c r="A852" s="5"/>
      <c r="B852" s="31"/>
      <c r="C852" s="31"/>
      <c r="D852" s="31"/>
      <c r="E852" s="31"/>
      <c r="F852" s="31"/>
      <c r="G852" s="31"/>
      <c r="H852" s="93"/>
      <c r="I852" s="31"/>
      <c r="J852" s="31"/>
      <c r="K852" s="31"/>
      <c r="L852" s="42"/>
      <c r="M852" s="31"/>
      <c r="N852" s="31"/>
      <c r="O852" s="42"/>
      <c r="P852" s="92"/>
      <c r="Q852" s="42"/>
      <c r="R852" s="46"/>
      <c r="S852" s="31"/>
      <c r="T852" s="31"/>
      <c r="U852" s="31"/>
      <c r="V852" s="31"/>
      <c r="W852" s="31"/>
      <c r="X852" s="31"/>
      <c r="Y852" s="31"/>
      <c r="Z852" s="31"/>
      <c r="AA852" s="31"/>
    </row>
    <row r="853" spans="1:27" x14ac:dyDescent="0.2">
      <c r="A853" s="5"/>
      <c r="B853" s="31"/>
      <c r="C853" s="31"/>
      <c r="D853" s="31"/>
      <c r="E853" s="31"/>
      <c r="F853" s="31"/>
      <c r="G853" s="31"/>
      <c r="H853" s="93"/>
      <c r="I853" s="31"/>
      <c r="J853" s="31"/>
      <c r="K853" s="31"/>
      <c r="L853" s="42"/>
      <c r="M853" s="31"/>
      <c r="N853" s="31"/>
      <c r="O853" s="42"/>
      <c r="P853" s="92"/>
      <c r="Q853" s="42"/>
      <c r="R853" s="46"/>
      <c r="S853" s="31"/>
      <c r="T853" s="31"/>
      <c r="U853" s="31"/>
      <c r="V853" s="31"/>
      <c r="W853" s="31"/>
      <c r="X853" s="31"/>
      <c r="Y853" s="31"/>
      <c r="Z853" s="31"/>
      <c r="AA853" s="31"/>
    </row>
    <row r="854" spans="1:27" x14ac:dyDescent="0.2">
      <c r="A854" s="5"/>
      <c r="B854" s="31"/>
      <c r="C854" s="31"/>
      <c r="D854" s="31"/>
      <c r="E854" s="31"/>
      <c r="F854" s="31"/>
      <c r="G854" s="31"/>
      <c r="H854" s="93"/>
      <c r="I854" s="31"/>
      <c r="J854" s="31"/>
      <c r="K854" s="31"/>
      <c r="L854" s="42"/>
      <c r="M854" s="31"/>
      <c r="N854" s="31"/>
      <c r="O854" s="42"/>
      <c r="P854" s="92"/>
      <c r="Q854" s="42"/>
      <c r="R854" s="46"/>
      <c r="S854" s="31"/>
      <c r="T854" s="31"/>
      <c r="U854" s="31"/>
      <c r="V854" s="31"/>
      <c r="W854" s="31"/>
      <c r="X854" s="31"/>
      <c r="Y854" s="31"/>
      <c r="Z854" s="31"/>
      <c r="AA854" s="31"/>
    </row>
    <row r="855" spans="1:27" x14ac:dyDescent="0.2">
      <c r="A855" s="5"/>
      <c r="B855" s="31"/>
      <c r="C855" s="31"/>
      <c r="D855" s="31"/>
      <c r="E855" s="31"/>
      <c r="F855" s="31"/>
      <c r="G855" s="31"/>
      <c r="H855" s="93"/>
      <c r="I855" s="31"/>
      <c r="J855" s="31"/>
      <c r="K855" s="31"/>
      <c r="L855" s="42"/>
      <c r="M855" s="31"/>
      <c r="N855" s="31"/>
      <c r="O855" s="42"/>
      <c r="P855" s="92"/>
      <c r="Q855" s="42"/>
      <c r="R855" s="46"/>
      <c r="S855" s="31"/>
      <c r="T855" s="31"/>
      <c r="U855" s="31"/>
      <c r="V855" s="31"/>
      <c r="W855" s="31"/>
      <c r="X855" s="31"/>
      <c r="Y855" s="31"/>
      <c r="Z855" s="31"/>
      <c r="AA855" s="31"/>
    </row>
    <row r="856" spans="1:27" x14ac:dyDescent="0.2">
      <c r="A856" s="5"/>
      <c r="B856" s="31"/>
      <c r="C856" s="31"/>
      <c r="D856" s="31"/>
      <c r="E856" s="31"/>
      <c r="F856" s="31"/>
      <c r="G856" s="31"/>
      <c r="H856" s="93"/>
      <c r="I856" s="31"/>
      <c r="J856" s="31"/>
      <c r="K856" s="31"/>
      <c r="L856" s="42"/>
      <c r="M856" s="31"/>
      <c r="N856" s="31"/>
      <c r="O856" s="42"/>
      <c r="P856" s="92"/>
      <c r="Q856" s="42"/>
      <c r="R856" s="46"/>
      <c r="S856" s="31"/>
      <c r="T856" s="31"/>
      <c r="U856" s="31"/>
      <c r="V856" s="31"/>
      <c r="W856" s="31"/>
      <c r="X856" s="31"/>
      <c r="Y856" s="31"/>
      <c r="Z856" s="31"/>
      <c r="AA856" s="31"/>
    </row>
    <row r="857" spans="1:27" x14ac:dyDescent="0.2">
      <c r="A857" s="5"/>
      <c r="B857" s="31"/>
      <c r="C857" s="31"/>
      <c r="D857" s="31"/>
      <c r="E857" s="31"/>
      <c r="F857" s="31"/>
      <c r="G857" s="31"/>
      <c r="H857" s="93"/>
      <c r="I857" s="31"/>
      <c r="J857" s="31"/>
      <c r="K857" s="31"/>
      <c r="L857" s="42"/>
      <c r="M857" s="31"/>
      <c r="N857" s="31"/>
      <c r="O857" s="42"/>
      <c r="P857" s="92"/>
      <c r="Q857" s="42"/>
      <c r="R857" s="46"/>
      <c r="S857" s="31"/>
      <c r="T857" s="31"/>
      <c r="U857" s="31"/>
      <c r="V857" s="31"/>
      <c r="W857" s="31"/>
      <c r="X857" s="31"/>
      <c r="Y857" s="31"/>
      <c r="Z857" s="31"/>
      <c r="AA857" s="31"/>
    </row>
    <row r="858" spans="1:27" x14ac:dyDescent="0.2">
      <c r="A858" s="5"/>
      <c r="B858" s="31"/>
      <c r="C858" s="31"/>
      <c r="D858" s="31"/>
      <c r="E858" s="31"/>
      <c r="F858" s="31"/>
      <c r="G858" s="31"/>
      <c r="H858" s="93"/>
      <c r="I858" s="31"/>
      <c r="J858" s="31"/>
      <c r="K858" s="31"/>
      <c r="L858" s="42"/>
      <c r="M858" s="31"/>
      <c r="N858" s="31"/>
      <c r="O858" s="42"/>
      <c r="P858" s="92"/>
      <c r="Q858" s="42"/>
      <c r="R858" s="46"/>
      <c r="S858" s="31"/>
      <c r="T858" s="31"/>
      <c r="U858" s="31"/>
      <c r="V858" s="31"/>
      <c r="W858" s="31"/>
      <c r="X858" s="31"/>
      <c r="Y858" s="31"/>
      <c r="Z858" s="31"/>
      <c r="AA858" s="31"/>
    </row>
    <row r="859" spans="1:27" x14ac:dyDescent="0.2">
      <c r="A859" s="5"/>
      <c r="B859" s="31"/>
      <c r="C859" s="31"/>
      <c r="D859" s="31"/>
      <c r="E859" s="31"/>
      <c r="F859" s="31"/>
      <c r="G859" s="31"/>
      <c r="H859" s="93"/>
      <c r="I859" s="31"/>
      <c r="J859" s="31"/>
      <c r="K859" s="31"/>
      <c r="L859" s="42"/>
      <c r="M859" s="31"/>
      <c r="N859" s="31"/>
      <c r="O859" s="42"/>
      <c r="P859" s="92"/>
      <c r="Q859" s="42"/>
      <c r="R859" s="46"/>
      <c r="S859" s="31"/>
      <c r="T859" s="31"/>
      <c r="U859" s="31"/>
      <c r="V859" s="31"/>
      <c r="W859" s="31"/>
      <c r="X859" s="31"/>
      <c r="Y859" s="31"/>
      <c r="Z859" s="31"/>
      <c r="AA859" s="31"/>
    </row>
    <row r="860" spans="1:27" x14ac:dyDescent="0.2">
      <c r="A860" s="5"/>
      <c r="B860" s="31"/>
      <c r="C860" s="31"/>
      <c r="D860" s="31"/>
      <c r="E860" s="31"/>
      <c r="F860" s="31"/>
      <c r="G860" s="31"/>
      <c r="H860" s="93"/>
      <c r="I860" s="31"/>
      <c r="J860" s="31"/>
      <c r="K860" s="31"/>
      <c r="L860" s="42"/>
      <c r="M860" s="31"/>
      <c r="N860" s="31"/>
      <c r="O860" s="42"/>
      <c r="P860" s="92"/>
      <c r="Q860" s="42"/>
      <c r="R860" s="46"/>
      <c r="S860" s="31"/>
      <c r="T860" s="31"/>
      <c r="U860" s="31"/>
      <c r="V860" s="31"/>
      <c r="W860" s="31"/>
      <c r="X860" s="31"/>
      <c r="Y860" s="31"/>
      <c r="Z860" s="31"/>
      <c r="AA860" s="31"/>
    </row>
    <row r="861" spans="1:27" x14ac:dyDescent="0.2">
      <c r="A861" s="5"/>
      <c r="B861" s="31"/>
      <c r="C861" s="31"/>
      <c r="D861" s="31"/>
      <c r="E861" s="31"/>
      <c r="F861" s="31"/>
      <c r="G861" s="31"/>
      <c r="H861" s="93"/>
      <c r="I861" s="31"/>
      <c r="J861" s="31"/>
      <c r="K861" s="31"/>
      <c r="L861" s="42"/>
      <c r="M861" s="31"/>
      <c r="N861" s="31"/>
      <c r="O861" s="42"/>
      <c r="P861" s="92"/>
      <c r="Q861" s="42"/>
      <c r="R861" s="46"/>
      <c r="S861" s="31"/>
      <c r="T861" s="31"/>
      <c r="U861" s="31"/>
      <c r="V861" s="31"/>
      <c r="W861" s="31"/>
      <c r="X861" s="31"/>
      <c r="Y861" s="31"/>
      <c r="Z861" s="31"/>
      <c r="AA861" s="31"/>
    </row>
    <row r="862" spans="1:27" x14ac:dyDescent="0.2">
      <c r="A862" s="5"/>
      <c r="B862" s="31"/>
      <c r="C862" s="31"/>
      <c r="D862" s="31"/>
      <c r="E862" s="31"/>
      <c r="F862" s="31"/>
      <c r="G862" s="31"/>
      <c r="H862" s="93"/>
      <c r="I862" s="31"/>
      <c r="J862" s="31"/>
      <c r="K862" s="31"/>
      <c r="L862" s="42"/>
      <c r="M862" s="31"/>
      <c r="N862" s="31"/>
      <c r="O862" s="42"/>
      <c r="P862" s="92"/>
      <c r="Q862" s="42"/>
      <c r="R862" s="46"/>
      <c r="S862" s="31"/>
      <c r="T862" s="31"/>
      <c r="U862" s="31"/>
      <c r="V862" s="31"/>
      <c r="W862" s="31"/>
      <c r="X862" s="31"/>
      <c r="Y862" s="31"/>
      <c r="Z862" s="31"/>
      <c r="AA862" s="31"/>
    </row>
    <row r="863" spans="1:27" x14ac:dyDescent="0.2">
      <c r="A863" s="5"/>
      <c r="B863" s="31"/>
      <c r="C863" s="31"/>
      <c r="D863" s="31"/>
      <c r="E863" s="31"/>
      <c r="F863" s="31"/>
      <c r="G863" s="31"/>
      <c r="H863" s="93"/>
      <c r="I863" s="31"/>
      <c r="J863" s="31"/>
      <c r="K863" s="31"/>
      <c r="L863" s="42"/>
      <c r="M863" s="31"/>
      <c r="N863" s="31"/>
      <c r="O863" s="42"/>
      <c r="P863" s="92"/>
      <c r="Q863" s="42"/>
      <c r="R863" s="46"/>
      <c r="S863" s="31"/>
      <c r="T863" s="31"/>
      <c r="U863" s="31"/>
      <c r="V863" s="31"/>
      <c r="W863" s="31"/>
      <c r="X863" s="31"/>
      <c r="Y863" s="31"/>
      <c r="Z863" s="31"/>
      <c r="AA863" s="31"/>
    </row>
    <row r="864" spans="1:27" x14ac:dyDescent="0.2">
      <c r="A864" s="5"/>
      <c r="B864" s="31"/>
      <c r="C864" s="31"/>
      <c r="D864" s="31"/>
      <c r="E864" s="31"/>
      <c r="F864" s="31"/>
      <c r="G864" s="31"/>
      <c r="H864" s="93"/>
      <c r="I864" s="31"/>
      <c r="J864" s="31"/>
      <c r="K864" s="31"/>
      <c r="L864" s="42"/>
      <c r="M864" s="31"/>
      <c r="N864" s="31"/>
      <c r="O864" s="42"/>
      <c r="P864" s="92"/>
      <c r="Q864" s="42"/>
      <c r="R864" s="46"/>
      <c r="S864" s="31"/>
      <c r="T864" s="31"/>
      <c r="U864" s="31"/>
      <c r="V864" s="31"/>
      <c r="W864" s="31"/>
      <c r="X864" s="31"/>
      <c r="Y864" s="31"/>
      <c r="Z864" s="31"/>
      <c r="AA864" s="31"/>
    </row>
    <row r="865" spans="1:27" x14ac:dyDescent="0.2">
      <c r="A865" s="5"/>
      <c r="B865" s="31"/>
      <c r="C865" s="31"/>
      <c r="D865" s="31"/>
      <c r="E865" s="31"/>
      <c r="F865" s="31"/>
      <c r="G865" s="31"/>
      <c r="H865" s="93"/>
      <c r="I865" s="31"/>
      <c r="J865" s="31"/>
      <c r="K865" s="31"/>
      <c r="L865" s="42"/>
      <c r="M865" s="31"/>
      <c r="N865" s="31"/>
      <c r="O865" s="42"/>
      <c r="P865" s="92"/>
      <c r="Q865" s="42"/>
      <c r="R865" s="46"/>
      <c r="S865" s="31"/>
      <c r="T865" s="31"/>
      <c r="U865" s="31"/>
      <c r="V865" s="31"/>
      <c r="W865" s="31"/>
      <c r="X865" s="31"/>
      <c r="Y865" s="31"/>
      <c r="Z865" s="31"/>
      <c r="AA865" s="31"/>
    </row>
    <row r="866" spans="1:27" x14ac:dyDescent="0.2">
      <c r="A866" s="5"/>
      <c r="B866" s="31"/>
      <c r="C866" s="31"/>
      <c r="D866" s="31"/>
      <c r="E866" s="31"/>
      <c r="F866" s="31"/>
      <c r="G866" s="31"/>
      <c r="H866" s="93"/>
      <c r="I866" s="31"/>
      <c r="J866" s="31"/>
      <c r="K866" s="31"/>
      <c r="L866" s="42"/>
      <c r="M866" s="31"/>
      <c r="N866" s="31"/>
      <c r="O866" s="42"/>
      <c r="P866" s="92"/>
      <c r="Q866" s="42"/>
      <c r="R866" s="46"/>
      <c r="S866" s="31"/>
      <c r="T866" s="31"/>
      <c r="U866" s="31"/>
      <c r="V866" s="31"/>
      <c r="W866" s="31"/>
      <c r="X866" s="31"/>
      <c r="Y866" s="31"/>
      <c r="Z866" s="31"/>
      <c r="AA866" s="31"/>
    </row>
    <row r="867" spans="1:27" x14ac:dyDescent="0.2">
      <c r="A867" s="5"/>
      <c r="B867" s="31"/>
      <c r="C867" s="31"/>
      <c r="D867" s="31"/>
      <c r="E867" s="31"/>
      <c r="F867" s="31"/>
      <c r="G867" s="31"/>
      <c r="H867" s="93"/>
      <c r="I867" s="31"/>
      <c r="J867" s="31"/>
      <c r="K867" s="31"/>
      <c r="L867" s="42"/>
      <c r="M867" s="31"/>
      <c r="N867" s="31"/>
      <c r="O867" s="42"/>
      <c r="P867" s="92"/>
      <c r="Q867" s="42"/>
      <c r="R867" s="46"/>
      <c r="S867" s="31"/>
      <c r="T867" s="31"/>
      <c r="U867" s="31"/>
      <c r="V867" s="31"/>
      <c r="W867" s="31"/>
      <c r="X867" s="31"/>
      <c r="Y867" s="31"/>
      <c r="Z867" s="31"/>
      <c r="AA867" s="31"/>
    </row>
    <row r="868" spans="1:27" x14ac:dyDescent="0.2">
      <c r="A868" s="5"/>
      <c r="B868" s="31"/>
      <c r="C868" s="31"/>
      <c r="D868" s="31"/>
      <c r="E868" s="31"/>
      <c r="F868" s="31"/>
      <c r="G868" s="31"/>
      <c r="H868" s="93"/>
      <c r="I868" s="31"/>
      <c r="J868" s="31"/>
      <c r="K868" s="31"/>
      <c r="L868" s="42"/>
      <c r="M868" s="31"/>
      <c r="N868" s="31"/>
      <c r="O868" s="42"/>
      <c r="P868" s="92"/>
      <c r="Q868" s="42"/>
      <c r="R868" s="46"/>
      <c r="S868" s="31"/>
      <c r="T868" s="31"/>
      <c r="U868" s="31"/>
      <c r="V868" s="31"/>
      <c r="W868" s="31"/>
      <c r="X868" s="31"/>
      <c r="Y868" s="31"/>
      <c r="Z868" s="31"/>
      <c r="AA868" s="31"/>
    </row>
    <row r="869" spans="1:27" x14ac:dyDescent="0.2">
      <c r="A869" s="5"/>
      <c r="B869" s="31"/>
      <c r="C869" s="31"/>
      <c r="D869" s="31"/>
      <c r="E869" s="31"/>
      <c r="F869" s="31"/>
      <c r="G869" s="31"/>
      <c r="H869" s="93"/>
      <c r="I869" s="31"/>
      <c r="J869" s="31"/>
      <c r="K869" s="31"/>
      <c r="L869" s="42"/>
      <c r="M869" s="31"/>
      <c r="N869" s="31"/>
      <c r="O869" s="42"/>
      <c r="P869" s="92"/>
      <c r="Q869" s="42"/>
      <c r="R869" s="46"/>
      <c r="S869" s="31"/>
      <c r="T869" s="31"/>
      <c r="U869" s="31"/>
      <c r="V869" s="31"/>
      <c r="W869" s="31"/>
      <c r="X869" s="31"/>
      <c r="Y869" s="31"/>
      <c r="Z869" s="31"/>
      <c r="AA869" s="31"/>
    </row>
    <row r="870" spans="1:27" x14ac:dyDescent="0.2">
      <c r="A870" s="5"/>
      <c r="B870" s="31"/>
      <c r="C870" s="31"/>
      <c r="D870" s="31"/>
      <c r="E870" s="31"/>
      <c r="F870" s="31"/>
      <c r="G870" s="31"/>
      <c r="H870" s="93"/>
      <c r="I870" s="31"/>
      <c r="J870" s="31"/>
      <c r="K870" s="31"/>
      <c r="L870" s="42"/>
      <c r="M870" s="31"/>
      <c r="N870" s="31"/>
      <c r="O870" s="42"/>
      <c r="P870" s="92"/>
      <c r="Q870" s="42"/>
      <c r="R870" s="46"/>
      <c r="S870" s="31"/>
      <c r="T870" s="31"/>
      <c r="U870" s="31"/>
      <c r="V870" s="31"/>
      <c r="W870" s="31"/>
      <c r="X870" s="31"/>
      <c r="Y870" s="31"/>
      <c r="Z870" s="31"/>
      <c r="AA870" s="31"/>
    </row>
    <row r="871" spans="1:27" x14ac:dyDescent="0.2">
      <c r="A871" s="5"/>
      <c r="B871" s="31"/>
      <c r="C871" s="31"/>
      <c r="D871" s="31"/>
      <c r="E871" s="31"/>
      <c r="F871" s="31"/>
      <c r="G871" s="31"/>
      <c r="H871" s="93"/>
      <c r="I871" s="31"/>
      <c r="J871" s="31"/>
      <c r="K871" s="31"/>
      <c r="L871" s="42"/>
      <c r="M871" s="31"/>
      <c r="N871" s="31"/>
      <c r="O871" s="42"/>
      <c r="P871" s="92"/>
      <c r="Q871" s="42"/>
      <c r="R871" s="46"/>
      <c r="S871" s="31"/>
      <c r="T871" s="31"/>
      <c r="U871" s="31"/>
      <c r="V871" s="31"/>
      <c r="W871" s="31"/>
      <c r="X871" s="31"/>
      <c r="Y871" s="31"/>
      <c r="Z871" s="31"/>
      <c r="AA871" s="31"/>
    </row>
    <row r="872" spans="1:27" x14ac:dyDescent="0.2">
      <c r="A872" s="5"/>
      <c r="B872" s="31"/>
      <c r="C872" s="31"/>
      <c r="D872" s="31"/>
      <c r="E872" s="31"/>
      <c r="F872" s="31"/>
      <c r="G872" s="31"/>
      <c r="H872" s="93"/>
      <c r="I872" s="31"/>
      <c r="J872" s="31"/>
      <c r="K872" s="31"/>
      <c r="L872" s="42"/>
      <c r="M872" s="31"/>
      <c r="N872" s="31"/>
      <c r="O872" s="42"/>
      <c r="P872" s="92"/>
      <c r="Q872" s="42"/>
      <c r="R872" s="46"/>
      <c r="S872" s="31"/>
      <c r="T872" s="31"/>
      <c r="U872" s="31"/>
      <c r="V872" s="31"/>
      <c r="W872" s="31"/>
      <c r="X872" s="31"/>
      <c r="Y872" s="31"/>
      <c r="Z872" s="31"/>
      <c r="AA872" s="31"/>
    </row>
    <row r="873" spans="1:27" x14ac:dyDescent="0.2">
      <c r="A873" s="5"/>
      <c r="B873" s="31"/>
      <c r="C873" s="31"/>
      <c r="D873" s="31"/>
      <c r="E873" s="31"/>
      <c r="F873" s="31"/>
      <c r="G873" s="31"/>
      <c r="H873" s="93"/>
      <c r="I873" s="31"/>
      <c r="J873" s="31"/>
      <c r="K873" s="31"/>
      <c r="L873" s="42"/>
      <c r="M873" s="31"/>
      <c r="N873" s="31"/>
      <c r="O873" s="42"/>
      <c r="P873" s="92"/>
      <c r="Q873" s="42"/>
      <c r="R873" s="46"/>
      <c r="S873" s="31"/>
      <c r="T873" s="31"/>
      <c r="U873" s="31"/>
      <c r="V873" s="31"/>
      <c r="W873" s="31"/>
      <c r="X873" s="31"/>
      <c r="Y873" s="31"/>
      <c r="Z873" s="31"/>
      <c r="AA873" s="31"/>
    </row>
    <row r="874" spans="1:27" x14ac:dyDescent="0.2">
      <c r="A874" s="5"/>
      <c r="B874" s="31"/>
      <c r="C874" s="31"/>
      <c r="D874" s="31"/>
      <c r="E874" s="31"/>
      <c r="F874" s="31"/>
      <c r="G874" s="31"/>
      <c r="H874" s="93"/>
      <c r="I874" s="31"/>
      <c r="J874" s="31"/>
      <c r="K874" s="31"/>
      <c r="L874" s="42"/>
      <c r="M874" s="31"/>
      <c r="N874" s="31"/>
      <c r="O874" s="42"/>
      <c r="P874" s="92"/>
      <c r="Q874" s="42"/>
      <c r="R874" s="46"/>
      <c r="S874" s="31"/>
      <c r="T874" s="31"/>
      <c r="U874" s="31"/>
      <c r="V874" s="31"/>
      <c r="W874" s="31"/>
      <c r="X874" s="31"/>
      <c r="Y874" s="31"/>
      <c r="Z874" s="31"/>
      <c r="AA874" s="31"/>
    </row>
    <row r="875" spans="1:27" x14ac:dyDescent="0.2">
      <c r="A875" s="5"/>
      <c r="B875" s="31"/>
      <c r="C875" s="31"/>
      <c r="D875" s="31"/>
      <c r="E875" s="31"/>
      <c r="F875" s="31"/>
      <c r="G875" s="31"/>
      <c r="H875" s="93"/>
      <c r="I875" s="31"/>
      <c r="J875" s="31"/>
      <c r="K875" s="31"/>
      <c r="L875" s="42"/>
      <c r="M875" s="31"/>
      <c r="N875" s="31"/>
      <c r="O875" s="42"/>
      <c r="P875" s="92"/>
      <c r="Q875" s="42"/>
      <c r="R875" s="46"/>
      <c r="S875" s="31"/>
      <c r="T875" s="31"/>
      <c r="U875" s="31"/>
      <c r="V875" s="31"/>
      <c r="W875" s="31"/>
      <c r="X875" s="31"/>
      <c r="Y875" s="31"/>
      <c r="Z875" s="31"/>
      <c r="AA875" s="31"/>
    </row>
    <row r="876" spans="1:27" x14ac:dyDescent="0.2">
      <c r="A876" s="5"/>
      <c r="B876" s="31"/>
      <c r="C876" s="31"/>
      <c r="D876" s="31"/>
      <c r="E876" s="31"/>
      <c r="F876" s="31"/>
      <c r="G876" s="31"/>
      <c r="H876" s="93"/>
      <c r="I876" s="31"/>
      <c r="J876" s="31"/>
      <c r="K876" s="31"/>
      <c r="L876" s="42"/>
      <c r="M876" s="31"/>
      <c r="N876" s="31"/>
      <c r="O876" s="42"/>
      <c r="P876" s="92"/>
      <c r="Q876" s="42"/>
      <c r="R876" s="46"/>
      <c r="S876" s="31"/>
      <c r="T876" s="31"/>
      <c r="U876" s="31"/>
      <c r="V876" s="31"/>
      <c r="W876" s="31"/>
      <c r="X876" s="31"/>
      <c r="Y876" s="31"/>
      <c r="Z876" s="31"/>
      <c r="AA876" s="31"/>
    </row>
    <row r="877" spans="1:27" x14ac:dyDescent="0.2">
      <c r="A877" s="5"/>
      <c r="B877" s="31"/>
      <c r="C877" s="31"/>
      <c r="D877" s="31"/>
      <c r="E877" s="31"/>
      <c r="F877" s="31"/>
      <c r="G877" s="31"/>
      <c r="H877" s="93"/>
      <c r="I877" s="31"/>
      <c r="J877" s="31"/>
      <c r="K877" s="31"/>
      <c r="L877" s="42"/>
      <c r="M877" s="31"/>
      <c r="N877" s="31"/>
      <c r="O877" s="42"/>
      <c r="P877" s="92"/>
      <c r="Q877" s="42"/>
      <c r="R877" s="46"/>
      <c r="S877" s="31"/>
      <c r="T877" s="31"/>
      <c r="U877" s="31"/>
      <c r="V877" s="31"/>
      <c r="W877" s="31"/>
      <c r="X877" s="31"/>
      <c r="Y877" s="31"/>
      <c r="Z877" s="31"/>
      <c r="AA877" s="31"/>
    </row>
    <row r="878" spans="1:27" x14ac:dyDescent="0.2">
      <c r="A878" s="5"/>
      <c r="B878" s="31"/>
      <c r="C878" s="31"/>
      <c r="D878" s="31"/>
      <c r="E878" s="31"/>
      <c r="F878" s="31"/>
      <c r="G878" s="31"/>
      <c r="H878" s="93"/>
      <c r="I878" s="31"/>
      <c r="J878" s="31"/>
      <c r="K878" s="31"/>
      <c r="L878" s="42"/>
      <c r="M878" s="31"/>
      <c r="N878" s="31"/>
      <c r="O878" s="42"/>
      <c r="P878" s="92"/>
      <c r="Q878" s="42"/>
      <c r="R878" s="46"/>
      <c r="S878" s="31"/>
      <c r="T878" s="31"/>
      <c r="U878" s="31"/>
      <c r="V878" s="31"/>
      <c r="W878" s="31"/>
      <c r="X878" s="31"/>
      <c r="Y878" s="31"/>
      <c r="Z878" s="31"/>
      <c r="AA878" s="31"/>
    </row>
    <row r="879" spans="1:27" x14ac:dyDescent="0.2">
      <c r="A879" s="5"/>
      <c r="B879" s="31"/>
      <c r="C879" s="31"/>
      <c r="D879" s="31"/>
      <c r="E879" s="31"/>
      <c r="F879" s="31"/>
      <c r="G879" s="31"/>
      <c r="H879" s="93"/>
      <c r="I879" s="31"/>
      <c r="J879" s="31"/>
      <c r="K879" s="31"/>
      <c r="L879" s="42"/>
      <c r="M879" s="31"/>
      <c r="N879" s="31"/>
      <c r="O879" s="42"/>
      <c r="P879" s="92"/>
      <c r="Q879" s="42"/>
      <c r="R879" s="46"/>
      <c r="S879" s="31"/>
      <c r="T879" s="31"/>
      <c r="U879" s="31"/>
      <c r="V879" s="31"/>
      <c r="W879" s="31"/>
      <c r="X879" s="31"/>
      <c r="Y879" s="31"/>
      <c r="Z879" s="31"/>
      <c r="AA879" s="31"/>
    </row>
    <row r="880" spans="1:27" x14ac:dyDescent="0.2">
      <c r="A880" s="5"/>
      <c r="B880" s="31"/>
      <c r="C880" s="31"/>
      <c r="D880" s="31"/>
      <c r="E880" s="31"/>
      <c r="F880" s="31"/>
      <c r="G880" s="31"/>
      <c r="H880" s="93"/>
      <c r="I880" s="31"/>
      <c r="J880" s="31"/>
      <c r="K880" s="31"/>
      <c r="L880" s="42"/>
      <c r="M880" s="31"/>
      <c r="N880" s="31"/>
      <c r="O880" s="42"/>
      <c r="P880" s="92"/>
      <c r="Q880" s="42"/>
      <c r="R880" s="46"/>
      <c r="S880" s="31"/>
      <c r="T880" s="31"/>
      <c r="U880" s="31"/>
      <c r="V880" s="31"/>
      <c r="W880" s="31"/>
      <c r="X880" s="31"/>
      <c r="Y880" s="31"/>
      <c r="Z880" s="31"/>
      <c r="AA880" s="31"/>
    </row>
    <row r="881" spans="1:27" x14ac:dyDescent="0.2">
      <c r="A881" s="5"/>
      <c r="B881" s="31"/>
      <c r="C881" s="31"/>
      <c r="D881" s="31"/>
      <c r="E881" s="31"/>
      <c r="F881" s="31"/>
      <c r="G881" s="31"/>
      <c r="H881" s="93"/>
      <c r="I881" s="31"/>
      <c r="J881" s="31"/>
      <c r="K881" s="31"/>
      <c r="L881" s="42"/>
      <c r="M881" s="31"/>
      <c r="N881" s="31"/>
      <c r="O881" s="42"/>
      <c r="P881" s="92"/>
      <c r="Q881" s="42"/>
      <c r="R881" s="46"/>
      <c r="S881" s="31"/>
      <c r="T881" s="31"/>
      <c r="U881" s="31"/>
      <c r="V881" s="31"/>
      <c r="W881" s="31"/>
      <c r="X881" s="31"/>
      <c r="Y881" s="31"/>
      <c r="Z881" s="31"/>
      <c r="AA881" s="31"/>
    </row>
    <row r="882" spans="1:27" x14ac:dyDescent="0.2">
      <c r="A882" s="5"/>
      <c r="B882" s="31"/>
      <c r="C882" s="31"/>
      <c r="D882" s="31"/>
      <c r="E882" s="31"/>
      <c r="F882" s="31"/>
      <c r="G882" s="31"/>
      <c r="H882" s="93"/>
      <c r="I882" s="31"/>
      <c r="J882" s="31"/>
      <c r="K882" s="31"/>
      <c r="L882" s="42"/>
      <c r="M882" s="31"/>
      <c r="N882" s="31"/>
      <c r="O882" s="42"/>
      <c r="P882" s="92"/>
      <c r="Q882" s="42"/>
      <c r="R882" s="46"/>
      <c r="S882" s="31"/>
      <c r="T882" s="31"/>
      <c r="U882" s="31"/>
      <c r="V882" s="31"/>
      <c r="W882" s="31"/>
      <c r="X882" s="31"/>
      <c r="Y882" s="31"/>
      <c r="Z882" s="31"/>
      <c r="AA882" s="31"/>
    </row>
    <row r="883" spans="1:27" x14ac:dyDescent="0.2">
      <c r="A883" s="5"/>
      <c r="B883" s="31"/>
      <c r="C883" s="31"/>
      <c r="D883" s="31"/>
      <c r="E883" s="31"/>
      <c r="F883" s="31"/>
      <c r="G883" s="31"/>
      <c r="H883" s="93"/>
      <c r="I883" s="31"/>
      <c r="J883" s="31"/>
      <c r="K883" s="31"/>
      <c r="L883" s="42"/>
      <c r="M883" s="31"/>
      <c r="N883" s="31"/>
      <c r="O883" s="42"/>
      <c r="P883" s="92"/>
      <c r="Q883" s="42"/>
      <c r="R883" s="46"/>
      <c r="S883" s="31"/>
      <c r="T883" s="31"/>
      <c r="U883" s="31"/>
      <c r="V883" s="31"/>
      <c r="W883" s="31"/>
      <c r="X883" s="31"/>
      <c r="Y883" s="31"/>
      <c r="Z883" s="31"/>
      <c r="AA883" s="31"/>
    </row>
    <row r="884" spans="1:27" x14ac:dyDescent="0.2">
      <c r="A884" s="5"/>
      <c r="B884" s="31"/>
      <c r="C884" s="31"/>
      <c r="D884" s="31"/>
      <c r="E884" s="31"/>
      <c r="F884" s="31"/>
      <c r="G884" s="31"/>
      <c r="H884" s="93"/>
      <c r="I884" s="31"/>
      <c r="J884" s="31"/>
      <c r="K884" s="31"/>
      <c r="L884" s="42"/>
      <c r="M884" s="31"/>
      <c r="N884" s="31"/>
      <c r="O884" s="42"/>
      <c r="P884" s="92"/>
      <c r="Q884" s="42"/>
      <c r="R884" s="46"/>
      <c r="S884" s="31"/>
      <c r="T884" s="31"/>
      <c r="U884" s="31"/>
      <c r="V884" s="31"/>
      <c r="W884" s="31"/>
      <c r="X884" s="31"/>
      <c r="Y884" s="31"/>
      <c r="Z884" s="31"/>
      <c r="AA884" s="31"/>
    </row>
    <row r="885" spans="1:27" x14ac:dyDescent="0.2">
      <c r="A885" s="5"/>
      <c r="B885" s="31"/>
      <c r="C885" s="31"/>
      <c r="D885" s="31"/>
      <c r="E885" s="31"/>
      <c r="F885" s="31"/>
      <c r="G885" s="31"/>
      <c r="H885" s="93"/>
      <c r="I885" s="31"/>
      <c r="J885" s="31"/>
      <c r="K885" s="31"/>
      <c r="L885" s="42"/>
      <c r="M885" s="31"/>
      <c r="N885" s="31"/>
      <c r="O885" s="42"/>
      <c r="P885" s="92"/>
      <c r="Q885" s="42"/>
      <c r="R885" s="46"/>
      <c r="S885" s="31"/>
      <c r="T885" s="31"/>
      <c r="U885" s="31"/>
      <c r="V885" s="31"/>
      <c r="W885" s="31"/>
      <c r="X885" s="31"/>
      <c r="Y885" s="31"/>
      <c r="Z885" s="31"/>
      <c r="AA885" s="31"/>
    </row>
    <row r="886" spans="1:27" x14ac:dyDescent="0.2">
      <c r="A886" s="5"/>
      <c r="B886" s="31"/>
      <c r="C886" s="31"/>
      <c r="D886" s="31"/>
      <c r="E886" s="31"/>
      <c r="F886" s="31"/>
      <c r="G886" s="31"/>
      <c r="H886" s="93"/>
      <c r="I886" s="31"/>
      <c r="J886" s="31"/>
      <c r="K886" s="31"/>
      <c r="L886" s="42"/>
      <c r="M886" s="31"/>
      <c r="N886" s="31"/>
      <c r="O886" s="42"/>
      <c r="P886" s="92"/>
      <c r="Q886" s="42"/>
      <c r="R886" s="46"/>
      <c r="S886" s="31"/>
      <c r="T886" s="31"/>
      <c r="U886" s="31"/>
      <c r="V886" s="31"/>
      <c r="W886" s="31"/>
      <c r="X886" s="31"/>
      <c r="Y886" s="31"/>
      <c r="Z886" s="31"/>
      <c r="AA886" s="31"/>
    </row>
    <row r="887" spans="1:27" x14ac:dyDescent="0.2">
      <c r="A887" s="5"/>
      <c r="B887" s="31"/>
      <c r="C887" s="31"/>
      <c r="D887" s="31"/>
      <c r="E887" s="31"/>
      <c r="F887" s="31"/>
      <c r="G887" s="31"/>
      <c r="H887" s="93"/>
      <c r="I887" s="31"/>
      <c r="J887" s="31"/>
      <c r="K887" s="31"/>
      <c r="L887" s="42"/>
      <c r="M887" s="31"/>
      <c r="N887" s="31"/>
      <c r="O887" s="42"/>
      <c r="P887" s="92"/>
      <c r="Q887" s="42"/>
      <c r="R887" s="46"/>
      <c r="S887" s="31"/>
      <c r="T887" s="31"/>
      <c r="U887" s="31"/>
      <c r="V887" s="31"/>
      <c r="W887" s="31"/>
      <c r="X887" s="31"/>
      <c r="Y887" s="31"/>
      <c r="Z887" s="31"/>
      <c r="AA887" s="31"/>
    </row>
    <row r="888" spans="1:27" x14ac:dyDescent="0.2">
      <c r="A888" s="5"/>
      <c r="B888" s="31"/>
      <c r="C888" s="31"/>
      <c r="D888" s="31"/>
      <c r="E888" s="31"/>
      <c r="F888" s="31"/>
      <c r="G888" s="31"/>
      <c r="H888" s="93"/>
      <c r="I888" s="31"/>
      <c r="J888" s="31"/>
      <c r="K888" s="31"/>
      <c r="L888" s="42"/>
      <c r="M888" s="31"/>
      <c r="N888" s="31"/>
      <c r="O888" s="42"/>
      <c r="P888" s="92"/>
      <c r="Q888" s="42"/>
      <c r="R888" s="46"/>
      <c r="S888" s="31"/>
      <c r="T888" s="31"/>
      <c r="U888" s="31"/>
      <c r="V888" s="31"/>
      <c r="W888" s="31"/>
      <c r="X888" s="31"/>
      <c r="Y888" s="31"/>
      <c r="Z888" s="31"/>
      <c r="AA888" s="31"/>
    </row>
    <row r="889" spans="1:27" x14ac:dyDescent="0.2">
      <c r="A889" s="5"/>
      <c r="B889" s="31"/>
      <c r="C889" s="31"/>
      <c r="D889" s="31"/>
      <c r="E889" s="31"/>
      <c r="F889" s="31"/>
      <c r="G889" s="31"/>
      <c r="H889" s="93"/>
      <c r="I889" s="31"/>
      <c r="J889" s="31"/>
      <c r="K889" s="31"/>
      <c r="L889" s="42"/>
      <c r="M889" s="31"/>
      <c r="N889" s="31"/>
      <c r="O889" s="42"/>
      <c r="P889" s="92"/>
      <c r="Q889" s="42"/>
      <c r="R889" s="46"/>
      <c r="S889" s="31"/>
      <c r="T889" s="31"/>
      <c r="U889" s="31"/>
      <c r="V889" s="31"/>
      <c r="W889" s="31"/>
      <c r="X889" s="31"/>
      <c r="Y889" s="31"/>
      <c r="Z889" s="31"/>
      <c r="AA889" s="31"/>
    </row>
    <row r="890" spans="1:27" x14ac:dyDescent="0.2">
      <c r="A890" s="5"/>
      <c r="B890" s="31"/>
      <c r="C890" s="31"/>
      <c r="D890" s="31"/>
      <c r="E890" s="31"/>
      <c r="F890" s="31"/>
      <c r="G890" s="31"/>
      <c r="H890" s="93"/>
      <c r="I890" s="31"/>
      <c r="J890" s="31"/>
      <c r="K890" s="31"/>
      <c r="L890" s="42"/>
      <c r="M890" s="31"/>
      <c r="N890" s="31"/>
      <c r="O890" s="42"/>
      <c r="P890" s="92"/>
      <c r="Q890" s="42"/>
      <c r="R890" s="46"/>
      <c r="S890" s="31"/>
      <c r="T890" s="31"/>
      <c r="U890" s="31"/>
      <c r="V890" s="31"/>
      <c r="W890" s="31"/>
      <c r="X890" s="31"/>
      <c r="Y890" s="31"/>
      <c r="Z890" s="31"/>
      <c r="AA890" s="31"/>
    </row>
    <row r="891" spans="1:27" x14ac:dyDescent="0.2">
      <c r="A891" s="5"/>
      <c r="B891" s="31"/>
      <c r="C891" s="31"/>
      <c r="D891" s="31"/>
      <c r="E891" s="31"/>
      <c r="F891" s="31"/>
      <c r="G891" s="31"/>
      <c r="H891" s="93"/>
      <c r="I891" s="31"/>
      <c r="J891" s="31"/>
      <c r="K891" s="31"/>
      <c r="L891" s="42"/>
      <c r="M891" s="31"/>
      <c r="N891" s="31"/>
      <c r="O891" s="42"/>
      <c r="P891" s="92"/>
      <c r="Q891" s="42"/>
      <c r="R891" s="46"/>
      <c r="S891" s="31"/>
      <c r="T891" s="31"/>
      <c r="U891" s="31"/>
      <c r="V891" s="31"/>
      <c r="W891" s="31"/>
      <c r="X891" s="31"/>
      <c r="Y891" s="31"/>
      <c r="Z891" s="31"/>
      <c r="AA891" s="31"/>
    </row>
    <row r="892" spans="1:27" x14ac:dyDescent="0.2">
      <c r="A892" s="5"/>
      <c r="B892" s="31"/>
      <c r="C892" s="31"/>
      <c r="D892" s="31"/>
      <c r="E892" s="31"/>
      <c r="F892" s="31"/>
      <c r="G892" s="31"/>
      <c r="H892" s="93"/>
      <c r="I892" s="31"/>
      <c r="J892" s="31"/>
      <c r="K892" s="31"/>
      <c r="L892" s="42"/>
      <c r="M892" s="31"/>
      <c r="N892" s="31"/>
      <c r="O892" s="42"/>
      <c r="P892" s="92"/>
      <c r="Q892" s="42"/>
      <c r="R892" s="46"/>
      <c r="S892" s="31"/>
      <c r="T892" s="31"/>
      <c r="U892" s="31"/>
      <c r="V892" s="31"/>
      <c r="W892" s="31"/>
      <c r="X892" s="31"/>
      <c r="Y892" s="31"/>
      <c r="Z892" s="31"/>
      <c r="AA892" s="31"/>
    </row>
    <row r="893" spans="1:27" x14ac:dyDescent="0.2">
      <c r="A893" s="5"/>
      <c r="B893" s="31"/>
      <c r="C893" s="31"/>
      <c r="D893" s="31"/>
      <c r="E893" s="31"/>
      <c r="F893" s="31"/>
      <c r="G893" s="31"/>
      <c r="H893" s="93"/>
      <c r="I893" s="31"/>
      <c r="J893" s="31"/>
      <c r="K893" s="31"/>
      <c r="L893" s="42"/>
      <c r="M893" s="31"/>
      <c r="N893" s="31"/>
      <c r="O893" s="42"/>
      <c r="P893" s="92"/>
      <c r="Q893" s="42"/>
      <c r="R893" s="46"/>
      <c r="S893" s="31"/>
      <c r="T893" s="31"/>
      <c r="U893" s="31"/>
      <c r="V893" s="31"/>
      <c r="W893" s="31"/>
      <c r="X893" s="31"/>
      <c r="Y893" s="31"/>
      <c r="Z893" s="31"/>
      <c r="AA893" s="31"/>
    </row>
    <row r="894" spans="1:27" x14ac:dyDescent="0.2">
      <c r="A894" s="5"/>
      <c r="B894" s="31"/>
      <c r="C894" s="31"/>
      <c r="D894" s="31"/>
      <c r="E894" s="31"/>
      <c r="F894" s="31"/>
      <c r="G894" s="31"/>
      <c r="H894" s="93"/>
      <c r="I894" s="31"/>
      <c r="J894" s="31"/>
      <c r="K894" s="31"/>
      <c r="L894" s="42"/>
      <c r="M894" s="31"/>
      <c r="N894" s="31"/>
      <c r="O894" s="42"/>
      <c r="P894" s="92"/>
      <c r="Q894" s="42"/>
      <c r="R894" s="46"/>
      <c r="S894" s="31"/>
      <c r="T894" s="31"/>
      <c r="U894" s="31"/>
      <c r="V894" s="31"/>
      <c r="W894" s="31"/>
      <c r="X894" s="31"/>
      <c r="Y894" s="31"/>
      <c r="Z894" s="31"/>
      <c r="AA894" s="31"/>
    </row>
    <row r="895" spans="1:27" x14ac:dyDescent="0.2">
      <c r="A895" s="5"/>
      <c r="B895" s="31"/>
      <c r="C895" s="31"/>
      <c r="D895" s="31"/>
      <c r="E895" s="31"/>
      <c r="F895" s="31"/>
      <c r="G895" s="31"/>
      <c r="H895" s="93"/>
      <c r="I895" s="31"/>
      <c r="J895" s="31"/>
      <c r="K895" s="31"/>
      <c r="L895" s="42"/>
      <c r="M895" s="31"/>
      <c r="N895" s="31"/>
      <c r="O895" s="42"/>
      <c r="P895" s="92"/>
      <c r="Q895" s="42"/>
      <c r="R895" s="46"/>
      <c r="S895" s="31"/>
      <c r="T895" s="31"/>
      <c r="U895" s="31"/>
      <c r="V895" s="31"/>
      <c r="W895" s="31"/>
      <c r="X895" s="31"/>
      <c r="Y895" s="31"/>
      <c r="Z895" s="31"/>
      <c r="AA895" s="31"/>
    </row>
    <row r="896" spans="1:27" x14ac:dyDescent="0.2">
      <c r="A896" s="5"/>
      <c r="B896" s="31"/>
      <c r="C896" s="31"/>
      <c r="D896" s="31"/>
      <c r="E896" s="31"/>
      <c r="F896" s="31"/>
      <c r="G896" s="31"/>
      <c r="H896" s="93"/>
      <c r="I896" s="31"/>
      <c r="J896" s="31"/>
      <c r="K896" s="31"/>
      <c r="L896" s="42"/>
      <c r="M896" s="31"/>
      <c r="N896" s="31"/>
      <c r="O896" s="42"/>
      <c r="P896" s="92"/>
      <c r="Q896" s="42"/>
      <c r="R896" s="46"/>
      <c r="S896" s="31"/>
      <c r="T896" s="31"/>
      <c r="U896" s="31"/>
      <c r="V896" s="31"/>
      <c r="W896" s="31"/>
      <c r="X896" s="31"/>
      <c r="Y896" s="31"/>
      <c r="Z896" s="31"/>
      <c r="AA896" s="31"/>
    </row>
    <row r="897" spans="1:27" x14ac:dyDescent="0.2">
      <c r="A897" s="5"/>
      <c r="B897" s="31"/>
      <c r="C897" s="31"/>
      <c r="D897" s="31"/>
      <c r="E897" s="31"/>
      <c r="F897" s="31"/>
      <c r="G897" s="31"/>
      <c r="H897" s="93"/>
      <c r="I897" s="31"/>
      <c r="J897" s="31"/>
      <c r="K897" s="31"/>
      <c r="L897" s="42"/>
      <c r="M897" s="31"/>
      <c r="N897" s="31"/>
      <c r="O897" s="42"/>
      <c r="P897" s="92"/>
      <c r="Q897" s="42"/>
      <c r="R897" s="46"/>
      <c r="S897" s="31"/>
      <c r="T897" s="31"/>
      <c r="U897" s="31"/>
      <c r="V897" s="31"/>
      <c r="W897" s="31"/>
      <c r="X897" s="31"/>
      <c r="Y897" s="31"/>
      <c r="Z897" s="31"/>
      <c r="AA897" s="31"/>
    </row>
    <row r="898" spans="1:27" x14ac:dyDescent="0.2">
      <c r="A898" s="5"/>
      <c r="B898" s="31"/>
      <c r="C898" s="31"/>
      <c r="D898" s="31"/>
      <c r="E898" s="31"/>
      <c r="F898" s="31"/>
      <c r="G898" s="31"/>
      <c r="H898" s="93"/>
      <c r="I898" s="31"/>
      <c r="J898" s="31"/>
      <c r="K898" s="31"/>
      <c r="L898" s="42"/>
      <c r="M898" s="31"/>
      <c r="N898" s="31"/>
      <c r="O898" s="42"/>
      <c r="P898" s="92"/>
      <c r="Q898" s="42"/>
      <c r="R898" s="46"/>
      <c r="S898" s="31"/>
      <c r="T898" s="31"/>
      <c r="U898" s="31"/>
      <c r="V898" s="31"/>
      <c r="W898" s="31"/>
      <c r="X898" s="31"/>
      <c r="Y898" s="31"/>
      <c r="Z898" s="31"/>
      <c r="AA898" s="31"/>
    </row>
    <row r="899" spans="1:27" x14ac:dyDescent="0.2">
      <c r="A899" s="5"/>
      <c r="B899" s="31"/>
      <c r="C899" s="31"/>
      <c r="D899" s="31"/>
      <c r="E899" s="31"/>
      <c r="F899" s="31"/>
      <c r="G899" s="31"/>
      <c r="H899" s="93"/>
      <c r="I899" s="31"/>
      <c r="J899" s="31"/>
      <c r="K899" s="31"/>
      <c r="L899" s="42"/>
      <c r="M899" s="31"/>
      <c r="N899" s="31"/>
      <c r="O899" s="42"/>
      <c r="P899" s="92"/>
      <c r="Q899" s="42"/>
      <c r="R899" s="46"/>
      <c r="S899" s="31"/>
      <c r="T899" s="31"/>
      <c r="U899" s="31"/>
      <c r="V899" s="31"/>
      <c r="W899" s="31"/>
      <c r="X899" s="31"/>
      <c r="Y899" s="31"/>
      <c r="Z899" s="31"/>
      <c r="AA899" s="31"/>
    </row>
    <row r="900" spans="1:27" x14ac:dyDescent="0.2">
      <c r="A900" s="5"/>
      <c r="B900" s="31"/>
      <c r="C900" s="31"/>
      <c r="D900" s="31"/>
      <c r="E900" s="31"/>
      <c r="F900" s="31"/>
      <c r="G900" s="31"/>
      <c r="H900" s="93"/>
      <c r="I900" s="31"/>
      <c r="J900" s="31"/>
      <c r="K900" s="31"/>
      <c r="L900" s="42"/>
      <c r="M900" s="31"/>
      <c r="N900" s="31"/>
      <c r="O900" s="42"/>
      <c r="P900" s="92"/>
      <c r="Q900" s="42"/>
      <c r="R900" s="46"/>
      <c r="S900" s="31"/>
      <c r="T900" s="31"/>
      <c r="U900" s="31"/>
      <c r="V900" s="31"/>
      <c r="W900" s="31"/>
      <c r="X900" s="31"/>
      <c r="Y900" s="31"/>
      <c r="Z900" s="31"/>
      <c r="AA900" s="31"/>
    </row>
    <row r="901" spans="1:27" x14ac:dyDescent="0.2">
      <c r="A901" s="5"/>
      <c r="B901" s="31"/>
      <c r="C901" s="31"/>
      <c r="D901" s="31"/>
      <c r="E901" s="31"/>
      <c r="F901" s="31"/>
      <c r="G901" s="31"/>
      <c r="H901" s="93"/>
      <c r="I901" s="31"/>
      <c r="J901" s="31"/>
      <c r="K901" s="31"/>
      <c r="L901" s="42"/>
      <c r="M901" s="31"/>
      <c r="N901" s="31"/>
      <c r="O901" s="42"/>
      <c r="P901" s="92"/>
      <c r="Q901" s="42"/>
      <c r="R901" s="46"/>
      <c r="S901" s="31"/>
      <c r="T901" s="31"/>
      <c r="U901" s="31"/>
      <c r="V901" s="31"/>
      <c r="W901" s="31"/>
      <c r="X901" s="31"/>
      <c r="Y901" s="31"/>
      <c r="Z901" s="31"/>
      <c r="AA901" s="31"/>
    </row>
    <row r="902" spans="1:27" x14ac:dyDescent="0.2">
      <c r="A902" s="5"/>
      <c r="B902" s="31"/>
      <c r="C902" s="31"/>
      <c r="D902" s="31"/>
      <c r="E902" s="31"/>
      <c r="F902" s="31"/>
      <c r="G902" s="31"/>
      <c r="H902" s="93"/>
      <c r="I902" s="31"/>
      <c r="J902" s="31"/>
      <c r="K902" s="31"/>
      <c r="L902" s="42"/>
      <c r="M902" s="31"/>
      <c r="N902" s="31"/>
      <c r="O902" s="42"/>
      <c r="P902" s="92"/>
      <c r="Q902" s="42"/>
      <c r="R902" s="46"/>
      <c r="S902" s="31"/>
      <c r="T902" s="31"/>
      <c r="U902" s="31"/>
      <c r="V902" s="31"/>
      <c r="W902" s="31"/>
      <c r="X902" s="31"/>
      <c r="Y902" s="31"/>
      <c r="Z902" s="31"/>
      <c r="AA902" s="31"/>
    </row>
    <row r="903" spans="1:27" x14ac:dyDescent="0.2">
      <c r="A903" s="5"/>
      <c r="B903" s="31"/>
      <c r="C903" s="31"/>
      <c r="D903" s="31"/>
      <c r="E903" s="31"/>
      <c r="F903" s="31"/>
      <c r="G903" s="31"/>
      <c r="H903" s="93"/>
      <c r="I903" s="31"/>
      <c r="J903" s="31"/>
      <c r="K903" s="31"/>
      <c r="L903" s="42"/>
      <c r="M903" s="31"/>
      <c r="N903" s="31"/>
      <c r="O903" s="42"/>
      <c r="P903" s="92"/>
      <c r="Q903" s="42"/>
      <c r="R903" s="46"/>
      <c r="S903" s="31"/>
      <c r="T903" s="31"/>
      <c r="U903" s="31"/>
      <c r="V903" s="31"/>
      <c r="W903" s="31"/>
      <c r="X903" s="31"/>
      <c r="Y903" s="31"/>
      <c r="Z903" s="31"/>
      <c r="AA903" s="31"/>
    </row>
    <row r="904" spans="1:27" x14ac:dyDescent="0.2">
      <c r="A904" s="5"/>
      <c r="B904" s="31"/>
      <c r="C904" s="31"/>
      <c r="D904" s="31"/>
      <c r="E904" s="31"/>
      <c r="F904" s="31"/>
      <c r="G904" s="31"/>
      <c r="H904" s="93"/>
      <c r="I904" s="31"/>
      <c r="J904" s="31"/>
      <c r="K904" s="31"/>
      <c r="L904" s="42"/>
      <c r="M904" s="31"/>
      <c r="N904" s="31"/>
      <c r="O904" s="42"/>
      <c r="P904" s="92"/>
      <c r="Q904" s="42"/>
      <c r="R904" s="46"/>
      <c r="S904" s="31"/>
      <c r="T904" s="31"/>
      <c r="U904" s="31"/>
      <c r="V904" s="31"/>
      <c r="W904" s="31"/>
      <c r="X904" s="31"/>
      <c r="Y904" s="31"/>
      <c r="Z904" s="31"/>
      <c r="AA904" s="31"/>
    </row>
    <row r="905" spans="1:27" x14ac:dyDescent="0.2">
      <c r="A905" s="5"/>
      <c r="B905" s="31"/>
      <c r="C905" s="31"/>
      <c r="D905" s="31"/>
      <c r="E905" s="31"/>
      <c r="F905" s="31"/>
      <c r="G905" s="31"/>
      <c r="H905" s="93"/>
      <c r="I905" s="31"/>
      <c r="J905" s="31"/>
      <c r="K905" s="31"/>
      <c r="L905" s="42"/>
      <c r="M905" s="31"/>
      <c r="N905" s="31"/>
      <c r="O905" s="42"/>
      <c r="P905" s="92"/>
      <c r="Q905" s="42"/>
      <c r="R905" s="46"/>
      <c r="S905" s="31"/>
      <c r="T905" s="31"/>
      <c r="U905" s="31"/>
      <c r="V905" s="31"/>
      <c r="W905" s="31"/>
      <c r="X905" s="31"/>
      <c r="Y905" s="31"/>
      <c r="Z905" s="31"/>
      <c r="AA905" s="31"/>
    </row>
    <row r="906" spans="1:27" x14ac:dyDescent="0.2">
      <c r="A906" s="5"/>
      <c r="B906" s="31"/>
      <c r="C906" s="31"/>
      <c r="D906" s="31"/>
      <c r="E906" s="31"/>
      <c r="F906" s="31"/>
      <c r="G906" s="31"/>
      <c r="H906" s="93"/>
      <c r="I906" s="31"/>
      <c r="J906" s="31"/>
      <c r="K906" s="31"/>
      <c r="L906" s="42"/>
      <c r="M906" s="31"/>
      <c r="N906" s="31"/>
      <c r="O906" s="42"/>
      <c r="P906" s="92"/>
      <c r="Q906" s="42"/>
      <c r="R906" s="46"/>
      <c r="S906" s="31"/>
      <c r="T906" s="31"/>
      <c r="U906" s="31"/>
      <c r="V906" s="31"/>
      <c r="W906" s="31"/>
      <c r="X906" s="31"/>
      <c r="Y906" s="31"/>
      <c r="Z906" s="31"/>
      <c r="AA906" s="31"/>
    </row>
    <row r="907" spans="1:27" x14ac:dyDescent="0.2">
      <c r="A907" s="5"/>
      <c r="B907" s="31"/>
      <c r="C907" s="31"/>
      <c r="D907" s="31"/>
      <c r="E907" s="31"/>
      <c r="F907" s="31"/>
      <c r="G907" s="31"/>
      <c r="H907" s="93"/>
      <c r="I907" s="31"/>
      <c r="J907" s="31"/>
      <c r="K907" s="31"/>
      <c r="L907" s="42"/>
      <c r="M907" s="31"/>
      <c r="N907" s="31"/>
      <c r="O907" s="42"/>
      <c r="P907" s="92"/>
      <c r="Q907" s="42"/>
      <c r="R907" s="46"/>
      <c r="S907" s="31"/>
      <c r="T907" s="31"/>
      <c r="U907" s="31"/>
      <c r="V907" s="31"/>
      <c r="W907" s="31"/>
      <c r="X907" s="31"/>
      <c r="Y907" s="31"/>
      <c r="Z907" s="31"/>
      <c r="AA907" s="31"/>
    </row>
    <row r="908" spans="1:27" x14ac:dyDescent="0.2">
      <c r="A908" s="5"/>
      <c r="B908" s="31"/>
      <c r="C908" s="31"/>
      <c r="D908" s="31"/>
      <c r="E908" s="31"/>
      <c r="F908" s="31"/>
      <c r="G908" s="31"/>
      <c r="H908" s="93"/>
      <c r="I908" s="31"/>
      <c r="J908" s="31"/>
      <c r="K908" s="31"/>
      <c r="L908" s="42"/>
      <c r="M908" s="31"/>
      <c r="N908" s="31"/>
      <c r="O908" s="42"/>
      <c r="P908" s="92"/>
      <c r="Q908" s="42"/>
      <c r="R908" s="46"/>
      <c r="S908" s="31"/>
      <c r="T908" s="31"/>
      <c r="U908" s="31"/>
      <c r="V908" s="31"/>
      <c r="W908" s="31"/>
      <c r="X908" s="31"/>
      <c r="Y908" s="31"/>
      <c r="Z908" s="31"/>
      <c r="AA908" s="31"/>
    </row>
    <row r="909" spans="1:27" x14ac:dyDescent="0.2">
      <c r="A909" s="5"/>
      <c r="B909" s="31"/>
      <c r="C909" s="31"/>
      <c r="D909" s="31"/>
      <c r="E909" s="31"/>
      <c r="F909" s="31"/>
      <c r="G909" s="31"/>
      <c r="H909" s="93"/>
      <c r="I909" s="31"/>
      <c r="J909" s="31"/>
      <c r="K909" s="31"/>
      <c r="L909" s="42"/>
      <c r="M909" s="31"/>
      <c r="N909" s="31"/>
      <c r="O909" s="42"/>
      <c r="P909" s="92"/>
      <c r="Q909" s="42"/>
      <c r="R909" s="46"/>
      <c r="S909" s="31"/>
      <c r="T909" s="31"/>
      <c r="U909" s="31"/>
      <c r="V909" s="31"/>
      <c r="W909" s="31"/>
      <c r="X909" s="31"/>
      <c r="Y909" s="31"/>
      <c r="Z909" s="31"/>
      <c r="AA909" s="31"/>
    </row>
    <row r="910" spans="1:27" x14ac:dyDescent="0.2">
      <c r="A910" s="5"/>
      <c r="B910" s="31"/>
      <c r="C910" s="31"/>
      <c r="D910" s="31"/>
      <c r="E910" s="31"/>
      <c r="F910" s="31"/>
      <c r="G910" s="31"/>
      <c r="H910" s="93"/>
      <c r="I910" s="31"/>
      <c r="J910" s="31"/>
      <c r="K910" s="31"/>
      <c r="L910" s="42"/>
      <c r="M910" s="31"/>
      <c r="N910" s="31"/>
      <c r="O910" s="42"/>
      <c r="P910" s="92"/>
      <c r="Q910" s="42"/>
      <c r="R910" s="46"/>
      <c r="S910" s="31"/>
      <c r="T910" s="31"/>
      <c r="U910" s="31"/>
      <c r="V910" s="31"/>
      <c r="W910" s="31"/>
      <c r="X910" s="31"/>
      <c r="Y910" s="31"/>
      <c r="Z910" s="31"/>
      <c r="AA910" s="31"/>
    </row>
    <row r="911" spans="1:27" x14ac:dyDescent="0.2">
      <c r="A911" s="5"/>
      <c r="B911" s="31"/>
      <c r="C911" s="31"/>
      <c r="D911" s="31"/>
      <c r="E911" s="31"/>
      <c r="F911" s="31"/>
      <c r="G911" s="31"/>
      <c r="H911" s="93"/>
      <c r="I911" s="31"/>
      <c r="J911" s="31"/>
      <c r="K911" s="31"/>
      <c r="L911" s="42"/>
      <c r="M911" s="31"/>
      <c r="N911" s="31"/>
      <c r="O911" s="42"/>
      <c r="P911" s="92"/>
      <c r="Q911" s="42"/>
      <c r="R911" s="46"/>
      <c r="S911" s="31"/>
      <c r="T911" s="31"/>
      <c r="U911" s="31"/>
      <c r="V911" s="31"/>
      <c r="W911" s="31"/>
      <c r="X911" s="31"/>
      <c r="Y911" s="31"/>
      <c r="Z911" s="31"/>
      <c r="AA911" s="31"/>
    </row>
    <row r="912" spans="1:27" x14ac:dyDescent="0.2">
      <c r="A912" s="5"/>
      <c r="B912" s="31"/>
      <c r="C912" s="31"/>
      <c r="D912" s="31"/>
      <c r="E912" s="31"/>
      <c r="F912" s="31"/>
      <c r="G912" s="31"/>
      <c r="H912" s="93"/>
      <c r="I912" s="31"/>
      <c r="J912" s="31"/>
      <c r="K912" s="31"/>
      <c r="L912" s="42"/>
      <c r="M912" s="31"/>
      <c r="N912" s="31"/>
      <c r="O912" s="42"/>
      <c r="P912" s="92"/>
      <c r="Q912" s="42"/>
      <c r="R912" s="46"/>
      <c r="S912" s="31"/>
      <c r="T912" s="31"/>
      <c r="U912" s="31"/>
      <c r="V912" s="31"/>
      <c r="W912" s="31"/>
      <c r="X912" s="31"/>
      <c r="Y912" s="31"/>
      <c r="Z912" s="31"/>
      <c r="AA912" s="31"/>
    </row>
    <row r="913" spans="1:27" x14ac:dyDescent="0.2">
      <c r="A913" s="5"/>
      <c r="B913" s="31"/>
      <c r="C913" s="31"/>
      <c r="D913" s="31"/>
      <c r="E913" s="31"/>
      <c r="F913" s="31"/>
      <c r="G913" s="31"/>
      <c r="H913" s="93"/>
      <c r="I913" s="31"/>
      <c r="J913" s="31"/>
      <c r="K913" s="31"/>
      <c r="L913" s="42"/>
      <c r="M913" s="31"/>
      <c r="N913" s="31"/>
      <c r="O913" s="42"/>
      <c r="P913" s="92"/>
      <c r="Q913" s="42"/>
      <c r="R913" s="46"/>
      <c r="S913" s="31"/>
      <c r="T913" s="31"/>
      <c r="U913" s="31"/>
      <c r="V913" s="31"/>
      <c r="W913" s="31"/>
      <c r="X913" s="31"/>
      <c r="Y913" s="31"/>
      <c r="Z913" s="31"/>
      <c r="AA913" s="31"/>
    </row>
    <row r="914" spans="1:27" x14ac:dyDescent="0.2">
      <c r="A914" s="5"/>
      <c r="B914" s="31"/>
      <c r="C914" s="31"/>
      <c r="D914" s="31"/>
      <c r="E914" s="31"/>
      <c r="F914" s="31"/>
      <c r="G914" s="31"/>
      <c r="H914" s="93"/>
      <c r="I914" s="31"/>
      <c r="J914" s="31"/>
      <c r="K914" s="31"/>
      <c r="L914" s="42"/>
      <c r="M914" s="31"/>
      <c r="N914" s="31"/>
      <c r="O914" s="42"/>
      <c r="P914" s="92"/>
      <c r="Q914" s="42"/>
      <c r="R914" s="46"/>
      <c r="S914" s="31"/>
      <c r="T914" s="31"/>
      <c r="U914" s="31"/>
      <c r="V914" s="31"/>
      <c r="W914" s="31"/>
      <c r="X914" s="31"/>
      <c r="Y914" s="31"/>
      <c r="Z914" s="31"/>
      <c r="AA914" s="31"/>
    </row>
    <row r="915" spans="1:27" x14ac:dyDescent="0.2">
      <c r="A915" s="5"/>
      <c r="B915" s="31"/>
      <c r="C915" s="31"/>
      <c r="D915" s="31"/>
      <c r="E915" s="31"/>
      <c r="F915" s="31"/>
      <c r="G915" s="31"/>
      <c r="H915" s="93"/>
      <c r="I915" s="31"/>
      <c r="J915" s="31"/>
      <c r="K915" s="31"/>
      <c r="L915" s="42"/>
      <c r="M915" s="31"/>
      <c r="N915" s="31"/>
      <c r="O915" s="42"/>
      <c r="P915" s="92"/>
      <c r="Q915" s="42"/>
      <c r="R915" s="46"/>
      <c r="S915" s="31"/>
      <c r="T915" s="31"/>
      <c r="U915" s="31"/>
      <c r="V915" s="31"/>
      <c r="W915" s="31"/>
      <c r="X915" s="31"/>
      <c r="Y915" s="31"/>
      <c r="Z915" s="31"/>
      <c r="AA915" s="31"/>
    </row>
    <row r="916" spans="1:27" x14ac:dyDescent="0.2">
      <c r="A916" s="5"/>
      <c r="B916" s="31"/>
      <c r="C916" s="31"/>
      <c r="D916" s="31"/>
      <c r="E916" s="31"/>
      <c r="F916" s="31"/>
      <c r="G916" s="31"/>
      <c r="H916" s="93"/>
      <c r="I916" s="31"/>
      <c r="J916" s="31"/>
      <c r="K916" s="31"/>
      <c r="L916" s="42"/>
      <c r="M916" s="31"/>
      <c r="N916" s="31"/>
      <c r="O916" s="42"/>
      <c r="P916" s="92"/>
      <c r="Q916" s="42"/>
      <c r="R916" s="46"/>
      <c r="S916" s="31"/>
      <c r="T916" s="31"/>
      <c r="U916" s="31"/>
      <c r="V916" s="31"/>
      <c r="W916" s="31"/>
      <c r="X916" s="31"/>
      <c r="Y916" s="31"/>
      <c r="Z916" s="31"/>
      <c r="AA916" s="31"/>
    </row>
    <row r="917" spans="1:27" x14ac:dyDescent="0.2">
      <c r="A917" s="5"/>
      <c r="B917" s="31"/>
      <c r="C917" s="31"/>
      <c r="D917" s="31"/>
      <c r="E917" s="31"/>
      <c r="F917" s="31"/>
      <c r="G917" s="31"/>
      <c r="H917" s="93"/>
      <c r="I917" s="31"/>
      <c r="J917" s="31"/>
      <c r="K917" s="31"/>
      <c r="L917" s="42"/>
      <c r="M917" s="31"/>
      <c r="N917" s="31"/>
      <c r="O917" s="42"/>
      <c r="P917" s="92"/>
      <c r="Q917" s="42"/>
      <c r="R917" s="46"/>
      <c r="S917" s="31"/>
      <c r="T917" s="31"/>
      <c r="U917" s="31"/>
      <c r="V917" s="31"/>
      <c r="W917" s="31"/>
      <c r="X917" s="31"/>
      <c r="Y917" s="31"/>
      <c r="Z917" s="31"/>
      <c r="AA917" s="31"/>
    </row>
    <row r="918" spans="1:27" x14ac:dyDescent="0.2">
      <c r="A918" s="5"/>
      <c r="B918" s="31"/>
      <c r="C918" s="31"/>
      <c r="D918" s="31"/>
      <c r="E918" s="31"/>
      <c r="F918" s="31"/>
      <c r="G918" s="31"/>
      <c r="H918" s="93"/>
      <c r="I918" s="31"/>
      <c r="J918" s="31"/>
      <c r="K918" s="31"/>
      <c r="L918" s="42"/>
      <c r="M918" s="31"/>
      <c r="N918" s="31"/>
      <c r="O918" s="42"/>
      <c r="P918" s="92"/>
      <c r="Q918" s="42"/>
      <c r="R918" s="46"/>
      <c r="S918" s="31"/>
      <c r="T918" s="31"/>
      <c r="U918" s="31"/>
      <c r="V918" s="31"/>
      <c r="W918" s="31"/>
      <c r="X918" s="31"/>
      <c r="Y918" s="31"/>
      <c r="Z918" s="31"/>
      <c r="AA918" s="31"/>
    </row>
    <row r="919" spans="1:27" x14ac:dyDescent="0.2">
      <c r="A919" s="5"/>
      <c r="B919" s="31"/>
      <c r="C919" s="31"/>
      <c r="D919" s="31"/>
      <c r="E919" s="31"/>
      <c r="F919" s="31"/>
      <c r="G919" s="31"/>
      <c r="H919" s="93"/>
      <c r="I919" s="31"/>
      <c r="J919" s="31"/>
      <c r="K919" s="31"/>
      <c r="L919" s="42"/>
      <c r="M919" s="31"/>
      <c r="N919" s="31"/>
      <c r="O919" s="42"/>
      <c r="P919" s="92"/>
      <c r="Q919" s="42"/>
      <c r="R919" s="46"/>
      <c r="S919" s="31"/>
      <c r="T919" s="31"/>
      <c r="U919" s="31"/>
      <c r="V919" s="31"/>
      <c r="W919" s="31"/>
      <c r="X919" s="31"/>
      <c r="Y919" s="31"/>
      <c r="Z919" s="31"/>
      <c r="AA919" s="31"/>
    </row>
    <row r="920" spans="1:27" x14ac:dyDescent="0.2">
      <c r="A920" s="5"/>
      <c r="B920" s="31"/>
      <c r="C920" s="31"/>
      <c r="D920" s="31"/>
      <c r="E920" s="31"/>
      <c r="F920" s="31"/>
      <c r="G920" s="31"/>
      <c r="H920" s="93"/>
      <c r="I920" s="31"/>
      <c r="J920" s="31"/>
      <c r="K920" s="31"/>
      <c r="L920" s="42"/>
      <c r="M920" s="31"/>
      <c r="N920" s="31"/>
      <c r="O920" s="42"/>
      <c r="P920" s="92"/>
      <c r="Q920" s="42"/>
      <c r="R920" s="46"/>
      <c r="S920" s="31"/>
      <c r="T920" s="31"/>
      <c r="U920" s="31"/>
      <c r="V920" s="31"/>
      <c r="W920" s="31"/>
      <c r="X920" s="31"/>
      <c r="Y920" s="31"/>
      <c r="Z920" s="31"/>
      <c r="AA920" s="31"/>
    </row>
    <row r="921" spans="1:27" x14ac:dyDescent="0.2">
      <c r="A921" s="5"/>
      <c r="B921" s="31"/>
      <c r="C921" s="31"/>
      <c r="D921" s="31"/>
      <c r="E921" s="31"/>
      <c r="F921" s="31"/>
      <c r="G921" s="31"/>
      <c r="H921" s="93"/>
      <c r="I921" s="31"/>
      <c r="J921" s="31"/>
      <c r="K921" s="31"/>
      <c r="L921" s="42"/>
      <c r="M921" s="31"/>
      <c r="N921" s="31"/>
      <c r="O921" s="42"/>
      <c r="P921" s="92"/>
      <c r="Q921" s="42"/>
      <c r="R921" s="46"/>
      <c r="S921" s="31"/>
      <c r="T921" s="31"/>
      <c r="U921" s="31"/>
      <c r="V921" s="31"/>
      <c r="W921" s="31"/>
      <c r="X921" s="31"/>
      <c r="Y921" s="31"/>
      <c r="Z921" s="31"/>
      <c r="AA921" s="31"/>
    </row>
    <row r="922" spans="1:27" x14ac:dyDescent="0.2">
      <c r="A922" s="5"/>
      <c r="B922" s="31"/>
      <c r="C922" s="31"/>
      <c r="D922" s="31"/>
      <c r="E922" s="31"/>
      <c r="F922" s="31"/>
      <c r="G922" s="31"/>
      <c r="H922" s="93"/>
      <c r="I922" s="31"/>
      <c r="J922" s="31"/>
      <c r="K922" s="31"/>
      <c r="L922" s="42"/>
      <c r="M922" s="31"/>
      <c r="N922" s="31"/>
      <c r="O922" s="42"/>
      <c r="P922" s="92"/>
      <c r="Q922" s="42"/>
      <c r="R922" s="46"/>
      <c r="S922" s="31"/>
      <c r="T922" s="31"/>
      <c r="U922" s="31"/>
      <c r="V922" s="31"/>
      <c r="W922" s="31"/>
      <c r="X922" s="31"/>
      <c r="Y922" s="31"/>
      <c r="Z922" s="31"/>
      <c r="AA922" s="31"/>
    </row>
    <row r="923" spans="1:27" x14ac:dyDescent="0.2">
      <c r="A923" s="5"/>
      <c r="B923" s="31"/>
      <c r="C923" s="31"/>
      <c r="D923" s="31"/>
      <c r="E923" s="31"/>
      <c r="F923" s="31"/>
      <c r="G923" s="31"/>
      <c r="H923" s="93"/>
      <c r="I923" s="31"/>
      <c r="J923" s="31"/>
      <c r="K923" s="31"/>
      <c r="L923" s="42"/>
      <c r="M923" s="31"/>
      <c r="N923" s="31"/>
      <c r="O923" s="42"/>
      <c r="P923" s="92"/>
      <c r="Q923" s="42"/>
      <c r="R923" s="46"/>
      <c r="S923" s="31"/>
      <c r="T923" s="31"/>
      <c r="U923" s="31"/>
      <c r="V923" s="31"/>
      <c r="W923" s="31"/>
      <c r="X923" s="31"/>
      <c r="Y923" s="31"/>
      <c r="Z923" s="31"/>
      <c r="AA923" s="31"/>
    </row>
    <row r="924" spans="1:27" x14ac:dyDescent="0.2">
      <c r="A924" s="5"/>
      <c r="B924" s="31"/>
      <c r="C924" s="31"/>
      <c r="D924" s="31"/>
      <c r="E924" s="31"/>
      <c r="F924" s="31"/>
      <c r="G924" s="31"/>
      <c r="H924" s="93"/>
      <c r="I924" s="31"/>
      <c r="J924" s="31"/>
      <c r="K924" s="31"/>
      <c r="L924" s="42"/>
      <c r="M924" s="31"/>
      <c r="N924" s="31"/>
      <c r="O924" s="42"/>
      <c r="P924" s="92"/>
      <c r="Q924" s="42"/>
      <c r="R924" s="46"/>
      <c r="S924" s="31"/>
      <c r="T924" s="31"/>
      <c r="U924" s="31"/>
      <c r="V924" s="31"/>
      <c r="W924" s="31"/>
      <c r="X924" s="31"/>
      <c r="Y924" s="31"/>
      <c r="Z924" s="31"/>
      <c r="AA924" s="31"/>
    </row>
    <row r="925" spans="1:27" x14ac:dyDescent="0.2">
      <c r="A925" s="5"/>
      <c r="B925" s="31"/>
      <c r="C925" s="31"/>
      <c r="D925" s="31"/>
      <c r="E925" s="31"/>
      <c r="F925" s="31"/>
      <c r="G925" s="31"/>
      <c r="H925" s="93"/>
      <c r="I925" s="31"/>
      <c r="J925" s="31"/>
      <c r="K925" s="31"/>
      <c r="L925" s="42"/>
      <c r="M925" s="31"/>
      <c r="N925" s="31"/>
      <c r="O925" s="42"/>
      <c r="P925" s="92"/>
      <c r="Q925" s="42"/>
      <c r="R925" s="46"/>
      <c r="S925" s="31"/>
      <c r="T925" s="31"/>
      <c r="U925" s="31"/>
      <c r="V925" s="31"/>
      <c r="W925" s="31"/>
      <c r="X925" s="31"/>
      <c r="Y925" s="31"/>
      <c r="Z925" s="31"/>
      <c r="AA925" s="31"/>
    </row>
    <row r="926" spans="1:27" x14ac:dyDescent="0.2">
      <c r="A926" s="5"/>
      <c r="B926" s="31"/>
      <c r="C926" s="31"/>
      <c r="D926" s="31"/>
      <c r="E926" s="31"/>
      <c r="F926" s="31"/>
      <c r="G926" s="31"/>
      <c r="H926" s="93"/>
      <c r="I926" s="31"/>
      <c r="J926" s="31"/>
      <c r="K926" s="31"/>
      <c r="L926" s="42"/>
      <c r="M926" s="31"/>
      <c r="N926" s="31"/>
      <c r="O926" s="42"/>
      <c r="P926" s="92"/>
      <c r="Q926" s="42"/>
      <c r="R926" s="46"/>
      <c r="S926" s="31"/>
      <c r="T926" s="31"/>
      <c r="U926" s="31"/>
      <c r="V926" s="31"/>
      <c r="W926" s="31"/>
      <c r="X926" s="31"/>
      <c r="Y926" s="31"/>
      <c r="Z926" s="31"/>
      <c r="AA926" s="31"/>
    </row>
    <row r="927" spans="1:27" x14ac:dyDescent="0.2">
      <c r="A927" s="5"/>
      <c r="B927" s="31"/>
      <c r="C927" s="31"/>
      <c r="D927" s="31"/>
      <c r="E927" s="31"/>
      <c r="F927" s="31"/>
      <c r="G927" s="31"/>
      <c r="H927" s="93"/>
      <c r="I927" s="31"/>
      <c r="J927" s="31"/>
      <c r="K927" s="31"/>
      <c r="L927" s="42"/>
      <c r="M927" s="31"/>
      <c r="N927" s="31"/>
      <c r="O927" s="42"/>
      <c r="P927" s="92"/>
      <c r="Q927" s="42"/>
      <c r="R927" s="46"/>
      <c r="S927" s="31"/>
      <c r="T927" s="31"/>
      <c r="U927" s="31"/>
      <c r="V927" s="31"/>
      <c r="W927" s="31"/>
      <c r="X927" s="31"/>
      <c r="Y927" s="31"/>
      <c r="Z927" s="31"/>
      <c r="AA927" s="31"/>
    </row>
    <row r="928" spans="1:27" x14ac:dyDescent="0.2">
      <c r="A928" s="5"/>
      <c r="B928" s="31"/>
      <c r="C928" s="31"/>
      <c r="D928" s="31"/>
      <c r="E928" s="31"/>
      <c r="F928" s="31"/>
      <c r="G928" s="31"/>
      <c r="H928" s="93"/>
      <c r="I928" s="31"/>
      <c r="J928" s="31"/>
      <c r="K928" s="31"/>
      <c r="L928" s="42"/>
      <c r="M928" s="31"/>
      <c r="N928" s="31"/>
      <c r="O928" s="42"/>
      <c r="P928" s="92"/>
      <c r="Q928" s="42"/>
      <c r="R928" s="46"/>
      <c r="S928" s="31"/>
      <c r="T928" s="31"/>
      <c r="U928" s="31"/>
      <c r="V928" s="31"/>
      <c r="W928" s="31"/>
      <c r="X928" s="31"/>
      <c r="Y928" s="31"/>
      <c r="Z928" s="31"/>
      <c r="AA928" s="31"/>
    </row>
    <row r="929" spans="1:27" x14ac:dyDescent="0.2">
      <c r="A929" s="5"/>
      <c r="B929" s="31"/>
      <c r="C929" s="31"/>
      <c r="D929" s="31"/>
      <c r="E929" s="31"/>
      <c r="F929" s="31"/>
      <c r="G929" s="31"/>
      <c r="H929" s="93"/>
      <c r="I929" s="31"/>
      <c r="J929" s="31"/>
      <c r="K929" s="31"/>
      <c r="L929" s="42"/>
      <c r="M929" s="31"/>
      <c r="N929" s="31"/>
      <c r="O929" s="42"/>
      <c r="P929" s="92"/>
      <c r="Q929" s="42"/>
      <c r="R929" s="46"/>
      <c r="S929" s="31"/>
      <c r="T929" s="31"/>
      <c r="U929" s="31"/>
      <c r="V929" s="31"/>
      <c r="W929" s="31"/>
      <c r="X929" s="31"/>
      <c r="Y929" s="31"/>
      <c r="Z929" s="31"/>
      <c r="AA929" s="31"/>
    </row>
    <row r="930" spans="1:27" x14ac:dyDescent="0.2">
      <c r="A930" s="5"/>
      <c r="B930" s="31"/>
      <c r="C930" s="31"/>
      <c r="D930" s="31"/>
      <c r="E930" s="31"/>
      <c r="F930" s="31"/>
      <c r="G930" s="31"/>
      <c r="H930" s="93"/>
      <c r="I930" s="31"/>
      <c r="J930" s="31"/>
      <c r="K930" s="31"/>
      <c r="L930" s="42"/>
      <c r="M930" s="31"/>
      <c r="N930" s="31"/>
      <c r="O930" s="42"/>
      <c r="P930" s="92"/>
      <c r="Q930" s="42"/>
      <c r="R930" s="46"/>
      <c r="S930" s="31"/>
      <c r="T930" s="31"/>
      <c r="U930" s="31"/>
      <c r="V930" s="31"/>
      <c r="W930" s="31"/>
      <c r="X930" s="31"/>
      <c r="Y930" s="31"/>
      <c r="Z930" s="31"/>
      <c r="AA930" s="31"/>
    </row>
    <row r="931" spans="1:27" x14ac:dyDescent="0.2">
      <c r="A931" s="5"/>
      <c r="B931" s="31"/>
      <c r="C931" s="31"/>
      <c r="D931" s="31"/>
      <c r="E931" s="31"/>
      <c r="F931" s="31"/>
      <c r="G931" s="31"/>
      <c r="H931" s="93"/>
      <c r="I931" s="31"/>
      <c r="J931" s="31"/>
      <c r="K931" s="31"/>
      <c r="L931" s="42"/>
      <c r="M931" s="31"/>
      <c r="N931" s="31"/>
      <c r="O931" s="42"/>
      <c r="P931" s="92"/>
      <c r="Q931" s="42"/>
      <c r="R931" s="46"/>
      <c r="S931" s="31"/>
      <c r="T931" s="31"/>
      <c r="U931" s="31"/>
      <c r="V931" s="31"/>
      <c r="W931" s="31"/>
      <c r="X931" s="31"/>
      <c r="Y931" s="31"/>
      <c r="Z931" s="31"/>
      <c r="AA931" s="31"/>
    </row>
    <row r="932" spans="1:27" x14ac:dyDescent="0.2">
      <c r="A932" s="5"/>
      <c r="B932" s="31"/>
      <c r="C932" s="31"/>
      <c r="D932" s="31"/>
      <c r="E932" s="31"/>
      <c r="F932" s="31"/>
      <c r="G932" s="31"/>
      <c r="H932" s="93"/>
      <c r="I932" s="31"/>
      <c r="J932" s="31"/>
      <c r="K932" s="31"/>
      <c r="L932" s="42"/>
      <c r="M932" s="31"/>
      <c r="N932" s="31"/>
      <c r="O932" s="42"/>
      <c r="P932" s="92"/>
      <c r="Q932" s="42"/>
      <c r="R932" s="46"/>
      <c r="S932" s="31"/>
      <c r="T932" s="31"/>
      <c r="U932" s="31"/>
      <c r="V932" s="31"/>
      <c r="W932" s="31"/>
      <c r="X932" s="31"/>
      <c r="Y932" s="31"/>
      <c r="Z932" s="31"/>
      <c r="AA932" s="31"/>
    </row>
    <row r="933" spans="1:27" x14ac:dyDescent="0.2">
      <c r="A933" s="5"/>
      <c r="B933" s="31"/>
      <c r="C933" s="31"/>
      <c r="D933" s="31"/>
      <c r="E933" s="31"/>
      <c r="F933" s="31"/>
      <c r="G933" s="31"/>
      <c r="H933" s="93"/>
      <c r="I933" s="31"/>
      <c r="J933" s="31"/>
      <c r="K933" s="31"/>
      <c r="L933" s="42"/>
      <c r="M933" s="31"/>
      <c r="N933" s="31"/>
      <c r="O933" s="42"/>
      <c r="P933" s="92"/>
      <c r="Q933" s="42"/>
      <c r="R933" s="46"/>
      <c r="S933" s="31"/>
      <c r="T933" s="31"/>
      <c r="U933" s="31"/>
      <c r="V933" s="31"/>
      <c r="W933" s="31"/>
      <c r="X933" s="31"/>
      <c r="Y933" s="31"/>
      <c r="Z933" s="31"/>
      <c r="AA933" s="31"/>
    </row>
    <row r="934" spans="1:27" x14ac:dyDescent="0.2">
      <c r="A934" s="5"/>
      <c r="B934" s="31"/>
      <c r="C934" s="31"/>
      <c r="D934" s="31"/>
      <c r="E934" s="31"/>
      <c r="F934" s="31"/>
      <c r="G934" s="31"/>
      <c r="H934" s="93"/>
      <c r="I934" s="31"/>
      <c r="J934" s="31"/>
      <c r="K934" s="31"/>
      <c r="L934" s="42"/>
      <c r="M934" s="31"/>
      <c r="N934" s="31"/>
      <c r="O934" s="42"/>
      <c r="P934" s="92"/>
      <c r="Q934" s="42"/>
      <c r="R934" s="46"/>
      <c r="S934" s="31"/>
      <c r="T934" s="31"/>
      <c r="U934" s="31"/>
      <c r="V934" s="31"/>
      <c r="W934" s="31"/>
      <c r="X934" s="31"/>
      <c r="Y934" s="31"/>
      <c r="Z934" s="31"/>
      <c r="AA934" s="31"/>
    </row>
    <row r="935" spans="1:27" x14ac:dyDescent="0.2">
      <c r="A935" s="5"/>
      <c r="B935" s="31"/>
      <c r="C935" s="31"/>
      <c r="D935" s="31"/>
      <c r="E935" s="31"/>
      <c r="F935" s="31"/>
      <c r="G935" s="31"/>
      <c r="H935" s="93"/>
      <c r="I935" s="31"/>
      <c r="J935" s="31"/>
      <c r="K935" s="31"/>
      <c r="L935" s="42"/>
      <c r="M935" s="31"/>
      <c r="N935" s="31"/>
      <c r="O935" s="42"/>
      <c r="P935" s="92"/>
      <c r="Q935" s="42"/>
      <c r="R935" s="46"/>
      <c r="S935" s="31"/>
      <c r="T935" s="31"/>
      <c r="U935" s="31"/>
      <c r="V935" s="31"/>
      <c r="W935" s="31"/>
      <c r="X935" s="31"/>
      <c r="Y935" s="31"/>
      <c r="Z935" s="31"/>
      <c r="AA935" s="31"/>
    </row>
    <row r="936" spans="1:27" x14ac:dyDescent="0.2">
      <c r="A936" s="5"/>
      <c r="B936" s="31"/>
      <c r="C936" s="31"/>
      <c r="D936" s="31"/>
      <c r="E936" s="31"/>
      <c r="F936" s="31"/>
      <c r="G936" s="31"/>
      <c r="H936" s="93"/>
      <c r="I936" s="31"/>
      <c r="J936" s="31"/>
      <c r="K936" s="31"/>
      <c r="L936" s="42"/>
      <c r="M936" s="31"/>
      <c r="N936" s="31"/>
      <c r="O936" s="42"/>
      <c r="P936" s="92"/>
      <c r="Q936" s="42"/>
      <c r="R936" s="46"/>
      <c r="S936" s="31"/>
      <c r="T936" s="31"/>
      <c r="U936" s="31"/>
      <c r="V936" s="31"/>
      <c r="W936" s="31"/>
      <c r="X936" s="31"/>
      <c r="Y936" s="31"/>
      <c r="Z936" s="31"/>
      <c r="AA936" s="31"/>
    </row>
    <row r="937" spans="1:27" x14ac:dyDescent="0.2">
      <c r="A937" s="5"/>
      <c r="B937" s="31"/>
      <c r="C937" s="31"/>
      <c r="D937" s="31"/>
      <c r="E937" s="31"/>
      <c r="F937" s="31"/>
      <c r="G937" s="31"/>
      <c r="H937" s="93"/>
      <c r="I937" s="31"/>
      <c r="J937" s="31"/>
      <c r="K937" s="31"/>
      <c r="L937" s="42"/>
      <c r="M937" s="31"/>
      <c r="N937" s="31"/>
      <c r="O937" s="42"/>
      <c r="P937" s="92"/>
      <c r="Q937" s="42"/>
      <c r="R937" s="46"/>
      <c r="S937" s="31"/>
      <c r="T937" s="31"/>
      <c r="U937" s="31"/>
      <c r="V937" s="31"/>
      <c r="W937" s="31"/>
      <c r="X937" s="31"/>
      <c r="Y937" s="31"/>
      <c r="Z937" s="31"/>
      <c r="AA937" s="31"/>
    </row>
    <row r="938" spans="1:27" x14ac:dyDescent="0.2">
      <c r="A938" s="5"/>
      <c r="B938" s="31"/>
      <c r="C938" s="31"/>
      <c r="D938" s="31"/>
      <c r="E938" s="31"/>
      <c r="F938" s="31"/>
      <c r="G938" s="31"/>
      <c r="H938" s="93"/>
      <c r="I938" s="31"/>
      <c r="J938" s="31"/>
      <c r="K938" s="31"/>
      <c r="L938" s="42"/>
      <c r="M938" s="31"/>
      <c r="N938" s="31"/>
      <c r="O938" s="42"/>
      <c r="P938" s="92"/>
      <c r="Q938" s="42"/>
      <c r="R938" s="46"/>
      <c r="S938" s="31"/>
      <c r="T938" s="31"/>
      <c r="U938" s="31"/>
      <c r="V938" s="31"/>
      <c r="W938" s="31"/>
      <c r="X938" s="31"/>
      <c r="Y938" s="31"/>
      <c r="Z938" s="31"/>
      <c r="AA938" s="31"/>
    </row>
    <row r="939" spans="1:27" x14ac:dyDescent="0.2">
      <c r="A939" s="5"/>
      <c r="B939" s="31"/>
      <c r="C939" s="31"/>
      <c r="D939" s="31"/>
      <c r="E939" s="31"/>
      <c r="F939" s="31"/>
      <c r="G939" s="31"/>
      <c r="H939" s="93"/>
      <c r="I939" s="31"/>
      <c r="J939" s="31"/>
      <c r="K939" s="31"/>
      <c r="L939" s="42"/>
      <c r="M939" s="31"/>
      <c r="N939" s="31"/>
      <c r="O939" s="42"/>
      <c r="P939" s="92"/>
      <c r="Q939" s="42"/>
      <c r="R939" s="46"/>
      <c r="S939" s="31"/>
      <c r="T939" s="31"/>
      <c r="U939" s="31"/>
      <c r="V939" s="31"/>
      <c r="W939" s="31"/>
      <c r="X939" s="31"/>
      <c r="Y939" s="31"/>
      <c r="Z939" s="31"/>
      <c r="AA939" s="31"/>
    </row>
    <row r="940" spans="1:27" x14ac:dyDescent="0.2">
      <c r="A940" s="5"/>
      <c r="B940" s="31"/>
      <c r="C940" s="31"/>
      <c r="D940" s="31"/>
      <c r="E940" s="31"/>
      <c r="F940" s="31"/>
      <c r="G940" s="31"/>
      <c r="H940" s="93"/>
      <c r="I940" s="31"/>
      <c r="J940" s="31"/>
      <c r="K940" s="31"/>
      <c r="L940" s="42"/>
      <c r="M940" s="31"/>
      <c r="N940" s="31"/>
      <c r="O940" s="42"/>
      <c r="P940" s="92"/>
      <c r="Q940" s="42"/>
      <c r="R940" s="46"/>
      <c r="S940" s="31"/>
      <c r="T940" s="31"/>
      <c r="U940" s="31"/>
      <c r="V940" s="31"/>
      <c r="W940" s="31"/>
      <c r="X940" s="31"/>
      <c r="Y940" s="31"/>
      <c r="Z940" s="31"/>
      <c r="AA940" s="31"/>
    </row>
    <row r="941" spans="1:27" x14ac:dyDescent="0.2">
      <c r="A941" s="5"/>
      <c r="B941" s="31"/>
      <c r="C941" s="31"/>
      <c r="D941" s="31"/>
      <c r="E941" s="31"/>
      <c r="F941" s="31"/>
      <c r="G941" s="31"/>
      <c r="H941" s="93"/>
      <c r="I941" s="31"/>
      <c r="J941" s="31"/>
      <c r="K941" s="31"/>
      <c r="L941" s="42"/>
      <c r="M941" s="31"/>
      <c r="N941" s="31"/>
      <c r="O941" s="42"/>
      <c r="P941" s="92"/>
      <c r="Q941" s="42"/>
      <c r="R941" s="46"/>
      <c r="S941" s="31"/>
      <c r="T941" s="31"/>
      <c r="U941" s="31"/>
      <c r="V941" s="31"/>
      <c r="W941" s="31"/>
      <c r="X941" s="31"/>
      <c r="Y941" s="31"/>
      <c r="Z941" s="31"/>
      <c r="AA941" s="31"/>
    </row>
    <row r="942" spans="1:27" x14ac:dyDescent="0.2">
      <c r="A942" s="5"/>
      <c r="B942" s="31"/>
      <c r="C942" s="31"/>
      <c r="D942" s="31"/>
      <c r="E942" s="31"/>
      <c r="F942" s="31"/>
      <c r="G942" s="31"/>
      <c r="H942" s="93"/>
      <c r="I942" s="31"/>
      <c r="J942" s="31"/>
      <c r="K942" s="31"/>
      <c r="L942" s="42"/>
      <c r="M942" s="31"/>
      <c r="N942" s="31"/>
      <c r="O942" s="42"/>
      <c r="P942" s="92"/>
      <c r="Q942" s="42"/>
      <c r="R942" s="46"/>
      <c r="S942" s="31"/>
      <c r="T942" s="31"/>
      <c r="U942" s="31"/>
      <c r="V942" s="31"/>
      <c r="W942" s="31"/>
      <c r="X942" s="31"/>
      <c r="Y942" s="31"/>
      <c r="Z942" s="31"/>
      <c r="AA942" s="31"/>
    </row>
    <row r="943" spans="1:27" x14ac:dyDescent="0.2">
      <c r="A943" s="5"/>
      <c r="B943" s="31"/>
      <c r="C943" s="31"/>
      <c r="D943" s="31"/>
      <c r="E943" s="31"/>
      <c r="F943" s="31"/>
      <c r="G943" s="31"/>
      <c r="H943" s="93"/>
      <c r="I943" s="31"/>
      <c r="J943" s="31"/>
      <c r="K943" s="31"/>
      <c r="L943" s="42"/>
      <c r="M943" s="31"/>
      <c r="N943" s="31"/>
      <c r="O943" s="42"/>
      <c r="P943" s="92"/>
      <c r="Q943" s="42"/>
      <c r="R943" s="46"/>
      <c r="S943" s="31"/>
      <c r="T943" s="31"/>
      <c r="U943" s="31"/>
      <c r="V943" s="31"/>
      <c r="W943" s="31"/>
      <c r="X943" s="31"/>
      <c r="Y943" s="31"/>
      <c r="Z943" s="31"/>
      <c r="AA943" s="31"/>
    </row>
    <row r="944" spans="1:27" x14ac:dyDescent="0.2">
      <c r="A944" s="5"/>
      <c r="B944" s="31"/>
      <c r="C944" s="31"/>
      <c r="D944" s="31"/>
      <c r="E944" s="31"/>
      <c r="F944" s="31"/>
      <c r="G944" s="31"/>
      <c r="H944" s="93"/>
      <c r="I944" s="31"/>
      <c r="J944" s="31"/>
      <c r="K944" s="31"/>
      <c r="L944" s="42"/>
      <c r="M944" s="31"/>
      <c r="N944" s="31"/>
      <c r="O944" s="42"/>
      <c r="P944" s="92"/>
      <c r="Q944" s="42"/>
      <c r="R944" s="46"/>
      <c r="S944" s="31"/>
      <c r="T944" s="31"/>
      <c r="U944" s="31"/>
      <c r="V944" s="31"/>
      <c r="W944" s="31"/>
      <c r="X944" s="31"/>
      <c r="Y944" s="31"/>
      <c r="Z944" s="31"/>
      <c r="AA944" s="31"/>
    </row>
    <row r="945" spans="1:27" x14ac:dyDescent="0.2">
      <c r="A945" s="5"/>
      <c r="B945" s="31"/>
      <c r="C945" s="31"/>
      <c r="D945" s="31"/>
      <c r="E945" s="31"/>
      <c r="F945" s="31"/>
      <c r="G945" s="31"/>
      <c r="H945" s="93"/>
      <c r="I945" s="31"/>
      <c r="J945" s="31"/>
      <c r="K945" s="31"/>
      <c r="L945" s="42"/>
      <c r="M945" s="31"/>
      <c r="N945" s="31"/>
      <c r="O945" s="42"/>
      <c r="P945" s="92"/>
      <c r="Q945" s="42"/>
      <c r="R945" s="46"/>
      <c r="S945" s="31"/>
      <c r="T945" s="31"/>
      <c r="U945" s="31"/>
      <c r="V945" s="31"/>
      <c r="W945" s="31"/>
      <c r="X945" s="31"/>
      <c r="Y945" s="31"/>
      <c r="Z945" s="31"/>
      <c r="AA945" s="31"/>
    </row>
    <row r="946" spans="1:27" x14ac:dyDescent="0.2">
      <c r="A946" s="5"/>
      <c r="B946" s="31"/>
      <c r="C946" s="31"/>
      <c r="D946" s="31"/>
      <c r="E946" s="31"/>
      <c r="F946" s="31"/>
      <c r="G946" s="31"/>
      <c r="H946" s="93"/>
      <c r="I946" s="31"/>
      <c r="J946" s="31"/>
      <c r="K946" s="31"/>
      <c r="L946" s="42"/>
      <c r="M946" s="31"/>
      <c r="N946" s="31"/>
      <c r="O946" s="42"/>
      <c r="P946" s="92"/>
      <c r="Q946" s="42"/>
      <c r="R946" s="46"/>
      <c r="S946" s="31"/>
      <c r="T946" s="31"/>
      <c r="U946" s="31"/>
      <c r="V946" s="31"/>
      <c r="W946" s="31"/>
      <c r="X946" s="31"/>
      <c r="Y946" s="31"/>
      <c r="Z946" s="31"/>
      <c r="AA946" s="31"/>
    </row>
    <row r="947" spans="1:27" x14ac:dyDescent="0.2">
      <c r="A947" s="5"/>
      <c r="B947" s="31"/>
      <c r="C947" s="31"/>
      <c r="D947" s="31"/>
      <c r="E947" s="31"/>
      <c r="F947" s="31"/>
      <c r="G947" s="31"/>
      <c r="H947" s="93"/>
      <c r="I947" s="31"/>
      <c r="J947" s="31"/>
      <c r="K947" s="31"/>
      <c r="L947" s="42"/>
      <c r="M947" s="31"/>
      <c r="N947" s="31"/>
      <c r="O947" s="42"/>
      <c r="P947" s="92"/>
      <c r="Q947" s="42"/>
      <c r="R947" s="46"/>
      <c r="S947" s="31"/>
      <c r="T947" s="31"/>
      <c r="U947" s="31"/>
      <c r="V947" s="31"/>
      <c r="W947" s="31"/>
      <c r="X947" s="31"/>
      <c r="Y947" s="31"/>
      <c r="Z947" s="31"/>
      <c r="AA947" s="31"/>
    </row>
    <row r="948" spans="1:27" x14ac:dyDescent="0.2">
      <c r="A948" s="5"/>
      <c r="B948" s="31"/>
      <c r="C948" s="31"/>
      <c r="D948" s="31"/>
      <c r="E948" s="31"/>
      <c r="F948" s="31"/>
      <c r="G948" s="31"/>
      <c r="H948" s="93"/>
      <c r="I948" s="31"/>
      <c r="J948" s="31"/>
      <c r="K948" s="31"/>
      <c r="L948" s="42"/>
      <c r="M948" s="31"/>
      <c r="N948" s="31"/>
      <c r="O948" s="42"/>
      <c r="P948" s="92"/>
      <c r="Q948" s="42"/>
      <c r="R948" s="46"/>
      <c r="S948" s="31"/>
      <c r="T948" s="31"/>
      <c r="U948" s="31"/>
      <c r="V948" s="31"/>
      <c r="W948" s="31"/>
      <c r="X948" s="31"/>
      <c r="Y948" s="31"/>
      <c r="Z948" s="31"/>
      <c r="AA948" s="31"/>
    </row>
    <row r="949" spans="1:27" x14ac:dyDescent="0.2">
      <c r="A949" s="5"/>
      <c r="B949" s="31"/>
      <c r="C949" s="31"/>
      <c r="D949" s="31"/>
      <c r="E949" s="31"/>
      <c r="F949" s="31"/>
      <c r="G949" s="31"/>
      <c r="H949" s="93"/>
      <c r="I949" s="31"/>
      <c r="J949" s="31"/>
      <c r="K949" s="31"/>
      <c r="L949" s="42"/>
      <c r="M949" s="31"/>
      <c r="N949" s="31"/>
      <c r="O949" s="42"/>
      <c r="P949" s="92"/>
      <c r="Q949" s="42"/>
      <c r="R949" s="46"/>
      <c r="S949" s="31"/>
      <c r="T949" s="31"/>
      <c r="U949" s="31"/>
      <c r="V949" s="31"/>
      <c r="W949" s="31"/>
      <c r="X949" s="31"/>
      <c r="Y949" s="31"/>
      <c r="Z949" s="31"/>
      <c r="AA949" s="31"/>
    </row>
    <row r="950" spans="1:27" x14ac:dyDescent="0.2">
      <c r="A950" s="5"/>
      <c r="B950" s="31"/>
      <c r="C950" s="31"/>
      <c r="D950" s="31"/>
      <c r="E950" s="31"/>
      <c r="F950" s="31"/>
      <c r="G950" s="31"/>
      <c r="H950" s="93"/>
      <c r="I950" s="31"/>
      <c r="J950" s="31"/>
      <c r="K950" s="31"/>
      <c r="L950" s="42"/>
      <c r="M950" s="31"/>
      <c r="N950" s="31"/>
      <c r="O950" s="42"/>
      <c r="P950" s="92"/>
      <c r="Q950" s="42"/>
      <c r="R950" s="46"/>
      <c r="S950" s="31"/>
      <c r="T950" s="31"/>
      <c r="U950" s="31"/>
      <c r="V950" s="31"/>
      <c r="W950" s="31"/>
      <c r="X950" s="31"/>
      <c r="Y950" s="31"/>
      <c r="Z950" s="31"/>
      <c r="AA950" s="31"/>
    </row>
    <row r="951" spans="1:27" x14ac:dyDescent="0.2">
      <c r="A951" s="5"/>
      <c r="B951" s="31"/>
      <c r="C951" s="31"/>
      <c r="D951" s="31"/>
      <c r="E951" s="31"/>
      <c r="F951" s="31"/>
      <c r="G951" s="31"/>
      <c r="H951" s="93"/>
      <c r="I951" s="31"/>
      <c r="J951" s="31"/>
      <c r="K951" s="31"/>
      <c r="L951" s="42"/>
      <c r="M951" s="31"/>
      <c r="N951" s="31"/>
      <c r="O951" s="42"/>
      <c r="P951" s="92"/>
      <c r="Q951" s="42"/>
      <c r="R951" s="46"/>
      <c r="S951" s="31"/>
      <c r="T951" s="31"/>
      <c r="U951" s="31"/>
      <c r="V951" s="31"/>
      <c r="W951" s="31"/>
      <c r="X951" s="31"/>
      <c r="Y951" s="31"/>
      <c r="Z951" s="31"/>
      <c r="AA951" s="31"/>
    </row>
    <row r="952" spans="1:27" x14ac:dyDescent="0.2">
      <c r="A952" s="5"/>
      <c r="B952" s="31"/>
      <c r="C952" s="31"/>
      <c r="D952" s="31"/>
      <c r="E952" s="31"/>
      <c r="F952" s="31"/>
      <c r="G952" s="31"/>
      <c r="H952" s="93"/>
      <c r="I952" s="31"/>
      <c r="J952" s="31"/>
      <c r="K952" s="31"/>
      <c r="L952" s="42"/>
      <c r="M952" s="31"/>
      <c r="N952" s="31"/>
      <c r="O952" s="42"/>
      <c r="P952" s="92"/>
      <c r="Q952" s="42"/>
      <c r="R952" s="46"/>
      <c r="S952" s="31"/>
      <c r="T952" s="31"/>
      <c r="U952" s="31"/>
      <c r="V952" s="31"/>
      <c r="W952" s="31"/>
      <c r="X952" s="31"/>
      <c r="Y952" s="31"/>
      <c r="Z952" s="31"/>
      <c r="AA952" s="31"/>
    </row>
    <row r="953" spans="1:27" x14ac:dyDescent="0.2">
      <c r="A953" s="5"/>
      <c r="B953" s="31"/>
      <c r="C953" s="31"/>
      <c r="D953" s="31"/>
      <c r="E953" s="31"/>
      <c r="F953" s="31"/>
      <c r="G953" s="31"/>
      <c r="H953" s="93"/>
      <c r="I953" s="31"/>
      <c r="J953" s="31"/>
      <c r="K953" s="31"/>
      <c r="L953" s="42"/>
      <c r="M953" s="31"/>
      <c r="N953" s="31"/>
      <c r="O953" s="42"/>
      <c r="P953" s="92"/>
      <c r="Q953" s="42"/>
      <c r="R953" s="46"/>
      <c r="S953" s="31"/>
      <c r="T953" s="31"/>
      <c r="U953" s="31"/>
      <c r="V953" s="31"/>
      <c r="W953" s="31"/>
      <c r="X953" s="31"/>
      <c r="Y953" s="31"/>
      <c r="Z953" s="31"/>
      <c r="AA953" s="31"/>
    </row>
    <row r="954" spans="1:27" x14ac:dyDescent="0.2">
      <c r="A954" s="5"/>
      <c r="B954" s="31"/>
      <c r="C954" s="31"/>
      <c r="D954" s="31"/>
      <c r="E954" s="31"/>
      <c r="F954" s="31"/>
      <c r="G954" s="31"/>
      <c r="H954" s="93"/>
      <c r="I954" s="31"/>
      <c r="J954" s="31"/>
      <c r="K954" s="31"/>
      <c r="L954" s="42"/>
      <c r="M954" s="31"/>
      <c r="N954" s="31"/>
      <c r="O954" s="42"/>
      <c r="P954" s="92"/>
      <c r="Q954" s="42"/>
      <c r="R954" s="46"/>
      <c r="S954" s="31"/>
      <c r="T954" s="31"/>
      <c r="U954" s="31"/>
      <c r="V954" s="31"/>
      <c r="W954" s="31"/>
      <c r="X954" s="31"/>
      <c r="Y954" s="31"/>
      <c r="Z954" s="31"/>
      <c r="AA954" s="31"/>
    </row>
    <row r="955" spans="1:27" x14ac:dyDescent="0.2">
      <c r="A955" s="5"/>
      <c r="B955" s="31"/>
      <c r="C955" s="31"/>
      <c r="D955" s="31"/>
      <c r="E955" s="31"/>
      <c r="F955" s="31"/>
      <c r="G955" s="31"/>
      <c r="H955" s="93"/>
      <c r="I955" s="31"/>
      <c r="J955" s="31"/>
      <c r="K955" s="31"/>
      <c r="L955" s="42"/>
      <c r="M955" s="31"/>
      <c r="N955" s="31"/>
      <c r="O955" s="42"/>
      <c r="P955" s="92"/>
      <c r="Q955" s="42"/>
      <c r="R955" s="46"/>
      <c r="S955" s="31"/>
      <c r="T955" s="31"/>
      <c r="U955" s="31"/>
      <c r="V955" s="31"/>
      <c r="W955" s="31"/>
      <c r="X955" s="31"/>
      <c r="Y955" s="31"/>
      <c r="Z955" s="31"/>
      <c r="AA955" s="31"/>
    </row>
    <row r="956" spans="1:27" x14ac:dyDescent="0.2">
      <c r="A956" s="5"/>
      <c r="B956" s="31"/>
      <c r="C956" s="31"/>
      <c r="D956" s="31"/>
      <c r="E956" s="31"/>
      <c r="F956" s="31"/>
      <c r="G956" s="31"/>
      <c r="H956" s="93"/>
      <c r="I956" s="31"/>
      <c r="J956" s="31"/>
      <c r="K956" s="31"/>
      <c r="L956" s="42"/>
      <c r="M956" s="31"/>
      <c r="N956" s="31"/>
      <c r="O956" s="42"/>
      <c r="P956" s="92"/>
      <c r="Q956" s="42"/>
      <c r="R956" s="46"/>
      <c r="S956" s="31"/>
      <c r="T956" s="31"/>
      <c r="U956" s="31"/>
      <c r="V956" s="31"/>
      <c r="W956" s="31"/>
      <c r="X956" s="31"/>
      <c r="Y956" s="31"/>
      <c r="Z956" s="31"/>
      <c r="AA956" s="31"/>
    </row>
    <row r="957" spans="1:27" x14ac:dyDescent="0.2">
      <c r="A957" s="5"/>
      <c r="B957" s="31"/>
      <c r="C957" s="31"/>
      <c r="D957" s="31"/>
      <c r="E957" s="31"/>
      <c r="F957" s="31"/>
      <c r="G957" s="31"/>
      <c r="H957" s="93"/>
      <c r="I957" s="31"/>
      <c r="J957" s="31"/>
      <c r="K957" s="31"/>
      <c r="L957" s="42"/>
      <c r="M957" s="31"/>
      <c r="N957" s="31"/>
      <c r="O957" s="42"/>
      <c r="P957" s="92"/>
      <c r="Q957" s="42"/>
      <c r="R957" s="46"/>
      <c r="S957" s="31"/>
      <c r="T957" s="31"/>
      <c r="U957" s="31"/>
      <c r="V957" s="31"/>
      <c r="W957" s="31"/>
      <c r="X957" s="31"/>
      <c r="Y957" s="31"/>
      <c r="Z957" s="31"/>
      <c r="AA957" s="31"/>
    </row>
    <row r="958" spans="1:27" x14ac:dyDescent="0.2">
      <c r="A958" s="5"/>
      <c r="B958" s="31"/>
      <c r="C958" s="31"/>
      <c r="D958" s="31"/>
      <c r="E958" s="31"/>
      <c r="F958" s="31"/>
      <c r="G958" s="31"/>
      <c r="H958" s="93"/>
      <c r="I958" s="31"/>
      <c r="J958" s="31"/>
      <c r="K958" s="31"/>
      <c r="L958" s="42"/>
      <c r="M958" s="31"/>
      <c r="N958" s="31"/>
      <c r="O958" s="42"/>
      <c r="P958" s="92"/>
      <c r="Q958" s="42"/>
      <c r="R958" s="46"/>
      <c r="S958" s="31"/>
      <c r="T958" s="31"/>
      <c r="U958" s="31"/>
      <c r="V958" s="31"/>
      <c r="W958" s="31"/>
      <c r="X958" s="31"/>
      <c r="Y958" s="31"/>
      <c r="Z958" s="31"/>
      <c r="AA958" s="31"/>
    </row>
    <row r="959" spans="1:27" x14ac:dyDescent="0.2">
      <c r="A959" s="5"/>
      <c r="B959" s="31"/>
      <c r="C959" s="31"/>
      <c r="D959" s="31"/>
      <c r="E959" s="31"/>
      <c r="F959" s="31"/>
      <c r="G959" s="31"/>
      <c r="H959" s="93"/>
      <c r="I959" s="31"/>
      <c r="J959" s="31"/>
      <c r="K959" s="31"/>
      <c r="L959" s="42"/>
      <c r="M959" s="31"/>
      <c r="N959" s="31"/>
      <c r="O959" s="42"/>
      <c r="P959" s="92"/>
      <c r="Q959" s="42"/>
      <c r="R959" s="46"/>
      <c r="S959" s="31"/>
      <c r="T959" s="31"/>
      <c r="U959" s="31"/>
      <c r="V959" s="31"/>
      <c r="W959" s="31"/>
      <c r="X959" s="31"/>
      <c r="Y959" s="31"/>
      <c r="Z959" s="31"/>
      <c r="AA959" s="31"/>
    </row>
    <row r="960" spans="1:27" x14ac:dyDescent="0.2">
      <c r="A960" s="5"/>
      <c r="B960" s="31"/>
      <c r="C960" s="31"/>
      <c r="D960" s="31"/>
      <c r="E960" s="31"/>
      <c r="F960" s="31"/>
      <c r="G960" s="31"/>
      <c r="H960" s="93"/>
      <c r="I960" s="31"/>
      <c r="J960" s="31"/>
      <c r="K960" s="31"/>
      <c r="L960" s="42"/>
      <c r="M960" s="31"/>
      <c r="N960" s="31"/>
      <c r="O960" s="42"/>
      <c r="P960" s="92"/>
      <c r="Q960" s="42"/>
      <c r="R960" s="46"/>
      <c r="S960" s="31"/>
      <c r="T960" s="31"/>
      <c r="U960" s="31"/>
      <c r="V960" s="31"/>
      <c r="W960" s="31"/>
      <c r="X960" s="31"/>
      <c r="Y960" s="31"/>
      <c r="Z960" s="31"/>
      <c r="AA960" s="31"/>
    </row>
    <row r="961" spans="1:27" x14ac:dyDescent="0.2">
      <c r="A961" s="5"/>
      <c r="B961" s="31"/>
      <c r="C961" s="31"/>
      <c r="D961" s="31"/>
      <c r="E961" s="31"/>
      <c r="F961" s="31"/>
      <c r="G961" s="31"/>
      <c r="H961" s="93"/>
      <c r="I961" s="31"/>
      <c r="J961" s="31"/>
      <c r="K961" s="31"/>
      <c r="L961" s="42"/>
      <c r="M961" s="31"/>
      <c r="N961" s="31"/>
      <c r="O961" s="42"/>
      <c r="P961" s="92"/>
      <c r="Q961" s="42"/>
      <c r="R961" s="46"/>
      <c r="S961" s="31"/>
      <c r="T961" s="31"/>
      <c r="U961" s="31"/>
      <c r="V961" s="31"/>
      <c r="W961" s="31"/>
      <c r="X961" s="31"/>
      <c r="Y961" s="31"/>
      <c r="Z961" s="31"/>
      <c r="AA961" s="31"/>
    </row>
    <row r="962" spans="1:27" x14ac:dyDescent="0.2">
      <c r="A962" s="5"/>
      <c r="B962" s="31"/>
      <c r="C962" s="31"/>
      <c r="D962" s="31"/>
      <c r="E962" s="31"/>
      <c r="F962" s="31"/>
      <c r="G962" s="31"/>
      <c r="H962" s="93"/>
      <c r="I962" s="31"/>
      <c r="J962" s="31"/>
      <c r="K962" s="31"/>
      <c r="L962" s="42"/>
      <c r="M962" s="31"/>
      <c r="N962" s="31"/>
      <c r="O962" s="42"/>
      <c r="P962" s="92"/>
      <c r="Q962" s="42"/>
      <c r="R962" s="46"/>
      <c r="S962" s="31"/>
      <c r="T962" s="31"/>
      <c r="U962" s="31"/>
      <c r="V962" s="31"/>
      <c r="W962" s="31"/>
      <c r="X962" s="31"/>
      <c r="Y962" s="31"/>
      <c r="Z962" s="31"/>
      <c r="AA962" s="31"/>
    </row>
    <row r="963" spans="1:27" x14ac:dyDescent="0.2">
      <c r="A963" s="5"/>
      <c r="B963" s="31"/>
      <c r="C963" s="31"/>
      <c r="D963" s="31"/>
      <c r="E963" s="31"/>
      <c r="F963" s="31"/>
      <c r="G963" s="31"/>
      <c r="H963" s="93"/>
      <c r="I963" s="31"/>
      <c r="J963" s="31"/>
      <c r="K963" s="31"/>
      <c r="L963" s="42"/>
      <c r="M963" s="31"/>
      <c r="N963" s="31"/>
      <c r="O963" s="42"/>
      <c r="P963" s="92"/>
      <c r="Q963" s="42"/>
      <c r="R963" s="46"/>
      <c r="S963" s="31"/>
      <c r="T963" s="31"/>
      <c r="U963" s="31"/>
      <c r="V963" s="31"/>
      <c r="W963" s="31"/>
      <c r="X963" s="31"/>
      <c r="Y963" s="31"/>
      <c r="Z963" s="31"/>
      <c r="AA963" s="31"/>
    </row>
    <row r="964" spans="1:27" x14ac:dyDescent="0.2">
      <c r="A964" s="5"/>
      <c r="B964" s="31"/>
      <c r="C964" s="31"/>
      <c r="D964" s="31"/>
      <c r="E964" s="31"/>
      <c r="F964" s="31"/>
      <c r="G964" s="31"/>
      <c r="H964" s="93"/>
      <c r="I964" s="31"/>
      <c r="J964" s="31"/>
      <c r="K964" s="31"/>
      <c r="L964" s="42"/>
      <c r="M964" s="31"/>
      <c r="N964" s="31"/>
      <c r="O964" s="42"/>
      <c r="P964" s="92"/>
      <c r="Q964" s="42"/>
      <c r="R964" s="46"/>
      <c r="S964" s="31"/>
      <c r="T964" s="31"/>
      <c r="U964" s="31"/>
      <c r="V964" s="31"/>
      <c r="W964" s="31"/>
      <c r="X964" s="31"/>
      <c r="Y964" s="31"/>
      <c r="Z964" s="31"/>
      <c r="AA964" s="31"/>
    </row>
    <row r="965" spans="1:27" x14ac:dyDescent="0.2">
      <c r="A965" s="5"/>
      <c r="B965" s="31"/>
      <c r="C965" s="31"/>
      <c r="D965" s="31"/>
      <c r="E965" s="31"/>
      <c r="F965" s="31"/>
      <c r="G965" s="31"/>
      <c r="H965" s="93"/>
      <c r="I965" s="31"/>
      <c r="J965" s="31"/>
      <c r="K965" s="31"/>
      <c r="L965" s="42"/>
      <c r="M965" s="31"/>
      <c r="N965" s="31"/>
      <c r="O965" s="42"/>
      <c r="P965" s="92"/>
      <c r="Q965" s="42"/>
      <c r="R965" s="46"/>
      <c r="S965" s="31"/>
      <c r="T965" s="31"/>
      <c r="U965" s="31"/>
      <c r="V965" s="31"/>
      <c r="W965" s="31"/>
      <c r="X965" s="31"/>
      <c r="Y965" s="31"/>
      <c r="Z965" s="31"/>
      <c r="AA965" s="31"/>
    </row>
    <row r="966" spans="1:27" x14ac:dyDescent="0.2">
      <c r="A966" s="5"/>
      <c r="B966" s="31"/>
      <c r="C966" s="31"/>
      <c r="D966" s="31"/>
      <c r="E966" s="31"/>
      <c r="F966" s="31"/>
      <c r="G966" s="31"/>
      <c r="H966" s="93"/>
      <c r="I966" s="31"/>
      <c r="J966" s="31"/>
      <c r="K966" s="31"/>
      <c r="L966" s="42"/>
      <c r="M966" s="31"/>
      <c r="N966" s="31"/>
      <c r="O966" s="42"/>
      <c r="P966" s="92"/>
      <c r="Q966" s="42"/>
      <c r="R966" s="46"/>
      <c r="S966" s="31"/>
      <c r="T966" s="31"/>
      <c r="U966" s="31"/>
      <c r="V966" s="31"/>
      <c r="W966" s="31"/>
      <c r="X966" s="31"/>
      <c r="Y966" s="31"/>
      <c r="Z966" s="31"/>
      <c r="AA966" s="31"/>
    </row>
    <row r="967" spans="1:27" x14ac:dyDescent="0.2">
      <c r="A967" s="5"/>
      <c r="B967" s="31"/>
      <c r="C967" s="31"/>
      <c r="D967" s="31"/>
      <c r="E967" s="31"/>
      <c r="F967" s="31"/>
      <c r="G967" s="31"/>
      <c r="H967" s="93"/>
      <c r="I967" s="31"/>
      <c r="J967" s="31"/>
      <c r="K967" s="31"/>
      <c r="L967" s="42"/>
      <c r="M967" s="31"/>
      <c r="N967" s="31"/>
      <c r="O967" s="42"/>
      <c r="P967" s="92"/>
      <c r="Q967" s="42"/>
      <c r="R967" s="46"/>
      <c r="S967" s="31"/>
      <c r="T967" s="31"/>
      <c r="U967" s="31"/>
      <c r="V967" s="31"/>
      <c r="W967" s="31"/>
      <c r="X967" s="31"/>
      <c r="Y967" s="31"/>
      <c r="Z967" s="31"/>
      <c r="AA967" s="31"/>
    </row>
    <row r="968" spans="1:27" x14ac:dyDescent="0.2">
      <c r="A968" s="5"/>
      <c r="B968" s="31"/>
      <c r="C968" s="31"/>
      <c r="D968" s="31"/>
      <c r="E968" s="31"/>
      <c r="F968" s="31"/>
      <c r="G968" s="31"/>
      <c r="H968" s="93"/>
      <c r="I968" s="31"/>
      <c r="J968" s="31"/>
      <c r="K968" s="31"/>
      <c r="L968" s="42"/>
      <c r="M968" s="31"/>
      <c r="N968" s="31"/>
      <c r="O968" s="42"/>
      <c r="P968" s="92"/>
      <c r="Q968" s="42"/>
      <c r="R968" s="46"/>
      <c r="S968" s="31"/>
      <c r="T968" s="31"/>
      <c r="U968" s="31"/>
      <c r="V968" s="31"/>
      <c r="W968" s="31"/>
      <c r="X968" s="31"/>
      <c r="Y968" s="31"/>
      <c r="Z968" s="31"/>
      <c r="AA968" s="31"/>
    </row>
    <row r="969" spans="1:27" x14ac:dyDescent="0.2">
      <c r="A969" s="5"/>
      <c r="B969" s="31"/>
      <c r="C969" s="31"/>
      <c r="D969" s="31"/>
      <c r="E969" s="31"/>
      <c r="F969" s="31"/>
      <c r="G969" s="31"/>
      <c r="H969" s="93"/>
      <c r="I969" s="31"/>
      <c r="J969" s="31"/>
      <c r="K969" s="31"/>
      <c r="L969" s="42"/>
      <c r="M969" s="31"/>
      <c r="N969" s="31"/>
      <c r="O969" s="42"/>
      <c r="P969" s="92"/>
      <c r="Q969" s="42"/>
      <c r="R969" s="46"/>
      <c r="S969" s="31"/>
      <c r="T969" s="31"/>
      <c r="U969" s="31"/>
      <c r="V969" s="31"/>
      <c r="W969" s="31"/>
      <c r="X969" s="31"/>
      <c r="Y969" s="31"/>
      <c r="Z969" s="31"/>
      <c r="AA969" s="31"/>
    </row>
    <row r="970" spans="1:27" x14ac:dyDescent="0.2">
      <c r="A970" s="5"/>
      <c r="B970" s="31"/>
      <c r="C970" s="31"/>
      <c r="D970" s="31"/>
      <c r="E970" s="31"/>
      <c r="F970" s="31"/>
      <c r="G970" s="31"/>
      <c r="H970" s="93"/>
      <c r="I970" s="31"/>
      <c r="J970" s="31"/>
      <c r="K970" s="31"/>
      <c r="L970" s="42"/>
      <c r="M970" s="31"/>
      <c r="N970" s="31"/>
      <c r="O970" s="42"/>
      <c r="P970" s="92"/>
      <c r="Q970" s="42"/>
      <c r="R970" s="46"/>
      <c r="S970" s="31"/>
      <c r="T970" s="31"/>
      <c r="U970" s="31"/>
      <c r="V970" s="31"/>
      <c r="W970" s="31"/>
      <c r="X970" s="31"/>
      <c r="Y970" s="31"/>
      <c r="Z970" s="31"/>
      <c r="AA970" s="31"/>
    </row>
    <row r="971" spans="1:27" x14ac:dyDescent="0.2">
      <c r="A971" s="5"/>
      <c r="B971" s="31"/>
      <c r="C971" s="31"/>
      <c r="D971" s="31"/>
      <c r="E971" s="31"/>
      <c r="F971" s="31"/>
      <c r="G971" s="31"/>
      <c r="H971" s="93"/>
      <c r="I971" s="31"/>
      <c r="J971" s="31"/>
      <c r="K971" s="31"/>
      <c r="L971" s="42"/>
      <c r="M971" s="31"/>
      <c r="N971" s="31"/>
      <c r="O971" s="42"/>
      <c r="P971" s="92"/>
      <c r="Q971" s="42"/>
      <c r="R971" s="46"/>
      <c r="S971" s="31"/>
      <c r="T971" s="31"/>
      <c r="U971" s="31"/>
      <c r="V971" s="31"/>
      <c r="W971" s="31"/>
      <c r="X971" s="31"/>
      <c r="Y971" s="31"/>
      <c r="Z971" s="31"/>
      <c r="AA971" s="31"/>
    </row>
    <row r="972" spans="1:27" x14ac:dyDescent="0.2">
      <c r="A972" s="5"/>
      <c r="B972" s="31"/>
      <c r="C972" s="31"/>
      <c r="D972" s="31"/>
      <c r="E972" s="31"/>
      <c r="F972" s="31"/>
      <c r="G972" s="31"/>
      <c r="H972" s="93"/>
      <c r="I972" s="31"/>
      <c r="J972" s="31"/>
      <c r="K972" s="31"/>
      <c r="L972" s="42"/>
      <c r="M972" s="31"/>
      <c r="N972" s="31"/>
      <c r="O972" s="42"/>
      <c r="P972" s="92"/>
      <c r="Q972" s="42"/>
      <c r="R972" s="46"/>
      <c r="S972" s="31"/>
      <c r="T972" s="31"/>
      <c r="U972" s="31"/>
      <c r="V972" s="31"/>
      <c r="W972" s="31"/>
      <c r="X972" s="31"/>
      <c r="Y972" s="31"/>
      <c r="Z972" s="31"/>
      <c r="AA972" s="31"/>
    </row>
    <row r="973" spans="1:27" x14ac:dyDescent="0.2">
      <c r="A973" s="5"/>
      <c r="B973" s="31"/>
      <c r="C973" s="31"/>
      <c r="D973" s="31"/>
      <c r="E973" s="31"/>
      <c r="F973" s="31"/>
      <c r="G973" s="31"/>
      <c r="H973" s="93"/>
      <c r="I973" s="31"/>
      <c r="J973" s="31"/>
      <c r="K973" s="31"/>
      <c r="L973" s="42"/>
      <c r="M973" s="31"/>
      <c r="N973" s="31"/>
      <c r="O973" s="42"/>
      <c r="P973" s="92"/>
      <c r="Q973" s="42"/>
      <c r="R973" s="46"/>
      <c r="S973" s="31"/>
      <c r="T973" s="31"/>
      <c r="U973" s="31"/>
      <c r="V973" s="31"/>
      <c r="W973" s="31"/>
      <c r="X973" s="31"/>
      <c r="Y973" s="31"/>
      <c r="Z973" s="31"/>
      <c r="AA973" s="31"/>
    </row>
    <row r="974" spans="1:27" x14ac:dyDescent="0.2">
      <c r="A974" s="5"/>
      <c r="B974" s="31"/>
      <c r="C974" s="31"/>
      <c r="D974" s="31"/>
      <c r="E974" s="31"/>
      <c r="F974" s="31"/>
      <c r="G974" s="31"/>
      <c r="H974" s="93"/>
      <c r="I974" s="31"/>
      <c r="J974" s="31"/>
      <c r="K974" s="31"/>
      <c r="L974" s="42"/>
      <c r="M974" s="31"/>
      <c r="N974" s="31"/>
      <c r="O974" s="42"/>
      <c r="P974" s="92"/>
      <c r="Q974" s="42"/>
      <c r="R974" s="46"/>
      <c r="S974" s="31"/>
      <c r="T974" s="31"/>
      <c r="U974" s="31"/>
      <c r="V974" s="31"/>
      <c r="W974" s="31"/>
      <c r="X974" s="31"/>
      <c r="Y974" s="31"/>
      <c r="Z974" s="31"/>
      <c r="AA974" s="31"/>
    </row>
    <row r="975" spans="1:27" x14ac:dyDescent="0.2">
      <c r="A975" s="5"/>
      <c r="B975" s="31"/>
      <c r="C975" s="31"/>
      <c r="D975" s="31"/>
      <c r="E975" s="31"/>
      <c r="F975" s="31"/>
      <c r="G975" s="31"/>
      <c r="H975" s="93"/>
      <c r="I975" s="31"/>
      <c r="J975" s="31"/>
      <c r="K975" s="31"/>
      <c r="L975" s="42"/>
      <c r="M975" s="31"/>
      <c r="N975" s="31"/>
      <c r="O975" s="42"/>
      <c r="P975" s="92"/>
      <c r="Q975" s="42"/>
      <c r="R975" s="46"/>
      <c r="S975" s="31"/>
      <c r="T975" s="31"/>
      <c r="U975" s="31"/>
      <c r="V975" s="31"/>
      <c r="W975" s="31"/>
      <c r="X975" s="31"/>
      <c r="Y975" s="31"/>
      <c r="Z975" s="31"/>
      <c r="AA975" s="31"/>
    </row>
    <row r="976" spans="1:27" x14ac:dyDescent="0.2">
      <c r="A976" s="5"/>
      <c r="B976" s="31"/>
      <c r="C976" s="31"/>
      <c r="D976" s="31"/>
      <c r="E976" s="31"/>
      <c r="F976" s="31"/>
      <c r="G976" s="31"/>
      <c r="H976" s="93"/>
      <c r="I976" s="31"/>
      <c r="J976" s="31"/>
      <c r="K976" s="31"/>
      <c r="L976" s="42"/>
      <c r="M976" s="31"/>
      <c r="N976" s="31"/>
      <c r="O976" s="42"/>
      <c r="P976" s="92"/>
      <c r="Q976" s="42"/>
      <c r="R976" s="46"/>
      <c r="S976" s="31"/>
      <c r="T976" s="31"/>
      <c r="U976" s="31"/>
      <c r="V976" s="31"/>
      <c r="W976" s="31"/>
      <c r="X976" s="31"/>
      <c r="Y976" s="31"/>
      <c r="Z976" s="31"/>
      <c r="AA976" s="31"/>
    </row>
    <row r="977" spans="1:27" x14ac:dyDescent="0.2">
      <c r="A977" s="5"/>
      <c r="B977" s="31"/>
      <c r="C977" s="31"/>
      <c r="D977" s="31"/>
      <c r="E977" s="31"/>
      <c r="F977" s="31"/>
      <c r="G977" s="31"/>
      <c r="H977" s="93"/>
      <c r="I977" s="31"/>
      <c r="J977" s="31"/>
      <c r="K977" s="31"/>
      <c r="L977" s="42"/>
      <c r="M977" s="31"/>
      <c r="N977" s="31"/>
      <c r="O977" s="42"/>
      <c r="P977" s="92"/>
      <c r="Q977" s="42"/>
      <c r="R977" s="46"/>
      <c r="S977" s="31"/>
      <c r="T977" s="31"/>
      <c r="U977" s="31"/>
      <c r="V977" s="31"/>
      <c r="W977" s="31"/>
      <c r="X977" s="31"/>
      <c r="Y977" s="31"/>
      <c r="Z977" s="31"/>
      <c r="AA977" s="31"/>
    </row>
    <row r="978" spans="1:27" x14ac:dyDescent="0.2">
      <c r="A978" s="5"/>
      <c r="B978" s="31"/>
      <c r="C978" s="31"/>
      <c r="D978" s="31"/>
      <c r="E978" s="31"/>
      <c r="F978" s="31"/>
      <c r="G978" s="31"/>
      <c r="H978" s="93"/>
      <c r="I978" s="31"/>
      <c r="J978" s="31"/>
      <c r="K978" s="31"/>
      <c r="L978" s="42"/>
      <c r="M978" s="31"/>
      <c r="N978" s="31"/>
      <c r="O978" s="42"/>
      <c r="P978" s="92"/>
      <c r="Q978" s="42"/>
      <c r="R978" s="46"/>
      <c r="S978" s="31"/>
      <c r="T978" s="31"/>
      <c r="U978" s="31"/>
      <c r="V978" s="31"/>
      <c r="W978" s="31"/>
      <c r="X978" s="31"/>
      <c r="Y978" s="31"/>
      <c r="Z978" s="31"/>
      <c r="AA978" s="31"/>
    </row>
    <row r="979" spans="1:27" x14ac:dyDescent="0.2">
      <c r="A979" s="5"/>
      <c r="B979" s="31"/>
      <c r="C979" s="31"/>
      <c r="D979" s="31"/>
      <c r="E979" s="31"/>
      <c r="F979" s="31"/>
      <c r="G979" s="31"/>
      <c r="H979" s="93"/>
      <c r="I979" s="31"/>
      <c r="J979" s="31"/>
      <c r="K979" s="31"/>
      <c r="L979" s="42"/>
      <c r="M979" s="31"/>
      <c r="N979" s="31"/>
      <c r="O979" s="42"/>
      <c r="P979" s="92"/>
      <c r="Q979" s="42"/>
      <c r="R979" s="46"/>
      <c r="S979" s="31"/>
      <c r="T979" s="31"/>
      <c r="U979" s="31"/>
      <c r="V979" s="31"/>
      <c r="W979" s="31"/>
      <c r="X979" s="31"/>
      <c r="Y979" s="31"/>
      <c r="Z979" s="31"/>
      <c r="AA979" s="31"/>
    </row>
    <row r="980" spans="1:27" x14ac:dyDescent="0.2">
      <c r="A980" s="5"/>
      <c r="B980" s="31"/>
      <c r="C980" s="31"/>
      <c r="D980" s="31"/>
      <c r="E980" s="31"/>
      <c r="F980" s="31"/>
      <c r="G980" s="31"/>
      <c r="H980" s="93"/>
      <c r="I980" s="31"/>
      <c r="J980" s="31"/>
      <c r="K980" s="31"/>
      <c r="L980" s="42"/>
      <c r="M980" s="31"/>
      <c r="N980" s="31"/>
      <c r="O980" s="42"/>
      <c r="P980" s="92"/>
      <c r="Q980" s="42"/>
      <c r="R980" s="46"/>
      <c r="S980" s="31"/>
      <c r="T980" s="31"/>
      <c r="U980" s="31"/>
      <c r="V980" s="31"/>
      <c r="W980" s="31"/>
      <c r="X980" s="31"/>
      <c r="Y980" s="31"/>
      <c r="Z980" s="31"/>
      <c r="AA980" s="31"/>
    </row>
    <row r="981" spans="1:27" x14ac:dyDescent="0.2">
      <c r="A981" s="5"/>
      <c r="B981" s="31"/>
      <c r="C981" s="31"/>
      <c r="D981" s="31"/>
      <c r="E981" s="31"/>
      <c r="F981" s="31"/>
      <c r="G981" s="31"/>
      <c r="H981" s="93"/>
      <c r="I981" s="31"/>
      <c r="J981" s="31"/>
      <c r="K981" s="31"/>
      <c r="L981" s="42"/>
      <c r="M981" s="31"/>
      <c r="N981" s="31"/>
      <c r="O981" s="42"/>
      <c r="P981" s="92"/>
      <c r="Q981" s="42"/>
      <c r="R981" s="46"/>
      <c r="S981" s="31"/>
      <c r="T981" s="31"/>
      <c r="U981" s="31"/>
      <c r="V981" s="31"/>
      <c r="W981" s="31"/>
      <c r="X981" s="31"/>
      <c r="Y981" s="31"/>
      <c r="Z981" s="31"/>
      <c r="AA981" s="31"/>
    </row>
    <row r="982" spans="1:27" x14ac:dyDescent="0.2">
      <c r="A982" s="5"/>
      <c r="B982" s="31"/>
      <c r="C982" s="31"/>
      <c r="D982" s="31"/>
      <c r="E982" s="31"/>
      <c r="F982" s="31"/>
      <c r="G982" s="31"/>
      <c r="H982" s="93"/>
      <c r="I982" s="31"/>
      <c r="J982" s="31"/>
      <c r="K982" s="31"/>
      <c r="L982" s="42"/>
      <c r="M982" s="31"/>
      <c r="N982" s="31"/>
      <c r="O982" s="42"/>
      <c r="P982" s="92"/>
      <c r="Q982" s="42"/>
      <c r="R982" s="46"/>
      <c r="S982" s="31"/>
      <c r="T982" s="31"/>
      <c r="U982" s="31"/>
      <c r="V982" s="31"/>
      <c r="W982" s="31"/>
      <c r="X982" s="31"/>
      <c r="Y982" s="31"/>
      <c r="Z982" s="31"/>
      <c r="AA982" s="31"/>
    </row>
    <row r="983" spans="1:27" x14ac:dyDescent="0.2">
      <c r="A983" s="5"/>
      <c r="B983" s="31"/>
      <c r="C983" s="31"/>
      <c r="D983" s="31"/>
      <c r="E983" s="31"/>
      <c r="F983" s="31"/>
      <c r="G983" s="31"/>
      <c r="H983" s="93"/>
      <c r="I983" s="31"/>
      <c r="J983" s="31"/>
      <c r="K983" s="31"/>
      <c r="L983" s="42"/>
      <c r="M983" s="31"/>
      <c r="N983" s="31"/>
      <c r="O983" s="42"/>
      <c r="P983" s="92"/>
      <c r="Q983" s="42"/>
      <c r="R983" s="46"/>
      <c r="S983" s="31"/>
      <c r="T983" s="31"/>
      <c r="U983" s="31"/>
      <c r="V983" s="31"/>
      <c r="W983" s="31"/>
      <c r="X983" s="31"/>
      <c r="Y983" s="31"/>
      <c r="Z983" s="31"/>
      <c r="AA983" s="31"/>
    </row>
    <row r="984" spans="1:27" x14ac:dyDescent="0.2">
      <c r="A984" s="5"/>
      <c r="B984" s="31"/>
      <c r="C984" s="31"/>
      <c r="D984" s="31"/>
      <c r="E984" s="31"/>
      <c r="F984" s="31"/>
      <c r="G984" s="31"/>
      <c r="H984" s="93"/>
      <c r="I984" s="31"/>
      <c r="J984" s="31"/>
      <c r="K984" s="31"/>
      <c r="L984" s="42"/>
      <c r="M984" s="31"/>
      <c r="N984" s="31"/>
      <c r="O984" s="42"/>
      <c r="P984" s="92"/>
      <c r="Q984" s="42"/>
      <c r="R984" s="46"/>
      <c r="S984" s="31"/>
      <c r="T984" s="31"/>
      <c r="U984" s="31"/>
      <c r="V984" s="31"/>
      <c r="W984" s="31"/>
      <c r="X984" s="31"/>
      <c r="Y984" s="31"/>
      <c r="Z984" s="31"/>
      <c r="AA984" s="31"/>
    </row>
    <row r="985" spans="1:27" x14ac:dyDescent="0.2">
      <c r="A985" s="5"/>
      <c r="B985" s="31"/>
      <c r="C985" s="31"/>
      <c r="D985" s="31"/>
      <c r="E985" s="31"/>
      <c r="F985" s="31"/>
      <c r="G985" s="31"/>
      <c r="H985" s="93"/>
      <c r="I985" s="31"/>
      <c r="J985" s="31"/>
      <c r="K985" s="31"/>
      <c r="L985" s="42"/>
      <c r="M985" s="31"/>
      <c r="N985" s="31"/>
      <c r="O985" s="42"/>
      <c r="P985" s="92"/>
      <c r="Q985" s="42"/>
      <c r="R985" s="46"/>
      <c r="S985" s="31"/>
      <c r="T985" s="31"/>
      <c r="U985" s="31"/>
      <c r="V985" s="31"/>
      <c r="W985" s="31"/>
      <c r="X985" s="31"/>
      <c r="Y985" s="31"/>
      <c r="Z985" s="31"/>
      <c r="AA985" s="31"/>
    </row>
    <row r="986" spans="1:27" x14ac:dyDescent="0.2">
      <c r="A986" s="5"/>
      <c r="B986" s="31"/>
      <c r="C986" s="31"/>
      <c r="D986" s="31"/>
      <c r="E986" s="31"/>
      <c r="F986" s="31"/>
      <c r="G986" s="31"/>
      <c r="H986" s="93"/>
      <c r="I986" s="31"/>
      <c r="J986" s="31"/>
      <c r="K986" s="31"/>
      <c r="L986" s="42"/>
      <c r="M986" s="31"/>
      <c r="N986" s="31"/>
      <c r="O986" s="42"/>
      <c r="P986" s="92"/>
      <c r="Q986" s="42"/>
      <c r="R986" s="46"/>
      <c r="S986" s="31"/>
      <c r="T986" s="31"/>
      <c r="U986" s="31"/>
      <c r="V986" s="31"/>
      <c r="W986" s="31"/>
      <c r="X986" s="31"/>
      <c r="Y986" s="31"/>
      <c r="Z986" s="31"/>
      <c r="AA986" s="31"/>
    </row>
    <row r="987" spans="1:27" x14ac:dyDescent="0.2">
      <c r="A987" s="5"/>
      <c r="B987" s="31"/>
      <c r="C987" s="31"/>
      <c r="D987" s="31"/>
      <c r="E987" s="31"/>
      <c r="F987" s="31"/>
      <c r="G987" s="31"/>
      <c r="H987" s="93"/>
      <c r="I987" s="31"/>
      <c r="J987" s="31"/>
      <c r="K987" s="31"/>
      <c r="L987" s="42"/>
      <c r="M987" s="31"/>
      <c r="N987" s="31"/>
      <c r="O987" s="42"/>
      <c r="P987" s="92"/>
      <c r="Q987" s="42"/>
      <c r="R987" s="46"/>
      <c r="S987" s="31"/>
      <c r="T987" s="31"/>
      <c r="U987" s="31"/>
      <c r="V987" s="31"/>
      <c r="W987" s="31"/>
      <c r="X987" s="31"/>
      <c r="Y987" s="31"/>
      <c r="Z987" s="31"/>
      <c r="AA987" s="31"/>
    </row>
    <row r="988" spans="1:27" x14ac:dyDescent="0.2">
      <c r="A988" s="5"/>
      <c r="B988" s="31"/>
      <c r="C988" s="31"/>
      <c r="D988" s="31"/>
      <c r="E988" s="31"/>
      <c r="F988" s="31"/>
      <c r="G988" s="31"/>
      <c r="H988" s="93"/>
      <c r="I988" s="31"/>
      <c r="J988" s="31"/>
      <c r="K988" s="31"/>
      <c r="L988" s="42"/>
      <c r="M988" s="31"/>
      <c r="N988" s="31"/>
      <c r="O988" s="42"/>
      <c r="P988" s="92"/>
      <c r="Q988" s="42"/>
      <c r="R988" s="46"/>
      <c r="S988" s="31"/>
      <c r="T988" s="31"/>
      <c r="U988" s="31"/>
      <c r="V988" s="31"/>
      <c r="W988" s="31"/>
      <c r="X988" s="31"/>
      <c r="Y988" s="31"/>
      <c r="Z988" s="31"/>
      <c r="AA988" s="31"/>
    </row>
    <row r="989" spans="1:27" x14ac:dyDescent="0.2">
      <c r="A989" s="5"/>
      <c r="B989" s="31"/>
      <c r="C989" s="31"/>
      <c r="D989" s="31"/>
      <c r="E989" s="31"/>
      <c r="F989" s="31"/>
      <c r="G989" s="31"/>
      <c r="H989" s="93"/>
      <c r="I989" s="31"/>
      <c r="J989" s="31"/>
      <c r="K989" s="31"/>
      <c r="L989" s="42"/>
      <c r="M989" s="31"/>
      <c r="N989" s="31"/>
      <c r="O989" s="42"/>
      <c r="P989" s="92"/>
      <c r="Q989" s="42"/>
      <c r="R989" s="46"/>
      <c r="S989" s="31"/>
      <c r="T989" s="31"/>
      <c r="U989" s="31"/>
      <c r="V989" s="31"/>
      <c r="W989" s="31"/>
      <c r="X989" s="31"/>
      <c r="Y989" s="31"/>
      <c r="Z989" s="31"/>
      <c r="AA989" s="31"/>
    </row>
    <row r="990" spans="1:27" x14ac:dyDescent="0.2">
      <c r="A990" s="5"/>
      <c r="B990" s="31"/>
      <c r="C990" s="31"/>
      <c r="D990" s="31"/>
      <c r="E990" s="31"/>
      <c r="F990" s="31"/>
      <c r="G990" s="31"/>
      <c r="H990" s="93"/>
      <c r="I990" s="31"/>
      <c r="J990" s="31"/>
      <c r="K990" s="31"/>
      <c r="L990" s="42"/>
      <c r="M990" s="31"/>
      <c r="N990" s="31"/>
      <c r="O990" s="42"/>
      <c r="P990" s="92"/>
      <c r="Q990" s="42"/>
      <c r="R990" s="46"/>
      <c r="S990" s="31"/>
      <c r="T990" s="31"/>
      <c r="U990" s="31"/>
      <c r="V990" s="31"/>
      <c r="W990" s="31"/>
      <c r="X990" s="31"/>
      <c r="Y990" s="31"/>
      <c r="Z990" s="31"/>
      <c r="AA990" s="31"/>
    </row>
    <row r="991" spans="1:27" x14ac:dyDescent="0.2">
      <c r="A991" s="5"/>
      <c r="B991" s="31"/>
      <c r="C991" s="31"/>
      <c r="D991" s="31"/>
      <c r="E991" s="31"/>
      <c r="F991" s="31"/>
      <c r="G991" s="31"/>
      <c r="H991" s="93"/>
      <c r="I991" s="31"/>
      <c r="J991" s="31"/>
      <c r="K991" s="31"/>
      <c r="L991" s="42"/>
      <c r="M991" s="31"/>
      <c r="N991" s="31"/>
      <c r="O991" s="42"/>
      <c r="P991" s="92"/>
      <c r="Q991" s="42"/>
      <c r="R991" s="46"/>
      <c r="S991" s="31"/>
      <c r="T991" s="31"/>
      <c r="U991" s="31"/>
      <c r="V991" s="31"/>
      <c r="W991" s="31"/>
      <c r="X991" s="31"/>
      <c r="Y991" s="31"/>
      <c r="Z991" s="31"/>
      <c r="AA991" s="31"/>
    </row>
    <row r="992" spans="1:27" x14ac:dyDescent="0.2">
      <c r="A992" s="5"/>
      <c r="B992" s="31"/>
      <c r="C992" s="31"/>
      <c r="D992" s="31"/>
      <c r="E992" s="31"/>
      <c r="F992" s="31"/>
      <c r="G992" s="31"/>
      <c r="H992" s="93"/>
      <c r="I992" s="31"/>
      <c r="J992" s="31"/>
      <c r="K992" s="31"/>
      <c r="L992" s="42"/>
      <c r="M992" s="31"/>
      <c r="N992" s="31"/>
      <c r="O992" s="42"/>
      <c r="P992" s="92"/>
      <c r="Q992" s="42"/>
      <c r="R992" s="46"/>
      <c r="S992" s="31"/>
      <c r="T992" s="31"/>
      <c r="U992" s="31"/>
      <c r="V992" s="31"/>
      <c r="W992" s="31"/>
      <c r="X992" s="31"/>
      <c r="Y992" s="31"/>
      <c r="Z992" s="31"/>
      <c r="AA992" s="31"/>
    </row>
    <row r="993" spans="1:27" x14ac:dyDescent="0.2">
      <c r="A993" s="5"/>
      <c r="B993" s="31"/>
      <c r="C993" s="31"/>
      <c r="D993" s="31"/>
      <c r="E993" s="31"/>
      <c r="F993" s="31"/>
      <c r="G993" s="31"/>
      <c r="H993" s="93"/>
      <c r="I993" s="31"/>
      <c r="J993" s="31"/>
      <c r="K993" s="31"/>
      <c r="L993" s="42"/>
      <c r="M993" s="31"/>
      <c r="N993" s="31"/>
      <c r="O993" s="42"/>
      <c r="P993" s="92"/>
      <c r="Q993" s="42"/>
      <c r="R993" s="46"/>
      <c r="S993" s="31"/>
      <c r="T993" s="31"/>
      <c r="U993" s="31"/>
      <c r="V993" s="31"/>
      <c r="W993" s="31"/>
      <c r="X993" s="31"/>
      <c r="Y993" s="31"/>
      <c r="Z993" s="31"/>
      <c r="AA993" s="31"/>
    </row>
    <row r="994" spans="1:27" x14ac:dyDescent="0.2">
      <c r="A994" s="5"/>
      <c r="B994" s="31"/>
      <c r="C994" s="31"/>
      <c r="D994" s="31"/>
      <c r="E994" s="31"/>
      <c r="F994" s="31"/>
      <c r="G994" s="31"/>
      <c r="H994" s="93"/>
      <c r="I994" s="31"/>
      <c r="J994" s="31"/>
      <c r="K994" s="31"/>
      <c r="L994" s="42"/>
      <c r="M994" s="31"/>
      <c r="N994" s="31"/>
      <c r="O994" s="42"/>
      <c r="P994" s="92"/>
      <c r="Q994" s="42"/>
      <c r="R994" s="46"/>
      <c r="S994" s="31"/>
      <c r="T994" s="31"/>
      <c r="U994" s="31"/>
      <c r="V994" s="31"/>
      <c r="W994" s="31"/>
      <c r="X994" s="31"/>
      <c r="Y994" s="31"/>
      <c r="Z994" s="31"/>
      <c r="AA994" s="31"/>
    </row>
    <row r="995" spans="1:27" x14ac:dyDescent="0.2">
      <c r="A995" s="5"/>
      <c r="B995" s="31"/>
      <c r="C995" s="31"/>
      <c r="D995" s="31"/>
      <c r="E995" s="31"/>
      <c r="F995" s="31"/>
      <c r="G995" s="31"/>
      <c r="H995" s="93"/>
      <c r="I995" s="31"/>
      <c r="J995" s="31"/>
      <c r="K995" s="31"/>
      <c r="L995" s="42"/>
      <c r="M995" s="31"/>
      <c r="N995" s="31"/>
      <c r="O995" s="42"/>
      <c r="P995" s="92"/>
      <c r="Q995" s="42"/>
      <c r="R995" s="46"/>
      <c r="S995" s="31"/>
      <c r="T995" s="31"/>
      <c r="U995" s="31"/>
      <c r="V995" s="31"/>
      <c r="W995" s="31"/>
      <c r="X995" s="31"/>
      <c r="Y995" s="31"/>
      <c r="Z995" s="31"/>
      <c r="AA995" s="31"/>
    </row>
    <row r="996" spans="1:27" x14ac:dyDescent="0.2">
      <c r="A996" s="5"/>
      <c r="B996" s="31"/>
      <c r="C996" s="31"/>
      <c r="D996" s="31"/>
      <c r="E996" s="31"/>
      <c r="F996" s="31"/>
      <c r="G996" s="31"/>
      <c r="H996" s="93"/>
      <c r="I996" s="31"/>
      <c r="J996" s="31"/>
      <c r="K996" s="31"/>
      <c r="L996" s="42"/>
      <c r="M996" s="31"/>
      <c r="N996" s="31"/>
      <c r="O996" s="42"/>
      <c r="P996" s="92"/>
      <c r="Q996" s="42"/>
      <c r="R996" s="46"/>
      <c r="S996" s="31"/>
      <c r="T996" s="31"/>
      <c r="U996" s="31"/>
      <c r="V996" s="31"/>
      <c r="W996" s="31"/>
      <c r="X996" s="31"/>
      <c r="Y996" s="31"/>
      <c r="Z996" s="31"/>
      <c r="AA996" s="31"/>
    </row>
    <row r="997" spans="1:27" x14ac:dyDescent="0.2">
      <c r="A997" s="5"/>
      <c r="B997" s="31"/>
      <c r="C997" s="31"/>
      <c r="D997" s="31"/>
      <c r="E997" s="31"/>
      <c r="F997" s="31"/>
      <c r="G997" s="31"/>
      <c r="H997" s="93"/>
      <c r="I997" s="31"/>
      <c r="J997" s="31"/>
      <c r="K997" s="31"/>
      <c r="L997" s="42"/>
      <c r="M997" s="31"/>
      <c r="N997" s="31"/>
      <c r="O997" s="42"/>
      <c r="P997" s="92"/>
      <c r="Q997" s="42"/>
      <c r="R997" s="46"/>
      <c r="S997" s="31"/>
      <c r="T997" s="31"/>
      <c r="U997" s="31"/>
      <c r="V997" s="31"/>
      <c r="W997" s="31"/>
      <c r="X997" s="31"/>
      <c r="Y997" s="31"/>
      <c r="Z997" s="31"/>
      <c r="AA997" s="31"/>
    </row>
    <row r="998" spans="1:27" x14ac:dyDescent="0.2">
      <c r="A998" s="5"/>
      <c r="B998" s="31"/>
      <c r="C998" s="31"/>
      <c r="D998" s="31"/>
      <c r="E998" s="31"/>
      <c r="F998" s="31"/>
      <c r="G998" s="31"/>
      <c r="H998" s="93"/>
      <c r="I998" s="31"/>
      <c r="J998" s="31"/>
      <c r="K998" s="31"/>
      <c r="L998" s="42"/>
      <c r="M998" s="31"/>
      <c r="N998" s="31"/>
      <c r="O998" s="42"/>
      <c r="P998" s="92"/>
      <c r="Q998" s="42"/>
      <c r="R998" s="46"/>
      <c r="S998" s="31"/>
      <c r="T998" s="31"/>
      <c r="U998" s="31"/>
      <c r="V998" s="31"/>
      <c r="W998" s="31"/>
      <c r="X998" s="31"/>
      <c r="Y998" s="31"/>
      <c r="Z998" s="31"/>
      <c r="AA998" s="31"/>
    </row>
    <row r="999" spans="1:27" x14ac:dyDescent="0.2">
      <c r="A999" s="5"/>
      <c r="B999" s="31"/>
      <c r="C999" s="31"/>
      <c r="D999" s="31"/>
      <c r="E999" s="31"/>
      <c r="F999" s="31"/>
      <c r="G999" s="31"/>
      <c r="H999" s="93"/>
      <c r="I999" s="31"/>
      <c r="J999" s="31"/>
      <c r="K999" s="31"/>
      <c r="L999" s="42"/>
      <c r="M999" s="31"/>
      <c r="N999" s="31"/>
      <c r="O999" s="42"/>
      <c r="P999" s="92"/>
      <c r="Q999" s="42"/>
      <c r="R999" s="46"/>
      <c r="S999" s="31"/>
      <c r="T999" s="31"/>
      <c r="U999" s="31"/>
      <c r="V999" s="31"/>
      <c r="W999" s="31"/>
      <c r="X999" s="31"/>
      <c r="Y999" s="31"/>
      <c r="Z999" s="31"/>
      <c r="AA999" s="31"/>
    </row>
    <row r="1000" spans="1:27" x14ac:dyDescent="0.2">
      <c r="A1000" s="5"/>
      <c r="B1000" s="31"/>
      <c r="C1000" s="31"/>
      <c r="D1000" s="31"/>
      <c r="E1000" s="31"/>
      <c r="F1000" s="31"/>
      <c r="G1000" s="31"/>
      <c r="H1000" s="93"/>
      <c r="I1000" s="31"/>
      <c r="J1000" s="31"/>
      <c r="K1000" s="31"/>
      <c r="L1000" s="42"/>
      <c r="M1000" s="31"/>
      <c r="N1000" s="31"/>
      <c r="O1000" s="42"/>
      <c r="P1000" s="92"/>
      <c r="Q1000" s="42"/>
      <c r="R1000" s="46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sheetData>
    <row r="1" spans="1:27" ht="40.5" customHeight="1" x14ac:dyDescent="0.2">
      <c r="A1" s="2"/>
      <c r="B1" s="4" t="s">
        <v>3</v>
      </c>
      <c r="C1" s="4" t="s">
        <v>6</v>
      </c>
      <c r="D1" s="4" t="s">
        <v>8</v>
      </c>
      <c r="E1" s="4" t="s">
        <v>5</v>
      </c>
      <c r="F1" s="9" t="s">
        <v>12</v>
      </c>
      <c r="G1" s="4" t="s">
        <v>26</v>
      </c>
      <c r="H1" s="4" t="s">
        <v>7</v>
      </c>
      <c r="I1" s="4" t="s">
        <v>30</v>
      </c>
      <c r="J1" s="4" t="s">
        <v>33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40.5" customHeight="1" x14ac:dyDescent="0.2">
      <c r="A2" s="15" t="s">
        <v>44</v>
      </c>
      <c r="B2" s="23">
        <f t="shared" ref="B2:B7" ca="1" si="0">(G2+J2)</f>
        <v>1942.24764</v>
      </c>
      <c r="C2" s="25">
        <v>0.76</v>
      </c>
      <c r="D2" s="23">
        <f t="shared" ref="D2:D7" ca="1" si="1">B2*1.25</f>
        <v>2427.8095499999999</v>
      </c>
      <c r="E2" s="28">
        <f ca="1">'New Provinces Summary'!D2</f>
        <v>211771</v>
      </c>
      <c r="F2" s="29">
        <v>5.0000000000000001E-3</v>
      </c>
      <c r="G2" s="23">
        <f t="shared" ref="G2:G7" ca="1" si="2">F2*E2*C2</f>
        <v>804.72980000000007</v>
      </c>
      <c r="H2" s="28">
        <f ca="1">'New Provinces Summary'!E2</f>
        <v>5986936</v>
      </c>
      <c r="I2" s="32">
        <v>2.5000000000000001E-4</v>
      </c>
      <c r="J2" s="23">
        <f t="shared" ref="J2:J7" ca="1" si="3">H2*I2*C2</f>
        <v>1137.51784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40.5" customHeight="1" x14ac:dyDescent="0.2">
      <c r="A3" s="15" t="s">
        <v>50</v>
      </c>
      <c r="B3" s="23">
        <f t="shared" ca="1" si="0"/>
        <v>3066.8743799999997</v>
      </c>
      <c r="C3" s="25">
        <v>0.72</v>
      </c>
      <c r="D3" s="23">
        <f t="shared" ca="1" si="1"/>
        <v>3833.5929749999996</v>
      </c>
      <c r="E3" s="28">
        <f ca="1">'New Provinces Summary'!D3</f>
        <v>210019</v>
      </c>
      <c r="F3" s="29">
        <f t="shared" ref="F3:F7" si="4">F2</f>
        <v>5.0000000000000001E-3</v>
      </c>
      <c r="G3" s="23">
        <f t="shared" ca="1" si="2"/>
        <v>756.0684</v>
      </c>
      <c r="H3" s="28">
        <f ca="1">'New Provinces Summary'!E3</f>
        <v>12837811</v>
      </c>
      <c r="I3" s="32">
        <v>2.5000000000000001E-4</v>
      </c>
      <c r="J3" s="23">
        <f t="shared" ca="1" si="3"/>
        <v>2310.8059799999996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40.5" customHeight="1" x14ac:dyDescent="0.2">
      <c r="A4" s="15" t="s">
        <v>54</v>
      </c>
      <c r="B4" s="23">
        <f t="shared" ca="1" si="0"/>
        <v>383.80462499999999</v>
      </c>
      <c r="C4" s="25">
        <v>0.3</v>
      </c>
      <c r="D4" s="23">
        <f t="shared" ca="1" si="1"/>
        <v>479.75578124999998</v>
      </c>
      <c r="E4" s="28">
        <f ca="1">'New Provinces Summary'!D4</f>
        <v>72536</v>
      </c>
      <c r="F4" s="29">
        <f t="shared" si="4"/>
        <v>5.0000000000000001E-3</v>
      </c>
      <c r="G4" s="23">
        <f t="shared" ca="1" si="2"/>
        <v>108.804</v>
      </c>
      <c r="H4" s="28">
        <f ca="1">'New Provinces Summary'!E4</f>
        <v>3666675</v>
      </c>
      <c r="I4" s="32">
        <v>2.5000000000000001E-4</v>
      </c>
      <c r="J4" s="23">
        <f t="shared" ca="1" si="3"/>
        <v>275.00062500000001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40.5" customHeight="1" x14ac:dyDescent="0.2">
      <c r="A5" s="15" t="s">
        <v>58</v>
      </c>
      <c r="B5" s="23">
        <f t="shared" ca="1" si="0"/>
        <v>1353.2702000000002</v>
      </c>
      <c r="C5" s="25">
        <v>0.53</v>
      </c>
      <c r="D5" s="23">
        <f t="shared" ca="1" si="1"/>
        <v>1691.5877500000001</v>
      </c>
      <c r="E5" s="28">
        <f ca="1">'New Provinces Summary'!D5</f>
        <v>132591</v>
      </c>
      <c r="F5" s="29">
        <f t="shared" si="4"/>
        <v>5.0000000000000001E-3</v>
      </c>
      <c r="G5" s="23">
        <f t="shared" ca="1" si="2"/>
        <v>351.36615000000006</v>
      </c>
      <c r="H5" s="28">
        <f ca="1">'New Provinces Summary'!E5</f>
        <v>7561540</v>
      </c>
      <c r="I5" s="32">
        <v>2.5000000000000001E-4</v>
      </c>
      <c r="J5" s="23">
        <f t="shared" ca="1" si="3"/>
        <v>1001.9040500000001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spans="1:27" ht="40.5" customHeight="1" x14ac:dyDescent="0.2">
      <c r="A6" s="15" t="s">
        <v>61</v>
      </c>
      <c r="B6" s="23">
        <f t="shared" ca="1" si="0"/>
        <v>4214.3773499999998</v>
      </c>
      <c r="C6" s="25">
        <v>0.68</v>
      </c>
      <c r="D6" s="23">
        <f t="shared" ca="1" si="1"/>
        <v>5267.9716874999995</v>
      </c>
      <c r="E6" s="28">
        <f ca="1">'New Provinces Summary'!D6</f>
        <v>460501</v>
      </c>
      <c r="F6" s="29">
        <f t="shared" si="4"/>
        <v>5.0000000000000001E-3</v>
      </c>
      <c r="G6" s="23">
        <f t="shared" ca="1" si="2"/>
        <v>1565.7034000000001</v>
      </c>
      <c r="H6" s="28">
        <f ca="1">'New Provinces Summary'!E6</f>
        <v>15580435</v>
      </c>
      <c r="I6" s="32">
        <v>2.5000000000000001E-4</v>
      </c>
      <c r="J6" s="23">
        <f t="shared" ca="1" si="3"/>
        <v>2648.6739499999999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27" ht="40.5" customHeight="1" x14ac:dyDescent="0.2">
      <c r="A7" s="15" t="s">
        <v>64</v>
      </c>
      <c r="B7" s="23">
        <f t="shared" ca="1" si="0"/>
        <v>5603.8644000000004</v>
      </c>
      <c r="C7" s="25">
        <v>0.8</v>
      </c>
      <c r="D7" s="23">
        <f t="shared" ca="1" si="1"/>
        <v>7004.8305</v>
      </c>
      <c r="E7" s="28">
        <f ca="1">'New Provinces Summary'!D7</f>
        <v>579594</v>
      </c>
      <c r="F7" s="29">
        <f t="shared" si="4"/>
        <v>5.0000000000000001E-3</v>
      </c>
      <c r="G7" s="23">
        <f t="shared" ca="1" si="2"/>
        <v>2318.3760000000002</v>
      </c>
      <c r="H7" s="28">
        <f ca="1">'New Provinces Summary'!E7</f>
        <v>16427442</v>
      </c>
      <c r="I7" s="32">
        <v>2.5000000000000001E-4</v>
      </c>
      <c r="J7" s="23">
        <f t="shared" ca="1" si="3"/>
        <v>3285.4884000000002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27" ht="40.5" customHeight="1" x14ac:dyDescent="0.2">
      <c r="A8" s="15"/>
      <c r="B8" s="35"/>
      <c r="C8" s="35"/>
      <c r="D8" s="35"/>
      <c r="E8" s="35"/>
      <c r="F8" s="47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ht="40.5" customHeight="1" x14ac:dyDescent="0.2">
      <c r="A9" s="15"/>
      <c r="B9" s="35"/>
      <c r="C9" s="35"/>
      <c r="D9" s="35"/>
      <c r="E9" s="35"/>
      <c r="F9" s="47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spans="1:27" ht="40.5" customHeight="1" x14ac:dyDescent="0.2">
      <c r="A10" s="15"/>
      <c r="B10" s="35"/>
      <c r="C10" s="35"/>
      <c r="D10" s="35"/>
      <c r="E10" s="35"/>
      <c r="F10" s="47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spans="1:27" ht="40.5" customHeight="1" x14ac:dyDescent="0.2">
      <c r="A11" s="15"/>
      <c r="B11" s="35"/>
      <c r="C11" s="35"/>
      <c r="D11" s="35"/>
      <c r="E11" s="35"/>
      <c r="F11" s="47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spans="1:27" ht="40.5" customHeight="1" x14ac:dyDescent="0.2">
      <c r="A12" s="15"/>
      <c r="B12" s="35"/>
      <c r="C12" s="35"/>
      <c r="D12" s="35"/>
      <c r="E12" s="35"/>
      <c r="F12" s="47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spans="1:27" ht="40.5" customHeight="1" x14ac:dyDescent="0.2">
      <c r="A13" s="15"/>
      <c r="B13" s="35"/>
      <c r="C13" s="35"/>
      <c r="D13" s="35"/>
      <c r="E13" s="35"/>
      <c r="F13" s="47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27" ht="40.5" customHeight="1" x14ac:dyDescent="0.2">
      <c r="A14" s="15"/>
      <c r="B14" s="35"/>
      <c r="C14" s="35"/>
      <c r="D14" s="35"/>
      <c r="E14" s="35"/>
      <c r="F14" s="47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spans="1:27" ht="40.5" customHeight="1" x14ac:dyDescent="0.2">
      <c r="A15" s="15"/>
      <c r="B15" s="35"/>
      <c r="C15" s="35"/>
      <c r="D15" s="35"/>
      <c r="E15" s="35"/>
      <c r="F15" s="47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spans="1:27" ht="40.5" customHeight="1" x14ac:dyDescent="0.2">
      <c r="A16" s="15"/>
      <c r="B16" s="35"/>
      <c r="C16" s="35"/>
      <c r="D16" s="35"/>
      <c r="E16" s="35"/>
      <c r="F16" s="47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spans="1:27" ht="40.5" customHeight="1" x14ac:dyDescent="0.2">
      <c r="A17" s="15"/>
      <c r="B17" s="35"/>
      <c r="C17" s="35"/>
      <c r="D17" s="35"/>
      <c r="E17" s="35"/>
      <c r="F17" s="47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spans="1:27" ht="40.5" customHeight="1" x14ac:dyDescent="0.2">
      <c r="A18" s="15"/>
      <c r="B18" s="35"/>
      <c r="C18" s="35"/>
      <c r="D18" s="35"/>
      <c r="E18" s="35"/>
      <c r="F18" s="47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spans="1:27" ht="40.5" customHeight="1" x14ac:dyDescent="0.2">
      <c r="A19" s="15"/>
      <c r="B19" s="35"/>
      <c r="C19" s="35"/>
      <c r="D19" s="35"/>
      <c r="E19" s="35"/>
      <c r="F19" s="47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spans="1:27" ht="40.5" customHeight="1" x14ac:dyDescent="0.2">
      <c r="A20" s="15"/>
      <c r="B20" s="35"/>
      <c r="C20" s="35"/>
      <c r="D20" s="35"/>
      <c r="E20" s="35"/>
      <c r="F20" s="47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spans="1:27" ht="40.5" customHeight="1" x14ac:dyDescent="0.2">
      <c r="A21" s="15"/>
      <c r="B21" s="35"/>
      <c r="C21" s="35"/>
      <c r="D21" s="35"/>
      <c r="E21" s="35"/>
      <c r="F21" s="47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27" ht="40.5" customHeight="1" x14ac:dyDescent="0.2">
      <c r="A22" s="15"/>
      <c r="B22" s="35"/>
      <c r="C22" s="35"/>
      <c r="D22" s="35"/>
      <c r="E22" s="35"/>
      <c r="F22" s="4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40.5" customHeight="1" x14ac:dyDescent="0.2">
      <c r="A23" s="15"/>
      <c r="B23" s="35"/>
      <c r="C23" s="35"/>
      <c r="D23" s="35"/>
      <c r="E23" s="35"/>
      <c r="F23" s="47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ht="40.5" customHeight="1" x14ac:dyDescent="0.2">
      <c r="A24" s="15"/>
      <c r="B24" s="35"/>
      <c r="C24" s="35"/>
      <c r="D24" s="35"/>
      <c r="E24" s="35"/>
      <c r="F24" s="47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1:27" ht="40.5" customHeight="1" x14ac:dyDescent="0.2">
      <c r="A25" s="15"/>
      <c r="B25" s="35"/>
      <c r="C25" s="35"/>
      <c r="D25" s="35"/>
      <c r="E25" s="35"/>
      <c r="F25" s="47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spans="1:27" ht="40.5" customHeight="1" x14ac:dyDescent="0.2">
      <c r="A26" s="15"/>
      <c r="B26" s="35"/>
      <c r="C26" s="35"/>
      <c r="D26" s="35"/>
      <c r="E26" s="35"/>
      <c r="F26" s="47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spans="1:27" ht="40.5" customHeight="1" x14ac:dyDescent="0.2">
      <c r="A27" s="15"/>
      <c r="B27" s="35"/>
      <c r="C27" s="35"/>
      <c r="D27" s="35"/>
      <c r="E27" s="35"/>
      <c r="F27" s="47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spans="1:27" ht="40.5" customHeight="1" x14ac:dyDescent="0.2">
      <c r="A28" s="15"/>
      <c r="B28" s="35"/>
      <c r="C28" s="35"/>
      <c r="D28" s="35"/>
      <c r="E28" s="35"/>
      <c r="F28" s="4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spans="1:27" ht="40.5" customHeight="1" x14ac:dyDescent="0.2">
      <c r="A29" s="15"/>
      <c r="B29" s="35"/>
      <c r="C29" s="35"/>
      <c r="D29" s="35"/>
      <c r="E29" s="35"/>
      <c r="F29" s="47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spans="1:27" ht="40.5" customHeight="1" x14ac:dyDescent="0.2">
      <c r="A30" s="15"/>
      <c r="B30" s="35"/>
      <c r="C30" s="35"/>
      <c r="D30" s="35"/>
      <c r="E30" s="35"/>
      <c r="F30" s="47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spans="1:27" ht="40.5" customHeight="1" x14ac:dyDescent="0.2">
      <c r="A31" s="15"/>
      <c r="B31" s="35"/>
      <c r="C31" s="35"/>
      <c r="D31" s="35"/>
      <c r="E31" s="35"/>
      <c r="F31" s="47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spans="1:27" ht="40.5" customHeight="1" x14ac:dyDescent="0.2">
      <c r="A32" s="15"/>
      <c r="B32" s="35"/>
      <c r="C32" s="35"/>
      <c r="D32" s="35"/>
      <c r="E32" s="35"/>
      <c r="F32" s="47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27" ht="40.5" customHeight="1" x14ac:dyDescent="0.2">
      <c r="A33" s="15"/>
      <c r="B33" s="35"/>
      <c r="C33" s="35"/>
      <c r="D33" s="35"/>
      <c r="E33" s="35"/>
      <c r="F33" s="47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spans="1:27" ht="40.5" customHeight="1" x14ac:dyDescent="0.2">
      <c r="A34" s="15"/>
      <c r="B34" s="35"/>
      <c r="C34" s="35"/>
      <c r="D34" s="35"/>
      <c r="E34" s="35"/>
      <c r="F34" s="47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spans="1:27" ht="40.5" customHeight="1" x14ac:dyDescent="0.2">
      <c r="A35" s="15"/>
      <c r="B35" s="35"/>
      <c r="C35" s="35"/>
      <c r="D35" s="35"/>
      <c r="E35" s="35"/>
      <c r="F35" s="47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spans="1:27" ht="40.5" customHeight="1" x14ac:dyDescent="0.2">
      <c r="A36" s="15"/>
      <c r="B36" s="35"/>
      <c r="C36" s="35"/>
      <c r="D36" s="35"/>
      <c r="E36" s="35"/>
      <c r="F36" s="47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1:27" ht="40.5" customHeight="1" x14ac:dyDescent="0.2">
      <c r="A37" s="15"/>
      <c r="B37" s="35"/>
      <c r="C37" s="35"/>
      <c r="D37" s="35"/>
      <c r="E37" s="35"/>
      <c r="F37" s="47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1:27" ht="40.5" customHeight="1" x14ac:dyDescent="0.2">
      <c r="A38" s="15"/>
      <c r="B38" s="35"/>
      <c r="C38" s="35"/>
      <c r="D38" s="35"/>
      <c r="E38" s="35"/>
      <c r="F38" s="47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1:27" ht="40.5" customHeight="1" x14ac:dyDescent="0.2">
      <c r="A39" s="15"/>
      <c r="B39" s="35"/>
      <c r="C39" s="35"/>
      <c r="D39" s="35"/>
      <c r="E39" s="35"/>
      <c r="F39" s="47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1:27" ht="40.5" customHeight="1" x14ac:dyDescent="0.2">
      <c r="A40" s="15"/>
      <c r="B40" s="35"/>
      <c r="C40" s="35"/>
      <c r="D40" s="35"/>
      <c r="E40" s="35"/>
      <c r="F40" s="47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1:27" ht="40.5" customHeight="1" x14ac:dyDescent="0.2">
      <c r="A41" s="15"/>
      <c r="B41" s="35"/>
      <c r="C41" s="35"/>
      <c r="D41" s="35"/>
      <c r="E41" s="35"/>
      <c r="F41" s="47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1:27" ht="40.5" customHeight="1" x14ac:dyDescent="0.2">
      <c r="A42" s="15"/>
      <c r="B42" s="35"/>
      <c r="C42" s="35"/>
      <c r="D42" s="35"/>
      <c r="E42" s="35"/>
      <c r="F42" s="47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1:27" ht="40.5" customHeight="1" x14ac:dyDescent="0.2">
      <c r="A43" s="15"/>
      <c r="B43" s="35"/>
      <c r="C43" s="35"/>
      <c r="D43" s="35"/>
      <c r="E43" s="35"/>
      <c r="F43" s="47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1:27" ht="40.5" customHeight="1" x14ac:dyDescent="0.2">
      <c r="A44" s="15"/>
      <c r="B44" s="35"/>
      <c r="C44" s="35"/>
      <c r="D44" s="35"/>
      <c r="E44" s="35"/>
      <c r="F44" s="47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1:27" ht="40.5" customHeight="1" x14ac:dyDescent="0.2">
      <c r="A45" s="15"/>
      <c r="B45" s="35"/>
      <c r="C45" s="35"/>
      <c r="D45" s="35"/>
      <c r="E45" s="35"/>
      <c r="F45" s="47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ht="40.5" customHeight="1" x14ac:dyDescent="0.2">
      <c r="A46" s="15"/>
      <c r="B46" s="35"/>
      <c r="C46" s="35"/>
      <c r="D46" s="35"/>
      <c r="E46" s="35"/>
      <c r="F46" s="47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1:27" ht="40.5" customHeight="1" x14ac:dyDescent="0.2">
      <c r="A47" s="15"/>
      <c r="B47" s="35"/>
      <c r="C47" s="35"/>
      <c r="D47" s="35"/>
      <c r="E47" s="35"/>
      <c r="F47" s="47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1:27" ht="40.5" customHeight="1" x14ac:dyDescent="0.2">
      <c r="A48" s="15"/>
      <c r="B48" s="35"/>
      <c r="C48" s="35"/>
      <c r="D48" s="35"/>
      <c r="E48" s="35"/>
      <c r="F48" s="47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1:27" ht="40.5" customHeight="1" x14ac:dyDescent="0.2">
      <c r="A49" s="15"/>
      <c r="B49" s="35"/>
      <c r="C49" s="35"/>
      <c r="D49" s="35"/>
      <c r="E49" s="35"/>
      <c r="F49" s="47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1:27" ht="40.5" customHeight="1" x14ac:dyDescent="0.2">
      <c r="A50" s="15"/>
      <c r="B50" s="35"/>
      <c r="C50" s="35"/>
      <c r="D50" s="35"/>
      <c r="E50" s="35"/>
      <c r="F50" s="47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1:27" ht="40.5" customHeight="1" x14ac:dyDescent="0.2">
      <c r="A51" s="15"/>
      <c r="B51" s="35"/>
      <c r="C51" s="35"/>
      <c r="D51" s="35"/>
      <c r="E51" s="35"/>
      <c r="F51" s="47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1:27" ht="40.5" customHeight="1" x14ac:dyDescent="0.2">
      <c r="A52" s="15"/>
      <c r="B52" s="35"/>
      <c r="C52" s="35"/>
      <c r="D52" s="35"/>
      <c r="E52" s="35"/>
      <c r="F52" s="47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1:27" ht="40.5" customHeight="1" x14ac:dyDescent="0.2">
      <c r="A53" s="15"/>
      <c r="B53" s="35"/>
      <c r="C53" s="35"/>
      <c r="D53" s="35"/>
      <c r="E53" s="35"/>
      <c r="F53" s="47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1:27" ht="40.5" customHeight="1" x14ac:dyDescent="0.2">
      <c r="A54" s="15"/>
      <c r="B54" s="35"/>
      <c r="C54" s="35"/>
      <c r="D54" s="35"/>
      <c r="E54" s="35"/>
      <c r="F54" s="47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1:27" ht="40.5" customHeight="1" x14ac:dyDescent="0.2">
      <c r="A55" s="15"/>
      <c r="B55" s="35"/>
      <c r="C55" s="35"/>
      <c r="D55" s="35"/>
      <c r="E55" s="35"/>
      <c r="F55" s="47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pans="1:27" ht="40.5" customHeight="1" x14ac:dyDescent="0.2">
      <c r="A56" s="15"/>
      <c r="B56" s="35"/>
      <c r="C56" s="35"/>
      <c r="D56" s="35"/>
      <c r="E56" s="35"/>
      <c r="F56" s="47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pans="1:27" ht="40.5" customHeight="1" x14ac:dyDescent="0.2">
      <c r="A57" s="15"/>
      <c r="B57" s="35"/>
      <c r="C57" s="35"/>
      <c r="D57" s="35"/>
      <c r="E57" s="35"/>
      <c r="F57" s="47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28" width="12.7109375" customWidth="1"/>
  </cols>
  <sheetData>
    <row r="1" spans="1:28" ht="39.75" customHeight="1" x14ac:dyDescent="0.2">
      <c r="A1" s="6" t="s">
        <v>2</v>
      </c>
      <c r="B1" s="8" t="s">
        <v>14</v>
      </c>
      <c r="C1" s="8" t="s">
        <v>20</v>
      </c>
      <c r="D1" s="8" t="s">
        <v>23</v>
      </c>
      <c r="E1" s="8" t="s">
        <v>24</v>
      </c>
      <c r="F1" s="8" t="s">
        <v>27</v>
      </c>
      <c r="G1" s="8" t="s">
        <v>29</v>
      </c>
      <c r="H1" s="10" t="s">
        <v>31</v>
      </c>
      <c r="I1" s="8" t="s">
        <v>34</v>
      </c>
      <c r="J1" s="8" t="s">
        <v>36</v>
      </c>
      <c r="K1" s="8" t="s">
        <v>37</v>
      </c>
      <c r="L1" s="8" t="s">
        <v>39</v>
      </c>
      <c r="M1" s="8" t="s">
        <v>40</v>
      </c>
      <c r="N1" s="13" t="s">
        <v>41</v>
      </c>
      <c r="O1" s="8" t="s">
        <v>42</v>
      </c>
      <c r="P1" s="8" t="s">
        <v>43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39.75" customHeight="1" x14ac:dyDescent="0.2">
      <c r="A2" s="19" t="s">
        <v>47</v>
      </c>
      <c r="B2" s="21" t="s">
        <v>48</v>
      </c>
      <c r="C2" s="21" t="str">
        <f t="shared" ref="C2:C24" si="0">IF(F2="Alive",D2+G2," ")</f>
        <v xml:space="preserve"> </v>
      </c>
      <c r="D2" s="21">
        <v>18</v>
      </c>
      <c r="E2" s="21">
        <v>20</v>
      </c>
      <c r="F2" s="21" t="s">
        <v>49</v>
      </c>
      <c r="G2" s="21">
        <v>5</v>
      </c>
      <c r="H2" s="27">
        <f t="shared" ref="H2:H27" si="1">IF(F2="Dead",G2+D2," ")</f>
        <v>23</v>
      </c>
      <c r="I2" s="21">
        <v>60</v>
      </c>
      <c r="J2" s="21">
        <v>40</v>
      </c>
      <c r="K2" s="21">
        <v>60</v>
      </c>
      <c r="L2" s="21">
        <v>35</v>
      </c>
      <c r="M2" s="21">
        <f t="shared" ref="M2:M24" si="2">IF(SUM(I2:L2)&gt;0,AVERAGE(I2:L2)," ")</f>
        <v>48.75</v>
      </c>
      <c r="N2" s="34">
        <f t="shared" ref="N2:N37" si="3">O2-G2-D2</f>
        <v>1166</v>
      </c>
      <c r="O2" s="21">
        <v>1189</v>
      </c>
      <c r="P2" s="21">
        <f t="shared" ref="P2:P37" si="4">IF(E2&gt;0, N2+E2,"")</f>
        <v>1186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39.75" customHeight="1" x14ac:dyDescent="0.2">
      <c r="A3" s="19" t="s">
        <v>51</v>
      </c>
      <c r="B3" s="21" t="s">
        <v>48</v>
      </c>
      <c r="C3" s="21" t="str">
        <f t="shared" si="0"/>
        <v xml:space="preserve"> </v>
      </c>
      <c r="D3" s="21">
        <v>17</v>
      </c>
      <c r="E3" s="21">
        <v>21</v>
      </c>
      <c r="F3" s="21" t="s">
        <v>49</v>
      </c>
      <c r="G3" s="21">
        <v>5</v>
      </c>
      <c r="H3" s="27">
        <f t="shared" si="1"/>
        <v>22</v>
      </c>
      <c r="I3" s="21">
        <v>35</v>
      </c>
      <c r="J3" s="21">
        <v>125</v>
      </c>
      <c r="K3" s="21">
        <v>50</v>
      </c>
      <c r="L3" s="21">
        <v>40</v>
      </c>
      <c r="M3" s="21">
        <f t="shared" si="2"/>
        <v>62.5</v>
      </c>
      <c r="N3" s="34">
        <f t="shared" si="3"/>
        <v>1167</v>
      </c>
      <c r="O3" s="21">
        <v>1189</v>
      </c>
      <c r="P3" s="21">
        <f t="shared" si="4"/>
        <v>1188</v>
      </c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ht="39.75" customHeight="1" x14ac:dyDescent="0.2">
      <c r="A4" s="19" t="s">
        <v>52</v>
      </c>
      <c r="B4" s="21" t="s">
        <v>53</v>
      </c>
      <c r="C4" s="21" t="str">
        <f t="shared" si="0"/>
        <v xml:space="preserve"> </v>
      </c>
      <c r="D4" s="21">
        <v>43</v>
      </c>
      <c r="E4" s="21">
        <v>43</v>
      </c>
      <c r="F4" s="21" t="s">
        <v>49</v>
      </c>
      <c r="G4" s="21">
        <v>5</v>
      </c>
      <c r="H4" s="27">
        <f t="shared" si="1"/>
        <v>48</v>
      </c>
      <c r="I4" s="21"/>
      <c r="J4" s="21"/>
      <c r="K4" s="21"/>
      <c r="L4" s="21"/>
      <c r="M4" s="21" t="str">
        <f t="shared" si="2"/>
        <v xml:space="preserve"> </v>
      </c>
      <c r="N4" s="34">
        <f t="shared" si="3"/>
        <v>1141</v>
      </c>
      <c r="O4" s="21">
        <v>1189</v>
      </c>
      <c r="P4" s="21">
        <f t="shared" si="4"/>
        <v>1184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39.75" customHeight="1" x14ac:dyDescent="0.2">
      <c r="A5" s="19" t="s">
        <v>55</v>
      </c>
      <c r="B5" s="21" t="s">
        <v>53</v>
      </c>
      <c r="C5" s="21">
        <f t="shared" si="0"/>
        <v>43</v>
      </c>
      <c r="D5" s="21">
        <v>38</v>
      </c>
      <c r="E5" s="21"/>
      <c r="F5" s="21" t="s">
        <v>56</v>
      </c>
      <c r="G5" s="21">
        <v>5</v>
      </c>
      <c r="H5" s="27" t="str">
        <f t="shared" si="1"/>
        <v xml:space="preserve"> </v>
      </c>
      <c r="I5" s="21"/>
      <c r="J5" s="21"/>
      <c r="K5" s="21"/>
      <c r="L5" s="21"/>
      <c r="M5" s="21" t="str">
        <f t="shared" si="2"/>
        <v xml:space="preserve"> </v>
      </c>
      <c r="N5" s="34">
        <f t="shared" si="3"/>
        <v>1146</v>
      </c>
      <c r="O5" s="21">
        <v>1189</v>
      </c>
      <c r="P5" s="21" t="str">
        <f t="shared" si="4"/>
        <v/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ht="39.75" customHeight="1" x14ac:dyDescent="0.2">
      <c r="A6" s="19" t="s">
        <v>57</v>
      </c>
      <c r="B6" s="21" t="s">
        <v>53</v>
      </c>
      <c r="C6" s="21" t="str">
        <f t="shared" si="0"/>
        <v xml:space="preserve"> </v>
      </c>
      <c r="D6" s="21">
        <v>22</v>
      </c>
      <c r="E6" s="21">
        <v>25</v>
      </c>
      <c r="F6" s="21" t="s">
        <v>49</v>
      </c>
      <c r="G6" s="21">
        <v>5</v>
      </c>
      <c r="H6" s="27">
        <f t="shared" si="1"/>
        <v>27</v>
      </c>
      <c r="I6" s="21">
        <v>65</v>
      </c>
      <c r="J6" s="21">
        <v>45</v>
      </c>
      <c r="K6" s="21">
        <v>90</v>
      </c>
      <c r="L6" s="21">
        <v>80</v>
      </c>
      <c r="M6" s="21">
        <f t="shared" si="2"/>
        <v>70</v>
      </c>
      <c r="N6" s="34">
        <f t="shared" si="3"/>
        <v>1162</v>
      </c>
      <c r="O6" s="21">
        <v>1189</v>
      </c>
      <c r="P6" s="21">
        <f t="shared" si="4"/>
        <v>1187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39.75" customHeight="1" x14ac:dyDescent="0.2">
      <c r="A7" s="19" t="s">
        <v>59</v>
      </c>
      <c r="B7" s="21" t="s">
        <v>53</v>
      </c>
      <c r="C7" s="21">
        <f t="shared" si="0"/>
        <v>22</v>
      </c>
      <c r="D7" s="21">
        <v>17</v>
      </c>
      <c r="E7" s="21"/>
      <c r="F7" s="21" t="s">
        <v>56</v>
      </c>
      <c r="G7" s="21">
        <v>5</v>
      </c>
      <c r="H7" s="27" t="str">
        <f t="shared" si="1"/>
        <v xml:space="preserve"> </v>
      </c>
      <c r="I7" s="21">
        <v>35</v>
      </c>
      <c r="J7" s="21">
        <v>110</v>
      </c>
      <c r="K7" s="21">
        <v>80</v>
      </c>
      <c r="L7" s="21">
        <v>40</v>
      </c>
      <c r="M7" s="21">
        <f t="shared" si="2"/>
        <v>66.25</v>
      </c>
      <c r="N7" s="34">
        <f t="shared" si="3"/>
        <v>1167</v>
      </c>
      <c r="O7" s="21">
        <v>1189</v>
      </c>
      <c r="P7" s="21" t="str">
        <f t="shared" si="4"/>
        <v/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39.75" customHeight="1" x14ac:dyDescent="0.2">
      <c r="A8" s="19" t="s">
        <v>60</v>
      </c>
      <c r="B8" s="21" t="s">
        <v>53</v>
      </c>
      <c r="C8" s="21">
        <f t="shared" si="0"/>
        <v>20</v>
      </c>
      <c r="D8" s="21">
        <v>15</v>
      </c>
      <c r="E8" s="21"/>
      <c r="F8" s="21" t="s">
        <v>56</v>
      </c>
      <c r="G8" s="21">
        <v>5</v>
      </c>
      <c r="H8" s="27" t="str">
        <f t="shared" si="1"/>
        <v xml:space="preserve"> </v>
      </c>
      <c r="I8" s="21">
        <v>50</v>
      </c>
      <c r="J8" s="21">
        <v>90</v>
      </c>
      <c r="K8" s="21">
        <v>65</v>
      </c>
      <c r="L8" s="21">
        <v>45</v>
      </c>
      <c r="M8" s="21">
        <f t="shared" si="2"/>
        <v>62.5</v>
      </c>
      <c r="N8" s="34">
        <f t="shared" si="3"/>
        <v>1169</v>
      </c>
      <c r="O8" s="21">
        <v>1189</v>
      </c>
      <c r="P8" s="21" t="str">
        <f t="shared" si="4"/>
        <v/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ht="39.75" customHeight="1" x14ac:dyDescent="0.2">
      <c r="A9" s="19" t="s">
        <v>62</v>
      </c>
      <c r="B9" s="21" t="s">
        <v>53</v>
      </c>
      <c r="C9" s="21">
        <f t="shared" si="0"/>
        <v>17</v>
      </c>
      <c r="D9" s="21">
        <v>12</v>
      </c>
      <c r="E9" s="21"/>
      <c r="F9" s="21" t="s">
        <v>56</v>
      </c>
      <c r="G9" s="21">
        <v>5</v>
      </c>
      <c r="H9" s="27" t="str">
        <f t="shared" si="1"/>
        <v xml:space="preserve"> </v>
      </c>
      <c r="I9" s="21"/>
      <c r="J9" s="21"/>
      <c r="K9" s="21"/>
      <c r="L9" s="21"/>
      <c r="M9" s="21" t="str">
        <f t="shared" si="2"/>
        <v xml:space="preserve"> </v>
      </c>
      <c r="N9" s="34">
        <f t="shared" si="3"/>
        <v>1172</v>
      </c>
      <c r="O9" s="21">
        <v>1189</v>
      </c>
      <c r="P9" s="21" t="str">
        <f t="shared" si="4"/>
        <v/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39.75" customHeight="1" x14ac:dyDescent="0.2">
      <c r="A10" s="19" t="s">
        <v>63</v>
      </c>
      <c r="B10" s="21" t="s">
        <v>53</v>
      </c>
      <c r="C10" s="21">
        <f t="shared" si="0"/>
        <v>15</v>
      </c>
      <c r="D10" s="21">
        <v>10</v>
      </c>
      <c r="E10" s="21"/>
      <c r="F10" s="21" t="s">
        <v>56</v>
      </c>
      <c r="G10" s="21">
        <v>5</v>
      </c>
      <c r="H10" s="27" t="str">
        <f t="shared" si="1"/>
        <v xml:space="preserve"> </v>
      </c>
      <c r="I10" s="21">
        <v>60</v>
      </c>
      <c r="J10" s="21">
        <v>55</v>
      </c>
      <c r="K10" s="21">
        <v>75</v>
      </c>
      <c r="L10" s="21">
        <v>90</v>
      </c>
      <c r="M10" s="21">
        <f t="shared" si="2"/>
        <v>70</v>
      </c>
      <c r="N10" s="34">
        <f t="shared" si="3"/>
        <v>1174</v>
      </c>
      <c r="O10" s="21">
        <v>1189</v>
      </c>
      <c r="P10" s="21" t="str">
        <f t="shared" si="4"/>
        <v/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ht="39.75" customHeight="1" x14ac:dyDescent="0.2">
      <c r="A11" s="19" t="s">
        <v>65</v>
      </c>
      <c r="B11" s="21" t="s">
        <v>66</v>
      </c>
      <c r="C11" s="21" t="str">
        <f t="shared" si="0"/>
        <v xml:space="preserve"> </v>
      </c>
      <c r="D11" s="21">
        <v>61</v>
      </c>
      <c r="E11" s="21">
        <v>64</v>
      </c>
      <c r="F11" s="21" t="s">
        <v>49</v>
      </c>
      <c r="G11" s="21">
        <v>5</v>
      </c>
      <c r="H11" s="27">
        <f t="shared" si="1"/>
        <v>66</v>
      </c>
      <c r="I11" s="21">
        <v>60</v>
      </c>
      <c r="J11" s="21">
        <v>10</v>
      </c>
      <c r="K11" s="21">
        <v>90</v>
      </c>
      <c r="L11" s="21">
        <v>80</v>
      </c>
      <c r="M11" s="21">
        <f t="shared" si="2"/>
        <v>60</v>
      </c>
      <c r="N11" s="34">
        <f t="shared" si="3"/>
        <v>1123</v>
      </c>
      <c r="O11" s="21">
        <v>1189</v>
      </c>
      <c r="P11" s="21">
        <f t="shared" si="4"/>
        <v>1187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39.75" customHeight="1" x14ac:dyDescent="0.2">
      <c r="A12" s="19" t="s">
        <v>67</v>
      </c>
      <c r="B12" s="21" t="s">
        <v>66</v>
      </c>
      <c r="C12" s="21">
        <f t="shared" si="0"/>
        <v>40</v>
      </c>
      <c r="D12" s="21">
        <v>35</v>
      </c>
      <c r="E12" s="21"/>
      <c r="F12" s="21" t="s">
        <v>56</v>
      </c>
      <c r="G12" s="21">
        <v>5</v>
      </c>
      <c r="H12" s="27" t="str">
        <f t="shared" si="1"/>
        <v xml:space="preserve"> </v>
      </c>
      <c r="I12" s="21">
        <v>80</v>
      </c>
      <c r="J12" s="21">
        <v>60</v>
      </c>
      <c r="K12" s="21">
        <v>50</v>
      </c>
      <c r="L12" s="21">
        <v>90</v>
      </c>
      <c r="M12" s="21">
        <f t="shared" si="2"/>
        <v>70</v>
      </c>
      <c r="N12" s="34">
        <f t="shared" si="3"/>
        <v>1149</v>
      </c>
      <c r="O12" s="21">
        <v>1189</v>
      </c>
      <c r="P12" s="21" t="str">
        <f t="shared" si="4"/>
        <v/>
      </c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ht="39.75" customHeight="1" x14ac:dyDescent="0.2">
      <c r="A13" s="19" t="s">
        <v>57</v>
      </c>
      <c r="B13" s="21" t="s">
        <v>66</v>
      </c>
      <c r="C13" s="21">
        <f t="shared" si="0"/>
        <v>35</v>
      </c>
      <c r="D13" s="21">
        <v>30</v>
      </c>
      <c r="E13" s="21"/>
      <c r="F13" s="21" t="s">
        <v>56</v>
      </c>
      <c r="G13" s="21">
        <v>5</v>
      </c>
      <c r="H13" s="27" t="str">
        <f t="shared" si="1"/>
        <v xml:space="preserve"> </v>
      </c>
      <c r="I13" s="21">
        <v>55</v>
      </c>
      <c r="J13" s="21">
        <v>70</v>
      </c>
      <c r="K13" s="21">
        <v>100</v>
      </c>
      <c r="L13" s="21">
        <v>50</v>
      </c>
      <c r="M13" s="21">
        <f t="shared" si="2"/>
        <v>68.75</v>
      </c>
      <c r="N13" s="34">
        <f t="shared" si="3"/>
        <v>1154</v>
      </c>
      <c r="O13" s="21">
        <v>1189</v>
      </c>
      <c r="P13" s="21" t="str">
        <f t="shared" si="4"/>
        <v/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39.75" customHeight="1" x14ac:dyDescent="0.2">
      <c r="A14" s="19" t="s">
        <v>68</v>
      </c>
      <c r="B14" s="21" t="s">
        <v>66</v>
      </c>
      <c r="C14" s="21">
        <f t="shared" si="0"/>
        <v>22</v>
      </c>
      <c r="D14" s="21">
        <v>17</v>
      </c>
      <c r="E14" s="21"/>
      <c r="F14" s="21" t="s">
        <v>56</v>
      </c>
      <c r="G14" s="21">
        <v>5</v>
      </c>
      <c r="H14" s="27" t="str">
        <f t="shared" si="1"/>
        <v xml:space="preserve"> </v>
      </c>
      <c r="I14" s="21">
        <v>50</v>
      </c>
      <c r="J14" s="21">
        <v>30</v>
      </c>
      <c r="K14" s="21">
        <v>90</v>
      </c>
      <c r="L14" s="21">
        <v>75</v>
      </c>
      <c r="M14" s="21">
        <f t="shared" si="2"/>
        <v>61.25</v>
      </c>
      <c r="N14" s="34">
        <f t="shared" si="3"/>
        <v>1167</v>
      </c>
      <c r="O14" s="21">
        <v>1189</v>
      </c>
      <c r="P14" s="21" t="str">
        <f t="shared" si="4"/>
        <v/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39.75" customHeight="1" x14ac:dyDescent="0.2">
      <c r="A15" s="19" t="s">
        <v>69</v>
      </c>
      <c r="B15" s="21" t="s">
        <v>66</v>
      </c>
      <c r="C15" s="21">
        <f t="shared" si="0"/>
        <v>20</v>
      </c>
      <c r="D15" s="21">
        <v>15</v>
      </c>
      <c r="E15" s="21"/>
      <c r="F15" s="21" t="s">
        <v>56</v>
      </c>
      <c r="G15" s="21">
        <v>5</v>
      </c>
      <c r="H15" s="27" t="str">
        <f t="shared" si="1"/>
        <v xml:space="preserve"> </v>
      </c>
      <c r="I15" s="21">
        <v>65</v>
      </c>
      <c r="J15" s="21">
        <v>80</v>
      </c>
      <c r="K15" s="21">
        <v>90</v>
      </c>
      <c r="L15" s="21">
        <v>75</v>
      </c>
      <c r="M15" s="21">
        <f t="shared" si="2"/>
        <v>77.5</v>
      </c>
      <c r="N15" s="34">
        <f t="shared" si="3"/>
        <v>1169</v>
      </c>
      <c r="O15" s="21">
        <v>1189</v>
      </c>
      <c r="P15" s="21" t="str">
        <f t="shared" si="4"/>
        <v/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39.75" customHeight="1" x14ac:dyDescent="0.2">
      <c r="A16" s="19" t="s">
        <v>70</v>
      </c>
      <c r="B16" s="21" t="s">
        <v>66</v>
      </c>
      <c r="C16" s="21">
        <f t="shared" si="0"/>
        <v>18</v>
      </c>
      <c r="D16" s="21">
        <v>13</v>
      </c>
      <c r="E16" s="21"/>
      <c r="F16" s="21" t="s">
        <v>56</v>
      </c>
      <c r="G16" s="21">
        <v>5</v>
      </c>
      <c r="H16" s="27" t="str">
        <f t="shared" si="1"/>
        <v xml:space="preserve"> </v>
      </c>
      <c r="I16" s="21">
        <v>80</v>
      </c>
      <c r="J16" s="21">
        <v>75</v>
      </c>
      <c r="K16" s="21">
        <v>55</v>
      </c>
      <c r="L16" s="21">
        <v>65</v>
      </c>
      <c r="M16" s="21">
        <f t="shared" si="2"/>
        <v>68.75</v>
      </c>
      <c r="N16" s="34">
        <f t="shared" si="3"/>
        <v>1171</v>
      </c>
      <c r="O16" s="21">
        <v>1189</v>
      </c>
      <c r="P16" s="21" t="str">
        <f t="shared" si="4"/>
        <v/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 ht="39.75" customHeight="1" x14ac:dyDescent="0.2">
      <c r="A17" s="19" t="s">
        <v>52</v>
      </c>
      <c r="B17" s="21" t="s">
        <v>71</v>
      </c>
      <c r="C17" s="21">
        <f t="shared" si="0"/>
        <v>53</v>
      </c>
      <c r="D17" s="21">
        <v>48</v>
      </c>
      <c r="E17" s="21"/>
      <c r="F17" s="21" t="s">
        <v>56</v>
      </c>
      <c r="G17" s="21">
        <v>5</v>
      </c>
      <c r="H17" s="27" t="str">
        <f t="shared" si="1"/>
        <v xml:space="preserve"> </v>
      </c>
      <c r="I17" s="21"/>
      <c r="J17" s="21"/>
      <c r="K17" s="21"/>
      <c r="L17" s="21"/>
      <c r="M17" s="21" t="str">
        <f t="shared" si="2"/>
        <v xml:space="preserve"> </v>
      </c>
      <c r="N17" s="34">
        <f t="shared" si="3"/>
        <v>1136</v>
      </c>
      <c r="O17" s="21">
        <v>1189</v>
      </c>
      <c r="P17" s="21" t="str">
        <f t="shared" si="4"/>
        <v/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ht="39.75" customHeight="1" x14ac:dyDescent="0.2">
      <c r="A18" s="19" t="s">
        <v>72</v>
      </c>
      <c r="B18" s="21" t="s">
        <v>71</v>
      </c>
      <c r="C18" s="21">
        <f t="shared" si="0"/>
        <v>19</v>
      </c>
      <c r="D18" s="21">
        <v>14</v>
      </c>
      <c r="E18" s="21"/>
      <c r="F18" s="21" t="s">
        <v>56</v>
      </c>
      <c r="G18" s="21">
        <v>5</v>
      </c>
      <c r="H18" s="27" t="str">
        <f t="shared" si="1"/>
        <v xml:space="preserve"> </v>
      </c>
      <c r="I18" s="21">
        <v>80</v>
      </c>
      <c r="J18" s="21">
        <v>20</v>
      </c>
      <c r="K18" s="21">
        <v>75</v>
      </c>
      <c r="L18" s="21">
        <v>65</v>
      </c>
      <c r="M18" s="21">
        <f t="shared" si="2"/>
        <v>60</v>
      </c>
      <c r="N18" s="34">
        <f t="shared" si="3"/>
        <v>1170</v>
      </c>
      <c r="O18" s="21">
        <v>1189</v>
      </c>
      <c r="P18" s="21" t="str">
        <f t="shared" si="4"/>
        <v/>
      </c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ht="39.75" customHeight="1" x14ac:dyDescent="0.2">
      <c r="A19" s="19" t="s">
        <v>73</v>
      </c>
      <c r="B19" s="21" t="s">
        <v>74</v>
      </c>
      <c r="C19" s="21">
        <f t="shared" si="0"/>
        <v>34</v>
      </c>
      <c r="D19" s="21">
        <v>29</v>
      </c>
      <c r="E19" s="21"/>
      <c r="F19" s="21" t="s">
        <v>56</v>
      </c>
      <c r="G19" s="21">
        <v>5</v>
      </c>
      <c r="H19" s="27" t="str">
        <f t="shared" si="1"/>
        <v xml:space="preserve"> </v>
      </c>
      <c r="I19" s="21">
        <v>105</v>
      </c>
      <c r="J19" s="21">
        <v>20</v>
      </c>
      <c r="K19" s="21">
        <v>90</v>
      </c>
      <c r="L19" s="21">
        <v>55</v>
      </c>
      <c r="M19" s="21">
        <f t="shared" si="2"/>
        <v>67.5</v>
      </c>
      <c r="N19" s="34">
        <f t="shared" si="3"/>
        <v>1155</v>
      </c>
      <c r="O19" s="21">
        <v>1189</v>
      </c>
      <c r="P19" s="21" t="str">
        <f t="shared" si="4"/>
        <v/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ht="39.75" customHeight="1" x14ac:dyDescent="0.2">
      <c r="A20" s="19" t="s">
        <v>76</v>
      </c>
      <c r="B20" s="21" t="s">
        <v>77</v>
      </c>
      <c r="C20" s="21">
        <f t="shared" si="0"/>
        <v>34</v>
      </c>
      <c r="D20" s="21">
        <v>29</v>
      </c>
      <c r="E20" s="21"/>
      <c r="F20" s="21" t="s">
        <v>56</v>
      </c>
      <c r="G20" s="21">
        <v>5</v>
      </c>
      <c r="H20" s="27" t="str">
        <f t="shared" si="1"/>
        <v xml:space="preserve"> </v>
      </c>
      <c r="I20" s="21">
        <v>120</v>
      </c>
      <c r="J20" s="21">
        <v>15</v>
      </c>
      <c r="K20" s="21">
        <v>70</v>
      </c>
      <c r="L20" s="21">
        <v>100</v>
      </c>
      <c r="M20" s="21">
        <f t="shared" si="2"/>
        <v>76.25</v>
      </c>
      <c r="N20" s="34">
        <f t="shared" si="3"/>
        <v>1155</v>
      </c>
      <c r="O20" s="21">
        <v>1189</v>
      </c>
      <c r="P20" s="21" t="str">
        <f t="shared" si="4"/>
        <v/>
      </c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ht="39.75" customHeight="1" x14ac:dyDescent="0.2">
      <c r="A21" s="19" t="s">
        <v>78</v>
      </c>
      <c r="B21" s="21" t="s">
        <v>79</v>
      </c>
      <c r="C21" s="21">
        <f t="shared" si="0"/>
        <v>25</v>
      </c>
      <c r="D21" s="21">
        <v>20</v>
      </c>
      <c r="E21" s="21"/>
      <c r="F21" s="21" t="s">
        <v>56</v>
      </c>
      <c r="G21" s="21">
        <v>5</v>
      </c>
      <c r="H21" s="27" t="str">
        <f t="shared" si="1"/>
        <v xml:space="preserve"> </v>
      </c>
      <c r="I21" s="21"/>
      <c r="J21" s="21"/>
      <c r="K21" s="21"/>
      <c r="L21" s="21"/>
      <c r="M21" s="21" t="str">
        <f t="shared" si="2"/>
        <v xml:space="preserve"> </v>
      </c>
      <c r="N21" s="34">
        <f t="shared" si="3"/>
        <v>1164</v>
      </c>
      <c r="O21" s="21">
        <v>1189</v>
      </c>
      <c r="P21" s="21" t="str">
        <f t="shared" si="4"/>
        <v/>
      </c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ht="39.75" customHeight="1" x14ac:dyDescent="0.2">
      <c r="A22" s="19" t="s">
        <v>80</v>
      </c>
      <c r="B22" s="21" t="s">
        <v>79</v>
      </c>
      <c r="C22" s="21" t="str">
        <f t="shared" si="0"/>
        <v xml:space="preserve"> </v>
      </c>
      <c r="D22" s="21">
        <v>26</v>
      </c>
      <c r="E22" s="21">
        <v>26</v>
      </c>
      <c r="F22" s="21" t="s">
        <v>49</v>
      </c>
      <c r="G22" s="21">
        <v>5</v>
      </c>
      <c r="H22" s="27">
        <f t="shared" si="1"/>
        <v>31</v>
      </c>
      <c r="I22" s="21">
        <v>65</v>
      </c>
      <c r="J22" s="21">
        <v>10</v>
      </c>
      <c r="K22" s="21">
        <v>110</v>
      </c>
      <c r="L22" s="21">
        <v>50</v>
      </c>
      <c r="M22" s="21">
        <f t="shared" si="2"/>
        <v>58.75</v>
      </c>
      <c r="N22" s="34">
        <f t="shared" si="3"/>
        <v>1158</v>
      </c>
      <c r="O22" s="21">
        <v>1189</v>
      </c>
      <c r="P22" s="21">
        <f t="shared" si="4"/>
        <v>1184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ht="39.75" customHeight="1" x14ac:dyDescent="0.2">
      <c r="A23" s="19" t="s">
        <v>82</v>
      </c>
      <c r="B23" s="21" t="s">
        <v>79</v>
      </c>
      <c r="C23" s="21" t="str">
        <f t="shared" si="0"/>
        <v xml:space="preserve"> </v>
      </c>
      <c r="D23" s="21">
        <v>35</v>
      </c>
      <c r="E23" s="21"/>
      <c r="F23" s="21"/>
      <c r="G23" s="21">
        <v>5</v>
      </c>
      <c r="H23" s="27" t="str">
        <f t="shared" si="1"/>
        <v xml:space="preserve"> </v>
      </c>
      <c r="I23" s="21">
        <v>100</v>
      </c>
      <c r="J23" s="21">
        <v>45</v>
      </c>
      <c r="K23" s="21">
        <v>65</v>
      </c>
      <c r="L23" s="21">
        <v>50</v>
      </c>
      <c r="M23" s="21">
        <f t="shared" si="2"/>
        <v>65</v>
      </c>
      <c r="N23" s="34">
        <f t="shared" si="3"/>
        <v>1149</v>
      </c>
      <c r="O23" s="21">
        <v>1189</v>
      </c>
      <c r="P23" s="21" t="str">
        <f t="shared" si="4"/>
        <v/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ht="39.75" customHeight="1" x14ac:dyDescent="0.2">
      <c r="A24" s="19" t="s">
        <v>83</v>
      </c>
      <c r="B24" s="21" t="s">
        <v>79</v>
      </c>
      <c r="C24" s="21" t="str">
        <f t="shared" si="0"/>
        <v xml:space="preserve"> </v>
      </c>
      <c r="D24" s="21"/>
      <c r="E24" s="21"/>
      <c r="F24" s="21"/>
      <c r="G24" s="21">
        <v>5</v>
      </c>
      <c r="H24" s="27" t="str">
        <f t="shared" si="1"/>
        <v xml:space="preserve"> </v>
      </c>
      <c r="I24" s="21"/>
      <c r="J24" s="21"/>
      <c r="K24" s="21"/>
      <c r="L24" s="21"/>
      <c r="M24" s="21" t="str">
        <f t="shared" si="2"/>
        <v xml:space="preserve"> </v>
      </c>
      <c r="N24" s="34">
        <f t="shared" si="3"/>
        <v>1184</v>
      </c>
      <c r="O24" s="21">
        <v>1189</v>
      </c>
      <c r="P24" s="21" t="str">
        <f t="shared" si="4"/>
        <v/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ht="39.75" customHeight="1" x14ac:dyDescent="0.2">
      <c r="A25" s="19"/>
      <c r="B25" s="21"/>
      <c r="C25" s="21"/>
      <c r="D25" s="21"/>
      <c r="E25" s="21"/>
      <c r="F25" s="21"/>
      <c r="G25" s="21">
        <v>5</v>
      </c>
      <c r="H25" s="27" t="str">
        <f t="shared" si="1"/>
        <v xml:space="preserve"> </v>
      </c>
      <c r="I25" s="21"/>
      <c r="J25" s="21"/>
      <c r="K25" s="21"/>
      <c r="L25" s="21"/>
      <c r="M25" s="21"/>
      <c r="N25" s="34">
        <f t="shared" si="3"/>
        <v>1184</v>
      </c>
      <c r="O25" s="21">
        <v>1189</v>
      </c>
      <c r="P25" s="21" t="str">
        <f t="shared" si="4"/>
        <v/>
      </c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ht="39.75" customHeight="1" x14ac:dyDescent="0.2">
      <c r="A26" s="19"/>
      <c r="B26" s="21"/>
      <c r="C26" s="21"/>
      <c r="D26" s="21"/>
      <c r="E26" s="21"/>
      <c r="F26" s="21"/>
      <c r="G26" s="21">
        <v>5</v>
      </c>
      <c r="H26" s="27" t="str">
        <f t="shared" si="1"/>
        <v xml:space="preserve"> </v>
      </c>
      <c r="I26" s="21"/>
      <c r="J26" s="21"/>
      <c r="K26" s="21"/>
      <c r="L26" s="21"/>
      <c r="M26" s="21"/>
      <c r="N26" s="34">
        <f t="shared" si="3"/>
        <v>1184</v>
      </c>
      <c r="O26" s="21">
        <v>1189</v>
      </c>
      <c r="P26" s="21" t="str">
        <f t="shared" si="4"/>
        <v/>
      </c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ht="39.75" customHeight="1" x14ac:dyDescent="0.2">
      <c r="A27" s="19"/>
      <c r="B27" s="21"/>
      <c r="C27" s="21"/>
      <c r="D27" s="21"/>
      <c r="E27" s="21"/>
      <c r="F27" s="21"/>
      <c r="G27" s="21">
        <v>5</v>
      </c>
      <c r="H27" s="27" t="str">
        <f t="shared" si="1"/>
        <v xml:space="preserve"> </v>
      </c>
      <c r="I27" s="21"/>
      <c r="J27" s="21"/>
      <c r="K27" s="21"/>
      <c r="L27" s="21"/>
      <c r="M27" s="21"/>
      <c r="N27" s="34">
        <f t="shared" si="3"/>
        <v>1184</v>
      </c>
      <c r="O27" s="21">
        <v>1189</v>
      </c>
      <c r="P27" s="21" t="str">
        <f t="shared" si="4"/>
        <v/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1:28" ht="39.75" customHeight="1" x14ac:dyDescent="0.2">
      <c r="A28" s="19"/>
      <c r="B28" s="21"/>
      <c r="C28" s="21"/>
      <c r="D28" s="21"/>
      <c r="E28" s="21"/>
      <c r="F28" s="21"/>
      <c r="G28" s="21">
        <v>5</v>
      </c>
      <c r="H28" s="27"/>
      <c r="I28" s="21"/>
      <c r="J28" s="21"/>
      <c r="K28" s="21"/>
      <c r="L28" s="21"/>
      <c r="M28" s="21"/>
      <c r="N28" s="34">
        <f t="shared" si="3"/>
        <v>1184</v>
      </c>
      <c r="O28" s="21">
        <v>1189</v>
      </c>
      <c r="P28" s="21" t="str">
        <f t="shared" si="4"/>
        <v/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1:28" ht="39.75" customHeight="1" x14ac:dyDescent="0.2">
      <c r="A29" s="19"/>
      <c r="B29" s="21"/>
      <c r="C29" s="21"/>
      <c r="D29" s="21"/>
      <c r="E29" s="21"/>
      <c r="F29" s="21"/>
      <c r="G29" s="21">
        <v>5</v>
      </c>
      <c r="H29" s="27"/>
      <c r="I29" s="21"/>
      <c r="J29" s="21"/>
      <c r="K29" s="21"/>
      <c r="L29" s="21"/>
      <c r="M29" s="21"/>
      <c r="N29" s="34">
        <f t="shared" si="3"/>
        <v>1184</v>
      </c>
      <c r="O29" s="21">
        <v>1189</v>
      </c>
      <c r="P29" s="21" t="str">
        <f t="shared" si="4"/>
        <v/>
      </c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spans="1:28" ht="39.75" customHeight="1" x14ac:dyDescent="0.2">
      <c r="A30" s="19"/>
      <c r="B30" s="21"/>
      <c r="C30" s="21"/>
      <c r="D30" s="21"/>
      <c r="E30" s="21"/>
      <c r="F30" s="21"/>
      <c r="G30" s="21">
        <v>5</v>
      </c>
      <c r="H30" s="27"/>
      <c r="I30" s="21"/>
      <c r="J30" s="21"/>
      <c r="K30" s="21"/>
      <c r="L30" s="21"/>
      <c r="M30" s="21"/>
      <c r="N30" s="34">
        <f t="shared" si="3"/>
        <v>1184</v>
      </c>
      <c r="O30" s="21">
        <v>1189</v>
      </c>
      <c r="P30" s="21" t="str">
        <f t="shared" si="4"/>
        <v/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spans="1:28" ht="39.75" customHeight="1" x14ac:dyDescent="0.2">
      <c r="A31" s="19"/>
      <c r="B31" s="21"/>
      <c r="C31" s="21"/>
      <c r="D31" s="21"/>
      <c r="E31" s="21"/>
      <c r="F31" s="21"/>
      <c r="G31" s="21">
        <v>5</v>
      </c>
      <c r="H31" s="27"/>
      <c r="I31" s="21"/>
      <c r="J31" s="21"/>
      <c r="K31" s="21"/>
      <c r="L31" s="21"/>
      <c r="M31" s="21"/>
      <c r="N31" s="34">
        <f t="shared" si="3"/>
        <v>1184</v>
      </c>
      <c r="O31" s="21">
        <v>1189</v>
      </c>
      <c r="P31" s="21" t="str">
        <f t="shared" si="4"/>
        <v/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spans="1:28" ht="39.75" customHeight="1" x14ac:dyDescent="0.2">
      <c r="A32" s="19"/>
      <c r="B32" s="21"/>
      <c r="C32" s="21"/>
      <c r="D32" s="21"/>
      <c r="E32" s="21"/>
      <c r="F32" s="21"/>
      <c r="G32" s="21">
        <v>5</v>
      </c>
      <c r="H32" s="27"/>
      <c r="I32" s="21"/>
      <c r="J32" s="21"/>
      <c r="K32" s="21"/>
      <c r="L32" s="21"/>
      <c r="M32" s="21"/>
      <c r="N32" s="34">
        <f t="shared" si="3"/>
        <v>1184</v>
      </c>
      <c r="O32" s="21">
        <v>1189</v>
      </c>
      <c r="P32" s="21" t="str">
        <f t="shared" si="4"/>
        <v/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spans="1:28" ht="39.75" customHeight="1" x14ac:dyDescent="0.2">
      <c r="A33" s="19"/>
      <c r="B33" s="21"/>
      <c r="C33" s="21"/>
      <c r="D33" s="21"/>
      <c r="E33" s="21"/>
      <c r="F33" s="21"/>
      <c r="G33" s="21">
        <v>5</v>
      </c>
      <c r="H33" s="27"/>
      <c r="I33" s="21"/>
      <c r="J33" s="21"/>
      <c r="K33" s="21"/>
      <c r="L33" s="21"/>
      <c r="M33" s="21"/>
      <c r="N33" s="34">
        <f t="shared" si="3"/>
        <v>1184</v>
      </c>
      <c r="O33" s="21">
        <v>1189</v>
      </c>
      <c r="P33" s="21" t="str">
        <f t="shared" si="4"/>
        <v/>
      </c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spans="1:28" ht="39.75" customHeight="1" x14ac:dyDescent="0.2">
      <c r="A34" s="19"/>
      <c r="B34" s="21"/>
      <c r="C34" s="21"/>
      <c r="D34" s="21"/>
      <c r="E34" s="21"/>
      <c r="F34" s="21"/>
      <c r="G34" s="21">
        <v>5</v>
      </c>
      <c r="H34" s="27"/>
      <c r="I34" s="21"/>
      <c r="J34" s="21"/>
      <c r="K34" s="21"/>
      <c r="L34" s="21"/>
      <c r="M34" s="21"/>
      <c r="N34" s="34">
        <f t="shared" si="3"/>
        <v>1184</v>
      </c>
      <c r="O34" s="21">
        <v>1189</v>
      </c>
      <c r="P34" s="21" t="str">
        <f t="shared" si="4"/>
        <v/>
      </c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spans="1:28" ht="39.75" customHeight="1" x14ac:dyDescent="0.2">
      <c r="A35" s="19"/>
      <c r="B35" s="21"/>
      <c r="C35" s="21"/>
      <c r="D35" s="21"/>
      <c r="E35" s="21"/>
      <c r="F35" s="21"/>
      <c r="G35" s="21">
        <v>5</v>
      </c>
      <c r="H35" s="27"/>
      <c r="I35" s="21"/>
      <c r="J35" s="21"/>
      <c r="K35" s="21"/>
      <c r="L35" s="21"/>
      <c r="M35" s="21"/>
      <c r="N35" s="34">
        <f t="shared" si="3"/>
        <v>1184</v>
      </c>
      <c r="O35" s="21">
        <v>1189</v>
      </c>
      <c r="P35" s="21" t="str">
        <f t="shared" si="4"/>
        <v/>
      </c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spans="1:28" ht="39.75" customHeight="1" x14ac:dyDescent="0.2">
      <c r="A36" s="19"/>
      <c r="B36" s="21"/>
      <c r="C36" s="21"/>
      <c r="D36" s="21"/>
      <c r="E36" s="21"/>
      <c r="F36" s="21"/>
      <c r="G36" s="21">
        <v>5</v>
      </c>
      <c r="H36" s="27"/>
      <c r="I36" s="21"/>
      <c r="J36" s="21"/>
      <c r="K36" s="21"/>
      <c r="L36" s="21"/>
      <c r="M36" s="21"/>
      <c r="N36" s="34">
        <f t="shared" si="3"/>
        <v>-5</v>
      </c>
      <c r="O36" s="21"/>
      <c r="P36" s="21" t="str">
        <f t="shared" si="4"/>
        <v/>
      </c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spans="1:28" ht="39.75" customHeight="1" x14ac:dyDescent="0.2">
      <c r="A37" s="19"/>
      <c r="B37" s="21"/>
      <c r="C37" s="21"/>
      <c r="D37" s="21"/>
      <c r="E37" s="21"/>
      <c r="F37" s="21"/>
      <c r="G37" s="21">
        <v>5</v>
      </c>
      <c r="H37" s="27"/>
      <c r="I37" s="21"/>
      <c r="J37" s="21"/>
      <c r="K37" s="21"/>
      <c r="L37" s="21"/>
      <c r="M37" s="21"/>
      <c r="N37" s="34">
        <f t="shared" si="3"/>
        <v>-5</v>
      </c>
      <c r="O37" s="21"/>
      <c r="P37" s="21" t="str">
        <f t="shared" si="4"/>
        <v/>
      </c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spans="1:28" ht="39.75" customHeight="1" x14ac:dyDescent="0.2">
      <c r="A38" s="19"/>
      <c r="B38" s="21"/>
      <c r="C38" s="21"/>
      <c r="D38" s="21"/>
      <c r="E38" s="21"/>
      <c r="F38" s="21"/>
      <c r="G38" s="21"/>
      <c r="H38" s="27"/>
      <c r="I38" s="21"/>
      <c r="J38" s="21"/>
      <c r="K38" s="21"/>
      <c r="L38" s="21"/>
      <c r="M38" s="21"/>
      <c r="N38" s="34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ht="39.75" customHeight="1" x14ac:dyDescent="0.2">
      <c r="A39" s="19"/>
      <c r="B39" s="21"/>
      <c r="C39" s="21"/>
      <c r="D39" s="21"/>
      <c r="E39" s="21"/>
      <c r="F39" s="21"/>
      <c r="G39" s="21"/>
      <c r="H39" s="27"/>
      <c r="I39" s="21"/>
      <c r="J39" s="21"/>
      <c r="K39" s="21"/>
      <c r="L39" s="21"/>
      <c r="M39" s="21"/>
      <c r="N39" s="34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spans="1:28" ht="39.75" customHeight="1" x14ac:dyDescent="0.2">
      <c r="A40" s="19"/>
      <c r="B40" s="21"/>
      <c r="C40" s="21"/>
      <c r="D40" s="21"/>
      <c r="E40" s="21"/>
      <c r="F40" s="21"/>
      <c r="G40" s="21"/>
      <c r="H40" s="27"/>
      <c r="I40" s="21"/>
      <c r="J40" s="21"/>
      <c r="K40" s="21"/>
      <c r="L40" s="21"/>
      <c r="M40" s="21"/>
      <c r="N40" s="34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spans="1:28" ht="39.75" customHeight="1" x14ac:dyDescent="0.2">
      <c r="A41" s="19"/>
      <c r="B41" s="21"/>
      <c r="C41" s="21"/>
      <c r="D41" s="21"/>
      <c r="E41" s="21"/>
      <c r="F41" s="21"/>
      <c r="G41" s="21"/>
      <c r="H41" s="27"/>
      <c r="I41" s="21"/>
      <c r="J41" s="21"/>
      <c r="K41" s="21"/>
      <c r="L41" s="21"/>
      <c r="M41" s="21"/>
      <c r="N41" s="34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spans="1:28" ht="39.75" customHeight="1" x14ac:dyDescent="0.2">
      <c r="A42" s="19"/>
      <c r="B42" s="21"/>
      <c r="C42" s="21"/>
      <c r="D42" s="21"/>
      <c r="E42" s="21"/>
      <c r="F42" s="21"/>
      <c r="G42" s="21"/>
      <c r="H42" s="27"/>
      <c r="I42" s="21"/>
      <c r="J42" s="21"/>
      <c r="K42" s="21"/>
      <c r="L42" s="21"/>
      <c r="M42" s="21"/>
      <c r="N42" s="34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spans="1:28" ht="39.75" customHeight="1" x14ac:dyDescent="0.2">
      <c r="A43" s="19"/>
      <c r="B43" s="21"/>
      <c r="C43" s="21"/>
      <c r="D43" s="21"/>
      <c r="E43" s="21"/>
      <c r="F43" s="21"/>
      <c r="G43" s="21"/>
      <c r="H43" s="27"/>
      <c r="I43" s="21"/>
      <c r="J43" s="21"/>
      <c r="K43" s="21"/>
      <c r="L43" s="21"/>
      <c r="M43" s="21"/>
      <c r="N43" s="34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spans="1:28" ht="39.75" customHeight="1" x14ac:dyDescent="0.2">
      <c r="A44" s="19"/>
      <c r="B44" s="21"/>
      <c r="C44" s="21"/>
      <c r="D44" s="21"/>
      <c r="E44" s="21"/>
      <c r="F44" s="21"/>
      <c r="G44" s="21"/>
      <c r="H44" s="27"/>
      <c r="I44" s="21"/>
      <c r="J44" s="21"/>
      <c r="K44" s="21"/>
      <c r="L44" s="21"/>
      <c r="M44" s="21"/>
      <c r="N44" s="34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spans="1:28" ht="39.75" customHeight="1" x14ac:dyDescent="0.2">
      <c r="A45" s="19"/>
      <c r="B45" s="21"/>
      <c r="C45" s="21"/>
      <c r="D45" s="21"/>
      <c r="E45" s="21"/>
      <c r="F45" s="21"/>
      <c r="G45" s="21"/>
      <c r="H45" s="27"/>
      <c r="I45" s="21"/>
      <c r="J45" s="21"/>
      <c r="K45" s="21"/>
      <c r="L45" s="21"/>
      <c r="M45" s="21"/>
      <c r="N45" s="34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spans="1:28" ht="39.75" customHeight="1" x14ac:dyDescent="0.2">
      <c r="A46" s="19"/>
      <c r="B46" s="21"/>
      <c r="C46" s="21"/>
      <c r="D46" s="21"/>
      <c r="E46" s="21"/>
      <c r="F46" s="21"/>
      <c r="G46" s="21"/>
      <c r="H46" s="27"/>
      <c r="I46" s="21"/>
      <c r="J46" s="21"/>
      <c r="K46" s="21"/>
      <c r="L46" s="21"/>
      <c r="M46" s="21"/>
      <c r="N46" s="34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spans="1:28" ht="39.75" customHeight="1" x14ac:dyDescent="0.2">
      <c r="A47" s="19"/>
      <c r="B47" s="21"/>
      <c r="C47" s="21"/>
      <c r="D47" s="21"/>
      <c r="E47" s="21"/>
      <c r="F47" s="21"/>
      <c r="G47" s="21"/>
      <c r="H47" s="27"/>
      <c r="I47" s="21"/>
      <c r="J47" s="21"/>
      <c r="K47" s="21"/>
      <c r="L47" s="21"/>
      <c r="M47" s="21"/>
      <c r="N47" s="34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spans="1:28" ht="39.75" customHeight="1" x14ac:dyDescent="0.2">
      <c r="A48" s="19"/>
      <c r="B48" s="21"/>
      <c r="C48" s="21"/>
      <c r="D48" s="21"/>
      <c r="E48" s="21"/>
      <c r="F48" s="21"/>
      <c r="G48" s="21"/>
      <c r="H48" s="27"/>
      <c r="I48" s="21"/>
      <c r="J48" s="21"/>
      <c r="K48" s="21"/>
      <c r="L48" s="21"/>
      <c r="M48" s="21"/>
      <c r="N48" s="34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spans="1:28" ht="39.75" customHeight="1" x14ac:dyDescent="0.2">
      <c r="A49" s="19"/>
      <c r="B49" s="21"/>
      <c r="C49" s="21"/>
      <c r="D49" s="21"/>
      <c r="E49" s="21"/>
      <c r="F49" s="21"/>
      <c r="G49" s="21"/>
      <c r="H49" s="27"/>
      <c r="I49" s="21"/>
      <c r="J49" s="21"/>
      <c r="K49" s="21"/>
      <c r="L49" s="21"/>
      <c r="M49" s="21"/>
      <c r="N49" s="34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spans="1:28" ht="39.75" customHeight="1" x14ac:dyDescent="0.2">
      <c r="A50" s="19" t="s">
        <v>81</v>
      </c>
      <c r="B50" s="21"/>
      <c r="C50" s="21"/>
      <c r="D50" s="21"/>
      <c r="E50" s="21"/>
      <c r="F50" s="21"/>
      <c r="G50" s="21"/>
      <c r="H50" s="27"/>
      <c r="I50" s="53">
        <f t="shared" ref="I50:M50" si="5">AVERAGE(I2:I49)</f>
        <v>68.529411764705884</v>
      </c>
      <c r="J50" s="53">
        <f t="shared" si="5"/>
        <v>52.941176470588232</v>
      </c>
      <c r="K50" s="53">
        <f t="shared" si="5"/>
        <v>76.764705882352942</v>
      </c>
      <c r="L50" s="53">
        <f t="shared" si="5"/>
        <v>63.823529411764703</v>
      </c>
      <c r="M50" s="53">
        <f t="shared" si="5"/>
        <v>65.514705882352942</v>
      </c>
      <c r="N50" s="34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spans="1:28" ht="39.75" customHeight="1" x14ac:dyDescent="0.2">
      <c r="A51" s="19" t="s">
        <v>104</v>
      </c>
      <c r="B51" s="21"/>
      <c r="C51" s="21"/>
      <c r="D51" s="21"/>
      <c r="E51" s="21"/>
      <c r="F51" s="21"/>
      <c r="G51" s="21"/>
      <c r="H51" s="27"/>
      <c r="I51" s="53">
        <f t="shared" ref="I51:M51" si="6">MEDIAN(I2:I49)</f>
        <v>65</v>
      </c>
      <c r="J51" s="53">
        <f t="shared" si="6"/>
        <v>45</v>
      </c>
      <c r="K51" s="53">
        <f t="shared" si="6"/>
        <v>75</v>
      </c>
      <c r="L51" s="53">
        <f t="shared" si="6"/>
        <v>65</v>
      </c>
      <c r="M51" s="53">
        <f t="shared" si="6"/>
        <v>66.25</v>
      </c>
      <c r="N51" s="34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spans="1:28" ht="39.75" customHeight="1" x14ac:dyDescent="0.2">
      <c r="A52" s="19"/>
      <c r="B52" s="21"/>
      <c r="C52" s="21"/>
      <c r="D52" s="21"/>
      <c r="E52" s="21"/>
      <c r="F52" s="21"/>
      <c r="G52" s="21"/>
      <c r="H52" s="27"/>
      <c r="I52" s="21"/>
      <c r="J52" s="21"/>
      <c r="K52" s="21"/>
      <c r="L52" s="21"/>
      <c r="M52" s="21"/>
      <c r="N52" s="34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spans="1:28" ht="39.75" customHeight="1" x14ac:dyDescent="0.2">
      <c r="A53" s="19"/>
      <c r="B53" s="21"/>
      <c r="C53" s="21"/>
      <c r="D53" s="21"/>
      <c r="E53" s="21"/>
      <c r="F53" s="21"/>
      <c r="G53" s="21"/>
      <c r="H53" s="27"/>
      <c r="I53" s="21"/>
      <c r="J53" s="21"/>
      <c r="K53" s="21"/>
      <c r="L53" s="21"/>
      <c r="M53" s="21"/>
      <c r="N53" s="34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spans="1:28" ht="39.75" customHeight="1" x14ac:dyDescent="0.2">
      <c r="A54" s="19"/>
      <c r="B54" s="21"/>
      <c r="C54" s="21"/>
      <c r="D54" s="21"/>
      <c r="E54" s="21"/>
      <c r="F54" s="21"/>
      <c r="G54" s="21"/>
      <c r="H54" s="27"/>
      <c r="I54" s="21"/>
      <c r="J54" s="21"/>
      <c r="K54" s="21"/>
      <c r="L54" s="21"/>
      <c r="M54" s="21"/>
      <c r="N54" s="34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spans="1:28" ht="39.75" customHeight="1" x14ac:dyDescent="0.2">
      <c r="A55" s="19"/>
      <c r="B55" s="21"/>
      <c r="C55" s="21"/>
      <c r="D55" s="21"/>
      <c r="E55" s="21"/>
      <c r="F55" s="21"/>
      <c r="G55" s="21"/>
      <c r="H55" s="27"/>
      <c r="I55" s="21"/>
      <c r="J55" s="21"/>
      <c r="K55" s="21"/>
      <c r="L55" s="21"/>
      <c r="M55" s="21"/>
      <c r="N55" s="34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spans="1:28" ht="39.75" customHeight="1" x14ac:dyDescent="0.2">
      <c r="A56" s="19"/>
      <c r="B56" s="21"/>
      <c r="C56" s="21"/>
      <c r="D56" s="21"/>
      <c r="E56" s="21"/>
      <c r="F56" s="21"/>
      <c r="G56" s="21"/>
      <c r="H56" s="27"/>
      <c r="I56" s="21"/>
      <c r="J56" s="21"/>
      <c r="K56" s="21"/>
      <c r="L56" s="21"/>
      <c r="M56" s="21"/>
      <c r="N56" s="34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spans="1:28" ht="39.75" customHeight="1" x14ac:dyDescent="0.2">
      <c r="A57" s="19"/>
      <c r="B57" s="21"/>
      <c r="C57" s="21"/>
      <c r="D57" s="21"/>
      <c r="E57" s="21"/>
      <c r="F57" s="21"/>
      <c r="G57" s="21"/>
      <c r="H57" s="27"/>
      <c r="I57" s="21"/>
      <c r="J57" s="21"/>
      <c r="K57" s="21"/>
      <c r="L57" s="21"/>
      <c r="M57" s="21"/>
      <c r="N57" s="34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spans="1:28" ht="39.75" customHeight="1" x14ac:dyDescent="0.2">
      <c r="A58" s="19"/>
      <c r="B58" s="21"/>
      <c r="C58" s="21"/>
      <c r="D58" s="21"/>
      <c r="E58" s="21"/>
      <c r="F58" s="21"/>
      <c r="G58" s="21"/>
      <c r="H58" s="27"/>
      <c r="I58" s="21"/>
      <c r="J58" s="21"/>
      <c r="K58" s="21"/>
      <c r="L58" s="21"/>
      <c r="M58" s="21"/>
      <c r="N58" s="34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spans="1:28" ht="39.75" customHeight="1" x14ac:dyDescent="0.2">
      <c r="A59" s="19"/>
      <c r="B59" s="21"/>
      <c r="C59" s="21"/>
      <c r="D59" s="21"/>
      <c r="E59" s="21"/>
      <c r="F59" s="21"/>
      <c r="G59" s="21"/>
      <c r="H59" s="27"/>
      <c r="I59" s="21"/>
      <c r="J59" s="21"/>
      <c r="K59" s="21"/>
      <c r="L59" s="21"/>
      <c r="M59" s="21"/>
      <c r="N59" s="34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spans="1:28" ht="39.75" customHeight="1" x14ac:dyDescent="0.2">
      <c r="A60" s="19"/>
      <c r="B60" s="21"/>
      <c r="C60" s="21"/>
      <c r="D60" s="21"/>
      <c r="E60" s="21"/>
      <c r="F60" s="21"/>
      <c r="G60" s="21"/>
      <c r="H60" s="27"/>
      <c r="I60" s="21"/>
      <c r="J60" s="21"/>
      <c r="K60" s="21"/>
      <c r="L60" s="21"/>
      <c r="M60" s="21"/>
      <c r="N60" s="34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spans="1:28" ht="39.75" customHeight="1" x14ac:dyDescent="0.2">
      <c r="A61" s="19"/>
      <c r="B61" s="21"/>
      <c r="C61" s="21"/>
      <c r="D61" s="21"/>
      <c r="E61" s="21"/>
      <c r="F61" s="21"/>
      <c r="G61" s="21"/>
      <c r="H61" s="27"/>
      <c r="I61" s="21"/>
      <c r="J61" s="21"/>
      <c r="K61" s="21"/>
      <c r="L61" s="21"/>
      <c r="M61" s="21"/>
      <c r="N61" s="34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spans="1:28" ht="39.75" customHeight="1" x14ac:dyDescent="0.2">
      <c r="A62" s="19"/>
      <c r="B62" s="21"/>
      <c r="C62" s="21"/>
      <c r="D62" s="21"/>
      <c r="E62" s="21"/>
      <c r="F62" s="21"/>
      <c r="G62" s="21"/>
      <c r="H62" s="27"/>
      <c r="I62" s="21"/>
      <c r="J62" s="21"/>
      <c r="K62" s="21"/>
      <c r="L62" s="21"/>
      <c r="M62" s="21"/>
      <c r="N62" s="34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spans="1:28" ht="39.75" customHeight="1" x14ac:dyDescent="0.2">
      <c r="A63" s="19"/>
      <c r="B63" s="21"/>
      <c r="C63" s="21"/>
      <c r="D63" s="21"/>
      <c r="E63" s="21"/>
      <c r="F63" s="21"/>
      <c r="G63" s="21"/>
      <c r="H63" s="27"/>
      <c r="I63" s="21"/>
      <c r="J63" s="21"/>
      <c r="K63" s="21"/>
      <c r="L63" s="21"/>
      <c r="M63" s="21"/>
      <c r="N63" s="34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spans="1:28" ht="39.75" customHeight="1" x14ac:dyDescent="0.2">
      <c r="A64" s="19"/>
      <c r="B64" s="21"/>
      <c r="C64" s="21"/>
      <c r="D64" s="21"/>
      <c r="E64" s="21"/>
      <c r="F64" s="21"/>
      <c r="G64" s="21"/>
      <c r="H64" s="27"/>
      <c r="I64" s="21"/>
      <c r="J64" s="21"/>
      <c r="K64" s="21"/>
      <c r="L64" s="21"/>
      <c r="M64" s="21"/>
      <c r="N64" s="34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spans="1:28" ht="39.75" customHeight="1" x14ac:dyDescent="0.2">
      <c r="A65" s="19"/>
      <c r="B65" s="21"/>
      <c r="C65" s="21"/>
      <c r="D65" s="21"/>
      <c r="E65" s="21"/>
      <c r="F65" s="21"/>
      <c r="G65" s="21"/>
      <c r="H65" s="27"/>
      <c r="I65" s="21"/>
      <c r="J65" s="21"/>
      <c r="K65" s="21"/>
      <c r="L65" s="21"/>
      <c r="M65" s="21"/>
      <c r="N65" s="34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spans="1:28" ht="39.75" customHeight="1" x14ac:dyDescent="0.2">
      <c r="A66" s="19"/>
      <c r="B66" s="21"/>
      <c r="C66" s="21"/>
      <c r="D66" s="21"/>
      <c r="E66" s="21"/>
      <c r="F66" s="21"/>
      <c r="G66" s="21"/>
      <c r="H66" s="27"/>
      <c r="I66" s="21"/>
      <c r="J66" s="21"/>
      <c r="K66" s="21"/>
      <c r="L66" s="21"/>
      <c r="M66" s="21"/>
      <c r="N66" s="34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spans="1:28" ht="39.75" customHeight="1" x14ac:dyDescent="0.2">
      <c r="A67" s="19"/>
      <c r="B67" s="21"/>
      <c r="C67" s="21"/>
      <c r="D67" s="21"/>
      <c r="E67" s="21"/>
      <c r="F67" s="21"/>
      <c r="G67" s="21"/>
      <c r="H67" s="27"/>
      <c r="I67" s="21"/>
      <c r="J67" s="21"/>
      <c r="K67" s="21"/>
      <c r="L67" s="21"/>
      <c r="M67" s="21"/>
      <c r="N67" s="34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spans="1:28" ht="39.75" customHeight="1" x14ac:dyDescent="0.2">
      <c r="A68" s="19"/>
      <c r="B68" s="21"/>
      <c r="C68" s="21"/>
      <c r="D68" s="21"/>
      <c r="E68" s="21"/>
      <c r="F68" s="21"/>
      <c r="G68" s="21"/>
      <c r="H68" s="27"/>
      <c r="I68" s="21"/>
      <c r="J68" s="21"/>
      <c r="K68" s="21"/>
      <c r="L68" s="21"/>
      <c r="M68" s="21"/>
      <c r="N68" s="34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spans="1:28" ht="39.75" customHeight="1" x14ac:dyDescent="0.2">
      <c r="A69" s="19"/>
      <c r="B69" s="21"/>
      <c r="C69" s="21"/>
      <c r="D69" s="21"/>
      <c r="E69" s="21"/>
      <c r="F69" s="21"/>
      <c r="G69" s="21"/>
      <c r="H69" s="27"/>
      <c r="I69" s="21"/>
      <c r="J69" s="21"/>
      <c r="K69" s="21"/>
      <c r="L69" s="21"/>
      <c r="M69" s="21"/>
      <c r="N69" s="34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spans="1:28" ht="39.75" customHeight="1" x14ac:dyDescent="0.2">
      <c r="A70" s="19"/>
      <c r="B70" s="21"/>
      <c r="C70" s="21"/>
      <c r="D70" s="21"/>
      <c r="E70" s="21"/>
      <c r="F70" s="21"/>
      <c r="G70" s="21"/>
      <c r="H70" s="27"/>
      <c r="I70" s="21"/>
      <c r="J70" s="21"/>
      <c r="K70" s="21"/>
      <c r="L70" s="21"/>
      <c r="M70" s="21"/>
      <c r="N70" s="34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spans="1:28" ht="39.75" customHeight="1" x14ac:dyDescent="0.2">
      <c r="A71" s="19"/>
      <c r="B71" s="21"/>
      <c r="C71" s="21"/>
      <c r="D71" s="21"/>
      <c r="E71" s="21"/>
      <c r="F71" s="21"/>
      <c r="G71" s="21"/>
      <c r="H71" s="27"/>
      <c r="I71" s="21"/>
      <c r="J71" s="21"/>
      <c r="K71" s="21"/>
      <c r="L71" s="21"/>
      <c r="M71" s="21"/>
      <c r="N71" s="34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spans="1:28" ht="39.75" customHeight="1" x14ac:dyDescent="0.2">
      <c r="A72" s="19"/>
      <c r="B72" s="21"/>
      <c r="C72" s="21"/>
      <c r="D72" s="21"/>
      <c r="E72" s="21"/>
      <c r="F72" s="21"/>
      <c r="G72" s="21"/>
      <c r="H72" s="27"/>
      <c r="I72" s="21"/>
      <c r="J72" s="21"/>
      <c r="K72" s="21"/>
      <c r="L72" s="21"/>
      <c r="M72" s="21"/>
      <c r="N72" s="34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spans="1:28" ht="39.75" customHeight="1" x14ac:dyDescent="0.2">
      <c r="A73" s="19"/>
      <c r="B73" s="21"/>
      <c r="C73" s="21"/>
      <c r="D73" s="21"/>
      <c r="E73" s="21"/>
      <c r="F73" s="21"/>
      <c r="G73" s="21"/>
      <c r="H73" s="27"/>
      <c r="I73" s="21"/>
      <c r="J73" s="21"/>
      <c r="K73" s="21"/>
      <c r="L73" s="21"/>
      <c r="M73" s="21"/>
      <c r="N73" s="34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spans="1:28" ht="39.75" customHeight="1" x14ac:dyDescent="0.2">
      <c r="A74" s="19"/>
      <c r="B74" s="21"/>
      <c r="C74" s="21"/>
      <c r="D74" s="21"/>
      <c r="E74" s="21"/>
      <c r="F74" s="21"/>
      <c r="G74" s="21"/>
      <c r="H74" s="27"/>
      <c r="I74" s="21"/>
      <c r="J74" s="21"/>
      <c r="K74" s="21"/>
      <c r="L74" s="21"/>
      <c r="M74" s="21"/>
      <c r="N74" s="34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spans="1:28" ht="39.75" customHeight="1" x14ac:dyDescent="0.2">
      <c r="A75" s="19"/>
      <c r="B75" s="21"/>
      <c r="C75" s="21"/>
      <c r="D75" s="21"/>
      <c r="E75" s="21"/>
      <c r="F75" s="21"/>
      <c r="G75" s="21"/>
      <c r="H75" s="27"/>
      <c r="I75" s="21"/>
      <c r="J75" s="21"/>
      <c r="K75" s="21"/>
      <c r="L75" s="21"/>
      <c r="M75" s="21"/>
      <c r="N75" s="34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spans="1:28" ht="39.75" customHeight="1" x14ac:dyDescent="0.2">
      <c r="A76" s="19"/>
      <c r="B76" s="21"/>
      <c r="C76" s="21"/>
      <c r="D76" s="21"/>
      <c r="E76" s="21"/>
      <c r="F76" s="21"/>
      <c r="G76" s="21"/>
      <c r="H76" s="27"/>
      <c r="I76" s="21"/>
      <c r="J76" s="21"/>
      <c r="K76" s="21"/>
      <c r="L76" s="21"/>
      <c r="M76" s="21"/>
      <c r="N76" s="34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spans="1:28" ht="39.75" customHeight="1" x14ac:dyDescent="0.2">
      <c r="A77" s="19"/>
      <c r="B77" s="21"/>
      <c r="C77" s="21"/>
      <c r="D77" s="21"/>
      <c r="E77" s="21"/>
      <c r="F77" s="21"/>
      <c r="G77" s="21"/>
      <c r="H77" s="27"/>
      <c r="I77" s="21"/>
      <c r="J77" s="21"/>
      <c r="K77" s="21"/>
      <c r="L77" s="21"/>
      <c r="M77" s="21"/>
      <c r="N77" s="34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spans="1:28" ht="39.75" customHeight="1" x14ac:dyDescent="0.2">
      <c r="A78" s="19"/>
      <c r="B78" s="21"/>
      <c r="C78" s="21"/>
      <c r="D78" s="21"/>
      <c r="E78" s="21"/>
      <c r="F78" s="21"/>
      <c r="G78" s="21"/>
      <c r="H78" s="27"/>
      <c r="I78" s="21"/>
      <c r="J78" s="21"/>
      <c r="K78" s="21"/>
      <c r="L78" s="21"/>
      <c r="M78" s="21"/>
      <c r="N78" s="34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spans="1:28" ht="39.75" customHeight="1" x14ac:dyDescent="0.2">
      <c r="A79" s="19"/>
      <c r="B79" s="21"/>
      <c r="C79" s="21"/>
      <c r="D79" s="21"/>
      <c r="E79" s="21"/>
      <c r="F79" s="21"/>
      <c r="G79" s="21"/>
      <c r="H79" s="27"/>
      <c r="I79" s="21"/>
      <c r="J79" s="21"/>
      <c r="K79" s="21"/>
      <c r="L79" s="21"/>
      <c r="M79" s="21"/>
      <c r="N79" s="34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spans="1:28" ht="39.75" customHeight="1" x14ac:dyDescent="0.2">
      <c r="A80" s="19"/>
      <c r="B80" s="21"/>
      <c r="C80" s="21"/>
      <c r="D80" s="21"/>
      <c r="E80" s="21"/>
      <c r="F80" s="21"/>
      <c r="G80" s="21"/>
      <c r="H80" s="27"/>
      <c r="I80" s="21"/>
      <c r="J80" s="21"/>
      <c r="K80" s="21"/>
      <c r="L80" s="21"/>
      <c r="M80" s="21"/>
      <c r="N80" s="34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spans="1:28" ht="39.75" customHeight="1" x14ac:dyDescent="0.2">
      <c r="A81" s="19"/>
      <c r="B81" s="21"/>
      <c r="C81" s="21"/>
      <c r="D81" s="21"/>
      <c r="E81" s="21"/>
      <c r="F81" s="21"/>
      <c r="G81" s="21"/>
      <c r="H81" s="27"/>
      <c r="I81" s="21"/>
      <c r="J81" s="21"/>
      <c r="K81" s="21"/>
      <c r="L81" s="21"/>
      <c r="M81" s="21"/>
      <c r="N81" s="34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spans="1:28" ht="39.75" customHeight="1" x14ac:dyDescent="0.2">
      <c r="A82" s="19"/>
      <c r="B82" s="21"/>
      <c r="C82" s="21"/>
      <c r="D82" s="21"/>
      <c r="E82" s="21"/>
      <c r="F82" s="21"/>
      <c r="G82" s="21"/>
      <c r="H82" s="27"/>
      <c r="I82" s="21"/>
      <c r="J82" s="21"/>
      <c r="K82" s="21"/>
      <c r="L82" s="21"/>
      <c r="M82" s="21"/>
      <c r="N82" s="34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spans="1:28" ht="39.75" customHeight="1" x14ac:dyDescent="0.2">
      <c r="A83" s="19"/>
      <c r="B83" s="21"/>
      <c r="C83" s="21"/>
      <c r="D83" s="21"/>
      <c r="E83" s="21"/>
      <c r="F83" s="21"/>
      <c r="G83" s="21"/>
      <c r="H83" s="27"/>
      <c r="I83" s="21"/>
      <c r="J83" s="21"/>
      <c r="K83" s="21"/>
      <c r="L83" s="21"/>
      <c r="M83" s="21"/>
      <c r="N83" s="34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39.75" customHeight="1" x14ac:dyDescent="0.2">
      <c r="A84" s="19"/>
      <c r="B84" s="21"/>
      <c r="C84" s="21"/>
      <c r="D84" s="21"/>
      <c r="E84" s="21"/>
      <c r="F84" s="21"/>
      <c r="G84" s="21"/>
      <c r="H84" s="27"/>
      <c r="I84" s="21"/>
      <c r="J84" s="21"/>
      <c r="K84" s="21"/>
      <c r="L84" s="21"/>
      <c r="M84" s="21"/>
      <c r="N84" s="34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spans="1:28" ht="39.75" customHeight="1" x14ac:dyDescent="0.2">
      <c r="A85" s="19"/>
      <c r="B85" s="21"/>
      <c r="C85" s="21"/>
      <c r="D85" s="21"/>
      <c r="E85" s="21"/>
      <c r="F85" s="21"/>
      <c r="G85" s="21"/>
      <c r="H85" s="27"/>
      <c r="I85" s="21"/>
      <c r="J85" s="21"/>
      <c r="K85" s="21"/>
      <c r="L85" s="21"/>
      <c r="M85" s="21"/>
      <c r="N85" s="34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ht="39.75" customHeight="1" x14ac:dyDescent="0.2">
      <c r="A86" s="19"/>
      <c r="B86" s="21"/>
      <c r="C86" s="21"/>
      <c r="D86" s="21"/>
      <c r="E86" s="21"/>
      <c r="F86" s="21"/>
      <c r="G86" s="21"/>
      <c r="H86" s="27"/>
      <c r="I86" s="21"/>
      <c r="J86" s="21"/>
      <c r="K86" s="21"/>
      <c r="L86" s="21"/>
      <c r="M86" s="21"/>
      <c r="N86" s="34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spans="1:28" ht="39.75" customHeight="1" x14ac:dyDescent="0.2">
      <c r="A87" s="19"/>
      <c r="B87" s="21"/>
      <c r="C87" s="21"/>
      <c r="D87" s="21"/>
      <c r="E87" s="21"/>
      <c r="F87" s="21"/>
      <c r="G87" s="21"/>
      <c r="H87" s="27"/>
      <c r="I87" s="21"/>
      <c r="J87" s="21"/>
      <c r="K87" s="21"/>
      <c r="L87" s="21"/>
      <c r="M87" s="21"/>
      <c r="N87" s="34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 ht="39.75" customHeight="1" x14ac:dyDescent="0.2">
      <c r="A88" s="19"/>
      <c r="B88" s="21"/>
      <c r="C88" s="21"/>
      <c r="D88" s="21"/>
      <c r="E88" s="21"/>
      <c r="F88" s="21"/>
      <c r="G88" s="21"/>
      <c r="H88" s="27"/>
      <c r="I88" s="21"/>
      <c r="J88" s="21"/>
      <c r="K88" s="21"/>
      <c r="L88" s="21"/>
      <c r="M88" s="21"/>
      <c r="N88" s="34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spans="1:28" ht="39.75" customHeight="1" x14ac:dyDescent="0.2">
      <c r="A89" s="19"/>
      <c r="B89" s="21"/>
      <c r="C89" s="21"/>
      <c r="D89" s="21"/>
      <c r="E89" s="21"/>
      <c r="F89" s="21"/>
      <c r="G89" s="21"/>
      <c r="H89" s="27"/>
      <c r="I89" s="21"/>
      <c r="J89" s="21"/>
      <c r="K89" s="21"/>
      <c r="L89" s="21"/>
      <c r="M89" s="21"/>
      <c r="N89" s="34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spans="1:28" ht="39.75" customHeight="1" x14ac:dyDescent="0.2">
      <c r="A90" s="19"/>
      <c r="B90" s="21"/>
      <c r="C90" s="21"/>
      <c r="D90" s="21"/>
      <c r="E90" s="21"/>
      <c r="F90" s="21"/>
      <c r="G90" s="21"/>
      <c r="H90" s="27"/>
      <c r="I90" s="21"/>
      <c r="J90" s="21"/>
      <c r="K90" s="21"/>
      <c r="L90" s="21"/>
      <c r="M90" s="21"/>
      <c r="N90" s="34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spans="1:28" ht="39.75" customHeight="1" x14ac:dyDescent="0.2">
      <c r="A91" s="19"/>
      <c r="B91" s="21"/>
      <c r="C91" s="21"/>
      <c r="D91" s="21"/>
      <c r="E91" s="21"/>
      <c r="F91" s="21"/>
      <c r="G91" s="21"/>
      <c r="H91" s="27"/>
      <c r="I91" s="21"/>
      <c r="J91" s="21"/>
      <c r="K91" s="21"/>
      <c r="L91" s="21"/>
      <c r="M91" s="21"/>
      <c r="N91" s="34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spans="1:28" ht="39.75" customHeight="1" x14ac:dyDescent="0.2">
      <c r="A92" s="19"/>
      <c r="B92" s="21"/>
      <c r="C92" s="21"/>
      <c r="D92" s="21"/>
      <c r="E92" s="21"/>
      <c r="F92" s="21"/>
      <c r="G92" s="21"/>
      <c r="H92" s="27"/>
      <c r="I92" s="21"/>
      <c r="J92" s="21"/>
      <c r="K92" s="21"/>
      <c r="L92" s="21"/>
      <c r="M92" s="21"/>
      <c r="N92" s="34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spans="1:28" ht="39.75" customHeight="1" x14ac:dyDescent="0.2">
      <c r="A93" s="19"/>
      <c r="B93" s="21"/>
      <c r="C93" s="21"/>
      <c r="D93" s="21"/>
      <c r="E93" s="21"/>
      <c r="F93" s="21"/>
      <c r="G93" s="21"/>
      <c r="H93" s="27"/>
      <c r="I93" s="21"/>
      <c r="J93" s="21"/>
      <c r="K93" s="21"/>
      <c r="L93" s="21"/>
      <c r="M93" s="21"/>
      <c r="N93" s="34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spans="1:28" ht="39.75" customHeight="1" x14ac:dyDescent="0.2">
      <c r="A94" s="19"/>
      <c r="B94" s="21"/>
      <c r="C94" s="21"/>
      <c r="D94" s="21"/>
      <c r="E94" s="21"/>
      <c r="F94" s="21"/>
      <c r="G94" s="21"/>
      <c r="H94" s="27"/>
      <c r="I94" s="21"/>
      <c r="J94" s="21"/>
      <c r="K94" s="21"/>
      <c r="L94" s="21"/>
      <c r="M94" s="21"/>
      <c r="N94" s="34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ht="39.75" customHeight="1" x14ac:dyDescent="0.2">
      <c r="A95" s="19"/>
      <c r="B95" s="21"/>
      <c r="C95" s="21"/>
      <c r="D95" s="21"/>
      <c r="E95" s="21"/>
      <c r="F95" s="21"/>
      <c r="G95" s="21"/>
      <c r="H95" s="27"/>
      <c r="I95" s="21"/>
      <c r="J95" s="21"/>
      <c r="K95" s="21"/>
      <c r="L95" s="21"/>
      <c r="M95" s="21"/>
      <c r="N95" s="34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spans="1:28" ht="39.75" customHeight="1" x14ac:dyDescent="0.2">
      <c r="A96" s="19"/>
      <c r="B96" s="21"/>
      <c r="C96" s="21"/>
      <c r="D96" s="21"/>
      <c r="E96" s="21"/>
      <c r="F96" s="21"/>
      <c r="G96" s="21"/>
      <c r="H96" s="27"/>
      <c r="I96" s="21"/>
      <c r="J96" s="21"/>
      <c r="K96" s="21"/>
      <c r="L96" s="21"/>
      <c r="M96" s="21"/>
      <c r="N96" s="34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ht="39.75" customHeight="1" x14ac:dyDescent="0.2">
      <c r="A97" s="19"/>
      <c r="B97" s="21"/>
      <c r="C97" s="21"/>
      <c r="D97" s="21"/>
      <c r="E97" s="21"/>
      <c r="F97" s="21"/>
      <c r="G97" s="21"/>
      <c r="H97" s="27"/>
      <c r="I97" s="21"/>
      <c r="J97" s="21"/>
      <c r="K97" s="21"/>
      <c r="L97" s="21"/>
      <c r="M97" s="21"/>
      <c r="N97" s="34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spans="1:28" ht="39.75" customHeight="1" x14ac:dyDescent="0.2">
      <c r="A98" s="19"/>
      <c r="B98" s="21"/>
      <c r="C98" s="21"/>
      <c r="D98" s="21"/>
      <c r="E98" s="21"/>
      <c r="F98" s="21"/>
      <c r="G98" s="21"/>
      <c r="H98" s="27"/>
      <c r="I98" s="21"/>
      <c r="J98" s="21"/>
      <c r="K98" s="21"/>
      <c r="L98" s="21"/>
      <c r="M98" s="21"/>
      <c r="N98" s="34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spans="1:28" ht="39.75" customHeight="1" x14ac:dyDescent="0.2">
      <c r="A99" s="19"/>
      <c r="B99" s="21"/>
      <c r="C99" s="21"/>
      <c r="D99" s="21"/>
      <c r="E99" s="21"/>
      <c r="F99" s="21"/>
      <c r="G99" s="21"/>
      <c r="H99" s="27"/>
      <c r="I99" s="21"/>
      <c r="J99" s="21"/>
      <c r="K99" s="21"/>
      <c r="L99" s="21"/>
      <c r="M99" s="21"/>
      <c r="N99" s="34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ht="39.75" customHeight="1" x14ac:dyDescent="0.2">
      <c r="A100" s="19"/>
      <c r="B100" s="21"/>
      <c r="C100" s="21"/>
      <c r="D100" s="21"/>
      <c r="E100" s="21"/>
      <c r="F100" s="21"/>
      <c r="G100" s="21"/>
      <c r="H100" s="27"/>
      <c r="I100" s="21"/>
      <c r="J100" s="21"/>
      <c r="K100" s="21"/>
      <c r="L100" s="21"/>
      <c r="M100" s="21"/>
      <c r="N100" s="34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ht="39.75" customHeight="1" x14ac:dyDescent="0.2">
      <c r="A101" s="19"/>
      <c r="B101" s="21"/>
      <c r="C101" s="21"/>
      <c r="D101" s="21"/>
      <c r="E101" s="21"/>
      <c r="F101" s="21"/>
      <c r="G101" s="21"/>
      <c r="H101" s="27"/>
      <c r="I101" s="21"/>
      <c r="J101" s="21"/>
      <c r="K101" s="21"/>
      <c r="L101" s="21"/>
      <c r="M101" s="21"/>
      <c r="N101" s="34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8" ht="39.75" customHeight="1" x14ac:dyDescent="0.2">
      <c r="A102" s="19"/>
      <c r="B102" s="21"/>
      <c r="C102" s="21"/>
      <c r="D102" s="21"/>
      <c r="E102" s="21"/>
      <c r="F102" s="21"/>
      <c r="G102" s="21"/>
      <c r="H102" s="27"/>
      <c r="I102" s="21"/>
      <c r="J102" s="21"/>
      <c r="K102" s="21"/>
      <c r="L102" s="21"/>
      <c r="M102" s="21"/>
      <c r="N102" s="34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spans="1:28" ht="39.75" customHeight="1" x14ac:dyDescent="0.2">
      <c r="A103" s="19"/>
      <c r="B103" s="21"/>
      <c r="C103" s="21"/>
      <c r="D103" s="21"/>
      <c r="E103" s="21"/>
      <c r="F103" s="21"/>
      <c r="G103" s="21"/>
      <c r="H103" s="27"/>
      <c r="I103" s="21"/>
      <c r="J103" s="21"/>
      <c r="K103" s="21"/>
      <c r="L103" s="21"/>
      <c r="M103" s="21"/>
      <c r="N103" s="34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spans="1:28" ht="39.75" customHeight="1" x14ac:dyDescent="0.2">
      <c r="A104" s="19"/>
      <c r="B104" s="21"/>
      <c r="C104" s="21"/>
      <c r="D104" s="21"/>
      <c r="E104" s="21"/>
      <c r="F104" s="21"/>
      <c r="G104" s="21"/>
      <c r="H104" s="27"/>
      <c r="I104" s="21"/>
      <c r="J104" s="21"/>
      <c r="K104" s="21"/>
      <c r="L104" s="21"/>
      <c r="M104" s="21"/>
      <c r="N104" s="34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spans="1:28" ht="39.75" customHeight="1" x14ac:dyDescent="0.2">
      <c r="A105" s="19"/>
      <c r="B105" s="21"/>
      <c r="C105" s="21"/>
      <c r="D105" s="21"/>
      <c r="E105" s="21"/>
      <c r="F105" s="21"/>
      <c r="G105" s="21"/>
      <c r="H105" s="27"/>
      <c r="I105" s="21"/>
      <c r="J105" s="21"/>
      <c r="K105" s="21"/>
      <c r="L105" s="21"/>
      <c r="M105" s="21"/>
      <c r="N105" s="34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spans="1:28" ht="39.75" customHeight="1" x14ac:dyDescent="0.2">
      <c r="A106" s="19"/>
      <c r="B106" s="21"/>
      <c r="C106" s="21"/>
      <c r="D106" s="21"/>
      <c r="E106" s="21"/>
      <c r="F106" s="21"/>
      <c r="G106" s="21"/>
      <c r="H106" s="27"/>
      <c r="I106" s="21"/>
      <c r="J106" s="21"/>
      <c r="K106" s="21"/>
      <c r="L106" s="21"/>
      <c r="M106" s="21"/>
      <c r="N106" s="34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spans="1:28" ht="39.75" customHeight="1" x14ac:dyDescent="0.2">
      <c r="A107" s="19"/>
      <c r="B107" s="21"/>
      <c r="C107" s="21"/>
      <c r="D107" s="21"/>
      <c r="E107" s="21"/>
      <c r="F107" s="21"/>
      <c r="G107" s="21"/>
      <c r="H107" s="27"/>
      <c r="I107" s="21"/>
      <c r="J107" s="21"/>
      <c r="K107" s="21"/>
      <c r="L107" s="21"/>
      <c r="M107" s="21"/>
      <c r="N107" s="34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spans="1:28" ht="39.75" customHeight="1" x14ac:dyDescent="0.2">
      <c r="A108" s="19"/>
      <c r="B108" s="21"/>
      <c r="C108" s="21"/>
      <c r="D108" s="21"/>
      <c r="E108" s="21"/>
      <c r="F108" s="21"/>
      <c r="G108" s="21"/>
      <c r="H108" s="27"/>
      <c r="I108" s="21"/>
      <c r="J108" s="21"/>
      <c r="K108" s="21"/>
      <c r="L108" s="21"/>
      <c r="M108" s="21"/>
      <c r="N108" s="34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spans="1:28" ht="39.75" customHeight="1" x14ac:dyDescent="0.2">
      <c r="A109" s="19"/>
      <c r="B109" s="21"/>
      <c r="C109" s="21"/>
      <c r="D109" s="21"/>
      <c r="E109" s="21"/>
      <c r="F109" s="21"/>
      <c r="G109" s="21"/>
      <c r="H109" s="27"/>
      <c r="I109" s="21"/>
      <c r="J109" s="21"/>
      <c r="K109" s="21"/>
      <c r="L109" s="21"/>
      <c r="M109" s="21"/>
      <c r="N109" s="34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spans="1:28" ht="39.75" customHeight="1" x14ac:dyDescent="0.2">
      <c r="A110" s="19"/>
      <c r="B110" s="21"/>
      <c r="C110" s="21"/>
      <c r="D110" s="21"/>
      <c r="E110" s="21"/>
      <c r="F110" s="21"/>
      <c r="G110" s="21"/>
      <c r="H110" s="27"/>
      <c r="I110" s="21"/>
      <c r="J110" s="21"/>
      <c r="K110" s="21"/>
      <c r="L110" s="21"/>
      <c r="M110" s="21"/>
      <c r="N110" s="34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spans="1:28" ht="39.75" customHeight="1" x14ac:dyDescent="0.2">
      <c r="A111" s="19"/>
      <c r="B111" s="21"/>
      <c r="C111" s="21"/>
      <c r="D111" s="21"/>
      <c r="E111" s="21"/>
      <c r="F111" s="21"/>
      <c r="G111" s="21"/>
      <c r="H111" s="27"/>
      <c r="I111" s="21"/>
      <c r="J111" s="21"/>
      <c r="K111" s="21"/>
      <c r="L111" s="21"/>
      <c r="M111" s="21"/>
      <c r="N111" s="34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spans="1:28" ht="39.75" customHeight="1" x14ac:dyDescent="0.2">
      <c r="A112" s="19"/>
      <c r="B112" s="21"/>
      <c r="C112" s="21"/>
      <c r="D112" s="21"/>
      <c r="E112" s="21"/>
      <c r="F112" s="21"/>
      <c r="G112" s="21"/>
      <c r="H112" s="27"/>
      <c r="I112" s="21"/>
      <c r="J112" s="21"/>
      <c r="K112" s="21"/>
      <c r="L112" s="21"/>
      <c r="M112" s="21"/>
      <c r="N112" s="34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spans="1:28" ht="39.75" customHeight="1" x14ac:dyDescent="0.2">
      <c r="A113" s="19"/>
      <c r="B113" s="21"/>
      <c r="C113" s="21"/>
      <c r="D113" s="21"/>
      <c r="E113" s="21"/>
      <c r="F113" s="21"/>
      <c r="G113" s="21"/>
      <c r="H113" s="27"/>
      <c r="I113" s="21"/>
      <c r="J113" s="21"/>
      <c r="K113" s="21"/>
      <c r="L113" s="21"/>
      <c r="M113" s="21"/>
      <c r="N113" s="34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spans="1:28" ht="39.75" customHeight="1" x14ac:dyDescent="0.2">
      <c r="A114" s="19"/>
      <c r="B114" s="21"/>
      <c r="C114" s="21"/>
      <c r="D114" s="21"/>
      <c r="E114" s="21"/>
      <c r="F114" s="21"/>
      <c r="G114" s="21"/>
      <c r="H114" s="27"/>
      <c r="I114" s="21"/>
      <c r="J114" s="21"/>
      <c r="K114" s="21"/>
      <c r="L114" s="21"/>
      <c r="M114" s="21"/>
      <c r="N114" s="34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spans="1:28" ht="39.75" customHeight="1" x14ac:dyDescent="0.2">
      <c r="A115" s="19"/>
      <c r="B115" s="21"/>
      <c r="C115" s="21"/>
      <c r="D115" s="21"/>
      <c r="E115" s="21"/>
      <c r="F115" s="21"/>
      <c r="G115" s="21"/>
      <c r="H115" s="27"/>
      <c r="I115" s="21"/>
      <c r="J115" s="21"/>
      <c r="K115" s="21"/>
      <c r="L115" s="21"/>
      <c r="M115" s="21"/>
      <c r="N115" s="34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spans="1:28" ht="39.75" customHeight="1" x14ac:dyDescent="0.2">
      <c r="A116" s="19"/>
      <c r="B116" s="21"/>
      <c r="C116" s="21"/>
      <c r="D116" s="21"/>
      <c r="E116" s="21"/>
      <c r="F116" s="21"/>
      <c r="G116" s="21"/>
      <c r="H116" s="27"/>
      <c r="I116" s="21"/>
      <c r="J116" s="21"/>
      <c r="K116" s="21"/>
      <c r="L116" s="21"/>
      <c r="M116" s="21"/>
      <c r="N116" s="34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spans="1:28" ht="39.75" customHeight="1" x14ac:dyDescent="0.2">
      <c r="A117" s="19"/>
      <c r="B117" s="21"/>
      <c r="C117" s="21"/>
      <c r="D117" s="21"/>
      <c r="E117" s="21"/>
      <c r="F117" s="21"/>
      <c r="G117" s="21"/>
      <c r="H117" s="27"/>
      <c r="I117" s="21"/>
      <c r="J117" s="21"/>
      <c r="K117" s="21"/>
      <c r="L117" s="21"/>
      <c r="M117" s="21"/>
      <c r="N117" s="34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spans="1:28" ht="39.75" customHeight="1" x14ac:dyDescent="0.2">
      <c r="A118" s="19"/>
      <c r="B118" s="21"/>
      <c r="C118" s="21"/>
      <c r="D118" s="21"/>
      <c r="E118" s="21"/>
      <c r="F118" s="21"/>
      <c r="G118" s="21"/>
      <c r="H118" s="27"/>
      <c r="I118" s="21"/>
      <c r="J118" s="21"/>
      <c r="K118" s="21"/>
      <c r="L118" s="21"/>
      <c r="M118" s="21"/>
      <c r="N118" s="34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spans="1:28" ht="39.75" customHeight="1" x14ac:dyDescent="0.2">
      <c r="A119" s="19"/>
      <c r="B119" s="21"/>
      <c r="C119" s="21"/>
      <c r="D119" s="21"/>
      <c r="E119" s="21"/>
      <c r="F119" s="21"/>
      <c r="G119" s="21"/>
      <c r="H119" s="27"/>
      <c r="I119" s="21"/>
      <c r="J119" s="21"/>
      <c r="K119" s="21"/>
      <c r="L119" s="21"/>
      <c r="M119" s="21"/>
      <c r="N119" s="34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spans="1:28" ht="39.75" customHeight="1" x14ac:dyDescent="0.2">
      <c r="A120" s="19"/>
      <c r="B120" s="21"/>
      <c r="C120" s="21"/>
      <c r="D120" s="21"/>
      <c r="E120" s="21"/>
      <c r="F120" s="21"/>
      <c r="G120" s="21"/>
      <c r="H120" s="27"/>
      <c r="I120" s="21"/>
      <c r="J120" s="21"/>
      <c r="K120" s="21"/>
      <c r="L120" s="21"/>
      <c r="M120" s="21"/>
      <c r="N120" s="34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spans="1:28" ht="39.75" customHeight="1" x14ac:dyDescent="0.2">
      <c r="A121" s="19"/>
      <c r="B121" s="21"/>
      <c r="C121" s="21"/>
      <c r="D121" s="21"/>
      <c r="E121" s="21"/>
      <c r="F121" s="21"/>
      <c r="G121" s="21"/>
      <c r="H121" s="27"/>
      <c r="I121" s="21"/>
      <c r="J121" s="21"/>
      <c r="K121" s="21"/>
      <c r="L121" s="21"/>
      <c r="M121" s="21"/>
      <c r="N121" s="34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spans="1:28" ht="39.75" customHeight="1" x14ac:dyDescent="0.2">
      <c r="A122" s="19"/>
      <c r="B122" s="21"/>
      <c r="C122" s="21"/>
      <c r="D122" s="21"/>
      <c r="E122" s="21"/>
      <c r="F122" s="21"/>
      <c r="G122" s="21"/>
      <c r="H122" s="27"/>
      <c r="I122" s="21"/>
      <c r="J122" s="21"/>
      <c r="K122" s="21"/>
      <c r="L122" s="21"/>
      <c r="M122" s="21"/>
      <c r="N122" s="34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spans="1:28" ht="39.75" customHeight="1" x14ac:dyDescent="0.2">
      <c r="A123" s="19"/>
      <c r="B123" s="21"/>
      <c r="C123" s="21"/>
      <c r="D123" s="21"/>
      <c r="E123" s="21"/>
      <c r="F123" s="21"/>
      <c r="G123" s="21"/>
      <c r="H123" s="27"/>
      <c r="I123" s="21"/>
      <c r="J123" s="21"/>
      <c r="K123" s="21"/>
      <c r="L123" s="21"/>
      <c r="M123" s="21"/>
      <c r="N123" s="34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spans="1:28" ht="39.75" customHeight="1" x14ac:dyDescent="0.2">
      <c r="A124" s="19"/>
      <c r="B124" s="21"/>
      <c r="C124" s="21"/>
      <c r="D124" s="21"/>
      <c r="E124" s="21"/>
      <c r="F124" s="21"/>
      <c r="G124" s="21"/>
      <c r="H124" s="27"/>
      <c r="I124" s="21"/>
      <c r="J124" s="21"/>
      <c r="K124" s="21"/>
      <c r="L124" s="21"/>
      <c r="M124" s="21"/>
      <c r="N124" s="34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spans="1:28" ht="39.75" customHeight="1" x14ac:dyDescent="0.2">
      <c r="A125" s="19"/>
      <c r="B125" s="21"/>
      <c r="C125" s="21"/>
      <c r="D125" s="21"/>
      <c r="E125" s="21"/>
      <c r="F125" s="21"/>
      <c r="G125" s="21"/>
      <c r="H125" s="27"/>
      <c r="I125" s="21"/>
      <c r="J125" s="21"/>
      <c r="K125" s="21"/>
      <c r="L125" s="21"/>
      <c r="M125" s="21"/>
      <c r="N125" s="34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spans="1:28" ht="39.75" customHeight="1" x14ac:dyDescent="0.2">
      <c r="A126" s="19"/>
      <c r="B126" s="21"/>
      <c r="C126" s="21"/>
      <c r="D126" s="21"/>
      <c r="E126" s="21"/>
      <c r="F126" s="21"/>
      <c r="G126" s="21"/>
      <c r="H126" s="27"/>
      <c r="I126" s="21"/>
      <c r="J126" s="21"/>
      <c r="K126" s="21"/>
      <c r="L126" s="21"/>
      <c r="M126" s="21"/>
      <c r="N126" s="34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spans="1:28" ht="39.75" customHeight="1" x14ac:dyDescent="0.2">
      <c r="A127" s="19"/>
      <c r="B127" s="21"/>
      <c r="C127" s="21"/>
      <c r="D127" s="21"/>
      <c r="E127" s="21"/>
      <c r="F127" s="21"/>
      <c r="G127" s="21"/>
      <c r="H127" s="27"/>
      <c r="I127" s="21"/>
      <c r="J127" s="21"/>
      <c r="K127" s="21"/>
      <c r="L127" s="21"/>
      <c r="M127" s="21"/>
      <c r="N127" s="34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spans="1:28" ht="39.75" customHeight="1" x14ac:dyDescent="0.2">
      <c r="A128" s="19"/>
      <c r="B128" s="21"/>
      <c r="C128" s="21"/>
      <c r="D128" s="21"/>
      <c r="E128" s="21"/>
      <c r="F128" s="21"/>
      <c r="G128" s="21"/>
      <c r="H128" s="27"/>
      <c r="I128" s="21"/>
      <c r="J128" s="21"/>
      <c r="K128" s="21"/>
      <c r="L128" s="21"/>
      <c r="M128" s="21"/>
      <c r="N128" s="34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spans="1:28" ht="39.75" customHeight="1" x14ac:dyDescent="0.2">
      <c r="A129" s="19"/>
      <c r="B129" s="21"/>
      <c r="C129" s="21"/>
      <c r="D129" s="21"/>
      <c r="E129" s="21"/>
      <c r="F129" s="21"/>
      <c r="G129" s="21"/>
      <c r="H129" s="27"/>
      <c r="I129" s="21"/>
      <c r="J129" s="21"/>
      <c r="K129" s="21"/>
      <c r="L129" s="21"/>
      <c r="M129" s="21"/>
      <c r="N129" s="34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spans="1:28" ht="39.75" customHeight="1" x14ac:dyDescent="0.2">
      <c r="A130" s="19"/>
      <c r="B130" s="21"/>
      <c r="C130" s="21"/>
      <c r="D130" s="21"/>
      <c r="E130" s="21"/>
      <c r="F130" s="21"/>
      <c r="G130" s="21"/>
      <c r="H130" s="27"/>
      <c r="I130" s="21"/>
      <c r="J130" s="21"/>
      <c r="K130" s="21"/>
      <c r="L130" s="21"/>
      <c r="M130" s="21"/>
      <c r="N130" s="34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spans="1:28" ht="39.75" customHeight="1" x14ac:dyDescent="0.2">
      <c r="A131" s="19"/>
      <c r="B131" s="21"/>
      <c r="C131" s="21"/>
      <c r="D131" s="21"/>
      <c r="E131" s="21"/>
      <c r="F131" s="21"/>
      <c r="G131" s="21"/>
      <c r="H131" s="27"/>
      <c r="I131" s="21"/>
      <c r="J131" s="21"/>
      <c r="K131" s="21"/>
      <c r="L131" s="21"/>
      <c r="M131" s="21"/>
      <c r="N131" s="34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spans="1:28" ht="39.75" customHeight="1" x14ac:dyDescent="0.2">
      <c r="A132" s="19"/>
      <c r="B132" s="21"/>
      <c r="C132" s="21"/>
      <c r="D132" s="21"/>
      <c r="E132" s="21"/>
      <c r="F132" s="21"/>
      <c r="G132" s="21"/>
      <c r="H132" s="27"/>
      <c r="I132" s="21"/>
      <c r="J132" s="21"/>
      <c r="K132" s="21"/>
      <c r="L132" s="21"/>
      <c r="M132" s="21"/>
      <c r="N132" s="34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spans="1:28" ht="39.75" customHeight="1" x14ac:dyDescent="0.2">
      <c r="A133" s="19"/>
      <c r="B133" s="21"/>
      <c r="C133" s="21"/>
      <c r="D133" s="21"/>
      <c r="E133" s="21"/>
      <c r="F133" s="21"/>
      <c r="G133" s="21"/>
      <c r="H133" s="27"/>
      <c r="I133" s="21"/>
      <c r="J133" s="21"/>
      <c r="K133" s="21"/>
      <c r="L133" s="21"/>
      <c r="M133" s="21"/>
      <c r="N133" s="34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spans="1:28" ht="39.75" customHeight="1" x14ac:dyDescent="0.2">
      <c r="A134" s="19"/>
      <c r="B134" s="21"/>
      <c r="C134" s="21"/>
      <c r="D134" s="21"/>
      <c r="E134" s="21"/>
      <c r="F134" s="21"/>
      <c r="G134" s="21"/>
      <c r="H134" s="27"/>
      <c r="I134" s="21"/>
      <c r="J134" s="21"/>
      <c r="K134" s="21"/>
      <c r="L134" s="21"/>
      <c r="M134" s="21"/>
      <c r="N134" s="34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spans="1:28" ht="39.75" customHeight="1" x14ac:dyDescent="0.2">
      <c r="A135" s="19"/>
      <c r="B135" s="21"/>
      <c r="C135" s="21"/>
      <c r="D135" s="21"/>
      <c r="E135" s="21"/>
      <c r="F135" s="21"/>
      <c r="G135" s="21"/>
      <c r="H135" s="27"/>
      <c r="I135" s="21"/>
      <c r="J135" s="21"/>
      <c r="K135" s="21"/>
      <c r="L135" s="21"/>
      <c r="M135" s="21"/>
      <c r="N135" s="34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spans="1:28" ht="39.75" customHeight="1" x14ac:dyDescent="0.2">
      <c r="A136" s="19"/>
      <c r="B136" s="21"/>
      <c r="C136" s="21"/>
      <c r="D136" s="21"/>
      <c r="E136" s="21"/>
      <c r="F136" s="21"/>
      <c r="G136" s="21"/>
      <c r="H136" s="27"/>
      <c r="I136" s="21"/>
      <c r="J136" s="21"/>
      <c r="K136" s="21"/>
      <c r="L136" s="21"/>
      <c r="M136" s="21"/>
      <c r="N136" s="34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spans="1:28" ht="39.75" customHeight="1" x14ac:dyDescent="0.2">
      <c r="A137" s="19"/>
      <c r="B137" s="21"/>
      <c r="C137" s="21"/>
      <c r="D137" s="21"/>
      <c r="E137" s="21"/>
      <c r="F137" s="21"/>
      <c r="G137" s="21"/>
      <c r="H137" s="27"/>
      <c r="I137" s="21"/>
      <c r="J137" s="21"/>
      <c r="K137" s="21"/>
      <c r="L137" s="21"/>
      <c r="M137" s="21"/>
      <c r="N137" s="34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spans="1:28" ht="39.75" customHeight="1" x14ac:dyDescent="0.2">
      <c r="A138" s="19"/>
      <c r="B138" s="21"/>
      <c r="C138" s="21"/>
      <c r="D138" s="21"/>
      <c r="E138" s="21"/>
      <c r="F138" s="21"/>
      <c r="G138" s="21"/>
      <c r="H138" s="27"/>
      <c r="I138" s="21"/>
      <c r="J138" s="21"/>
      <c r="K138" s="21"/>
      <c r="L138" s="21"/>
      <c r="M138" s="21"/>
      <c r="N138" s="34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spans="1:28" ht="39.75" customHeight="1" x14ac:dyDescent="0.2">
      <c r="A139" s="19"/>
      <c r="B139" s="21"/>
      <c r="C139" s="21"/>
      <c r="D139" s="21"/>
      <c r="E139" s="21"/>
      <c r="F139" s="21"/>
      <c r="G139" s="21"/>
      <c r="H139" s="27"/>
      <c r="I139" s="21"/>
      <c r="J139" s="21"/>
      <c r="K139" s="21"/>
      <c r="L139" s="21"/>
      <c r="M139" s="21"/>
      <c r="N139" s="34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spans="1:28" ht="39.75" customHeight="1" x14ac:dyDescent="0.2">
      <c r="A140" s="19"/>
      <c r="B140" s="21"/>
      <c r="C140" s="21"/>
      <c r="D140" s="21"/>
      <c r="E140" s="21"/>
      <c r="F140" s="21"/>
      <c r="G140" s="21"/>
      <c r="H140" s="27"/>
      <c r="I140" s="21"/>
      <c r="J140" s="21"/>
      <c r="K140" s="21"/>
      <c r="L140" s="21"/>
      <c r="M140" s="21"/>
      <c r="N140" s="34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spans="1:28" ht="39.75" customHeight="1" x14ac:dyDescent="0.2">
      <c r="A141" s="19"/>
      <c r="B141" s="21"/>
      <c r="C141" s="21"/>
      <c r="D141" s="21"/>
      <c r="E141" s="21"/>
      <c r="F141" s="21"/>
      <c r="G141" s="21"/>
      <c r="H141" s="27"/>
      <c r="I141" s="21"/>
      <c r="J141" s="21"/>
      <c r="K141" s="21"/>
      <c r="L141" s="21"/>
      <c r="M141" s="21"/>
      <c r="N141" s="34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spans="1:28" ht="39.75" customHeight="1" x14ac:dyDescent="0.2">
      <c r="A142" s="19"/>
      <c r="B142" s="21"/>
      <c r="C142" s="21"/>
      <c r="D142" s="21"/>
      <c r="E142" s="21"/>
      <c r="F142" s="21"/>
      <c r="G142" s="21"/>
      <c r="H142" s="27"/>
      <c r="I142" s="21"/>
      <c r="J142" s="21"/>
      <c r="K142" s="21"/>
      <c r="L142" s="21"/>
      <c r="M142" s="21"/>
      <c r="N142" s="34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spans="1:28" ht="39.75" customHeight="1" x14ac:dyDescent="0.2">
      <c r="A143" s="19"/>
      <c r="B143" s="21"/>
      <c r="C143" s="21"/>
      <c r="D143" s="21"/>
      <c r="E143" s="21"/>
      <c r="F143" s="21"/>
      <c r="G143" s="21"/>
      <c r="H143" s="27"/>
      <c r="I143" s="21"/>
      <c r="J143" s="21"/>
      <c r="K143" s="21"/>
      <c r="L143" s="21"/>
      <c r="M143" s="21"/>
      <c r="N143" s="34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spans="1:28" ht="39.75" customHeight="1" x14ac:dyDescent="0.2">
      <c r="A144" s="19"/>
      <c r="B144" s="21"/>
      <c r="C144" s="21"/>
      <c r="D144" s="21"/>
      <c r="E144" s="21"/>
      <c r="F144" s="21"/>
      <c r="G144" s="21"/>
      <c r="H144" s="27"/>
      <c r="I144" s="21"/>
      <c r="J144" s="21"/>
      <c r="K144" s="21"/>
      <c r="L144" s="21"/>
      <c r="M144" s="21"/>
      <c r="N144" s="34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spans="1:28" ht="39.75" customHeight="1" x14ac:dyDescent="0.2">
      <c r="A145" s="19"/>
      <c r="B145" s="21"/>
      <c r="C145" s="21"/>
      <c r="D145" s="21"/>
      <c r="E145" s="21"/>
      <c r="F145" s="21"/>
      <c r="G145" s="21"/>
      <c r="H145" s="27"/>
      <c r="I145" s="21"/>
      <c r="J145" s="21"/>
      <c r="K145" s="21"/>
      <c r="L145" s="21"/>
      <c r="M145" s="21"/>
      <c r="N145" s="34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spans="1:28" ht="39.75" customHeight="1" x14ac:dyDescent="0.2">
      <c r="A146" s="19"/>
      <c r="B146" s="21"/>
      <c r="C146" s="21"/>
      <c r="D146" s="21"/>
      <c r="E146" s="21"/>
      <c r="F146" s="21"/>
      <c r="G146" s="21"/>
      <c r="H146" s="27"/>
      <c r="I146" s="21"/>
      <c r="J146" s="21"/>
      <c r="K146" s="21"/>
      <c r="L146" s="21"/>
      <c r="M146" s="21"/>
      <c r="N146" s="34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spans="1:28" ht="39.75" customHeight="1" x14ac:dyDescent="0.2">
      <c r="A147" s="19"/>
      <c r="B147" s="21"/>
      <c r="C147" s="21"/>
      <c r="D147" s="21"/>
      <c r="E147" s="21"/>
      <c r="F147" s="21"/>
      <c r="G147" s="21"/>
      <c r="H147" s="27"/>
      <c r="I147" s="21"/>
      <c r="J147" s="21"/>
      <c r="K147" s="21"/>
      <c r="L147" s="21"/>
      <c r="M147" s="21"/>
      <c r="N147" s="34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28" ht="39.75" customHeight="1" x14ac:dyDescent="0.2">
      <c r="A148" s="19"/>
      <c r="B148" s="21"/>
      <c r="C148" s="21"/>
      <c r="D148" s="21"/>
      <c r="E148" s="21"/>
      <c r="F148" s="21"/>
      <c r="G148" s="21"/>
      <c r="H148" s="27"/>
      <c r="I148" s="21"/>
      <c r="J148" s="21"/>
      <c r="K148" s="21"/>
      <c r="L148" s="21"/>
      <c r="M148" s="21"/>
      <c r="N148" s="34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spans="1:28" ht="39.75" customHeight="1" x14ac:dyDescent="0.2">
      <c r="A149" s="19"/>
      <c r="B149" s="21"/>
      <c r="C149" s="21"/>
      <c r="D149" s="21"/>
      <c r="E149" s="21"/>
      <c r="F149" s="21"/>
      <c r="G149" s="21"/>
      <c r="H149" s="27"/>
      <c r="I149" s="21"/>
      <c r="J149" s="21"/>
      <c r="K149" s="21"/>
      <c r="L149" s="21"/>
      <c r="M149" s="21"/>
      <c r="N149" s="34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spans="1:28" ht="39.75" customHeight="1" x14ac:dyDescent="0.2">
      <c r="A150" s="19"/>
      <c r="B150" s="21"/>
      <c r="C150" s="21"/>
      <c r="D150" s="21"/>
      <c r="E150" s="21"/>
      <c r="F150" s="21"/>
      <c r="G150" s="21"/>
      <c r="H150" s="27"/>
      <c r="I150" s="21"/>
      <c r="J150" s="21"/>
      <c r="K150" s="21"/>
      <c r="L150" s="21"/>
      <c r="M150" s="21"/>
      <c r="N150" s="34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spans="1:28" ht="39.75" customHeight="1" x14ac:dyDescent="0.2">
      <c r="A151" s="19"/>
      <c r="B151" s="21"/>
      <c r="C151" s="21"/>
      <c r="D151" s="21"/>
      <c r="E151" s="21"/>
      <c r="F151" s="21"/>
      <c r="G151" s="21"/>
      <c r="H151" s="27"/>
      <c r="I151" s="21"/>
      <c r="J151" s="21"/>
      <c r="K151" s="21"/>
      <c r="L151" s="21"/>
      <c r="M151" s="21"/>
      <c r="N151" s="34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spans="1:28" ht="39.75" customHeight="1" x14ac:dyDescent="0.2">
      <c r="A152" s="19"/>
      <c r="B152" s="21"/>
      <c r="C152" s="21"/>
      <c r="D152" s="21"/>
      <c r="E152" s="21"/>
      <c r="F152" s="21"/>
      <c r="G152" s="21"/>
      <c r="H152" s="27"/>
      <c r="I152" s="21"/>
      <c r="J152" s="21"/>
      <c r="K152" s="21"/>
      <c r="L152" s="21"/>
      <c r="M152" s="21"/>
      <c r="N152" s="34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spans="1:28" ht="39.75" customHeight="1" x14ac:dyDescent="0.2">
      <c r="A153" s="19"/>
      <c r="B153" s="21"/>
      <c r="C153" s="21"/>
      <c r="D153" s="21"/>
      <c r="E153" s="21"/>
      <c r="F153" s="21"/>
      <c r="G153" s="21"/>
      <c r="H153" s="27"/>
      <c r="I153" s="21"/>
      <c r="J153" s="21"/>
      <c r="K153" s="21"/>
      <c r="L153" s="21"/>
      <c r="M153" s="21"/>
      <c r="N153" s="34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spans="1:28" ht="39.75" customHeight="1" x14ac:dyDescent="0.2">
      <c r="A154" s="19"/>
      <c r="B154" s="21"/>
      <c r="C154" s="21"/>
      <c r="D154" s="21"/>
      <c r="E154" s="21"/>
      <c r="F154" s="21"/>
      <c r="G154" s="21"/>
      <c r="H154" s="27"/>
      <c r="I154" s="21"/>
      <c r="J154" s="21"/>
      <c r="K154" s="21"/>
      <c r="L154" s="21"/>
      <c r="M154" s="21"/>
      <c r="N154" s="34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ht="39.75" customHeight="1" x14ac:dyDescent="0.2">
      <c r="A155" s="19"/>
      <c r="B155" s="21"/>
      <c r="C155" s="21"/>
      <c r="D155" s="21"/>
      <c r="E155" s="21"/>
      <c r="F155" s="21"/>
      <c r="G155" s="21"/>
      <c r="H155" s="27"/>
      <c r="I155" s="21"/>
      <c r="J155" s="21"/>
      <c r="K155" s="21"/>
      <c r="L155" s="21"/>
      <c r="M155" s="21"/>
      <c r="N155" s="34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spans="1:28" ht="39.75" customHeight="1" x14ac:dyDescent="0.2">
      <c r="A156" s="19"/>
      <c r="B156" s="21"/>
      <c r="C156" s="21"/>
      <c r="D156" s="21"/>
      <c r="E156" s="21"/>
      <c r="F156" s="21"/>
      <c r="G156" s="21"/>
      <c r="H156" s="27"/>
      <c r="I156" s="21"/>
      <c r="J156" s="21"/>
      <c r="K156" s="21"/>
      <c r="L156" s="21"/>
      <c r="M156" s="21"/>
      <c r="N156" s="34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spans="1:28" ht="39.75" customHeight="1" x14ac:dyDescent="0.2">
      <c r="A157" s="19"/>
      <c r="B157" s="21"/>
      <c r="C157" s="21"/>
      <c r="D157" s="21"/>
      <c r="E157" s="21"/>
      <c r="F157" s="21"/>
      <c r="G157" s="21"/>
      <c r="H157" s="27"/>
      <c r="I157" s="21"/>
      <c r="J157" s="21"/>
      <c r="K157" s="21"/>
      <c r="L157" s="21"/>
      <c r="M157" s="21"/>
      <c r="N157" s="34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spans="1:28" ht="39.75" customHeight="1" x14ac:dyDescent="0.2">
      <c r="A158" s="19"/>
      <c r="B158" s="21"/>
      <c r="C158" s="21"/>
      <c r="D158" s="21"/>
      <c r="E158" s="21"/>
      <c r="F158" s="21"/>
      <c r="G158" s="21"/>
      <c r="H158" s="27"/>
      <c r="I158" s="21"/>
      <c r="J158" s="21"/>
      <c r="K158" s="21"/>
      <c r="L158" s="21"/>
      <c r="M158" s="21"/>
      <c r="N158" s="34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spans="1:28" ht="39.75" customHeight="1" x14ac:dyDescent="0.2">
      <c r="A159" s="19"/>
      <c r="B159" s="21"/>
      <c r="C159" s="21"/>
      <c r="D159" s="21"/>
      <c r="E159" s="21"/>
      <c r="F159" s="21"/>
      <c r="G159" s="21"/>
      <c r="H159" s="27"/>
      <c r="I159" s="21"/>
      <c r="J159" s="21"/>
      <c r="K159" s="21"/>
      <c r="L159" s="21"/>
      <c r="M159" s="21"/>
      <c r="N159" s="34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spans="1:28" ht="39.75" customHeight="1" x14ac:dyDescent="0.2">
      <c r="A160" s="19"/>
      <c r="B160" s="21"/>
      <c r="C160" s="21"/>
      <c r="D160" s="21"/>
      <c r="E160" s="21"/>
      <c r="F160" s="21"/>
      <c r="G160" s="21"/>
      <c r="H160" s="27"/>
      <c r="I160" s="21"/>
      <c r="J160" s="21"/>
      <c r="K160" s="21"/>
      <c r="L160" s="21"/>
      <c r="M160" s="21"/>
      <c r="N160" s="34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spans="1:28" ht="39.75" customHeight="1" x14ac:dyDescent="0.2">
      <c r="A161" s="19"/>
      <c r="B161" s="21"/>
      <c r="C161" s="21"/>
      <c r="D161" s="21"/>
      <c r="E161" s="21"/>
      <c r="F161" s="21"/>
      <c r="G161" s="21"/>
      <c r="H161" s="27"/>
      <c r="I161" s="21"/>
      <c r="J161" s="21"/>
      <c r="K161" s="21"/>
      <c r="L161" s="21"/>
      <c r="M161" s="21"/>
      <c r="N161" s="34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spans="1:28" ht="39.75" customHeight="1" x14ac:dyDescent="0.2">
      <c r="A162" s="19"/>
      <c r="B162" s="21"/>
      <c r="C162" s="21"/>
      <c r="D162" s="21"/>
      <c r="E162" s="21"/>
      <c r="F162" s="21"/>
      <c r="G162" s="21"/>
      <c r="H162" s="27"/>
      <c r="I162" s="21"/>
      <c r="J162" s="21"/>
      <c r="K162" s="21"/>
      <c r="L162" s="21"/>
      <c r="M162" s="21"/>
      <c r="N162" s="34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spans="1:28" ht="39.75" customHeight="1" x14ac:dyDescent="0.2">
      <c r="A163" s="19"/>
      <c r="B163" s="21"/>
      <c r="C163" s="21"/>
      <c r="D163" s="21"/>
      <c r="E163" s="21"/>
      <c r="F163" s="21"/>
      <c r="G163" s="21"/>
      <c r="H163" s="27"/>
      <c r="I163" s="21"/>
      <c r="J163" s="21"/>
      <c r="K163" s="21"/>
      <c r="L163" s="21"/>
      <c r="M163" s="21"/>
      <c r="N163" s="34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spans="1:28" ht="39.75" customHeight="1" x14ac:dyDescent="0.2">
      <c r="A164" s="19"/>
      <c r="B164" s="21"/>
      <c r="C164" s="21"/>
      <c r="D164" s="21"/>
      <c r="E164" s="21"/>
      <c r="F164" s="21"/>
      <c r="G164" s="21"/>
      <c r="H164" s="27"/>
      <c r="I164" s="21"/>
      <c r="J164" s="21"/>
      <c r="K164" s="21"/>
      <c r="L164" s="21"/>
      <c r="M164" s="21"/>
      <c r="N164" s="34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spans="1:28" ht="39.75" customHeight="1" x14ac:dyDescent="0.2">
      <c r="A165" s="19"/>
      <c r="B165" s="21"/>
      <c r="C165" s="21"/>
      <c r="D165" s="21"/>
      <c r="E165" s="21"/>
      <c r="F165" s="21"/>
      <c r="G165" s="21"/>
      <c r="H165" s="27"/>
      <c r="I165" s="21"/>
      <c r="J165" s="21"/>
      <c r="K165" s="21"/>
      <c r="L165" s="21"/>
      <c r="M165" s="21"/>
      <c r="N165" s="34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spans="1:28" ht="39.75" customHeight="1" x14ac:dyDescent="0.2">
      <c r="A166" s="19"/>
      <c r="B166" s="21"/>
      <c r="C166" s="21"/>
      <c r="D166" s="21"/>
      <c r="E166" s="21"/>
      <c r="F166" s="21"/>
      <c r="G166" s="21"/>
      <c r="H166" s="27"/>
      <c r="I166" s="21"/>
      <c r="J166" s="21"/>
      <c r="K166" s="21"/>
      <c r="L166" s="21"/>
      <c r="M166" s="21"/>
      <c r="N166" s="34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spans="1:28" ht="39.75" customHeight="1" x14ac:dyDescent="0.2">
      <c r="A167" s="19"/>
      <c r="B167" s="21"/>
      <c r="C167" s="21"/>
      <c r="D167" s="21"/>
      <c r="E167" s="21"/>
      <c r="F167" s="21"/>
      <c r="G167" s="21"/>
      <c r="H167" s="27"/>
      <c r="I167" s="21"/>
      <c r="J167" s="21"/>
      <c r="K167" s="21"/>
      <c r="L167" s="21"/>
      <c r="M167" s="21"/>
      <c r="N167" s="34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1:28" ht="39.75" customHeight="1" x14ac:dyDescent="0.2">
      <c r="A168" s="19"/>
      <c r="B168" s="21"/>
      <c r="C168" s="21"/>
      <c r="D168" s="21"/>
      <c r="E168" s="21"/>
      <c r="F168" s="21"/>
      <c r="G168" s="21"/>
      <c r="H168" s="27"/>
      <c r="I168" s="21"/>
      <c r="J168" s="21"/>
      <c r="K168" s="21"/>
      <c r="L168" s="21"/>
      <c r="M168" s="21"/>
      <c r="N168" s="34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spans="1:28" ht="39.75" customHeight="1" x14ac:dyDescent="0.2">
      <c r="A169" s="19"/>
      <c r="B169" s="21"/>
      <c r="C169" s="21"/>
      <c r="D169" s="21"/>
      <c r="E169" s="21"/>
      <c r="F169" s="21"/>
      <c r="G169" s="21"/>
      <c r="H169" s="27"/>
      <c r="I169" s="21"/>
      <c r="J169" s="21"/>
      <c r="K169" s="21"/>
      <c r="L169" s="21"/>
      <c r="M169" s="21"/>
      <c r="N169" s="34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spans="1:28" ht="39.75" customHeight="1" x14ac:dyDescent="0.2">
      <c r="A170" s="19"/>
      <c r="B170" s="21"/>
      <c r="C170" s="21"/>
      <c r="D170" s="21"/>
      <c r="E170" s="21"/>
      <c r="F170" s="21"/>
      <c r="G170" s="21"/>
      <c r="H170" s="27"/>
      <c r="I170" s="21"/>
      <c r="J170" s="21"/>
      <c r="K170" s="21"/>
      <c r="L170" s="21"/>
      <c r="M170" s="21"/>
      <c r="N170" s="34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spans="1:28" ht="39.75" customHeight="1" x14ac:dyDescent="0.2">
      <c r="A171" s="19"/>
      <c r="B171" s="21"/>
      <c r="C171" s="21"/>
      <c r="D171" s="21"/>
      <c r="E171" s="21"/>
      <c r="F171" s="21"/>
      <c r="G171" s="21"/>
      <c r="H171" s="27"/>
      <c r="I171" s="21"/>
      <c r="J171" s="21"/>
      <c r="K171" s="21"/>
      <c r="L171" s="21"/>
      <c r="M171" s="21"/>
      <c r="N171" s="34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spans="1:28" ht="39.75" customHeight="1" x14ac:dyDescent="0.2">
      <c r="A172" s="19"/>
      <c r="B172" s="21"/>
      <c r="C172" s="21"/>
      <c r="D172" s="21"/>
      <c r="E172" s="21"/>
      <c r="F172" s="21"/>
      <c r="G172" s="21"/>
      <c r="H172" s="27"/>
      <c r="I172" s="21"/>
      <c r="J172" s="21"/>
      <c r="K172" s="21"/>
      <c r="L172" s="21"/>
      <c r="M172" s="21"/>
      <c r="N172" s="34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1:28" ht="39.75" customHeight="1" x14ac:dyDescent="0.2">
      <c r="A173" s="19"/>
      <c r="B173" s="21"/>
      <c r="C173" s="21"/>
      <c r="D173" s="21"/>
      <c r="E173" s="21"/>
      <c r="F173" s="21"/>
      <c r="G173" s="21"/>
      <c r="H173" s="27"/>
      <c r="I173" s="21"/>
      <c r="J173" s="21"/>
      <c r="K173" s="21"/>
      <c r="L173" s="21"/>
      <c r="M173" s="21"/>
      <c r="N173" s="34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1:28" ht="39.75" customHeight="1" x14ac:dyDescent="0.2">
      <c r="A174" s="19"/>
      <c r="B174" s="21"/>
      <c r="C174" s="21"/>
      <c r="D174" s="21"/>
      <c r="E174" s="21"/>
      <c r="F174" s="21"/>
      <c r="G174" s="21"/>
      <c r="H174" s="27"/>
      <c r="I174" s="21"/>
      <c r="J174" s="21"/>
      <c r="K174" s="21"/>
      <c r="L174" s="21"/>
      <c r="M174" s="21"/>
      <c r="N174" s="34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1:28" ht="39.75" customHeight="1" x14ac:dyDescent="0.2">
      <c r="A175" s="19"/>
      <c r="B175" s="21"/>
      <c r="C175" s="21"/>
      <c r="D175" s="21"/>
      <c r="E175" s="21"/>
      <c r="F175" s="21"/>
      <c r="G175" s="21"/>
      <c r="H175" s="27"/>
      <c r="I175" s="21"/>
      <c r="J175" s="21"/>
      <c r="K175" s="21"/>
      <c r="L175" s="21"/>
      <c r="M175" s="21"/>
      <c r="N175" s="34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1:28" ht="39.75" customHeight="1" x14ac:dyDescent="0.2">
      <c r="A176" s="19"/>
      <c r="B176" s="21"/>
      <c r="C176" s="21"/>
      <c r="D176" s="21"/>
      <c r="E176" s="21"/>
      <c r="F176" s="21"/>
      <c r="G176" s="21"/>
      <c r="H176" s="27"/>
      <c r="I176" s="21"/>
      <c r="J176" s="21"/>
      <c r="K176" s="21"/>
      <c r="L176" s="21"/>
      <c r="M176" s="21"/>
      <c r="N176" s="34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spans="1:28" ht="39.75" customHeight="1" x14ac:dyDescent="0.2">
      <c r="A177" s="19"/>
      <c r="B177" s="21"/>
      <c r="C177" s="21"/>
      <c r="D177" s="21"/>
      <c r="E177" s="21"/>
      <c r="F177" s="21"/>
      <c r="G177" s="21"/>
      <c r="H177" s="27"/>
      <c r="I177" s="21"/>
      <c r="J177" s="21"/>
      <c r="K177" s="21"/>
      <c r="L177" s="21"/>
      <c r="M177" s="21"/>
      <c r="N177" s="34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spans="1:28" ht="39.75" customHeight="1" x14ac:dyDescent="0.2">
      <c r="A178" s="19"/>
      <c r="B178" s="21"/>
      <c r="C178" s="21"/>
      <c r="D178" s="21"/>
      <c r="E178" s="21"/>
      <c r="F178" s="21"/>
      <c r="G178" s="21"/>
      <c r="H178" s="27"/>
      <c r="I178" s="21"/>
      <c r="J178" s="21"/>
      <c r="K178" s="21"/>
      <c r="L178" s="21"/>
      <c r="M178" s="21"/>
      <c r="N178" s="34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spans="1:28" ht="39.75" customHeight="1" x14ac:dyDescent="0.2">
      <c r="A179" s="19"/>
      <c r="B179" s="21"/>
      <c r="C179" s="21"/>
      <c r="D179" s="21"/>
      <c r="E179" s="21"/>
      <c r="F179" s="21"/>
      <c r="G179" s="21"/>
      <c r="H179" s="27"/>
      <c r="I179" s="21"/>
      <c r="J179" s="21"/>
      <c r="K179" s="21"/>
      <c r="L179" s="21"/>
      <c r="M179" s="21"/>
      <c r="N179" s="34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spans="1:28" ht="39.75" customHeight="1" x14ac:dyDescent="0.2">
      <c r="A180" s="19"/>
      <c r="B180" s="21"/>
      <c r="C180" s="21"/>
      <c r="D180" s="21"/>
      <c r="E180" s="21"/>
      <c r="F180" s="21"/>
      <c r="G180" s="21"/>
      <c r="H180" s="27"/>
      <c r="I180" s="21"/>
      <c r="J180" s="21"/>
      <c r="K180" s="21"/>
      <c r="L180" s="21"/>
      <c r="M180" s="21"/>
      <c r="N180" s="34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spans="1:28" ht="39.75" customHeight="1" x14ac:dyDescent="0.2">
      <c r="A181" s="19"/>
      <c r="B181" s="21"/>
      <c r="C181" s="21"/>
      <c r="D181" s="21"/>
      <c r="E181" s="21"/>
      <c r="F181" s="21"/>
      <c r="G181" s="21"/>
      <c r="H181" s="27"/>
      <c r="I181" s="21"/>
      <c r="J181" s="21"/>
      <c r="K181" s="21"/>
      <c r="L181" s="21"/>
      <c r="M181" s="21"/>
      <c r="N181" s="34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1:28" ht="39.75" customHeight="1" x14ac:dyDescent="0.2">
      <c r="A182" s="19"/>
      <c r="B182" s="21"/>
      <c r="C182" s="21"/>
      <c r="D182" s="21"/>
      <c r="E182" s="21"/>
      <c r="F182" s="21"/>
      <c r="G182" s="21"/>
      <c r="H182" s="27"/>
      <c r="I182" s="21"/>
      <c r="J182" s="21"/>
      <c r="K182" s="21"/>
      <c r="L182" s="21"/>
      <c r="M182" s="21"/>
      <c r="N182" s="34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1:28" ht="39.75" customHeight="1" x14ac:dyDescent="0.2">
      <c r="A183" s="19"/>
      <c r="B183" s="21"/>
      <c r="C183" s="21"/>
      <c r="D183" s="21"/>
      <c r="E183" s="21"/>
      <c r="F183" s="21"/>
      <c r="G183" s="21"/>
      <c r="H183" s="27"/>
      <c r="I183" s="21"/>
      <c r="J183" s="21"/>
      <c r="K183" s="21"/>
      <c r="L183" s="21"/>
      <c r="M183" s="21"/>
      <c r="N183" s="34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1:28" ht="39.75" customHeight="1" x14ac:dyDescent="0.2">
      <c r="A184" s="19"/>
      <c r="B184" s="21"/>
      <c r="C184" s="21"/>
      <c r="D184" s="21"/>
      <c r="E184" s="21"/>
      <c r="F184" s="21"/>
      <c r="G184" s="21"/>
      <c r="H184" s="27"/>
      <c r="I184" s="21"/>
      <c r="J184" s="21"/>
      <c r="K184" s="21"/>
      <c r="L184" s="21"/>
      <c r="M184" s="21"/>
      <c r="N184" s="34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1:28" ht="39.75" customHeight="1" x14ac:dyDescent="0.2">
      <c r="A185" s="19"/>
      <c r="B185" s="21"/>
      <c r="C185" s="21"/>
      <c r="D185" s="21"/>
      <c r="E185" s="21"/>
      <c r="F185" s="21"/>
      <c r="G185" s="21"/>
      <c r="H185" s="27"/>
      <c r="I185" s="21"/>
      <c r="J185" s="21"/>
      <c r="K185" s="21"/>
      <c r="L185" s="21"/>
      <c r="M185" s="21"/>
      <c r="N185" s="34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1:28" ht="39.75" customHeight="1" x14ac:dyDescent="0.2">
      <c r="A186" s="19"/>
      <c r="B186" s="21"/>
      <c r="C186" s="21"/>
      <c r="D186" s="21"/>
      <c r="E186" s="21"/>
      <c r="F186" s="21"/>
      <c r="G186" s="21"/>
      <c r="H186" s="27"/>
      <c r="I186" s="21"/>
      <c r="J186" s="21"/>
      <c r="K186" s="21"/>
      <c r="L186" s="21"/>
      <c r="M186" s="21"/>
      <c r="N186" s="34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1:28" ht="39.75" customHeight="1" x14ac:dyDescent="0.2">
      <c r="A187" s="19"/>
      <c r="B187" s="21"/>
      <c r="C187" s="21"/>
      <c r="D187" s="21"/>
      <c r="E187" s="21"/>
      <c r="F187" s="21"/>
      <c r="G187" s="21"/>
      <c r="H187" s="27"/>
      <c r="I187" s="21"/>
      <c r="J187" s="21"/>
      <c r="K187" s="21"/>
      <c r="L187" s="21"/>
      <c r="M187" s="21"/>
      <c r="N187" s="34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spans="1:28" ht="39.75" customHeight="1" x14ac:dyDescent="0.2">
      <c r="A188" s="19"/>
      <c r="B188" s="21"/>
      <c r="C188" s="21"/>
      <c r="D188" s="21"/>
      <c r="E188" s="21"/>
      <c r="F188" s="21"/>
      <c r="G188" s="21"/>
      <c r="H188" s="27"/>
      <c r="I188" s="21"/>
      <c r="J188" s="21"/>
      <c r="K188" s="21"/>
      <c r="L188" s="21"/>
      <c r="M188" s="21"/>
      <c r="N188" s="34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spans="1:28" ht="39.75" customHeight="1" x14ac:dyDescent="0.2">
      <c r="A189" s="19"/>
      <c r="B189" s="21"/>
      <c r="C189" s="21"/>
      <c r="D189" s="21"/>
      <c r="E189" s="21"/>
      <c r="F189" s="21"/>
      <c r="G189" s="21"/>
      <c r="H189" s="27"/>
      <c r="I189" s="21"/>
      <c r="J189" s="21"/>
      <c r="K189" s="21"/>
      <c r="L189" s="21"/>
      <c r="M189" s="21"/>
      <c r="N189" s="34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spans="1:28" ht="39.75" customHeight="1" x14ac:dyDescent="0.2">
      <c r="A190" s="19"/>
      <c r="B190" s="21"/>
      <c r="C190" s="21"/>
      <c r="D190" s="21"/>
      <c r="E190" s="21"/>
      <c r="F190" s="21"/>
      <c r="G190" s="21"/>
      <c r="H190" s="27"/>
      <c r="I190" s="21"/>
      <c r="J190" s="21"/>
      <c r="K190" s="21"/>
      <c r="L190" s="21"/>
      <c r="M190" s="21"/>
      <c r="N190" s="34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spans="1:28" ht="39.75" customHeight="1" x14ac:dyDescent="0.2">
      <c r="A191" s="19"/>
      <c r="B191" s="21"/>
      <c r="C191" s="21"/>
      <c r="D191" s="21"/>
      <c r="E191" s="21"/>
      <c r="F191" s="21"/>
      <c r="G191" s="21"/>
      <c r="H191" s="27"/>
      <c r="I191" s="21"/>
      <c r="J191" s="21"/>
      <c r="K191" s="21"/>
      <c r="L191" s="21"/>
      <c r="M191" s="21"/>
      <c r="N191" s="34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spans="1:28" ht="39.75" customHeight="1" x14ac:dyDescent="0.2">
      <c r="A192" s="19"/>
      <c r="B192" s="21"/>
      <c r="C192" s="21"/>
      <c r="D192" s="21"/>
      <c r="E192" s="21"/>
      <c r="F192" s="21"/>
      <c r="G192" s="21"/>
      <c r="H192" s="27"/>
      <c r="I192" s="21"/>
      <c r="J192" s="21"/>
      <c r="K192" s="21"/>
      <c r="L192" s="21"/>
      <c r="M192" s="21"/>
      <c r="N192" s="34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spans="1:28" ht="39.75" customHeight="1" x14ac:dyDescent="0.2">
      <c r="A193" s="19"/>
      <c r="B193" s="21"/>
      <c r="C193" s="21"/>
      <c r="D193" s="21"/>
      <c r="E193" s="21"/>
      <c r="F193" s="21"/>
      <c r="G193" s="21"/>
      <c r="H193" s="27"/>
      <c r="I193" s="21"/>
      <c r="J193" s="21"/>
      <c r="K193" s="21"/>
      <c r="L193" s="21"/>
      <c r="M193" s="21"/>
      <c r="N193" s="34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spans="1:28" ht="39.75" customHeight="1" x14ac:dyDescent="0.2">
      <c r="A194" s="19"/>
      <c r="B194" s="21"/>
      <c r="C194" s="21"/>
      <c r="D194" s="21"/>
      <c r="E194" s="21"/>
      <c r="F194" s="21"/>
      <c r="G194" s="21"/>
      <c r="H194" s="27"/>
      <c r="I194" s="21"/>
      <c r="J194" s="21"/>
      <c r="K194" s="21"/>
      <c r="L194" s="21"/>
      <c r="M194" s="21"/>
      <c r="N194" s="34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spans="1:28" ht="39.75" customHeight="1" x14ac:dyDescent="0.2">
      <c r="A195" s="19"/>
      <c r="B195" s="21"/>
      <c r="C195" s="21"/>
      <c r="D195" s="21"/>
      <c r="E195" s="21"/>
      <c r="F195" s="21"/>
      <c r="G195" s="21"/>
      <c r="H195" s="27"/>
      <c r="I195" s="21"/>
      <c r="J195" s="21"/>
      <c r="K195" s="21"/>
      <c r="L195" s="21"/>
      <c r="M195" s="21"/>
      <c r="N195" s="34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spans="1:28" ht="39.75" customHeight="1" x14ac:dyDescent="0.2">
      <c r="A196" s="19"/>
      <c r="B196" s="21"/>
      <c r="C196" s="21"/>
      <c r="D196" s="21"/>
      <c r="E196" s="21"/>
      <c r="F196" s="21"/>
      <c r="G196" s="21"/>
      <c r="H196" s="27"/>
      <c r="I196" s="21"/>
      <c r="J196" s="21"/>
      <c r="K196" s="21"/>
      <c r="L196" s="21"/>
      <c r="M196" s="21"/>
      <c r="N196" s="34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spans="1:28" ht="39.75" customHeight="1" x14ac:dyDescent="0.2">
      <c r="A197" s="19"/>
      <c r="B197" s="21"/>
      <c r="C197" s="21"/>
      <c r="D197" s="21"/>
      <c r="E197" s="21"/>
      <c r="F197" s="21"/>
      <c r="G197" s="21"/>
      <c r="H197" s="27"/>
      <c r="I197" s="21"/>
      <c r="J197" s="21"/>
      <c r="K197" s="21"/>
      <c r="L197" s="21"/>
      <c r="M197" s="21"/>
      <c r="N197" s="34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spans="1:28" ht="39.75" customHeight="1" x14ac:dyDescent="0.2">
      <c r="A198" s="19"/>
      <c r="B198" s="21"/>
      <c r="C198" s="21"/>
      <c r="D198" s="21"/>
      <c r="E198" s="21"/>
      <c r="F198" s="21"/>
      <c r="G198" s="21"/>
      <c r="H198" s="27"/>
      <c r="I198" s="21"/>
      <c r="J198" s="21"/>
      <c r="K198" s="21"/>
      <c r="L198" s="21"/>
      <c r="M198" s="21"/>
      <c r="N198" s="34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1:28" ht="39.75" customHeight="1" x14ac:dyDescent="0.2">
      <c r="A199" s="19"/>
      <c r="B199" s="21"/>
      <c r="C199" s="21"/>
      <c r="D199" s="21"/>
      <c r="E199" s="21"/>
      <c r="F199" s="21"/>
      <c r="G199" s="21"/>
      <c r="H199" s="27"/>
      <c r="I199" s="21"/>
      <c r="J199" s="21"/>
      <c r="K199" s="21"/>
      <c r="L199" s="21"/>
      <c r="M199" s="21"/>
      <c r="N199" s="34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spans="1:28" ht="39.75" customHeight="1" x14ac:dyDescent="0.2">
      <c r="A200" s="19"/>
      <c r="B200" s="21"/>
      <c r="C200" s="21"/>
      <c r="D200" s="21"/>
      <c r="E200" s="21"/>
      <c r="F200" s="21"/>
      <c r="G200" s="21"/>
      <c r="H200" s="27"/>
      <c r="I200" s="21"/>
      <c r="J200" s="21"/>
      <c r="K200" s="21"/>
      <c r="L200" s="21"/>
      <c r="M200" s="21"/>
      <c r="N200" s="34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spans="1:28" ht="39.75" customHeight="1" x14ac:dyDescent="0.2">
      <c r="A201" s="19"/>
      <c r="B201" s="21"/>
      <c r="C201" s="21"/>
      <c r="D201" s="21"/>
      <c r="E201" s="21"/>
      <c r="F201" s="21"/>
      <c r="G201" s="21"/>
      <c r="H201" s="27"/>
      <c r="I201" s="21"/>
      <c r="J201" s="21"/>
      <c r="K201" s="21"/>
      <c r="L201" s="21"/>
      <c r="M201" s="21"/>
      <c r="N201" s="34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spans="1:28" ht="39.75" customHeight="1" x14ac:dyDescent="0.2">
      <c r="A202" s="19"/>
      <c r="B202" s="21"/>
      <c r="C202" s="21"/>
      <c r="D202" s="21"/>
      <c r="E202" s="21"/>
      <c r="F202" s="21"/>
      <c r="G202" s="21"/>
      <c r="H202" s="27"/>
      <c r="I202" s="21"/>
      <c r="J202" s="21"/>
      <c r="K202" s="21"/>
      <c r="L202" s="21"/>
      <c r="M202" s="21"/>
      <c r="N202" s="34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spans="1:28" ht="39.75" customHeight="1" x14ac:dyDescent="0.2">
      <c r="A203" s="19"/>
      <c r="B203" s="21"/>
      <c r="C203" s="21"/>
      <c r="D203" s="21"/>
      <c r="E203" s="21"/>
      <c r="F203" s="21"/>
      <c r="G203" s="21"/>
      <c r="H203" s="27"/>
      <c r="I203" s="21"/>
      <c r="J203" s="21"/>
      <c r="K203" s="21"/>
      <c r="L203" s="21"/>
      <c r="M203" s="21"/>
      <c r="N203" s="34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spans="1:28" ht="39.75" customHeight="1" x14ac:dyDescent="0.2">
      <c r="A204" s="19"/>
      <c r="B204" s="21"/>
      <c r="C204" s="21"/>
      <c r="D204" s="21"/>
      <c r="E204" s="21"/>
      <c r="F204" s="21"/>
      <c r="G204" s="21"/>
      <c r="H204" s="27"/>
      <c r="I204" s="21"/>
      <c r="J204" s="21"/>
      <c r="K204" s="21"/>
      <c r="L204" s="21"/>
      <c r="M204" s="21"/>
      <c r="N204" s="34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spans="1:28" ht="39.75" customHeight="1" x14ac:dyDescent="0.2">
      <c r="A205" s="19"/>
      <c r="B205" s="21"/>
      <c r="C205" s="21"/>
      <c r="D205" s="21"/>
      <c r="E205" s="21"/>
      <c r="F205" s="21"/>
      <c r="G205" s="21"/>
      <c r="H205" s="27"/>
      <c r="I205" s="21"/>
      <c r="J205" s="21"/>
      <c r="K205" s="21"/>
      <c r="L205" s="21"/>
      <c r="M205" s="21"/>
      <c r="N205" s="34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spans="1:28" ht="39.75" customHeight="1" x14ac:dyDescent="0.2">
      <c r="A206" s="19"/>
      <c r="B206" s="21"/>
      <c r="C206" s="21"/>
      <c r="D206" s="21"/>
      <c r="E206" s="21"/>
      <c r="F206" s="21"/>
      <c r="G206" s="21"/>
      <c r="H206" s="27"/>
      <c r="I206" s="21"/>
      <c r="J206" s="21"/>
      <c r="K206" s="21"/>
      <c r="L206" s="21"/>
      <c r="M206" s="21"/>
      <c r="N206" s="34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spans="1:28" ht="39.75" customHeight="1" x14ac:dyDescent="0.2">
      <c r="A207" s="19"/>
      <c r="B207" s="21"/>
      <c r="C207" s="21"/>
      <c r="D207" s="21"/>
      <c r="E207" s="21"/>
      <c r="F207" s="21"/>
      <c r="G207" s="21"/>
      <c r="H207" s="27"/>
      <c r="I207" s="21"/>
      <c r="J207" s="21"/>
      <c r="K207" s="21"/>
      <c r="L207" s="21"/>
      <c r="M207" s="21"/>
      <c r="N207" s="34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spans="1:28" ht="39.75" customHeight="1" x14ac:dyDescent="0.2">
      <c r="A208" s="19"/>
      <c r="B208" s="21"/>
      <c r="C208" s="21"/>
      <c r="D208" s="21"/>
      <c r="E208" s="21"/>
      <c r="F208" s="21"/>
      <c r="G208" s="21"/>
      <c r="H208" s="27"/>
      <c r="I208" s="21"/>
      <c r="J208" s="21"/>
      <c r="K208" s="21"/>
      <c r="L208" s="21"/>
      <c r="M208" s="21"/>
      <c r="N208" s="34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spans="1:28" ht="39.75" customHeight="1" x14ac:dyDescent="0.2">
      <c r="A209" s="19"/>
      <c r="B209" s="21"/>
      <c r="C209" s="21"/>
      <c r="D209" s="21"/>
      <c r="E209" s="21"/>
      <c r="F209" s="21"/>
      <c r="G209" s="21"/>
      <c r="H209" s="27"/>
      <c r="I209" s="21"/>
      <c r="J209" s="21"/>
      <c r="K209" s="21"/>
      <c r="L209" s="21"/>
      <c r="M209" s="21"/>
      <c r="N209" s="34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spans="1:28" ht="39.75" customHeight="1" x14ac:dyDescent="0.2">
      <c r="A210" s="19"/>
      <c r="B210" s="21"/>
      <c r="C210" s="21"/>
      <c r="D210" s="21"/>
      <c r="E210" s="21"/>
      <c r="F210" s="21"/>
      <c r="G210" s="21"/>
      <c r="H210" s="27"/>
      <c r="I210" s="21"/>
      <c r="J210" s="21"/>
      <c r="K210" s="21"/>
      <c r="L210" s="21"/>
      <c r="M210" s="21"/>
      <c r="N210" s="34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spans="1:28" ht="39.75" customHeight="1" x14ac:dyDescent="0.2">
      <c r="A211" s="19"/>
      <c r="B211" s="21"/>
      <c r="C211" s="21"/>
      <c r="D211" s="21"/>
      <c r="E211" s="21"/>
      <c r="F211" s="21"/>
      <c r="G211" s="21"/>
      <c r="H211" s="27"/>
      <c r="I211" s="21"/>
      <c r="J211" s="21"/>
      <c r="K211" s="21"/>
      <c r="L211" s="21"/>
      <c r="M211" s="21"/>
      <c r="N211" s="34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spans="1:28" ht="39.75" customHeight="1" x14ac:dyDescent="0.2">
      <c r="A212" s="19"/>
      <c r="B212" s="21"/>
      <c r="C212" s="21"/>
      <c r="D212" s="21"/>
      <c r="E212" s="21"/>
      <c r="F212" s="21"/>
      <c r="G212" s="21"/>
      <c r="H212" s="27"/>
      <c r="I212" s="21"/>
      <c r="J212" s="21"/>
      <c r="K212" s="21"/>
      <c r="L212" s="21"/>
      <c r="M212" s="21"/>
      <c r="N212" s="34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spans="1:28" ht="39.75" customHeight="1" x14ac:dyDescent="0.2">
      <c r="A213" s="19"/>
      <c r="B213" s="21"/>
      <c r="C213" s="21"/>
      <c r="D213" s="21"/>
      <c r="E213" s="21"/>
      <c r="F213" s="21"/>
      <c r="G213" s="21"/>
      <c r="H213" s="27"/>
      <c r="I213" s="21"/>
      <c r="J213" s="21"/>
      <c r="K213" s="21"/>
      <c r="L213" s="21"/>
      <c r="M213" s="21"/>
      <c r="N213" s="34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spans="1:28" ht="39.75" customHeight="1" x14ac:dyDescent="0.2">
      <c r="A214" s="19"/>
      <c r="B214" s="21"/>
      <c r="C214" s="21"/>
      <c r="D214" s="21"/>
      <c r="E214" s="21"/>
      <c r="F214" s="21"/>
      <c r="G214" s="21"/>
      <c r="H214" s="27"/>
      <c r="I214" s="21"/>
      <c r="J214" s="21"/>
      <c r="K214" s="21"/>
      <c r="L214" s="21"/>
      <c r="M214" s="21"/>
      <c r="N214" s="34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spans="1:28" ht="39.75" customHeight="1" x14ac:dyDescent="0.2">
      <c r="A215" s="19"/>
      <c r="B215" s="21"/>
      <c r="C215" s="21"/>
      <c r="D215" s="21"/>
      <c r="E215" s="21"/>
      <c r="F215" s="21"/>
      <c r="G215" s="21"/>
      <c r="H215" s="27"/>
      <c r="I215" s="21"/>
      <c r="J215" s="21"/>
      <c r="K215" s="21"/>
      <c r="L215" s="21"/>
      <c r="M215" s="21"/>
      <c r="N215" s="34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spans="1:28" ht="39.75" customHeight="1" x14ac:dyDescent="0.2">
      <c r="A216" s="19"/>
      <c r="B216" s="21"/>
      <c r="C216" s="21"/>
      <c r="D216" s="21"/>
      <c r="E216" s="21"/>
      <c r="F216" s="21"/>
      <c r="G216" s="21"/>
      <c r="H216" s="27"/>
      <c r="I216" s="21"/>
      <c r="J216" s="21"/>
      <c r="K216" s="21"/>
      <c r="L216" s="21"/>
      <c r="M216" s="21"/>
      <c r="N216" s="34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spans="1:28" ht="39.75" customHeight="1" x14ac:dyDescent="0.2">
      <c r="A217" s="19"/>
      <c r="B217" s="21"/>
      <c r="C217" s="21"/>
      <c r="D217" s="21"/>
      <c r="E217" s="21"/>
      <c r="F217" s="21"/>
      <c r="G217" s="21"/>
      <c r="H217" s="27"/>
      <c r="I217" s="21"/>
      <c r="J217" s="21"/>
      <c r="K217" s="21"/>
      <c r="L217" s="21"/>
      <c r="M217" s="21"/>
      <c r="N217" s="34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spans="1:28" ht="39.75" customHeight="1" x14ac:dyDescent="0.2">
      <c r="A218" s="19"/>
      <c r="B218" s="21"/>
      <c r="C218" s="21"/>
      <c r="D218" s="21"/>
      <c r="E218" s="21"/>
      <c r="F218" s="21"/>
      <c r="G218" s="21"/>
      <c r="H218" s="27"/>
      <c r="I218" s="21"/>
      <c r="J218" s="21"/>
      <c r="K218" s="21"/>
      <c r="L218" s="21"/>
      <c r="M218" s="21"/>
      <c r="N218" s="34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spans="1:28" ht="39.75" customHeight="1" x14ac:dyDescent="0.2">
      <c r="A219" s="19"/>
      <c r="B219" s="21"/>
      <c r="C219" s="21"/>
      <c r="D219" s="21"/>
      <c r="E219" s="21"/>
      <c r="F219" s="21"/>
      <c r="G219" s="21"/>
      <c r="H219" s="27"/>
      <c r="I219" s="21"/>
      <c r="J219" s="21"/>
      <c r="K219" s="21"/>
      <c r="L219" s="21"/>
      <c r="M219" s="21"/>
      <c r="N219" s="34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spans="1:28" ht="39.75" customHeight="1" x14ac:dyDescent="0.2">
      <c r="A220" s="19"/>
      <c r="B220" s="21"/>
      <c r="C220" s="21"/>
      <c r="D220" s="21"/>
      <c r="E220" s="21"/>
      <c r="F220" s="21"/>
      <c r="G220" s="21"/>
      <c r="H220" s="27"/>
      <c r="I220" s="21"/>
      <c r="J220" s="21"/>
      <c r="K220" s="21"/>
      <c r="L220" s="21"/>
      <c r="M220" s="21"/>
      <c r="N220" s="34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spans="1:28" ht="39.75" customHeight="1" x14ac:dyDescent="0.2">
      <c r="A221" s="19"/>
      <c r="B221" s="21"/>
      <c r="C221" s="21"/>
      <c r="D221" s="21"/>
      <c r="E221" s="21"/>
      <c r="F221" s="21"/>
      <c r="G221" s="21"/>
      <c r="H221" s="27"/>
      <c r="I221" s="21"/>
      <c r="J221" s="21"/>
      <c r="K221" s="21"/>
      <c r="L221" s="21"/>
      <c r="M221" s="21"/>
      <c r="N221" s="34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spans="1:28" ht="39.75" customHeight="1" x14ac:dyDescent="0.2">
      <c r="A222" s="19"/>
      <c r="B222" s="21"/>
      <c r="C222" s="21"/>
      <c r="D222" s="21"/>
      <c r="E222" s="21"/>
      <c r="F222" s="21"/>
      <c r="G222" s="21"/>
      <c r="H222" s="27"/>
      <c r="I222" s="21"/>
      <c r="J222" s="21"/>
      <c r="K222" s="21"/>
      <c r="L222" s="21"/>
      <c r="M222" s="21"/>
      <c r="N222" s="34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spans="1:28" ht="39.75" customHeight="1" x14ac:dyDescent="0.2">
      <c r="A223" s="19"/>
      <c r="B223" s="21"/>
      <c r="C223" s="21"/>
      <c r="D223" s="21"/>
      <c r="E223" s="21"/>
      <c r="F223" s="21"/>
      <c r="G223" s="21"/>
      <c r="H223" s="27"/>
      <c r="I223" s="21"/>
      <c r="J223" s="21"/>
      <c r="K223" s="21"/>
      <c r="L223" s="21"/>
      <c r="M223" s="21"/>
      <c r="N223" s="34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spans="1:28" ht="39.75" customHeight="1" x14ac:dyDescent="0.2">
      <c r="A224" s="19"/>
      <c r="B224" s="21"/>
      <c r="C224" s="21"/>
      <c r="D224" s="21"/>
      <c r="E224" s="21"/>
      <c r="F224" s="21"/>
      <c r="G224" s="21"/>
      <c r="H224" s="27"/>
      <c r="I224" s="21"/>
      <c r="J224" s="21"/>
      <c r="K224" s="21"/>
      <c r="L224" s="21"/>
      <c r="M224" s="21"/>
      <c r="N224" s="34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spans="1:28" ht="39.75" customHeight="1" x14ac:dyDescent="0.2">
      <c r="A225" s="19"/>
      <c r="B225" s="21"/>
      <c r="C225" s="21"/>
      <c r="D225" s="21"/>
      <c r="E225" s="21"/>
      <c r="F225" s="21"/>
      <c r="G225" s="21"/>
      <c r="H225" s="27"/>
      <c r="I225" s="21"/>
      <c r="J225" s="21"/>
      <c r="K225" s="21"/>
      <c r="L225" s="21"/>
      <c r="M225" s="21"/>
      <c r="N225" s="34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spans="1:28" ht="39.75" customHeight="1" x14ac:dyDescent="0.2">
      <c r="A226" s="19"/>
      <c r="B226" s="21"/>
      <c r="C226" s="21"/>
      <c r="D226" s="21"/>
      <c r="E226" s="21"/>
      <c r="F226" s="21"/>
      <c r="G226" s="21"/>
      <c r="H226" s="27"/>
      <c r="I226" s="21"/>
      <c r="J226" s="21"/>
      <c r="K226" s="21"/>
      <c r="L226" s="21"/>
      <c r="M226" s="21"/>
      <c r="N226" s="34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spans="1:28" ht="39.75" customHeight="1" x14ac:dyDescent="0.2">
      <c r="A227" s="19"/>
      <c r="B227" s="21"/>
      <c r="C227" s="21"/>
      <c r="D227" s="21"/>
      <c r="E227" s="21"/>
      <c r="F227" s="21"/>
      <c r="G227" s="21"/>
      <c r="H227" s="27"/>
      <c r="I227" s="21"/>
      <c r="J227" s="21"/>
      <c r="K227" s="21"/>
      <c r="L227" s="21"/>
      <c r="M227" s="21"/>
      <c r="N227" s="34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spans="1:28" ht="39.75" customHeight="1" x14ac:dyDescent="0.2">
      <c r="A228" s="19"/>
      <c r="B228" s="21"/>
      <c r="C228" s="21"/>
      <c r="D228" s="21"/>
      <c r="E228" s="21"/>
      <c r="F228" s="21"/>
      <c r="G228" s="21"/>
      <c r="H228" s="27"/>
      <c r="I228" s="21"/>
      <c r="J228" s="21"/>
      <c r="K228" s="21"/>
      <c r="L228" s="21"/>
      <c r="M228" s="21"/>
      <c r="N228" s="34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spans="1:28" ht="39.75" customHeight="1" x14ac:dyDescent="0.2">
      <c r="A229" s="19"/>
      <c r="B229" s="21"/>
      <c r="C229" s="21"/>
      <c r="D229" s="21"/>
      <c r="E229" s="21"/>
      <c r="F229" s="21"/>
      <c r="G229" s="21"/>
      <c r="H229" s="27"/>
      <c r="I229" s="21"/>
      <c r="J229" s="21"/>
      <c r="K229" s="21"/>
      <c r="L229" s="21"/>
      <c r="M229" s="21"/>
      <c r="N229" s="34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spans="1:28" ht="39.75" customHeight="1" x14ac:dyDescent="0.2">
      <c r="A230" s="19"/>
      <c r="B230" s="21"/>
      <c r="C230" s="21"/>
      <c r="D230" s="21"/>
      <c r="E230" s="21"/>
      <c r="F230" s="21"/>
      <c r="G230" s="21"/>
      <c r="H230" s="27"/>
      <c r="I230" s="21"/>
      <c r="J230" s="21"/>
      <c r="K230" s="21"/>
      <c r="L230" s="21"/>
      <c r="M230" s="21"/>
      <c r="N230" s="34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spans="1:28" ht="39.75" customHeight="1" x14ac:dyDescent="0.2">
      <c r="A231" s="19"/>
      <c r="B231" s="21"/>
      <c r="C231" s="21"/>
      <c r="D231" s="21"/>
      <c r="E231" s="21"/>
      <c r="F231" s="21"/>
      <c r="G231" s="21"/>
      <c r="H231" s="27"/>
      <c r="I231" s="21"/>
      <c r="J231" s="21"/>
      <c r="K231" s="21"/>
      <c r="L231" s="21"/>
      <c r="M231" s="21"/>
      <c r="N231" s="34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spans="1:28" ht="39.75" customHeight="1" x14ac:dyDescent="0.2">
      <c r="A232" s="19"/>
      <c r="B232" s="21"/>
      <c r="C232" s="21"/>
      <c r="D232" s="21"/>
      <c r="E232" s="21"/>
      <c r="F232" s="21"/>
      <c r="G232" s="21"/>
      <c r="H232" s="27"/>
      <c r="I232" s="21"/>
      <c r="J232" s="21"/>
      <c r="K232" s="21"/>
      <c r="L232" s="21"/>
      <c r="M232" s="21"/>
      <c r="N232" s="34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spans="1:28" ht="39.75" customHeight="1" x14ac:dyDescent="0.2">
      <c r="A233" s="19"/>
      <c r="B233" s="21"/>
      <c r="C233" s="21"/>
      <c r="D233" s="21"/>
      <c r="E233" s="21"/>
      <c r="F233" s="21"/>
      <c r="G233" s="21"/>
      <c r="H233" s="27"/>
      <c r="I233" s="21"/>
      <c r="J233" s="21"/>
      <c r="K233" s="21"/>
      <c r="L233" s="21"/>
      <c r="M233" s="21"/>
      <c r="N233" s="34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spans="1:28" ht="39.75" customHeight="1" x14ac:dyDescent="0.2">
      <c r="A234" s="19"/>
      <c r="B234" s="21"/>
      <c r="C234" s="21"/>
      <c r="D234" s="21"/>
      <c r="E234" s="21"/>
      <c r="F234" s="21"/>
      <c r="G234" s="21"/>
      <c r="H234" s="27"/>
      <c r="I234" s="21"/>
      <c r="J234" s="21"/>
      <c r="K234" s="21"/>
      <c r="L234" s="21"/>
      <c r="M234" s="21"/>
      <c r="N234" s="34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spans="1:28" ht="39.75" customHeight="1" x14ac:dyDescent="0.2">
      <c r="A235" s="19"/>
      <c r="B235" s="21"/>
      <c r="C235" s="21"/>
      <c r="D235" s="21"/>
      <c r="E235" s="21"/>
      <c r="F235" s="21"/>
      <c r="G235" s="21"/>
      <c r="H235" s="27"/>
      <c r="I235" s="21"/>
      <c r="J235" s="21"/>
      <c r="K235" s="21"/>
      <c r="L235" s="21"/>
      <c r="M235" s="21"/>
      <c r="N235" s="34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spans="1:28" ht="39.75" customHeight="1" x14ac:dyDescent="0.2">
      <c r="A236" s="19"/>
      <c r="B236" s="21"/>
      <c r="C236" s="21"/>
      <c r="D236" s="21"/>
      <c r="E236" s="21"/>
      <c r="F236" s="21"/>
      <c r="G236" s="21"/>
      <c r="H236" s="27"/>
      <c r="I236" s="21"/>
      <c r="J236" s="21"/>
      <c r="K236" s="21"/>
      <c r="L236" s="21"/>
      <c r="M236" s="21"/>
      <c r="N236" s="34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spans="1:28" ht="39.75" customHeight="1" x14ac:dyDescent="0.2">
      <c r="A237" s="19"/>
      <c r="B237" s="21"/>
      <c r="C237" s="21"/>
      <c r="D237" s="21"/>
      <c r="E237" s="21"/>
      <c r="F237" s="21"/>
      <c r="G237" s="21"/>
      <c r="H237" s="27"/>
      <c r="I237" s="21"/>
      <c r="J237" s="21"/>
      <c r="K237" s="21"/>
      <c r="L237" s="21"/>
      <c r="M237" s="21"/>
      <c r="N237" s="34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spans="1:28" ht="39.75" customHeight="1" x14ac:dyDescent="0.2">
      <c r="A238" s="19"/>
      <c r="B238" s="21"/>
      <c r="C238" s="21"/>
      <c r="D238" s="21"/>
      <c r="E238" s="21"/>
      <c r="F238" s="21"/>
      <c r="G238" s="21"/>
      <c r="H238" s="27"/>
      <c r="I238" s="21"/>
      <c r="J238" s="21"/>
      <c r="K238" s="21"/>
      <c r="L238" s="21"/>
      <c r="M238" s="21"/>
      <c r="N238" s="34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spans="1:28" ht="39.75" customHeight="1" x14ac:dyDescent="0.2">
      <c r="A239" s="19"/>
      <c r="B239" s="21"/>
      <c r="C239" s="21"/>
      <c r="D239" s="21"/>
      <c r="E239" s="21"/>
      <c r="F239" s="21"/>
      <c r="G239" s="21"/>
      <c r="H239" s="27"/>
      <c r="I239" s="21"/>
      <c r="J239" s="21"/>
      <c r="K239" s="21"/>
      <c r="L239" s="21"/>
      <c r="M239" s="21"/>
      <c r="N239" s="34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spans="1:28" ht="39.75" customHeight="1" x14ac:dyDescent="0.2">
      <c r="A240" s="19"/>
      <c r="B240" s="21"/>
      <c r="C240" s="21"/>
      <c r="D240" s="21"/>
      <c r="E240" s="21"/>
      <c r="F240" s="21"/>
      <c r="G240" s="21"/>
      <c r="H240" s="27"/>
      <c r="I240" s="21"/>
      <c r="J240" s="21"/>
      <c r="K240" s="21"/>
      <c r="L240" s="21"/>
      <c r="M240" s="21"/>
      <c r="N240" s="34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spans="1:28" ht="39.75" customHeight="1" x14ac:dyDescent="0.2">
      <c r="A241" s="19"/>
      <c r="B241" s="21"/>
      <c r="C241" s="21"/>
      <c r="D241" s="21"/>
      <c r="E241" s="21"/>
      <c r="F241" s="21"/>
      <c r="G241" s="21"/>
      <c r="H241" s="27"/>
      <c r="I241" s="21"/>
      <c r="J241" s="21"/>
      <c r="K241" s="21"/>
      <c r="L241" s="21"/>
      <c r="M241" s="21"/>
      <c r="N241" s="34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spans="1:28" ht="39.75" customHeight="1" x14ac:dyDescent="0.2">
      <c r="A242" s="19"/>
      <c r="B242" s="21"/>
      <c r="C242" s="21"/>
      <c r="D242" s="21"/>
      <c r="E242" s="21"/>
      <c r="F242" s="21"/>
      <c r="G242" s="21"/>
      <c r="H242" s="27"/>
      <c r="I242" s="21"/>
      <c r="J242" s="21"/>
      <c r="K242" s="21"/>
      <c r="L242" s="21"/>
      <c r="M242" s="21"/>
      <c r="N242" s="34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spans="1:28" ht="39.75" customHeight="1" x14ac:dyDescent="0.2">
      <c r="A243" s="19"/>
      <c r="B243" s="21"/>
      <c r="C243" s="21"/>
      <c r="D243" s="21"/>
      <c r="E243" s="21"/>
      <c r="F243" s="21"/>
      <c r="G243" s="21"/>
      <c r="H243" s="27"/>
      <c r="I243" s="21"/>
      <c r="J243" s="21"/>
      <c r="K243" s="21"/>
      <c r="L243" s="21"/>
      <c r="M243" s="21"/>
      <c r="N243" s="34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spans="1:28" ht="39.75" customHeight="1" x14ac:dyDescent="0.2">
      <c r="A244" s="19"/>
      <c r="B244" s="21"/>
      <c r="C244" s="21"/>
      <c r="D244" s="21"/>
      <c r="E244" s="21"/>
      <c r="F244" s="21"/>
      <c r="G244" s="21"/>
      <c r="H244" s="27"/>
      <c r="I244" s="21"/>
      <c r="J244" s="21"/>
      <c r="K244" s="21"/>
      <c r="L244" s="21"/>
      <c r="M244" s="21"/>
      <c r="N244" s="34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spans="1:28" ht="39.75" customHeight="1" x14ac:dyDescent="0.2">
      <c r="A245" s="19"/>
      <c r="B245" s="21"/>
      <c r="C245" s="21"/>
      <c r="D245" s="21"/>
      <c r="E245" s="21"/>
      <c r="F245" s="21"/>
      <c r="G245" s="21"/>
      <c r="H245" s="27"/>
      <c r="I245" s="21"/>
      <c r="J245" s="21"/>
      <c r="K245" s="21"/>
      <c r="L245" s="21"/>
      <c r="M245" s="21"/>
      <c r="N245" s="34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spans="1:28" ht="39.75" customHeight="1" x14ac:dyDescent="0.2">
      <c r="A246" s="19"/>
      <c r="B246" s="21"/>
      <c r="C246" s="21"/>
      <c r="D246" s="21"/>
      <c r="E246" s="21"/>
      <c r="F246" s="21"/>
      <c r="G246" s="21"/>
      <c r="H246" s="27"/>
      <c r="I246" s="21"/>
      <c r="J246" s="21"/>
      <c r="K246" s="21"/>
      <c r="L246" s="21"/>
      <c r="M246" s="21"/>
      <c r="N246" s="34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spans="1:28" ht="39.75" customHeight="1" x14ac:dyDescent="0.2">
      <c r="A247" s="19"/>
      <c r="B247" s="21"/>
      <c r="C247" s="21"/>
      <c r="D247" s="21"/>
      <c r="E247" s="21"/>
      <c r="F247" s="21"/>
      <c r="G247" s="21"/>
      <c r="H247" s="27"/>
      <c r="I247" s="21"/>
      <c r="J247" s="21"/>
      <c r="K247" s="21"/>
      <c r="L247" s="21"/>
      <c r="M247" s="21"/>
      <c r="N247" s="34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spans="1:28" ht="39.75" customHeight="1" x14ac:dyDescent="0.2">
      <c r="A248" s="19"/>
      <c r="B248" s="21"/>
      <c r="C248" s="21"/>
      <c r="D248" s="21"/>
      <c r="E248" s="21"/>
      <c r="F248" s="21"/>
      <c r="G248" s="21"/>
      <c r="H248" s="27"/>
      <c r="I248" s="21"/>
      <c r="J248" s="21"/>
      <c r="K248" s="21"/>
      <c r="L248" s="21"/>
      <c r="M248" s="21"/>
      <c r="N248" s="34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spans="1:28" ht="39.75" customHeight="1" x14ac:dyDescent="0.2">
      <c r="A249" s="19"/>
      <c r="B249" s="21"/>
      <c r="C249" s="21"/>
      <c r="D249" s="21"/>
      <c r="E249" s="21"/>
      <c r="F249" s="21"/>
      <c r="G249" s="21"/>
      <c r="H249" s="27"/>
      <c r="I249" s="21"/>
      <c r="J249" s="21"/>
      <c r="K249" s="21"/>
      <c r="L249" s="21"/>
      <c r="M249" s="21"/>
      <c r="N249" s="34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spans="1:28" ht="39.75" customHeight="1" x14ac:dyDescent="0.2">
      <c r="A250" s="19"/>
      <c r="B250" s="21"/>
      <c r="C250" s="21"/>
      <c r="D250" s="21"/>
      <c r="E250" s="21"/>
      <c r="F250" s="21"/>
      <c r="G250" s="21"/>
      <c r="H250" s="27"/>
      <c r="I250" s="21"/>
      <c r="J250" s="21"/>
      <c r="K250" s="21"/>
      <c r="L250" s="21"/>
      <c r="M250" s="21"/>
      <c r="N250" s="34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spans="1:28" ht="39.75" customHeight="1" x14ac:dyDescent="0.2">
      <c r="A251" s="19"/>
      <c r="B251" s="21"/>
      <c r="C251" s="21"/>
      <c r="D251" s="21"/>
      <c r="E251" s="21"/>
      <c r="F251" s="21"/>
      <c r="G251" s="21"/>
      <c r="H251" s="27"/>
      <c r="I251" s="21"/>
      <c r="J251" s="21"/>
      <c r="K251" s="21"/>
      <c r="L251" s="21"/>
      <c r="M251" s="21"/>
      <c r="N251" s="34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spans="1:28" ht="39.75" customHeight="1" x14ac:dyDescent="0.2">
      <c r="A252" s="19"/>
      <c r="B252" s="21"/>
      <c r="C252" s="21"/>
      <c r="D252" s="21"/>
      <c r="E252" s="21"/>
      <c r="F252" s="21"/>
      <c r="G252" s="21"/>
      <c r="H252" s="27"/>
      <c r="I252" s="21"/>
      <c r="J252" s="21"/>
      <c r="K252" s="21"/>
      <c r="L252" s="21"/>
      <c r="M252" s="21"/>
      <c r="N252" s="34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spans="1:28" ht="39.75" customHeight="1" x14ac:dyDescent="0.2">
      <c r="A253" s="19"/>
      <c r="B253" s="21"/>
      <c r="C253" s="21"/>
      <c r="D253" s="21"/>
      <c r="E253" s="21"/>
      <c r="F253" s="21"/>
      <c r="G253" s="21"/>
      <c r="H253" s="27"/>
      <c r="I253" s="21"/>
      <c r="J253" s="21"/>
      <c r="K253" s="21"/>
      <c r="L253" s="21"/>
      <c r="M253" s="21"/>
      <c r="N253" s="34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spans="1:28" ht="39.75" customHeight="1" x14ac:dyDescent="0.2">
      <c r="A254" s="19"/>
      <c r="B254" s="21"/>
      <c r="C254" s="21"/>
      <c r="D254" s="21"/>
      <c r="E254" s="21"/>
      <c r="F254" s="21"/>
      <c r="G254" s="21"/>
      <c r="H254" s="27"/>
      <c r="I254" s="21"/>
      <c r="J254" s="21"/>
      <c r="K254" s="21"/>
      <c r="L254" s="21"/>
      <c r="M254" s="21"/>
      <c r="N254" s="34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spans="1:28" ht="39.75" customHeight="1" x14ac:dyDescent="0.2">
      <c r="A255" s="19"/>
      <c r="B255" s="21"/>
      <c r="C255" s="21"/>
      <c r="D255" s="21"/>
      <c r="E255" s="21"/>
      <c r="F255" s="21"/>
      <c r="G255" s="21"/>
      <c r="H255" s="27"/>
      <c r="I255" s="21"/>
      <c r="J255" s="21"/>
      <c r="K255" s="21"/>
      <c r="L255" s="21"/>
      <c r="M255" s="21"/>
      <c r="N255" s="34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spans="1:28" ht="39.75" customHeight="1" x14ac:dyDescent="0.2">
      <c r="A256" s="19"/>
      <c r="B256" s="21"/>
      <c r="C256" s="21"/>
      <c r="D256" s="21"/>
      <c r="E256" s="21"/>
      <c r="F256" s="21"/>
      <c r="G256" s="21"/>
      <c r="H256" s="27"/>
      <c r="I256" s="21"/>
      <c r="J256" s="21"/>
      <c r="K256" s="21"/>
      <c r="L256" s="21"/>
      <c r="M256" s="21"/>
      <c r="N256" s="34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spans="1:28" ht="39.75" customHeight="1" x14ac:dyDescent="0.2">
      <c r="A257" s="19"/>
      <c r="B257" s="21"/>
      <c r="C257" s="21"/>
      <c r="D257" s="21"/>
      <c r="E257" s="21"/>
      <c r="F257" s="21"/>
      <c r="G257" s="21"/>
      <c r="H257" s="27"/>
      <c r="I257" s="21"/>
      <c r="J257" s="21"/>
      <c r="K257" s="21"/>
      <c r="L257" s="21"/>
      <c r="M257" s="21"/>
      <c r="N257" s="34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spans="1:28" ht="39.75" customHeight="1" x14ac:dyDescent="0.2">
      <c r="A258" s="19"/>
      <c r="B258" s="21"/>
      <c r="C258" s="21"/>
      <c r="D258" s="21"/>
      <c r="E258" s="21"/>
      <c r="F258" s="21"/>
      <c r="G258" s="21"/>
      <c r="H258" s="27"/>
      <c r="I258" s="21"/>
      <c r="J258" s="21"/>
      <c r="K258" s="21"/>
      <c r="L258" s="21"/>
      <c r="M258" s="21"/>
      <c r="N258" s="34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spans="1:28" ht="39.75" customHeight="1" x14ac:dyDescent="0.2">
      <c r="A259" s="19"/>
      <c r="B259" s="21"/>
      <c r="C259" s="21"/>
      <c r="D259" s="21"/>
      <c r="E259" s="21"/>
      <c r="F259" s="21"/>
      <c r="G259" s="21"/>
      <c r="H259" s="27"/>
      <c r="I259" s="21"/>
      <c r="J259" s="21"/>
      <c r="K259" s="21"/>
      <c r="L259" s="21"/>
      <c r="M259" s="21"/>
      <c r="N259" s="34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spans="1:28" ht="39.75" customHeight="1" x14ac:dyDescent="0.2">
      <c r="A260" s="19"/>
      <c r="B260" s="21"/>
      <c r="C260" s="21"/>
      <c r="D260" s="21"/>
      <c r="E260" s="21"/>
      <c r="F260" s="21"/>
      <c r="G260" s="21"/>
      <c r="H260" s="27"/>
      <c r="I260" s="21"/>
      <c r="J260" s="21"/>
      <c r="K260" s="21"/>
      <c r="L260" s="21"/>
      <c r="M260" s="21"/>
      <c r="N260" s="34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spans="1:28" ht="39.75" customHeight="1" x14ac:dyDescent="0.2">
      <c r="A261" s="19"/>
      <c r="B261" s="21"/>
      <c r="C261" s="21"/>
      <c r="D261" s="21"/>
      <c r="E261" s="21"/>
      <c r="F261" s="21"/>
      <c r="G261" s="21"/>
      <c r="H261" s="27"/>
      <c r="I261" s="21"/>
      <c r="J261" s="21"/>
      <c r="K261" s="21"/>
      <c r="L261" s="21"/>
      <c r="M261" s="21"/>
      <c r="N261" s="34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spans="1:28" ht="39.75" customHeight="1" x14ac:dyDescent="0.2">
      <c r="A262" s="19"/>
      <c r="B262" s="21"/>
      <c r="C262" s="21"/>
      <c r="D262" s="21"/>
      <c r="E262" s="21"/>
      <c r="F262" s="21"/>
      <c r="G262" s="21"/>
      <c r="H262" s="27"/>
      <c r="I262" s="21"/>
      <c r="J262" s="21"/>
      <c r="K262" s="21"/>
      <c r="L262" s="21"/>
      <c r="M262" s="21"/>
      <c r="N262" s="34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spans="1:28" ht="39.75" customHeight="1" x14ac:dyDescent="0.2">
      <c r="A263" s="19"/>
      <c r="B263" s="21"/>
      <c r="C263" s="21"/>
      <c r="D263" s="21"/>
      <c r="E263" s="21"/>
      <c r="F263" s="21"/>
      <c r="G263" s="21"/>
      <c r="H263" s="27"/>
      <c r="I263" s="21"/>
      <c r="J263" s="21"/>
      <c r="K263" s="21"/>
      <c r="L263" s="21"/>
      <c r="M263" s="21"/>
      <c r="N263" s="34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1:28" ht="39.75" customHeight="1" x14ac:dyDescent="0.2">
      <c r="A264" s="19"/>
      <c r="B264" s="21"/>
      <c r="C264" s="21"/>
      <c r="D264" s="21"/>
      <c r="E264" s="21"/>
      <c r="F264" s="21"/>
      <c r="G264" s="21"/>
      <c r="H264" s="27"/>
      <c r="I264" s="21"/>
      <c r="J264" s="21"/>
      <c r="K264" s="21"/>
      <c r="L264" s="21"/>
      <c r="M264" s="21"/>
      <c r="N264" s="34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spans="1:28" ht="39.75" customHeight="1" x14ac:dyDescent="0.2">
      <c r="A265" s="19"/>
      <c r="B265" s="21"/>
      <c r="C265" s="21"/>
      <c r="D265" s="21"/>
      <c r="E265" s="21"/>
      <c r="F265" s="21"/>
      <c r="G265" s="21"/>
      <c r="H265" s="27"/>
      <c r="I265" s="21"/>
      <c r="J265" s="21"/>
      <c r="K265" s="21"/>
      <c r="L265" s="21"/>
      <c r="M265" s="21"/>
      <c r="N265" s="34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spans="1:28" ht="39.75" customHeight="1" x14ac:dyDescent="0.2">
      <c r="A266" s="19"/>
      <c r="B266" s="21"/>
      <c r="C266" s="21"/>
      <c r="D266" s="21"/>
      <c r="E266" s="21"/>
      <c r="F266" s="21"/>
      <c r="G266" s="21"/>
      <c r="H266" s="27"/>
      <c r="I266" s="21"/>
      <c r="J266" s="21"/>
      <c r="K266" s="21"/>
      <c r="L266" s="21"/>
      <c r="M266" s="21"/>
      <c r="N266" s="34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spans="1:28" ht="39.75" customHeight="1" x14ac:dyDescent="0.2">
      <c r="A267" s="19"/>
      <c r="B267" s="21"/>
      <c r="C267" s="21"/>
      <c r="D267" s="21"/>
      <c r="E267" s="21"/>
      <c r="F267" s="21"/>
      <c r="G267" s="21"/>
      <c r="H267" s="27"/>
      <c r="I267" s="21"/>
      <c r="J267" s="21"/>
      <c r="K267" s="21"/>
      <c r="L267" s="21"/>
      <c r="M267" s="21"/>
      <c r="N267" s="34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spans="1:28" ht="39.75" customHeight="1" x14ac:dyDescent="0.2">
      <c r="A268" s="19"/>
      <c r="B268" s="21"/>
      <c r="C268" s="21"/>
      <c r="D268" s="21"/>
      <c r="E268" s="21"/>
      <c r="F268" s="21"/>
      <c r="G268" s="21"/>
      <c r="H268" s="27"/>
      <c r="I268" s="21"/>
      <c r="J268" s="21"/>
      <c r="K268" s="21"/>
      <c r="L268" s="21"/>
      <c r="M268" s="21"/>
      <c r="N268" s="34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spans="1:28" ht="39.75" customHeight="1" x14ac:dyDescent="0.2">
      <c r="A269" s="19"/>
      <c r="B269" s="21"/>
      <c r="C269" s="21"/>
      <c r="D269" s="21"/>
      <c r="E269" s="21"/>
      <c r="F269" s="21"/>
      <c r="G269" s="21"/>
      <c r="H269" s="27"/>
      <c r="I269" s="21"/>
      <c r="J269" s="21"/>
      <c r="K269" s="21"/>
      <c r="L269" s="21"/>
      <c r="M269" s="21"/>
      <c r="N269" s="34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spans="1:28" ht="39.75" customHeight="1" x14ac:dyDescent="0.2">
      <c r="A270" s="19"/>
      <c r="B270" s="21"/>
      <c r="C270" s="21"/>
      <c r="D270" s="21"/>
      <c r="E270" s="21"/>
      <c r="F270" s="21"/>
      <c r="G270" s="21"/>
      <c r="H270" s="27"/>
      <c r="I270" s="21"/>
      <c r="J270" s="21"/>
      <c r="K270" s="21"/>
      <c r="L270" s="21"/>
      <c r="M270" s="21"/>
      <c r="N270" s="34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spans="1:28" ht="39.75" customHeight="1" x14ac:dyDescent="0.2">
      <c r="A271" s="19"/>
      <c r="B271" s="21"/>
      <c r="C271" s="21"/>
      <c r="D271" s="21"/>
      <c r="E271" s="21"/>
      <c r="F271" s="21"/>
      <c r="G271" s="21"/>
      <c r="H271" s="27"/>
      <c r="I271" s="21"/>
      <c r="J271" s="21"/>
      <c r="K271" s="21"/>
      <c r="L271" s="21"/>
      <c r="M271" s="21"/>
      <c r="N271" s="34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spans="1:28" ht="39.75" customHeight="1" x14ac:dyDescent="0.2">
      <c r="A272" s="19"/>
      <c r="B272" s="21"/>
      <c r="C272" s="21"/>
      <c r="D272" s="21"/>
      <c r="E272" s="21"/>
      <c r="F272" s="21"/>
      <c r="G272" s="21"/>
      <c r="H272" s="27"/>
      <c r="I272" s="21"/>
      <c r="J272" s="21"/>
      <c r="K272" s="21"/>
      <c r="L272" s="21"/>
      <c r="M272" s="21"/>
      <c r="N272" s="34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spans="1:28" ht="39.75" customHeight="1" x14ac:dyDescent="0.2">
      <c r="A273" s="19"/>
      <c r="B273" s="21"/>
      <c r="C273" s="21"/>
      <c r="D273" s="21"/>
      <c r="E273" s="21"/>
      <c r="F273" s="21"/>
      <c r="G273" s="21"/>
      <c r="H273" s="27"/>
      <c r="I273" s="21"/>
      <c r="J273" s="21"/>
      <c r="K273" s="21"/>
      <c r="L273" s="21"/>
      <c r="M273" s="21"/>
      <c r="N273" s="34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spans="1:28" ht="39.75" customHeight="1" x14ac:dyDescent="0.2">
      <c r="A274" s="19"/>
      <c r="B274" s="21"/>
      <c r="C274" s="21"/>
      <c r="D274" s="21"/>
      <c r="E274" s="21"/>
      <c r="F274" s="21"/>
      <c r="G274" s="21"/>
      <c r="H274" s="27"/>
      <c r="I274" s="21"/>
      <c r="J274" s="21"/>
      <c r="K274" s="21"/>
      <c r="L274" s="21"/>
      <c r="M274" s="21"/>
      <c r="N274" s="34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1:28" ht="39.75" customHeight="1" x14ac:dyDescent="0.2">
      <c r="A275" s="19"/>
      <c r="B275" s="21"/>
      <c r="C275" s="21"/>
      <c r="D275" s="21"/>
      <c r="E275" s="21"/>
      <c r="F275" s="21"/>
      <c r="G275" s="21"/>
      <c r="H275" s="27"/>
      <c r="I275" s="21"/>
      <c r="J275" s="21"/>
      <c r="K275" s="21"/>
      <c r="L275" s="21"/>
      <c r="M275" s="21"/>
      <c r="N275" s="34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spans="1:28" ht="39.75" customHeight="1" x14ac:dyDescent="0.2">
      <c r="A276" s="19"/>
      <c r="B276" s="21"/>
      <c r="C276" s="21"/>
      <c r="D276" s="21"/>
      <c r="E276" s="21"/>
      <c r="F276" s="21"/>
      <c r="G276" s="21"/>
      <c r="H276" s="27"/>
      <c r="I276" s="21"/>
      <c r="J276" s="21"/>
      <c r="K276" s="21"/>
      <c r="L276" s="21"/>
      <c r="M276" s="21"/>
      <c r="N276" s="34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spans="1:28" ht="39.75" customHeight="1" x14ac:dyDescent="0.2">
      <c r="A277" s="19"/>
      <c r="B277" s="21"/>
      <c r="C277" s="21"/>
      <c r="D277" s="21"/>
      <c r="E277" s="21"/>
      <c r="F277" s="21"/>
      <c r="G277" s="21"/>
      <c r="H277" s="27"/>
      <c r="I277" s="21"/>
      <c r="J277" s="21"/>
      <c r="K277" s="21"/>
      <c r="L277" s="21"/>
      <c r="M277" s="21"/>
      <c r="N277" s="34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spans="1:28" ht="39.75" customHeight="1" x14ac:dyDescent="0.2">
      <c r="A278" s="19"/>
      <c r="B278" s="21"/>
      <c r="C278" s="21"/>
      <c r="D278" s="21"/>
      <c r="E278" s="21"/>
      <c r="F278" s="21"/>
      <c r="G278" s="21"/>
      <c r="H278" s="27"/>
      <c r="I278" s="21"/>
      <c r="J278" s="21"/>
      <c r="K278" s="21"/>
      <c r="L278" s="21"/>
      <c r="M278" s="21"/>
      <c r="N278" s="34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spans="1:28" ht="39.75" customHeight="1" x14ac:dyDescent="0.2">
      <c r="A279" s="19"/>
      <c r="B279" s="21"/>
      <c r="C279" s="21"/>
      <c r="D279" s="21"/>
      <c r="E279" s="21"/>
      <c r="F279" s="21"/>
      <c r="G279" s="21"/>
      <c r="H279" s="27"/>
      <c r="I279" s="21"/>
      <c r="J279" s="21"/>
      <c r="K279" s="21"/>
      <c r="L279" s="21"/>
      <c r="M279" s="21"/>
      <c r="N279" s="34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1:28" ht="39.75" customHeight="1" x14ac:dyDescent="0.2">
      <c r="A280" s="19"/>
      <c r="B280" s="21"/>
      <c r="C280" s="21"/>
      <c r="D280" s="21"/>
      <c r="E280" s="21"/>
      <c r="F280" s="21"/>
      <c r="G280" s="21"/>
      <c r="H280" s="27"/>
      <c r="I280" s="21"/>
      <c r="J280" s="21"/>
      <c r="K280" s="21"/>
      <c r="L280" s="21"/>
      <c r="M280" s="21"/>
      <c r="N280" s="34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spans="1:28" ht="39.75" customHeight="1" x14ac:dyDescent="0.2">
      <c r="A281" s="19"/>
      <c r="B281" s="21"/>
      <c r="C281" s="21"/>
      <c r="D281" s="21"/>
      <c r="E281" s="21"/>
      <c r="F281" s="21"/>
      <c r="G281" s="21"/>
      <c r="H281" s="27"/>
      <c r="I281" s="21"/>
      <c r="J281" s="21"/>
      <c r="K281" s="21"/>
      <c r="L281" s="21"/>
      <c r="M281" s="21"/>
      <c r="N281" s="34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spans="1:28" ht="39.75" customHeight="1" x14ac:dyDescent="0.2">
      <c r="A282" s="19"/>
      <c r="B282" s="21"/>
      <c r="C282" s="21"/>
      <c r="D282" s="21"/>
      <c r="E282" s="21"/>
      <c r="F282" s="21"/>
      <c r="G282" s="21"/>
      <c r="H282" s="27"/>
      <c r="I282" s="21"/>
      <c r="J282" s="21"/>
      <c r="K282" s="21"/>
      <c r="L282" s="21"/>
      <c r="M282" s="21"/>
      <c r="N282" s="34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spans="1:28" ht="39.75" customHeight="1" x14ac:dyDescent="0.2">
      <c r="A283" s="19"/>
      <c r="B283" s="21"/>
      <c r="C283" s="21"/>
      <c r="D283" s="21"/>
      <c r="E283" s="21"/>
      <c r="F283" s="21"/>
      <c r="G283" s="21"/>
      <c r="H283" s="27"/>
      <c r="I283" s="21"/>
      <c r="J283" s="21"/>
      <c r="K283" s="21"/>
      <c r="L283" s="21"/>
      <c r="M283" s="21"/>
      <c r="N283" s="34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spans="1:28" ht="39.75" customHeight="1" x14ac:dyDescent="0.2">
      <c r="A284" s="19"/>
      <c r="B284" s="21"/>
      <c r="C284" s="21"/>
      <c r="D284" s="21"/>
      <c r="E284" s="21"/>
      <c r="F284" s="21"/>
      <c r="G284" s="21"/>
      <c r="H284" s="27"/>
      <c r="I284" s="21"/>
      <c r="J284" s="21"/>
      <c r="K284" s="21"/>
      <c r="L284" s="21"/>
      <c r="M284" s="21"/>
      <c r="N284" s="34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spans="1:28" ht="39.75" customHeight="1" x14ac:dyDescent="0.2">
      <c r="A285" s="19"/>
      <c r="B285" s="21"/>
      <c r="C285" s="21"/>
      <c r="D285" s="21"/>
      <c r="E285" s="21"/>
      <c r="F285" s="21"/>
      <c r="G285" s="21"/>
      <c r="H285" s="27"/>
      <c r="I285" s="21"/>
      <c r="J285" s="21"/>
      <c r="K285" s="21"/>
      <c r="L285" s="21"/>
      <c r="M285" s="21"/>
      <c r="N285" s="34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spans="1:28" ht="39.75" customHeight="1" x14ac:dyDescent="0.2">
      <c r="A286" s="19"/>
      <c r="B286" s="21"/>
      <c r="C286" s="21"/>
      <c r="D286" s="21"/>
      <c r="E286" s="21"/>
      <c r="F286" s="21"/>
      <c r="G286" s="21"/>
      <c r="H286" s="27"/>
      <c r="I286" s="21"/>
      <c r="J286" s="21"/>
      <c r="K286" s="21"/>
      <c r="L286" s="21"/>
      <c r="M286" s="21"/>
      <c r="N286" s="34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spans="1:28" ht="39.75" customHeight="1" x14ac:dyDescent="0.2">
      <c r="A287" s="19"/>
      <c r="B287" s="21"/>
      <c r="C287" s="21"/>
      <c r="D287" s="21"/>
      <c r="E287" s="21"/>
      <c r="F287" s="21"/>
      <c r="G287" s="21"/>
      <c r="H287" s="27"/>
      <c r="I287" s="21"/>
      <c r="J287" s="21"/>
      <c r="K287" s="21"/>
      <c r="L287" s="21"/>
      <c r="M287" s="21"/>
      <c r="N287" s="34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spans="1:28" ht="39.75" customHeight="1" x14ac:dyDescent="0.2">
      <c r="A288" s="19"/>
      <c r="B288" s="21"/>
      <c r="C288" s="21"/>
      <c r="D288" s="21"/>
      <c r="E288" s="21"/>
      <c r="F288" s="21"/>
      <c r="G288" s="21"/>
      <c r="H288" s="27"/>
      <c r="I288" s="21"/>
      <c r="J288" s="21"/>
      <c r="K288" s="21"/>
      <c r="L288" s="21"/>
      <c r="M288" s="21"/>
      <c r="N288" s="34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spans="1:28" ht="39.75" customHeight="1" x14ac:dyDescent="0.2">
      <c r="A289" s="19"/>
      <c r="B289" s="21"/>
      <c r="C289" s="21"/>
      <c r="D289" s="21"/>
      <c r="E289" s="21"/>
      <c r="F289" s="21"/>
      <c r="G289" s="21"/>
      <c r="H289" s="27"/>
      <c r="I289" s="21"/>
      <c r="J289" s="21"/>
      <c r="K289" s="21"/>
      <c r="L289" s="21"/>
      <c r="M289" s="21"/>
      <c r="N289" s="34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spans="1:28" ht="39.75" customHeight="1" x14ac:dyDescent="0.2">
      <c r="A290" s="19"/>
      <c r="B290" s="21"/>
      <c r="C290" s="21"/>
      <c r="D290" s="21"/>
      <c r="E290" s="21"/>
      <c r="F290" s="21"/>
      <c r="G290" s="21"/>
      <c r="H290" s="27"/>
      <c r="I290" s="21"/>
      <c r="J290" s="21"/>
      <c r="K290" s="21"/>
      <c r="L290" s="21"/>
      <c r="M290" s="21"/>
      <c r="N290" s="34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spans="1:28" ht="39.75" customHeight="1" x14ac:dyDescent="0.2">
      <c r="A291" s="19"/>
      <c r="B291" s="21"/>
      <c r="C291" s="21"/>
      <c r="D291" s="21"/>
      <c r="E291" s="21"/>
      <c r="F291" s="21"/>
      <c r="G291" s="21"/>
      <c r="H291" s="27"/>
      <c r="I291" s="21"/>
      <c r="J291" s="21"/>
      <c r="K291" s="21"/>
      <c r="L291" s="21"/>
      <c r="M291" s="21"/>
      <c r="N291" s="34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spans="1:28" ht="39.75" customHeight="1" x14ac:dyDescent="0.2">
      <c r="A292" s="19"/>
      <c r="B292" s="21"/>
      <c r="C292" s="21"/>
      <c r="D292" s="21"/>
      <c r="E292" s="21"/>
      <c r="F292" s="21"/>
      <c r="G292" s="21"/>
      <c r="H292" s="27"/>
      <c r="I292" s="21"/>
      <c r="J292" s="21"/>
      <c r="K292" s="21"/>
      <c r="L292" s="21"/>
      <c r="M292" s="21"/>
      <c r="N292" s="34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spans="1:28" ht="39.75" customHeight="1" x14ac:dyDescent="0.2">
      <c r="A293" s="19"/>
      <c r="B293" s="21"/>
      <c r="C293" s="21"/>
      <c r="D293" s="21"/>
      <c r="E293" s="21"/>
      <c r="F293" s="21"/>
      <c r="G293" s="21"/>
      <c r="H293" s="27"/>
      <c r="I293" s="21"/>
      <c r="J293" s="21"/>
      <c r="K293" s="21"/>
      <c r="L293" s="21"/>
      <c r="M293" s="21"/>
      <c r="N293" s="34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spans="1:28" ht="39.75" customHeight="1" x14ac:dyDescent="0.2">
      <c r="A294" s="19"/>
      <c r="B294" s="21"/>
      <c r="C294" s="21"/>
      <c r="D294" s="21"/>
      <c r="E294" s="21"/>
      <c r="F294" s="21"/>
      <c r="G294" s="21"/>
      <c r="H294" s="27"/>
      <c r="I294" s="21"/>
      <c r="J294" s="21"/>
      <c r="K294" s="21"/>
      <c r="L294" s="21"/>
      <c r="M294" s="21"/>
      <c r="N294" s="34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spans="1:28" ht="39.75" customHeight="1" x14ac:dyDescent="0.2">
      <c r="A295" s="19"/>
      <c r="B295" s="21"/>
      <c r="C295" s="21"/>
      <c r="D295" s="21"/>
      <c r="E295" s="21"/>
      <c r="F295" s="21"/>
      <c r="G295" s="21"/>
      <c r="H295" s="27"/>
      <c r="I295" s="21"/>
      <c r="J295" s="21"/>
      <c r="K295" s="21"/>
      <c r="L295" s="21"/>
      <c r="M295" s="21"/>
      <c r="N295" s="34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spans="1:28" ht="39.75" customHeight="1" x14ac:dyDescent="0.2">
      <c r="A296" s="19"/>
      <c r="B296" s="21"/>
      <c r="C296" s="21"/>
      <c r="D296" s="21"/>
      <c r="E296" s="21"/>
      <c r="F296" s="21"/>
      <c r="G296" s="21"/>
      <c r="H296" s="27"/>
      <c r="I296" s="21"/>
      <c r="J296" s="21"/>
      <c r="K296" s="21"/>
      <c r="L296" s="21"/>
      <c r="M296" s="21"/>
      <c r="N296" s="34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spans="1:28" ht="39.75" customHeight="1" x14ac:dyDescent="0.2">
      <c r="A297" s="19"/>
      <c r="B297" s="21"/>
      <c r="C297" s="21"/>
      <c r="D297" s="21"/>
      <c r="E297" s="21"/>
      <c r="F297" s="21"/>
      <c r="G297" s="21"/>
      <c r="H297" s="27"/>
      <c r="I297" s="21"/>
      <c r="J297" s="21"/>
      <c r="K297" s="21"/>
      <c r="L297" s="21"/>
      <c r="M297" s="21"/>
      <c r="N297" s="34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spans="1:28" ht="39.75" customHeight="1" x14ac:dyDescent="0.2">
      <c r="A298" s="19"/>
      <c r="B298" s="21"/>
      <c r="C298" s="21"/>
      <c r="D298" s="21"/>
      <c r="E298" s="21"/>
      <c r="F298" s="21"/>
      <c r="G298" s="21"/>
      <c r="H298" s="27"/>
      <c r="I298" s="21"/>
      <c r="J298" s="21"/>
      <c r="K298" s="21"/>
      <c r="L298" s="21"/>
      <c r="M298" s="21"/>
      <c r="N298" s="34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spans="1:28" ht="39.75" customHeight="1" x14ac:dyDescent="0.2">
      <c r="A299" s="19"/>
      <c r="B299" s="21"/>
      <c r="C299" s="21"/>
      <c r="D299" s="21"/>
      <c r="E299" s="21"/>
      <c r="F299" s="21"/>
      <c r="G299" s="21"/>
      <c r="H299" s="27"/>
      <c r="I299" s="21"/>
      <c r="J299" s="21"/>
      <c r="K299" s="21"/>
      <c r="L299" s="21"/>
      <c r="M299" s="21"/>
      <c r="N299" s="34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spans="1:28" ht="39.75" customHeight="1" x14ac:dyDescent="0.2">
      <c r="A300" s="19"/>
      <c r="B300" s="21"/>
      <c r="C300" s="21"/>
      <c r="D300" s="21"/>
      <c r="E300" s="21"/>
      <c r="F300" s="21"/>
      <c r="G300" s="21"/>
      <c r="H300" s="27"/>
      <c r="I300" s="21"/>
      <c r="J300" s="21"/>
      <c r="K300" s="21"/>
      <c r="L300" s="21"/>
      <c r="M300" s="21"/>
      <c r="N300" s="34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spans="1:28" ht="39.75" customHeight="1" x14ac:dyDescent="0.2">
      <c r="A301" s="19"/>
      <c r="B301" s="21"/>
      <c r="C301" s="21"/>
      <c r="D301" s="21"/>
      <c r="E301" s="21"/>
      <c r="F301" s="21"/>
      <c r="G301" s="21"/>
      <c r="H301" s="27"/>
      <c r="I301" s="21"/>
      <c r="J301" s="21"/>
      <c r="K301" s="21"/>
      <c r="L301" s="21"/>
      <c r="M301" s="21"/>
      <c r="N301" s="34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spans="1:28" ht="39.75" customHeight="1" x14ac:dyDescent="0.2">
      <c r="A302" s="19"/>
      <c r="B302" s="21"/>
      <c r="C302" s="21"/>
      <c r="D302" s="21"/>
      <c r="E302" s="21"/>
      <c r="F302" s="21"/>
      <c r="G302" s="21"/>
      <c r="H302" s="27"/>
      <c r="I302" s="21"/>
      <c r="J302" s="21"/>
      <c r="K302" s="21"/>
      <c r="L302" s="21"/>
      <c r="M302" s="21"/>
      <c r="N302" s="34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spans="1:28" ht="39.75" customHeight="1" x14ac:dyDescent="0.2">
      <c r="A303" s="19"/>
      <c r="B303" s="21"/>
      <c r="C303" s="21"/>
      <c r="D303" s="21"/>
      <c r="E303" s="21"/>
      <c r="F303" s="21"/>
      <c r="G303" s="21"/>
      <c r="H303" s="27"/>
      <c r="I303" s="21"/>
      <c r="J303" s="21"/>
      <c r="K303" s="21"/>
      <c r="L303" s="21"/>
      <c r="M303" s="21"/>
      <c r="N303" s="34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spans="1:28" ht="39.75" customHeight="1" x14ac:dyDescent="0.2">
      <c r="A304" s="19"/>
      <c r="B304" s="21"/>
      <c r="C304" s="21"/>
      <c r="D304" s="21"/>
      <c r="E304" s="21"/>
      <c r="F304" s="21"/>
      <c r="G304" s="21"/>
      <c r="H304" s="27"/>
      <c r="I304" s="21"/>
      <c r="J304" s="21"/>
      <c r="K304" s="21"/>
      <c r="L304" s="21"/>
      <c r="M304" s="21"/>
      <c r="N304" s="34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spans="1:28" ht="39.75" customHeight="1" x14ac:dyDescent="0.2">
      <c r="A305" s="19"/>
      <c r="B305" s="21"/>
      <c r="C305" s="21"/>
      <c r="D305" s="21"/>
      <c r="E305" s="21"/>
      <c r="F305" s="21"/>
      <c r="G305" s="21"/>
      <c r="H305" s="27"/>
      <c r="I305" s="21"/>
      <c r="J305" s="21"/>
      <c r="K305" s="21"/>
      <c r="L305" s="21"/>
      <c r="M305" s="21"/>
      <c r="N305" s="34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spans="1:28" ht="39.75" customHeight="1" x14ac:dyDescent="0.2">
      <c r="A306" s="19"/>
      <c r="B306" s="21"/>
      <c r="C306" s="21"/>
      <c r="D306" s="21"/>
      <c r="E306" s="21"/>
      <c r="F306" s="21"/>
      <c r="G306" s="21"/>
      <c r="H306" s="27"/>
      <c r="I306" s="21"/>
      <c r="J306" s="21"/>
      <c r="K306" s="21"/>
      <c r="L306" s="21"/>
      <c r="M306" s="21"/>
      <c r="N306" s="34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spans="1:28" ht="39.75" customHeight="1" x14ac:dyDescent="0.2">
      <c r="A307" s="19"/>
      <c r="B307" s="21"/>
      <c r="C307" s="21"/>
      <c r="D307" s="21"/>
      <c r="E307" s="21"/>
      <c r="F307" s="21"/>
      <c r="G307" s="21"/>
      <c r="H307" s="27"/>
      <c r="I307" s="21"/>
      <c r="J307" s="21"/>
      <c r="K307" s="21"/>
      <c r="L307" s="21"/>
      <c r="M307" s="21"/>
      <c r="N307" s="34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spans="1:28" ht="39.75" customHeight="1" x14ac:dyDescent="0.2">
      <c r="A308" s="19"/>
      <c r="B308" s="21"/>
      <c r="C308" s="21"/>
      <c r="D308" s="21"/>
      <c r="E308" s="21"/>
      <c r="F308" s="21"/>
      <c r="G308" s="21"/>
      <c r="H308" s="27"/>
      <c r="I308" s="21"/>
      <c r="J308" s="21"/>
      <c r="K308" s="21"/>
      <c r="L308" s="21"/>
      <c r="M308" s="21"/>
      <c r="N308" s="34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spans="1:28" ht="39.75" customHeight="1" x14ac:dyDescent="0.2">
      <c r="A309" s="19"/>
      <c r="B309" s="21"/>
      <c r="C309" s="21"/>
      <c r="D309" s="21"/>
      <c r="E309" s="21"/>
      <c r="F309" s="21"/>
      <c r="G309" s="21"/>
      <c r="H309" s="27"/>
      <c r="I309" s="21"/>
      <c r="J309" s="21"/>
      <c r="K309" s="21"/>
      <c r="L309" s="21"/>
      <c r="M309" s="21"/>
      <c r="N309" s="34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spans="1:28" ht="39.75" customHeight="1" x14ac:dyDescent="0.2">
      <c r="A310" s="19"/>
      <c r="B310" s="21"/>
      <c r="C310" s="21"/>
      <c r="D310" s="21"/>
      <c r="E310" s="21"/>
      <c r="F310" s="21"/>
      <c r="G310" s="21"/>
      <c r="H310" s="27"/>
      <c r="I310" s="21"/>
      <c r="J310" s="21"/>
      <c r="K310" s="21"/>
      <c r="L310" s="21"/>
      <c r="M310" s="21"/>
      <c r="N310" s="34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spans="1:28" ht="39.75" customHeight="1" x14ac:dyDescent="0.2">
      <c r="A311" s="19"/>
      <c r="B311" s="21"/>
      <c r="C311" s="21"/>
      <c r="D311" s="21"/>
      <c r="E311" s="21"/>
      <c r="F311" s="21"/>
      <c r="G311" s="21"/>
      <c r="H311" s="27"/>
      <c r="I311" s="21"/>
      <c r="J311" s="21"/>
      <c r="K311" s="21"/>
      <c r="L311" s="21"/>
      <c r="M311" s="21"/>
      <c r="N311" s="34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spans="1:28" ht="39.75" customHeight="1" x14ac:dyDescent="0.2">
      <c r="A312" s="19"/>
      <c r="B312" s="21"/>
      <c r="C312" s="21"/>
      <c r="D312" s="21"/>
      <c r="E312" s="21"/>
      <c r="F312" s="21"/>
      <c r="G312" s="21"/>
      <c r="H312" s="27"/>
      <c r="I312" s="21"/>
      <c r="J312" s="21"/>
      <c r="K312" s="21"/>
      <c r="L312" s="21"/>
      <c r="M312" s="21"/>
      <c r="N312" s="34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spans="1:28" ht="39.75" customHeight="1" x14ac:dyDescent="0.2">
      <c r="A313" s="19"/>
      <c r="B313" s="21"/>
      <c r="C313" s="21"/>
      <c r="D313" s="21"/>
      <c r="E313" s="21"/>
      <c r="F313" s="21"/>
      <c r="G313" s="21"/>
      <c r="H313" s="27"/>
      <c r="I313" s="21"/>
      <c r="J313" s="21"/>
      <c r="K313" s="21"/>
      <c r="L313" s="21"/>
      <c r="M313" s="21"/>
      <c r="N313" s="34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spans="1:28" ht="39.75" customHeight="1" x14ac:dyDescent="0.2">
      <c r="A314" s="19"/>
      <c r="B314" s="21"/>
      <c r="C314" s="21"/>
      <c r="D314" s="21"/>
      <c r="E314" s="21"/>
      <c r="F314" s="21"/>
      <c r="G314" s="21"/>
      <c r="H314" s="27"/>
      <c r="I314" s="21"/>
      <c r="J314" s="21"/>
      <c r="K314" s="21"/>
      <c r="L314" s="21"/>
      <c r="M314" s="21"/>
      <c r="N314" s="34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spans="1:28" ht="39.75" customHeight="1" x14ac:dyDescent="0.2">
      <c r="A315" s="19"/>
      <c r="B315" s="21"/>
      <c r="C315" s="21"/>
      <c r="D315" s="21"/>
      <c r="E315" s="21"/>
      <c r="F315" s="21"/>
      <c r="G315" s="21"/>
      <c r="H315" s="27"/>
      <c r="I315" s="21"/>
      <c r="J315" s="21"/>
      <c r="K315" s="21"/>
      <c r="L315" s="21"/>
      <c r="M315" s="21"/>
      <c r="N315" s="34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spans="1:28" ht="39.75" customHeight="1" x14ac:dyDescent="0.2">
      <c r="A316" s="19"/>
      <c r="B316" s="21"/>
      <c r="C316" s="21"/>
      <c r="D316" s="21"/>
      <c r="E316" s="21"/>
      <c r="F316" s="21"/>
      <c r="G316" s="21"/>
      <c r="H316" s="27"/>
      <c r="I316" s="21"/>
      <c r="J316" s="21"/>
      <c r="K316" s="21"/>
      <c r="L316" s="21"/>
      <c r="M316" s="21"/>
      <c r="N316" s="34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spans="1:28" ht="39.75" customHeight="1" x14ac:dyDescent="0.2">
      <c r="A317" s="19"/>
      <c r="B317" s="21"/>
      <c r="C317" s="21"/>
      <c r="D317" s="21"/>
      <c r="E317" s="21"/>
      <c r="F317" s="21"/>
      <c r="G317" s="21"/>
      <c r="H317" s="27"/>
      <c r="I317" s="21"/>
      <c r="J317" s="21"/>
      <c r="K317" s="21"/>
      <c r="L317" s="21"/>
      <c r="M317" s="21"/>
      <c r="N317" s="34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spans="1:28" ht="39.75" customHeight="1" x14ac:dyDescent="0.2">
      <c r="A318" s="19"/>
      <c r="B318" s="21"/>
      <c r="C318" s="21"/>
      <c r="D318" s="21"/>
      <c r="E318" s="21"/>
      <c r="F318" s="21"/>
      <c r="G318" s="21"/>
      <c r="H318" s="27"/>
      <c r="I318" s="21"/>
      <c r="J318" s="21"/>
      <c r="K318" s="21"/>
      <c r="L318" s="21"/>
      <c r="M318" s="21"/>
      <c r="N318" s="34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1:28" ht="39.75" customHeight="1" x14ac:dyDescent="0.2">
      <c r="A319" s="19"/>
      <c r="B319" s="21"/>
      <c r="C319" s="21"/>
      <c r="D319" s="21"/>
      <c r="E319" s="21"/>
      <c r="F319" s="21"/>
      <c r="G319" s="21"/>
      <c r="H319" s="27"/>
      <c r="I319" s="21"/>
      <c r="J319" s="21"/>
      <c r="K319" s="21"/>
      <c r="L319" s="21"/>
      <c r="M319" s="21"/>
      <c r="N319" s="34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spans="1:28" ht="39.75" customHeight="1" x14ac:dyDescent="0.2">
      <c r="A320" s="19"/>
      <c r="B320" s="21"/>
      <c r="C320" s="21"/>
      <c r="D320" s="21"/>
      <c r="E320" s="21"/>
      <c r="F320" s="21"/>
      <c r="G320" s="21"/>
      <c r="H320" s="27"/>
      <c r="I320" s="21"/>
      <c r="J320" s="21"/>
      <c r="K320" s="21"/>
      <c r="L320" s="21"/>
      <c r="M320" s="21"/>
      <c r="N320" s="34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spans="1:28" ht="39.75" customHeight="1" x14ac:dyDescent="0.2">
      <c r="A321" s="19"/>
      <c r="B321" s="21"/>
      <c r="C321" s="21"/>
      <c r="D321" s="21"/>
      <c r="E321" s="21"/>
      <c r="F321" s="21"/>
      <c r="G321" s="21"/>
      <c r="H321" s="27"/>
      <c r="I321" s="21"/>
      <c r="J321" s="21"/>
      <c r="K321" s="21"/>
      <c r="L321" s="21"/>
      <c r="M321" s="21"/>
      <c r="N321" s="34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spans="1:28" ht="39.75" customHeight="1" x14ac:dyDescent="0.2">
      <c r="A322" s="19"/>
      <c r="B322" s="21"/>
      <c r="C322" s="21"/>
      <c r="D322" s="21"/>
      <c r="E322" s="21"/>
      <c r="F322" s="21"/>
      <c r="G322" s="21"/>
      <c r="H322" s="27"/>
      <c r="I322" s="21"/>
      <c r="J322" s="21"/>
      <c r="K322" s="21"/>
      <c r="L322" s="21"/>
      <c r="M322" s="21"/>
      <c r="N322" s="34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spans="1:28" ht="39.75" customHeight="1" x14ac:dyDescent="0.2">
      <c r="A323" s="19"/>
      <c r="B323" s="21"/>
      <c r="C323" s="21"/>
      <c r="D323" s="21"/>
      <c r="E323" s="21"/>
      <c r="F323" s="21"/>
      <c r="G323" s="21"/>
      <c r="H323" s="27"/>
      <c r="I323" s="21"/>
      <c r="J323" s="21"/>
      <c r="K323" s="21"/>
      <c r="L323" s="21"/>
      <c r="M323" s="21"/>
      <c r="N323" s="34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spans="1:28" ht="39.75" customHeight="1" x14ac:dyDescent="0.2">
      <c r="A324" s="19"/>
      <c r="B324" s="21"/>
      <c r="C324" s="21"/>
      <c r="D324" s="21"/>
      <c r="E324" s="21"/>
      <c r="F324" s="21"/>
      <c r="G324" s="21"/>
      <c r="H324" s="27"/>
      <c r="I324" s="21"/>
      <c r="J324" s="21"/>
      <c r="K324" s="21"/>
      <c r="L324" s="21"/>
      <c r="M324" s="21"/>
      <c r="N324" s="34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spans="1:28" ht="39.75" customHeight="1" x14ac:dyDescent="0.2">
      <c r="A325" s="19"/>
      <c r="B325" s="21"/>
      <c r="C325" s="21"/>
      <c r="D325" s="21"/>
      <c r="E325" s="21"/>
      <c r="F325" s="21"/>
      <c r="G325" s="21"/>
      <c r="H325" s="27"/>
      <c r="I325" s="21"/>
      <c r="J325" s="21"/>
      <c r="K325" s="21"/>
      <c r="L325" s="21"/>
      <c r="M325" s="21"/>
      <c r="N325" s="34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spans="1:28" ht="39.75" customHeight="1" x14ac:dyDescent="0.2">
      <c r="A326" s="19"/>
      <c r="B326" s="21"/>
      <c r="C326" s="21"/>
      <c r="D326" s="21"/>
      <c r="E326" s="21"/>
      <c r="F326" s="21"/>
      <c r="G326" s="21"/>
      <c r="H326" s="27"/>
      <c r="I326" s="21"/>
      <c r="J326" s="21"/>
      <c r="K326" s="21"/>
      <c r="L326" s="21"/>
      <c r="M326" s="21"/>
      <c r="N326" s="34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spans="1:28" ht="39.75" customHeight="1" x14ac:dyDescent="0.2">
      <c r="A327" s="19"/>
      <c r="B327" s="21"/>
      <c r="C327" s="21"/>
      <c r="D327" s="21"/>
      <c r="E327" s="21"/>
      <c r="F327" s="21"/>
      <c r="G327" s="21"/>
      <c r="H327" s="27"/>
      <c r="I327" s="21"/>
      <c r="J327" s="21"/>
      <c r="K327" s="21"/>
      <c r="L327" s="21"/>
      <c r="M327" s="21"/>
      <c r="N327" s="34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spans="1:28" ht="39.75" customHeight="1" x14ac:dyDescent="0.2">
      <c r="A328" s="19"/>
      <c r="B328" s="21"/>
      <c r="C328" s="21"/>
      <c r="D328" s="21"/>
      <c r="E328" s="21"/>
      <c r="F328" s="21"/>
      <c r="G328" s="21"/>
      <c r="H328" s="27"/>
      <c r="I328" s="21"/>
      <c r="J328" s="21"/>
      <c r="K328" s="21"/>
      <c r="L328" s="21"/>
      <c r="M328" s="21"/>
      <c r="N328" s="34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spans="1:28" ht="39.75" customHeight="1" x14ac:dyDescent="0.2">
      <c r="A329" s="19"/>
      <c r="B329" s="21"/>
      <c r="C329" s="21"/>
      <c r="D329" s="21"/>
      <c r="E329" s="21"/>
      <c r="F329" s="21"/>
      <c r="G329" s="21"/>
      <c r="H329" s="27"/>
      <c r="I329" s="21"/>
      <c r="J329" s="21"/>
      <c r="K329" s="21"/>
      <c r="L329" s="21"/>
      <c r="M329" s="21"/>
      <c r="N329" s="34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spans="1:28" ht="39.75" customHeight="1" x14ac:dyDescent="0.2">
      <c r="A330" s="19"/>
      <c r="B330" s="21"/>
      <c r="C330" s="21"/>
      <c r="D330" s="21"/>
      <c r="E330" s="21"/>
      <c r="F330" s="21"/>
      <c r="G330" s="21"/>
      <c r="H330" s="27"/>
      <c r="I330" s="21"/>
      <c r="J330" s="21"/>
      <c r="K330" s="21"/>
      <c r="L330" s="21"/>
      <c r="M330" s="21"/>
      <c r="N330" s="34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spans="1:28" ht="39.75" customHeight="1" x14ac:dyDescent="0.2">
      <c r="A331" s="19"/>
      <c r="B331" s="21"/>
      <c r="C331" s="21"/>
      <c r="D331" s="21"/>
      <c r="E331" s="21"/>
      <c r="F331" s="21"/>
      <c r="G331" s="21"/>
      <c r="H331" s="27"/>
      <c r="I331" s="21"/>
      <c r="J331" s="21"/>
      <c r="K331" s="21"/>
      <c r="L331" s="21"/>
      <c r="M331" s="21"/>
      <c r="N331" s="34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spans="1:28" ht="39.75" customHeight="1" x14ac:dyDescent="0.2">
      <c r="A332" s="19"/>
      <c r="B332" s="21"/>
      <c r="C332" s="21"/>
      <c r="D332" s="21"/>
      <c r="E332" s="21"/>
      <c r="F332" s="21"/>
      <c r="G332" s="21"/>
      <c r="H332" s="27"/>
      <c r="I332" s="21"/>
      <c r="J332" s="21"/>
      <c r="K332" s="21"/>
      <c r="L332" s="21"/>
      <c r="M332" s="21"/>
      <c r="N332" s="34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spans="1:28" ht="39.75" customHeight="1" x14ac:dyDescent="0.2">
      <c r="A333" s="19"/>
      <c r="B333" s="21"/>
      <c r="C333" s="21"/>
      <c r="D333" s="21"/>
      <c r="E333" s="21"/>
      <c r="F333" s="21"/>
      <c r="G333" s="21"/>
      <c r="H333" s="27"/>
      <c r="I333" s="21"/>
      <c r="J333" s="21"/>
      <c r="K333" s="21"/>
      <c r="L333" s="21"/>
      <c r="M333" s="21"/>
      <c r="N333" s="34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spans="1:28" ht="39.75" customHeight="1" x14ac:dyDescent="0.2">
      <c r="A334" s="19"/>
      <c r="B334" s="21"/>
      <c r="C334" s="21"/>
      <c r="D334" s="21"/>
      <c r="E334" s="21"/>
      <c r="F334" s="21"/>
      <c r="G334" s="21"/>
      <c r="H334" s="27"/>
      <c r="I334" s="21"/>
      <c r="J334" s="21"/>
      <c r="K334" s="21"/>
      <c r="L334" s="21"/>
      <c r="M334" s="21"/>
      <c r="N334" s="34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spans="1:28" ht="39.75" customHeight="1" x14ac:dyDescent="0.2">
      <c r="A335" s="19"/>
      <c r="B335" s="21"/>
      <c r="C335" s="21"/>
      <c r="D335" s="21"/>
      <c r="E335" s="21"/>
      <c r="F335" s="21"/>
      <c r="G335" s="21"/>
      <c r="H335" s="27"/>
      <c r="I335" s="21"/>
      <c r="J335" s="21"/>
      <c r="K335" s="21"/>
      <c r="L335" s="21"/>
      <c r="M335" s="21"/>
      <c r="N335" s="34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spans="1:28" ht="39.75" customHeight="1" x14ac:dyDescent="0.2">
      <c r="A336" s="19"/>
      <c r="B336" s="21"/>
      <c r="C336" s="21"/>
      <c r="D336" s="21"/>
      <c r="E336" s="21"/>
      <c r="F336" s="21"/>
      <c r="G336" s="21"/>
      <c r="H336" s="27"/>
      <c r="I336" s="21"/>
      <c r="J336" s="21"/>
      <c r="K336" s="21"/>
      <c r="L336" s="21"/>
      <c r="M336" s="21"/>
      <c r="N336" s="34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spans="1:28" ht="39.75" customHeight="1" x14ac:dyDescent="0.2">
      <c r="A337" s="19"/>
      <c r="B337" s="21"/>
      <c r="C337" s="21"/>
      <c r="D337" s="21"/>
      <c r="E337" s="21"/>
      <c r="F337" s="21"/>
      <c r="G337" s="21"/>
      <c r="H337" s="27"/>
      <c r="I337" s="21"/>
      <c r="J337" s="21"/>
      <c r="K337" s="21"/>
      <c r="L337" s="21"/>
      <c r="M337" s="21"/>
      <c r="N337" s="34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spans="1:28" ht="39.75" customHeight="1" x14ac:dyDescent="0.2">
      <c r="A338" s="19"/>
      <c r="B338" s="21"/>
      <c r="C338" s="21"/>
      <c r="D338" s="21"/>
      <c r="E338" s="21"/>
      <c r="F338" s="21"/>
      <c r="G338" s="21"/>
      <c r="H338" s="27"/>
      <c r="I338" s="21"/>
      <c r="J338" s="21"/>
      <c r="K338" s="21"/>
      <c r="L338" s="21"/>
      <c r="M338" s="21"/>
      <c r="N338" s="34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spans="1:28" ht="39.75" customHeight="1" x14ac:dyDescent="0.2">
      <c r="A339" s="19"/>
      <c r="B339" s="21"/>
      <c r="C339" s="21"/>
      <c r="D339" s="21"/>
      <c r="E339" s="21"/>
      <c r="F339" s="21"/>
      <c r="G339" s="21"/>
      <c r="H339" s="27"/>
      <c r="I339" s="21"/>
      <c r="J339" s="21"/>
      <c r="K339" s="21"/>
      <c r="L339" s="21"/>
      <c r="M339" s="21"/>
      <c r="N339" s="34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spans="1:28" ht="39.75" customHeight="1" x14ac:dyDescent="0.2">
      <c r="A340" s="19"/>
      <c r="B340" s="21"/>
      <c r="C340" s="21"/>
      <c r="D340" s="21"/>
      <c r="E340" s="21"/>
      <c r="F340" s="21"/>
      <c r="G340" s="21"/>
      <c r="H340" s="27"/>
      <c r="I340" s="21"/>
      <c r="J340" s="21"/>
      <c r="K340" s="21"/>
      <c r="L340" s="21"/>
      <c r="M340" s="21"/>
      <c r="N340" s="34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spans="1:28" ht="39.75" customHeight="1" x14ac:dyDescent="0.2">
      <c r="A341" s="19"/>
      <c r="B341" s="21"/>
      <c r="C341" s="21"/>
      <c r="D341" s="21"/>
      <c r="E341" s="21"/>
      <c r="F341" s="21"/>
      <c r="G341" s="21"/>
      <c r="H341" s="27"/>
      <c r="I341" s="21"/>
      <c r="J341" s="21"/>
      <c r="K341" s="21"/>
      <c r="L341" s="21"/>
      <c r="M341" s="21"/>
      <c r="N341" s="34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spans="1:28" ht="39.75" customHeight="1" x14ac:dyDescent="0.2">
      <c r="A342" s="19"/>
      <c r="B342" s="21"/>
      <c r="C342" s="21"/>
      <c r="D342" s="21"/>
      <c r="E342" s="21"/>
      <c r="F342" s="21"/>
      <c r="G342" s="21"/>
      <c r="H342" s="27"/>
      <c r="I342" s="21"/>
      <c r="J342" s="21"/>
      <c r="K342" s="21"/>
      <c r="L342" s="21"/>
      <c r="M342" s="21"/>
      <c r="N342" s="34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spans="1:28" ht="39.75" customHeight="1" x14ac:dyDescent="0.2">
      <c r="A343" s="19"/>
      <c r="B343" s="21"/>
      <c r="C343" s="21"/>
      <c r="D343" s="21"/>
      <c r="E343" s="21"/>
      <c r="F343" s="21"/>
      <c r="G343" s="21"/>
      <c r="H343" s="27"/>
      <c r="I343" s="21"/>
      <c r="J343" s="21"/>
      <c r="K343" s="21"/>
      <c r="L343" s="21"/>
      <c r="M343" s="21"/>
      <c r="N343" s="34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spans="1:28" ht="39.75" customHeight="1" x14ac:dyDescent="0.2">
      <c r="A344" s="19"/>
      <c r="B344" s="21"/>
      <c r="C344" s="21"/>
      <c r="D344" s="21"/>
      <c r="E344" s="21"/>
      <c r="F344" s="21"/>
      <c r="G344" s="21"/>
      <c r="H344" s="27"/>
      <c r="I344" s="21"/>
      <c r="J344" s="21"/>
      <c r="K344" s="21"/>
      <c r="L344" s="21"/>
      <c r="M344" s="21"/>
      <c r="N344" s="34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spans="1:28" ht="39.75" customHeight="1" x14ac:dyDescent="0.2">
      <c r="A345" s="19"/>
      <c r="B345" s="21"/>
      <c r="C345" s="21"/>
      <c r="D345" s="21"/>
      <c r="E345" s="21"/>
      <c r="F345" s="21"/>
      <c r="G345" s="21"/>
      <c r="H345" s="27"/>
      <c r="I345" s="21"/>
      <c r="J345" s="21"/>
      <c r="K345" s="21"/>
      <c r="L345" s="21"/>
      <c r="M345" s="21"/>
      <c r="N345" s="34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spans="1:28" ht="39.75" customHeight="1" x14ac:dyDescent="0.2">
      <c r="A346" s="19"/>
      <c r="B346" s="21"/>
      <c r="C346" s="21"/>
      <c r="D346" s="21"/>
      <c r="E346" s="21"/>
      <c r="F346" s="21"/>
      <c r="G346" s="21"/>
      <c r="H346" s="27"/>
      <c r="I346" s="21"/>
      <c r="J346" s="21"/>
      <c r="K346" s="21"/>
      <c r="L346" s="21"/>
      <c r="M346" s="21"/>
      <c r="N346" s="34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spans="1:28" ht="39.75" customHeight="1" x14ac:dyDescent="0.2">
      <c r="A347" s="19"/>
      <c r="B347" s="21"/>
      <c r="C347" s="21"/>
      <c r="D347" s="21"/>
      <c r="E347" s="21"/>
      <c r="F347" s="21"/>
      <c r="G347" s="21"/>
      <c r="H347" s="27"/>
      <c r="I347" s="21"/>
      <c r="J347" s="21"/>
      <c r="K347" s="21"/>
      <c r="L347" s="21"/>
      <c r="M347" s="21"/>
      <c r="N347" s="34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spans="1:28" ht="39.75" customHeight="1" x14ac:dyDescent="0.2">
      <c r="A348" s="19"/>
      <c r="B348" s="21"/>
      <c r="C348" s="21"/>
      <c r="D348" s="21"/>
      <c r="E348" s="21"/>
      <c r="F348" s="21"/>
      <c r="G348" s="21"/>
      <c r="H348" s="27"/>
      <c r="I348" s="21"/>
      <c r="J348" s="21"/>
      <c r="K348" s="21"/>
      <c r="L348" s="21"/>
      <c r="M348" s="21"/>
      <c r="N348" s="34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spans="1:28" ht="39.75" customHeight="1" x14ac:dyDescent="0.2">
      <c r="A349" s="19"/>
      <c r="B349" s="21"/>
      <c r="C349" s="21"/>
      <c r="D349" s="21"/>
      <c r="E349" s="21"/>
      <c r="F349" s="21"/>
      <c r="G349" s="21"/>
      <c r="H349" s="27"/>
      <c r="I349" s="21"/>
      <c r="J349" s="21"/>
      <c r="K349" s="21"/>
      <c r="L349" s="21"/>
      <c r="M349" s="21"/>
      <c r="N349" s="34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spans="1:28" ht="39.75" customHeight="1" x14ac:dyDescent="0.2">
      <c r="A350" s="19"/>
      <c r="B350" s="21"/>
      <c r="C350" s="21"/>
      <c r="D350" s="21"/>
      <c r="E350" s="21"/>
      <c r="F350" s="21"/>
      <c r="G350" s="21"/>
      <c r="H350" s="27"/>
      <c r="I350" s="21"/>
      <c r="J350" s="21"/>
      <c r="K350" s="21"/>
      <c r="L350" s="21"/>
      <c r="M350" s="21"/>
      <c r="N350" s="34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spans="1:28" ht="39.75" customHeight="1" x14ac:dyDescent="0.2">
      <c r="A351" s="19"/>
      <c r="B351" s="21"/>
      <c r="C351" s="21"/>
      <c r="D351" s="21"/>
      <c r="E351" s="21"/>
      <c r="F351" s="21"/>
      <c r="G351" s="21"/>
      <c r="H351" s="27"/>
      <c r="I351" s="21"/>
      <c r="J351" s="21"/>
      <c r="K351" s="21"/>
      <c r="L351" s="21"/>
      <c r="M351" s="21"/>
      <c r="N351" s="34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spans="1:28" ht="39.75" customHeight="1" x14ac:dyDescent="0.2">
      <c r="A352" s="19"/>
      <c r="B352" s="21"/>
      <c r="C352" s="21"/>
      <c r="D352" s="21"/>
      <c r="E352" s="21"/>
      <c r="F352" s="21"/>
      <c r="G352" s="21"/>
      <c r="H352" s="27"/>
      <c r="I352" s="21"/>
      <c r="J352" s="21"/>
      <c r="K352" s="21"/>
      <c r="L352" s="21"/>
      <c r="M352" s="21"/>
      <c r="N352" s="34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spans="1:28" ht="39.75" customHeight="1" x14ac:dyDescent="0.2">
      <c r="A353" s="19"/>
      <c r="B353" s="21"/>
      <c r="C353" s="21"/>
      <c r="D353" s="21"/>
      <c r="E353" s="21"/>
      <c r="F353" s="21"/>
      <c r="G353" s="21"/>
      <c r="H353" s="27"/>
      <c r="I353" s="21"/>
      <c r="J353" s="21"/>
      <c r="K353" s="21"/>
      <c r="L353" s="21"/>
      <c r="M353" s="21"/>
      <c r="N353" s="34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spans="1:28" ht="39.75" customHeight="1" x14ac:dyDescent="0.2">
      <c r="A354" s="19"/>
      <c r="B354" s="21"/>
      <c r="C354" s="21"/>
      <c r="D354" s="21"/>
      <c r="E354" s="21"/>
      <c r="F354" s="21"/>
      <c r="G354" s="21"/>
      <c r="H354" s="27"/>
      <c r="I354" s="21"/>
      <c r="J354" s="21"/>
      <c r="K354" s="21"/>
      <c r="L354" s="21"/>
      <c r="M354" s="21"/>
      <c r="N354" s="34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spans="1:28" ht="39.75" customHeight="1" x14ac:dyDescent="0.2">
      <c r="A355" s="19"/>
      <c r="B355" s="21"/>
      <c r="C355" s="21"/>
      <c r="D355" s="21"/>
      <c r="E355" s="21"/>
      <c r="F355" s="21"/>
      <c r="G355" s="21"/>
      <c r="H355" s="27"/>
      <c r="I355" s="21"/>
      <c r="J355" s="21"/>
      <c r="K355" s="21"/>
      <c r="L355" s="21"/>
      <c r="M355" s="21"/>
      <c r="N355" s="34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spans="1:28" ht="39.75" customHeight="1" x14ac:dyDescent="0.2">
      <c r="A356" s="19"/>
      <c r="B356" s="21"/>
      <c r="C356" s="21"/>
      <c r="D356" s="21"/>
      <c r="E356" s="21"/>
      <c r="F356" s="21"/>
      <c r="G356" s="21"/>
      <c r="H356" s="27"/>
      <c r="I356" s="21"/>
      <c r="J356" s="21"/>
      <c r="K356" s="21"/>
      <c r="L356" s="21"/>
      <c r="M356" s="21"/>
      <c r="N356" s="34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spans="1:28" ht="39.75" customHeight="1" x14ac:dyDescent="0.2">
      <c r="A357" s="19"/>
      <c r="B357" s="21"/>
      <c r="C357" s="21"/>
      <c r="D357" s="21"/>
      <c r="E357" s="21"/>
      <c r="F357" s="21"/>
      <c r="G357" s="21"/>
      <c r="H357" s="27"/>
      <c r="I357" s="21"/>
      <c r="J357" s="21"/>
      <c r="K357" s="21"/>
      <c r="L357" s="21"/>
      <c r="M357" s="21"/>
      <c r="N357" s="34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spans="1:28" ht="39.75" customHeight="1" x14ac:dyDescent="0.2">
      <c r="A358" s="19"/>
      <c r="B358" s="21"/>
      <c r="C358" s="21"/>
      <c r="D358" s="21"/>
      <c r="E358" s="21"/>
      <c r="F358" s="21"/>
      <c r="G358" s="21"/>
      <c r="H358" s="27"/>
      <c r="I358" s="21"/>
      <c r="J358" s="21"/>
      <c r="K358" s="21"/>
      <c r="L358" s="21"/>
      <c r="M358" s="21"/>
      <c r="N358" s="34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spans="1:28" ht="39.75" customHeight="1" x14ac:dyDescent="0.2">
      <c r="A359" s="19"/>
      <c r="B359" s="21"/>
      <c r="C359" s="21"/>
      <c r="D359" s="21"/>
      <c r="E359" s="21"/>
      <c r="F359" s="21"/>
      <c r="G359" s="21"/>
      <c r="H359" s="27"/>
      <c r="I359" s="21"/>
      <c r="J359" s="21"/>
      <c r="K359" s="21"/>
      <c r="L359" s="21"/>
      <c r="M359" s="21"/>
      <c r="N359" s="34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spans="1:28" ht="39.75" customHeight="1" x14ac:dyDescent="0.2">
      <c r="A360" s="19"/>
      <c r="B360" s="21"/>
      <c r="C360" s="21"/>
      <c r="D360" s="21"/>
      <c r="E360" s="21"/>
      <c r="F360" s="21"/>
      <c r="G360" s="21"/>
      <c r="H360" s="27"/>
      <c r="I360" s="21"/>
      <c r="J360" s="21"/>
      <c r="K360" s="21"/>
      <c r="L360" s="21"/>
      <c r="M360" s="21"/>
      <c r="N360" s="34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spans="1:28" ht="39.75" customHeight="1" x14ac:dyDescent="0.2">
      <c r="A361" s="19"/>
      <c r="B361" s="21"/>
      <c r="C361" s="21"/>
      <c r="D361" s="21"/>
      <c r="E361" s="21"/>
      <c r="F361" s="21"/>
      <c r="G361" s="21"/>
      <c r="H361" s="27"/>
      <c r="I361" s="21"/>
      <c r="J361" s="21"/>
      <c r="K361" s="21"/>
      <c r="L361" s="21"/>
      <c r="M361" s="21"/>
      <c r="N361" s="34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spans="1:28" ht="39.75" customHeight="1" x14ac:dyDescent="0.2">
      <c r="A362" s="19"/>
      <c r="B362" s="21"/>
      <c r="C362" s="21"/>
      <c r="D362" s="21"/>
      <c r="E362" s="21"/>
      <c r="F362" s="21"/>
      <c r="G362" s="21"/>
      <c r="H362" s="27"/>
      <c r="I362" s="21"/>
      <c r="J362" s="21"/>
      <c r="K362" s="21"/>
      <c r="L362" s="21"/>
      <c r="M362" s="21"/>
      <c r="N362" s="34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spans="1:28" ht="39.75" customHeight="1" x14ac:dyDescent="0.2">
      <c r="A363" s="19"/>
      <c r="B363" s="21"/>
      <c r="C363" s="21"/>
      <c r="D363" s="21"/>
      <c r="E363" s="21"/>
      <c r="F363" s="21"/>
      <c r="G363" s="21"/>
      <c r="H363" s="27"/>
      <c r="I363" s="21"/>
      <c r="J363" s="21"/>
      <c r="K363" s="21"/>
      <c r="L363" s="21"/>
      <c r="M363" s="21"/>
      <c r="N363" s="34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spans="1:28" ht="39.75" customHeight="1" x14ac:dyDescent="0.2">
      <c r="A364" s="19"/>
      <c r="B364" s="21"/>
      <c r="C364" s="21"/>
      <c r="D364" s="21"/>
      <c r="E364" s="21"/>
      <c r="F364" s="21"/>
      <c r="G364" s="21"/>
      <c r="H364" s="27"/>
      <c r="I364" s="21"/>
      <c r="J364" s="21"/>
      <c r="K364" s="21"/>
      <c r="L364" s="21"/>
      <c r="M364" s="21"/>
      <c r="N364" s="34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spans="1:28" ht="39.75" customHeight="1" x14ac:dyDescent="0.2">
      <c r="A365" s="19"/>
      <c r="B365" s="21"/>
      <c r="C365" s="21"/>
      <c r="D365" s="21"/>
      <c r="E365" s="21"/>
      <c r="F365" s="21"/>
      <c r="G365" s="21"/>
      <c r="H365" s="27"/>
      <c r="I365" s="21"/>
      <c r="J365" s="21"/>
      <c r="K365" s="21"/>
      <c r="L365" s="21"/>
      <c r="M365" s="21"/>
      <c r="N365" s="34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spans="1:28" ht="39.75" customHeight="1" x14ac:dyDescent="0.2">
      <c r="A366" s="19"/>
      <c r="B366" s="21"/>
      <c r="C366" s="21"/>
      <c r="D366" s="21"/>
      <c r="E366" s="21"/>
      <c r="F366" s="21"/>
      <c r="G366" s="21"/>
      <c r="H366" s="27"/>
      <c r="I366" s="21"/>
      <c r="J366" s="21"/>
      <c r="K366" s="21"/>
      <c r="L366" s="21"/>
      <c r="M366" s="21"/>
      <c r="N366" s="34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spans="1:28" ht="39.75" customHeight="1" x14ac:dyDescent="0.2">
      <c r="A367" s="19"/>
      <c r="B367" s="21"/>
      <c r="C367" s="21"/>
      <c r="D367" s="21"/>
      <c r="E367" s="21"/>
      <c r="F367" s="21"/>
      <c r="G367" s="21"/>
      <c r="H367" s="27"/>
      <c r="I367" s="21"/>
      <c r="J367" s="21"/>
      <c r="K367" s="21"/>
      <c r="L367" s="21"/>
      <c r="M367" s="21"/>
      <c r="N367" s="34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spans="1:28" ht="39.75" customHeight="1" x14ac:dyDescent="0.2">
      <c r="A368" s="19"/>
      <c r="B368" s="21"/>
      <c r="C368" s="21"/>
      <c r="D368" s="21"/>
      <c r="E368" s="21"/>
      <c r="F368" s="21"/>
      <c r="G368" s="21"/>
      <c r="H368" s="27"/>
      <c r="I368" s="21"/>
      <c r="J368" s="21"/>
      <c r="K368" s="21"/>
      <c r="L368" s="21"/>
      <c r="M368" s="21"/>
      <c r="N368" s="34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spans="1:28" ht="39.75" customHeight="1" x14ac:dyDescent="0.2">
      <c r="A369" s="19"/>
      <c r="B369" s="21"/>
      <c r="C369" s="21"/>
      <c r="D369" s="21"/>
      <c r="E369" s="21"/>
      <c r="F369" s="21"/>
      <c r="G369" s="21"/>
      <c r="H369" s="27"/>
      <c r="I369" s="21"/>
      <c r="J369" s="21"/>
      <c r="K369" s="21"/>
      <c r="L369" s="21"/>
      <c r="M369" s="21"/>
      <c r="N369" s="34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spans="1:28" ht="39.75" customHeight="1" x14ac:dyDescent="0.2">
      <c r="A370" s="19"/>
      <c r="B370" s="21"/>
      <c r="C370" s="21"/>
      <c r="D370" s="21"/>
      <c r="E370" s="21"/>
      <c r="F370" s="21"/>
      <c r="G370" s="21"/>
      <c r="H370" s="27"/>
      <c r="I370" s="21"/>
      <c r="J370" s="21"/>
      <c r="K370" s="21"/>
      <c r="L370" s="21"/>
      <c r="M370" s="21"/>
      <c r="N370" s="34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spans="1:28" ht="39.75" customHeight="1" x14ac:dyDescent="0.2">
      <c r="A371" s="19"/>
      <c r="B371" s="21"/>
      <c r="C371" s="21"/>
      <c r="D371" s="21"/>
      <c r="E371" s="21"/>
      <c r="F371" s="21"/>
      <c r="G371" s="21"/>
      <c r="H371" s="27"/>
      <c r="I371" s="21"/>
      <c r="J371" s="21"/>
      <c r="K371" s="21"/>
      <c r="L371" s="21"/>
      <c r="M371" s="21"/>
      <c r="N371" s="34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spans="1:28" ht="39.75" customHeight="1" x14ac:dyDescent="0.2">
      <c r="A372" s="19"/>
      <c r="B372" s="21"/>
      <c r="C372" s="21"/>
      <c r="D372" s="21"/>
      <c r="E372" s="21"/>
      <c r="F372" s="21"/>
      <c r="G372" s="21"/>
      <c r="H372" s="27"/>
      <c r="I372" s="21"/>
      <c r="J372" s="21"/>
      <c r="K372" s="21"/>
      <c r="L372" s="21"/>
      <c r="M372" s="21"/>
      <c r="N372" s="34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spans="1:28" ht="39.75" customHeight="1" x14ac:dyDescent="0.2">
      <c r="A373" s="19"/>
      <c r="B373" s="21"/>
      <c r="C373" s="21"/>
      <c r="D373" s="21"/>
      <c r="E373" s="21"/>
      <c r="F373" s="21"/>
      <c r="G373" s="21"/>
      <c r="H373" s="27"/>
      <c r="I373" s="21"/>
      <c r="J373" s="21"/>
      <c r="K373" s="21"/>
      <c r="L373" s="21"/>
      <c r="M373" s="21"/>
      <c r="N373" s="34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spans="1:28" ht="39.75" customHeight="1" x14ac:dyDescent="0.2">
      <c r="A374" s="19"/>
      <c r="B374" s="21"/>
      <c r="C374" s="21"/>
      <c r="D374" s="21"/>
      <c r="E374" s="21"/>
      <c r="F374" s="21"/>
      <c r="G374" s="21"/>
      <c r="H374" s="27"/>
      <c r="I374" s="21"/>
      <c r="J374" s="21"/>
      <c r="K374" s="21"/>
      <c r="L374" s="21"/>
      <c r="M374" s="21"/>
      <c r="N374" s="34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spans="1:28" ht="39.75" customHeight="1" x14ac:dyDescent="0.2">
      <c r="A375" s="19"/>
      <c r="B375" s="21"/>
      <c r="C375" s="21"/>
      <c r="D375" s="21"/>
      <c r="E375" s="21"/>
      <c r="F375" s="21"/>
      <c r="G375" s="21"/>
      <c r="H375" s="27"/>
      <c r="I375" s="21"/>
      <c r="J375" s="21"/>
      <c r="K375" s="21"/>
      <c r="L375" s="21"/>
      <c r="M375" s="21"/>
      <c r="N375" s="34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spans="1:28" ht="39.75" customHeight="1" x14ac:dyDescent="0.2">
      <c r="A376" s="19"/>
      <c r="B376" s="21"/>
      <c r="C376" s="21"/>
      <c r="D376" s="21"/>
      <c r="E376" s="21"/>
      <c r="F376" s="21"/>
      <c r="G376" s="21"/>
      <c r="H376" s="27"/>
      <c r="I376" s="21"/>
      <c r="J376" s="21"/>
      <c r="K376" s="21"/>
      <c r="L376" s="21"/>
      <c r="M376" s="21"/>
      <c r="N376" s="34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spans="1:28" ht="39.75" customHeight="1" x14ac:dyDescent="0.2">
      <c r="A377" s="19"/>
      <c r="B377" s="21"/>
      <c r="C377" s="21"/>
      <c r="D377" s="21"/>
      <c r="E377" s="21"/>
      <c r="F377" s="21"/>
      <c r="G377" s="21"/>
      <c r="H377" s="27"/>
      <c r="I377" s="21"/>
      <c r="J377" s="21"/>
      <c r="K377" s="21"/>
      <c r="L377" s="21"/>
      <c r="M377" s="21"/>
      <c r="N377" s="34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spans="1:28" ht="39.75" customHeight="1" x14ac:dyDescent="0.2">
      <c r="A378" s="19"/>
      <c r="B378" s="21"/>
      <c r="C378" s="21"/>
      <c r="D378" s="21"/>
      <c r="E378" s="21"/>
      <c r="F378" s="21"/>
      <c r="G378" s="21"/>
      <c r="H378" s="27"/>
      <c r="I378" s="21"/>
      <c r="J378" s="21"/>
      <c r="K378" s="21"/>
      <c r="L378" s="21"/>
      <c r="M378" s="21"/>
      <c r="N378" s="34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spans="1:28" ht="39.75" customHeight="1" x14ac:dyDescent="0.2">
      <c r="A379" s="19"/>
      <c r="B379" s="21"/>
      <c r="C379" s="21"/>
      <c r="D379" s="21"/>
      <c r="E379" s="21"/>
      <c r="F379" s="21"/>
      <c r="G379" s="21"/>
      <c r="H379" s="27"/>
      <c r="I379" s="21"/>
      <c r="J379" s="21"/>
      <c r="K379" s="21"/>
      <c r="L379" s="21"/>
      <c r="M379" s="21"/>
      <c r="N379" s="34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spans="1:28" ht="39.75" customHeight="1" x14ac:dyDescent="0.2">
      <c r="A380" s="19"/>
      <c r="B380" s="21"/>
      <c r="C380" s="21"/>
      <c r="D380" s="21"/>
      <c r="E380" s="21"/>
      <c r="F380" s="21"/>
      <c r="G380" s="21"/>
      <c r="H380" s="27"/>
      <c r="I380" s="21"/>
      <c r="J380" s="21"/>
      <c r="K380" s="21"/>
      <c r="L380" s="21"/>
      <c r="M380" s="21"/>
      <c r="N380" s="34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spans="1:28" ht="39.75" customHeight="1" x14ac:dyDescent="0.2">
      <c r="A381" s="19"/>
      <c r="B381" s="21"/>
      <c r="C381" s="21"/>
      <c r="D381" s="21"/>
      <c r="E381" s="21"/>
      <c r="F381" s="21"/>
      <c r="G381" s="21"/>
      <c r="H381" s="27"/>
      <c r="I381" s="21"/>
      <c r="J381" s="21"/>
      <c r="K381" s="21"/>
      <c r="L381" s="21"/>
      <c r="M381" s="21"/>
      <c r="N381" s="34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spans="1:28" ht="39.75" customHeight="1" x14ac:dyDescent="0.2">
      <c r="A382" s="19"/>
      <c r="B382" s="21"/>
      <c r="C382" s="21"/>
      <c r="D382" s="21"/>
      <c r="E382" s="21"/>
      <c r="F382" s="21"/>
      <c r="G382" s="21"/>
      <c r="H382" s="27"/>
      <c r="I382" s="21"/>
      <c r="J382" s="21"/>
      <c r="K382" s="21"/>
      <c r="L382" s="21"/>
      <c r="M382" s="21"/>
      <c r="N382" s="34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spans="1:28" ht="39.75" customHeight="1" x14ac:dyDescent="0.2">
      <c r="A383" s="19"/>
      <c r="B383" s="21"/>
      <c r="C383" s="21"/>
      <c r="D383" s="21"/>
      <c r="E383" s="21"/>
      <c r="F383" s="21"/>
      <c r="G383" s="21"/>
      <c r="H383" s="27"/>
      <c r="I383" s="21"/>
      <c r="J383" s="21"/>
      <c r="K383" s="21"/>
      <c r="L383" s="21"/>
      <c r="M383" s="21"/>
      <c r="N383" s="34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spans="1:28" ht="39.75" customHeight="1" x14ac:dyDescent="0.2">
      <c r="A384" s="19"/>
      <c r="B384" s="21"/>
      <c r="C384" s="21"/>
      <c r="D384" s="21"/>
      <c r="E384" s="21"/>
      <c r="F384" s="21"/>
      <c r="G384" s="21"/>
      <c r="H384" s="27"/>
      <c r="I384" s="21"/>
      <c r="J384" s="21"/>
      <c r="K384" s="21"/>
      <c r="L384" s="21"/>
      <c r="M384" s="21"/>
      <c r="N384" s="34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spans="1:28" ht="39.75" customHeight="1" x14ac:dyDescent="0.2">
      <c r="A385" s="19"/>
      <c r="B385" s="21"/>
      <c r="C385" s="21"/>
      <c r="D385" s="21"/>
      <c r="E385" s="21"/>
      <c r="F385" s="21"/>
      <c r="G385" s="21"/>
      <c r="H385" s="27"/>
      <c r="I385" s="21"/>
      <c r="J385" s="21"/>
      <c r="K385" s="21"/>
      <c r="L385" s="21"/>
      <c r="M385" s="21"/>
      <c r="N385" s="34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spans="1:28" ht="39.75" customHeight="1" x14ac:dyDescent="0.2">
      <c r="A386" s="19"/>
      <c r="B386" s="21"/>
      <c r="C386" s="21"/>
      <c r="D386" s="21"/>
      <c r="E386" s="21"/>
      <c r="F386" s="21"/>
      <c r="G386" s="21"/>
      <c r="H386" s="27"/>
      <c r="I386" s="21"/>
      <c r="J386" s="21"/>
      <c r="K386" s="21"/>
      <c r="L386" s="21"/>
      <c r="M386" s="21"/>
      <c r="N386" s="34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spans="1:28" ht="39.75" customHeight="1" x14ac:dyDescent="0.2">
      <c r="A387" s="19"/>
      <c r="B387" s="21"/>
      <c r="C387" s="21"/>
      <c r="D387" s="21"/>
      <c r="E387" s="21"/>
      <c r="F387" s="21"/>
      <c r="G387" s="21"/>
      <c r="H387" s="27"/>
      <c r="I387" s="21"/>
      <c r="J387" s="21"/>
      <c r="K387" s="21"/>
      <c r="L387" s="21"/>
      <c r="M387" s="21"/>
      <c r="N387" s="34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spans="1:28" ht="39.75" customHeight="1" x14ac:dyDescent="0.2">
      <c r="A388" s="19"/>
      <c r="B388" s="21"/>
      <c r="C388" s="21"/>
      <c r="D388" s="21"/>
      <c r="E388" s="21"/>
      <c r="F388" s="21"/>
      <c r="G388" s="21"/>
      <c r="H388" s="27"/>
      <c r="I388" s="21"/>
      <c r="J388" s="21"/>
      <c r="K388" s="21"/>
      <c r="L388" s="21"/>
      <c r="M388" s="21"/>
      <c r="N388" s="34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spans="1:28" ht="39.75" customHeight="1" x14ac:dyDescent="0.2">
      <c r="A389" s="19"/>
      <c r="B389" s="21"/>
      <c r="C389" s="21"/>
      <c r="D389" s="21"/>
      <c r="E389" s="21"/>
      <c r="F389" s="21"/>
      <c r="G389" s="21"/>
      <c r="H389" s="27"/>
      <c r="I389" s="21"/>
      <c r="J389" s="21"/>
      <c r="K389" s="21"/>
      <c r="L389" s="21"/>
      <c r="M389" s="21"/>
      <c r="N389" s="34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spans="1:28" ht="39.75" customHeight="1" x14ac:dyDescent="0.2">
      <c r="A390" s="19"/>
      <c r="B390" s="21"/>
      <c r="C390" s="21"/>
      <c r="D390" s="21"/>
      <c r="E390" s="21"/>
      <c r="F390" s="21"/>
      <c r="G390" s="21"/>
      <c r="H390" s="27"/>
      <c r="I390" s="21"/>
      <c r="J390" s="21"/>
      <c r="K390" s="21"/>
      <c r="L390" s="21"/>
      <c r="M390" s="21"/>
      <c r="N390" s="34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spans="1:28" ht="39.75" customHeight="1" x14ac:dyDescent="0.2">
      <c r="A391" s="19"/>
      <c r="B391" s="21"/>
      <c r="C391" s="21"/>
      <c r="D391" s="21"/>
      <c r="E391" s="21"/>
      <c r="F391" s="21"/>
      <c r="G391" s="21"/>
      <c r="H391" s="27"/>
      <c r="I391" s="21"/>
      <c r="J391" s="21"/>
      <c r="K391" s="21"/>
      <c r="L391" s="21"/>
      <c r="M391" s="21"/>
      <c r="N391" s="34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spans="1:28" ht="39.75" customHeight="1" x14ac:dyDescent="0.2">
      <c r="A392" s="19"/>
      <c r="B392" s="21"/>
      <c r="C392" s="21"/>
      <c r="D392" s="21"/>
      <c r="E392" s="21"/>
      <c r="F392" s="21"/>
      <c r="G392" s="21"/>
      <c r="H392" s="27"/>
      <c r="I392" s="21"/>
      <c r="J392" s="21"/>
      <c r="K392" s="21"/>
      <c r="L392" s="21"/>
      <c r="M392" s="21"/>
      <c r="N392" s="34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spans="1:28" ht="39.75" customHeight="1" x14ac:dyDescent="0.2">
      <c r="A393" s="19"/>
      <c r="B393" s="21"/>
      <c r="C393" s="21"/>
      <c r="D393" s="21"/>
      <c r="E393" s="21"/>
      <c r="F393" s="21"/>
      <c r="G393" s="21"/>
      <c r="H393" s="27"/>
      <c r="I393" s="21"/>
      <c r="J393" s="21"/>
      <c r="K393" s="21"/>
      <c r="L393" s="21"/>
      <c r="M393" s="21"/>
      <c r="N393" s="34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spans="1:28" ht="39.75" customHeight="1" x14ac:dyDescent="0.2">
      <c r="A394" s="19"/>
      <c r="B394" s="21"/>
      <c r="C394" s="21"/>
      <c r="D394" s="21"/>
      <c r="E394" s="21"/>
      <c r="F394" s="21"/>
      <c r="G394" s="21"/>
      <c r="H394" s="27"/>
      <c r="I394" s="21"/>
      <c r="J394" s="21"/>
      <c r="K394" s="21"/>
      <c r="L394" s="21"/>
      <c r="M394" s="21"/>
      <c r="N394" s="34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1:28" ht="39.75" customHeight="1" x14ac:dyDescent="0.2">
      <c r="A395" s="19"/>
      <c r="B395" s="21"/>
      <c r="C395" s="21"/>
      <c r="D395" s="21"/>
      <c r="E395" s="21"/>
      <c r="F395" s="21"/>
      <c r="G395" s="21"/>
      <c r="H395" s="27"/>
      <c r="I395" s="21"/>
      <c r="J395" s="21"/>
      <c r="K395" s="21"/>
      <c r="L395" s="21"/>
      <c r="M395" s="21"/>
      <c r="N395" s="34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spans="1:28" ht="39.75" customHeight="1" x14ac:dyDescent="0.2">
      <c r="A396" s="19"/>
      <c r="B396" s="21"/>
      <c r="C396" s="21"/>
      <c r="D396" s="21"/>
      <c r="E396" s="21"/>
      <c r="F396" s="21"/>
      <c r="G396" s="21"/>
      <c r="H396" s="27"/>
      <c r="I396" s="21"/>
      <c r="J396" s="21"/>
      <c r="K396" s="21"/>
      <c r="L396" s="21"/>
      <c r="M396" s="21"/>
      <c r="N396" s="34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spans="1:28" ht="39.75" customHeight="1" x14ac:dyDescent="0.2">
      <c r="A397" s="19"/>
      <c r="B397" s="21"/>
      <c r="C397" s="21"/>
      <c r="D397" s="21"/>
      <c r="E397" s="21"/>
      <c r="F397" s="21"/>
      <c r="G397" s="21"/>
      <c r="H397" s="27"/>
      <c r="I397" s="21"/>
      <c r="J397" s="21"/>
      <c r="K397" s="21"/>
      <c r="L397" s="21"/>
      <c r="M397" s="21"/>
      <c r="N397" s="34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spans="1:28" ht="39.75" customHeight="1" x14ac:dyDescent="0.2">
      <c r="A398" s="19"/>
      <c r="B398" s="21"/>
      <c r="C398" s="21"/>
      <c r="D398" s="21"/>
      <c r="E398" s="21"/>
      <c r="F398" s="21"/>
      <c r="G398" s="21"/>
      <c r="H398" s="27"/>
      <c r="I398" s="21"/>
      <c r="J398" s="21"/>
      <c r="K398" s="21"/>
      <c r="L398" s="21"/>
      <c r="M398" s="21"/>
      <c r="N398" s="34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spans="1:28" ht="39.75" customHeight="1" x14ac:dyDescent="0.2">
      <c r="A399" s="19"/>
      <c r="B399" s="21"/>
      <c r="C399" s="21"/>
      <c r="D399" s="21"/>
      <c r="E399" s="21"/>
      <c r="F399" s="21"/>
      <c r="G399" s="21"/>
      <c r="H399" s="27"/>
      <c r="I399" s="21"/>
      <c r="J399" s="21"/>
      <c r="K399" s="21"/>
      <c r="L399" s="21"/>
      <c r="M399" s="21"/>
      <c r="N399" s="34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spans="1:28" ht="39.75" customHeight="1" x14ac:dyDescent="0.2">
      <c r="A400" s="19"/>
      <c r="B400" s="21"/>
      <c r="C400" s="21"/>
      <c r="D400" s="21"/>
      <c r="E400" s="21"/>
      <c r="F400" s="21"/>
      <c r="G400" s="21"/>
      <c r="H400" s="27"/>
      <c r="I400" s="21"/>
      <c r="J400" s="21"/>
      <c r="K400" s="21"/>
      <c r="L400" s="21"/>
      <c r="M400" s="21"/>
      <c r="N400" s="34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spans="1:28" ht="39.75" customHeight="1" x14ac:dyDescent="0.2">
      <c r="A401" s="19"/>
      <c r="B401" s="21"/>
      <c r="C401" s="21"/>
      <c r="D401" s="21"/>
      <c r="E401" s="21"/>
      <c r="F401" s="21"/>
      <c r="G401" s="21"/>
      <c r="H401" s="27"/>
      <c r="I401" s="21"/>
      <c r="J401" s="21"/>
      <c r="K401" s="21"/>
      <c r="L401" s="21"/>
      <c r="M401" s="21"/>
      <c r="N401" s="34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spans="1:28" ht="39.75" customHeight="1" x14ac:dyDescent="0.2">
      <c r="A402" s="19"/>
      <c r="B402" s="21"/>
      <c r="C402" s="21"/>
      <c r="D402" s="21"/>
      <c r="E402" s="21"/>
      <c r="F402" s="21"/>
      <c r="G402" s="21"/>
      <c r="H402" s="27"/>
      <c r="I402" s="21"/>
      <c r="J402" s="21"/>
      <c r="K402" s="21"/>
      <c r="L402" s="21"/>
      <c r="M402" s="21"/>
      <c r="N402" s="34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spans="1:28" ht="39.75" customHeight="1" x14ac:dyDescent="0.2">
      <c r="A403" s="19"/>
      <c r="B403" s="21"/>
      <c r="C403" s="21"/>
      <c r="D403" s="21"/>
      <c r="E403" s="21"/>
      <c r="F403" s="21"/>
      <c r="G403" s="21"/>
      <c r="H403" s="27"/>
      <c r="I403" s="21"/>
      <c r="J403" s="21"/>
      <c r="K403" s="21"/>
      <c r="L403" s="21"/>
      <c r="M403" s="21"/>
      <c r="N403" s="34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spans="1:28" ht="39.75" customHeight="1" x14ac:dyDescent="0.2">
      <c r="A404" s="19"/>
      <c r="B404" s="21"/>
      <c r="C404" s="21"/>
      <c r="D404" s="21"/>
      <c r="E404" s="21"/>
      <c r="F404" s="21"/>
      <c r="G404" s="21"/>
      <c r="H404" s="27"/>
      <c r="I404" s="21"/>
      <c r="J404" s="21"/>
      <c r="K404" s="21"/>
      <c r="L404" s="21"/>
      <c r="M404" s="21"/>
      <c r="N404" s="34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spans="1:28" ht="39.75" customHeight="1" x14ac:dyDescent="0.2">
      <c r="A405" s="19"/>
      <c r="B405" s="21"/>
      <c r="C405" s="21"/>
      <c r="D405" s="21"/>
      <c r="E405" s="21"/>
      <c r="F405" s="21"/>
      <c r="G405" s="21"/>
      <c r="H405" s="27"/>
      <c r="I405" s="21"/>
      <c r="J405" s="21"/>
      <c r="K405" s="21"/>
      <c r="L405" s="21"/>
      <c r="M405" s="21"/>
      <c r="N405" s="34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spans="1:28" ht="39.75" customHeight="1" x14ac:dyDescent="0.2">
      <c r="A406" s="19"/>
      <c r="B406" s="21"/>
      <c r="C406" s="21"/>
      <c r="D406" s="21"/>
      <c r="E406" s="21"/>
      <c r="F406" s="21"/>
      <c r="G406" s="21"/>
      <c r="H406" s="27"/>
      <c r="I406" s="21"/>
      <c r="J406" s="21"/>
      <c r="K406" s="21"/>
      <c r="L406" s="21"/>
      <c r="M406" s="21"/>
      <c r="N406" s="34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spans="1:28" ht="39.75" customHeight="1" x14ac:dyDescent="0.2">
      <c r="A407" s="19"/>
      <c r="B407" s="21"/>
      <c r="C407" s="21"/>
      <c r="D407" s="21"/>
      <c r="E407" s="21"/>
      <c r="F407" s="21"/>
      <c r="G407" s="21"/>
      <c r="H407" s="27"/>
      <c r="I407" s="21"/>
      <c r="J407" s="21"/>
      <c r="K407" s="21"/>
      <c r="L407" s="21"/>
      <c r="M407" s="21"/>
      <c r="N407" s="34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spans="1:28" ht="39.75" customHeight="1" x14ac:dyDescent="0.2">
      <c r="A408" s="19"/>
      <c r="B408" s="21"/>
      <c r="C408" s="21"/>
      <c r="D408" s="21"/>
      <c r="E408" s="21"/>
      <c r="F408" s="21"/>
      <c r="G408" s="21"/>
      <c r="H408" s="27"/>
      <c r="I408" s="21"/>
      <c r="J408" s="21"/>
      <c r="K408" s="21"/>
      <c r="L408" s="21"/>
      <c r="M408" s="21"/>
      <c r="N408" s="34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spans="1:28" ht="39.75" customHeight="1" x14ac:dyDescent="0.2">
      <c r="A409" s="19"/>
      <c r="B409" s="21"/>
      <c r="C409" s="21"/>
      <c r="D409" s="21"/>
      <c r="E409" s="21"/>
      <c r="F409" s="21"/>
      <c r="G409" s="21"/>
      <c r="H409" s="27"/>
      <c r="I409" s="21"/>
      <c r="J409" s="21"/>
      <c r="K409" s="21"/>
      <c r="L409" s="21"/>
      <c r="M409" s="21"/>
      <c r="N409" s="34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spans="1:28" ht="39.75" customHeight="1" x14ac:dyDescent="0.2">
      <c r="A410" s="19"/>
      <c r="B410" s="21"/>
      <c r="C410" s="21"/>
      <c r="D410" s="21"/>
      <c r="E410" s="21"/>
      <c r="F410" s="21"/>
      <c r="G410" s="21"/>
      <c r="H410" s="27"/>
      <c r="I410" s="21"/>
      <c r="J410" s="21"/>
      <c r="K410" s="21"/>
      <c r="L410" s="21"/>
      <c r="M410" s="21"/>
      <c r="N410" s="34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spans="1:28" ht="39.75" customHeight="1" x14ac:dyDescent="0.2">
      <c r="A411" s="19"/>
      <c r="B411" s="21"/>
      <c r="C411" s="21"/>
      <c r="D411" s="21"/>
      <c r="E411" s="21"/>
      <c r="F411" s="21"/>
      <c r="G411" s="21"/>
      <c r="H411" s="27"/>
      <c r="I411" s="21"/>
      <c r="J411" s="21"/>
      <c r="K411" s="21"/>
      <c r="L411" s="21"/>
      <c r="M411" s="21"/>
      <c r="N411" s="34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spans="1:28" ht="39.75" customHeight="1" x14ac:dyDescent="0.2">
      <c r="A412" s="19"/>
      <c r="B412" s="21"/>
      <c r="C412" s="21"/>
      <c r="D412" s="21"/>
      <c r="E412" s="21"/>
      <c r="F412" s="21"/>
      <c r="G412" s="21"/>
      <c r="H412" s="27"/>
      <c r="I412" s="21"/>
      <c r="J412" s="21"/>
      <c r="K412" s="21"/>
      <c r="L412" s="21"/>
      <c r="M412" s="21"/>
      <c r="N412" s="34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spans="1:28" ht="39.75" customHeight="1" x14ac:dyDescent="0.2">
      <c r="A413" s="19"/>
      <c r="B413" s="21"/>
      <c r="C413" s="21"/>
      <c r="D413" s="21"/>
      <c r="E413" s="21"/>
      <c r="F413" s="21"/>
      <c r="G413" s="21"/>
      <c r="H413" s="27"/>
      <c r="I413" s="21"/>
      <c r="J413" s="21"/>
      <c r="K413" s="21"/>
      <c r="L413" s="21"/>
      <c r="M413" s="21"/>
      <c r="N413" s="34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spans="1:28" ht="39.75" customHeight="1" x14ac:dyDescent="0.2">
      <c r="A414" s="19"/>
      <c r="B414" s="21"/>
      <c r="C414" s="21"/>
      <c r="D414" s="21"/>
      <c r="E414" s="21"/>
      <c r="F414" s="21"/>
      <c r="G414" s="21"/>
      <c r="H414" s="27"/>
      <c r="I414" s="21"/>
      <c r="J414" s="21"/>
      <c r="K414" s="21"/>
      <c r="L414" s="21"/>
      <c r="M414" s="21"/>
      <c r="N414" s="34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spans="1:28" ht="39.75" customHeight="1" x14ac:dyDescent="0.2">
      <c r="A415" s="19"/>
      <c r="B415" s="21"/>
      <c r="C415" s="21"/>
      <c r="D415" s="21"/>
      <c r="E415" s="21"/>
      <c r="F415" s="21"/>
      <c r="G415" s="21"/>
      <c r="H415" s="27"/>
      <c r="I415" s="21"/>
      <c r="J415" s="21"/>
      <c r="K415" s="21"/>
      <c r="L415" s="21"/>
      <c r="M415" s="21"/>
      <c r="N415" s="34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spans="1:28" ht="39.75" customHeight="1" x14ac:dyDescent="0.2">
      <c r="A416" s="19"/>
      <c r="B416" s="21"/>
      <c r="C416" s="21"/>
      <c r="D416" s="21"/>
      <c r="E416" s="21"/>
      <c r="F416" s="21"/>
      <c r="G416" s="21"/>
      <c r="H416" s="27"/>
      <c r="I416" s="21"/>
      <c r="J416" s="21"/>
      <c r="K416" s="21"/>
      <c r="L416" s="21"/>
      <c r="M416" s="21"/>
      <c r="N416" s="34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spans="1:28" ht="39.75" customHeight="1" x14ac:dyDescent="0.2">
      <c r="A417" s="19"/>
      <c r="B417" s="21"/>
      <c r="C417" s="21"/>
      <c r="D417" s="21"/>
      <c r="E417" s="21"/>
      <c r="F417" s="21"/>
      <c r="G417" s="21"/>
      <c r="H417" s="27"/>
      <c r="I417" s="21"/>
      <c r="J417" s="21"/>
      <c r="K417" s="21"/>
      <c r="L417" s="21"/>
      <c r="M417" s="21"/>
      <c r="N417" s="34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spans="1:28" ht="39.75" customHeight="1" x14ac:dyDescent="0.2">
      <c r="A418" s="19"/>
      <c r="B418" s="21"/>
      <c r="C418" s="21"/>
      <c r="D418" s="21"/>
      <c r="E418" s="21"/>
      <c r="F418" s="21"/>
      <c r="G418" s="21"/>
      <c r="H418" s="27"/>
      <c r="I418" s="21"/>
      <c r="J418" s="21"/>
      <c r="K418" s="21"/>
      <c r="L418" s="21"/>
      <c r="M418" s="21"/>
      <c r="N418" s="34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spans="1:28" ht="39.75" customHeight="1" x14ac:dyDescent="0.2">
      <c r="A419" s="19"/>
      <c r="B419" s="21"/>
      <c r="C419" s="21"/>
      <c r="D419" s="21"/>
      <c r="E419" s="21"/>
      <c r="F419" s="21"/>
      <c r="G419" s="21"/>
      <c r="H419" s="27"/>
      <c r="I419" s="21"/>
      <c r="J419" s="21"/>
      <c r="K419" s="21"/>
      <c r="L419" s="21"/>
      <c r="M419" s="21"/>
      <c r="N419" s="34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spans="1:28" ht="39.75" customHeight="1" x14ac:dyDescent="0.2">
      <c r="A420" s="19"/>
      <c r="B420" s="21"/>
      <c r="C420" s="21"/>
      <c r="D420" s="21"/>
      <c r="E420" s="21"/>
      <c r="F420" s="21"/>
      <c r="G420" s="21"/>
      <c r="H420" s="27"/>
      <c r="I420" s="21"/>
      <c r="J420" s="21"/>
      <c r="K420" s="21"/>
      <c r="L420" s="21"/>
      <c r="M420" s="21"/>
      <c r="N420" s="34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spans="1:28" ht="39.75" customHeight="1" x14ac:dyDescent="0.2">
      <c r="A421" s="19"/>
      <c r="B421" s="21"/>
      <c r="C421" s="21"/>
      <c r="D421" s="21"/>
      <c r="E421" s="21"/>
      <c r="F421" s="21"/>
      <c r="G421" s="21"/>
      <c r="H421" s="27"/>
      <c r="I421" s="21"/>
      <c r="J421" s="21"/>
      <c r="K421" s="21"/>
      <c r="L421" s="21"/>
      <c r="M421" s="21"/>
      <c r="N421" s="34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spans="1:28" ht="39.75" customHeight="1" x14ac:dyDescent="0.2">
      <c r="A422" s="19"/>
      <c r="B422" s="21"/>
      <c r="C422" s="21"/>
      <c r="D422" s="21"/>
      <c r="E422" s="21"/>
      <c r="F422" s="21"/>
      <c r="G422" s="21"/>
      <c r="H422" s="27"/>
      <c r="I422" s="21"/>
      <c r="J422" s="21"/>
      <c r="K422" s="21"/>
      <c r="L422" s="21"/>
      <c r="M422" s="21"/>
      <c r="N422" s="34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spans="1:28" ht="39.75" customHeight="1" x14ac:dyDescent="0.2">
      <c r="A423" s="19"/>
      <c r="B423" s="21"/>
      <c r="C423" s="21"/>
      <c r="D423" s="21"/>
      <c r="E423" s="21"/>
      <c r="F423" s="21"/>
      <c r="G423" s="21"/>
      <c r="H423" s="27"/>
      <c r="I423" s="21"/>
      <c r="J423" s="21"/>
      <c r="K423" s="21"/>
      <c r="L423" s="21"/>
      <c r="M423" s="21"/>
      <c r="N423" s="34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spans="1:28" ht="39.75" customHeight="1" x14ac:dyDescent="0.2">
      <c r="A424" s="19"/>
      <c r="B424" s="21"/>
      <c r="C424" s="21"/>
      <c r="D424" s="21"/>
      <c r="E424" s="21"/>
      <c r="F424" s="21"/>
      <c r="G424" s="21"/>
      <c r="H424" s="27"/>
      <c r="I424" s="21"/>
      <c r="J424" s="21"/>
      <c r="K424" s="21"/>
      <c r="L424" s="21"/>
      <c r="M424" s="21"/>
      <c r="N424" s="34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spans="1:28" ht="39.75" customHeight="1" x14ac:dyDescent="0.2">
      <c r="A425" s="19"/>
      <c r="B425" s="21"/>
      <c r="C425" s="21"/>
      <c r="D425" s="21"/>
      <c r="E425" s="21"/>
      <c r="F425" s="21"/>
      <c r="G425" s="21"/>
      <c r="H425" s="27"/>
      <c r="I425" s="21"/>
      <c r="J425" s="21"/>
      <c r="K425" s="21"/>
      <c r="L425" s="21"/>
      <c r="M425" s="21"/>
      <c r="N425" s="34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spans="1:28" ht="39.75" customHeight="1" x14ac:dyDescent="0.2">
      <c r="A426" s="19"/>
      <c r="B426" s="21"/>
      <c r="C426" s="21"/>
      <c r="D426" s="21"/>
      <c r="E426" s="21"/>
      <c r="F426" s="21"/>
      <c r="G426" s="21"/>
      <c r="H426" s="27"/>
      <c r="I426" s="21"/>
      <c r="J426" s="21"/>
      <c r="K426" s="21"/>
      <c r="L426" s="21"/>
      <c r="M426" s="21"/>
      <c r="N426" s="34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spans="1:28" ht="39.75" customHeight="1" x14ac:dyDescent="0.2">
      <c r="A427" s="19"/>
      <c r="B427" s="21"/>
      <c r="C427" s="21"/>
      <c r="D427" s="21"/>
      <c r="E427" s="21"/>
      <c r="F427" s="21"/>
      <c r="G427" s="21"/>
      <c r="H427" s="27"/>
      <c r="I427" s="21"/>
      <c r="J427" s="21"/>
      <c r="K427" s="21"/>
      <c r="L427" s="21"/>
      <c r="M427" s="21"/>
      <c r="N427" s="34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spans="1:28" ht="39.75" customHeight="1" x14ac:dyDescent="0.2">
      <c r="A428" s="19"/>
      <c r="B428" s="21"/>
      <c r="C428" s="21"/>
      <c r="D428" s="21"/>
      <c r="E428" s="21"/>
      <c r="F428" s="21"/>
      <c r="G428" s="21"/>
      <c r="H428" s="27"/>
      <c r="I428" s="21"/>
      <c r="J428" s="21"/>
      <c r="K428" s="21"/>
      <c r="L428" s="21"/>
      <c r="M428" s="21"/>
      <c r="N428" s="34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spans="1:28" ht="39.75" customHeight="1" x14ac:dyDescent="0.2">
      <c r="A429" s="19"/>
      <c r="B429" s="21"/>
      <c r="C429" s="21"/>
      <c r="D429" s="21"/>
      <c r="E429" s="21"/>
      <c r="F429" s="21"/>
      <c r="G429" s="21"/>
      <c r="H429" s="27"/>
      <c r="I429" s="21"/>
      <c r="J429" s="21"/>
      <c r="K429" s="21"/>
      <c r="L429" s="21"/>
      <c r="M429" s="21"/>
      <c r="N429" s="34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spans="1:28" ht="39.75" customHeight="1" x14ac:dyDescent="0.2">
      <c r="A430" s="19"/>
      <c r="B430" s="21"/>
      <c r="C430" s="21"/>
      <c r="D430" s="21"/>
      <c r="E430" s="21"/>
      <c r="F430" s="21"/>
      <c r="G430" s="21"/>
      <c r="H430" s="27"/>
      <c r="I430" s="21"/>
      <c r="J430" s="21"/>
      <c r="K430" s="21"/>
      <c r="L430" s="21"/>
      <c r="M430" s="21"/>
      <c r="N430" s="34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spans="1:28" ht="39.75" customHeight="1" x14ac:dyDescent="0.2">
      <c r="A431" s="19"/>
      <c r="B431" s="21"/>
      <c r="C431" s="21"/>
      <c r="D431" s="21"/>
      <c r="E431" s="21"/>
      <c r="F431" s="21"/>
      <c r="G431" s="21"/>
      <c r="H431" s="27"/>
      <c r="I431" s="21"/>
      <c r="J431" s="21"/>
      <c r="K431" s="21"/>
      <c r="L431" s="21"/>
      <c r="M431" s="21"/>
      <c r="N431" s="34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spans="1:28" ht="39.75" customHeight="1" x14ac:dyDescent="0.2">
      <c r="A432" s="19"/>
      <c r="B432" s="21"/>
      <c r="C432" s="21"/>
      <c r="D432" s="21"/>
      <c r="E432" s="21"/>
      <c r="F432" s="21"/>
      <c r="G432" s="21"/>
      <c r="H432" s="27"/>
      <c r="I432" s="21"/>
      <c r="J432" s="21"/>
      <c r="K432" s="21"/>
      <c r="L432" s="21"/>
      <c r="M432" s="21"/>
      <c r="N432" s="34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spans="1:28" ht="39.75" customHeight="1" x14ac:dyDescent="0.2">
      <c r="A433" s="19"/>
      <c r="B433" s="21"/>
      <c r="C433" s="21"/>
      <c r="D433" s="21"/>
      <c r="E433" s="21"/>
      <c r="F433" s="21"/>
      <c r="G433" s="21"/>
      <c r="H433" s="27"/>
      <c r="I433" s="21"/>
      <c r="J433" s="21"/>
      <c r="K433" s="21"/>
      <c r="L433" s="21"/>
      <c r="M433" s="21"/>
      <c r="N433" s="34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spans="1:28" ht="39.75" customHeight="1" x14ac:dyDescent="0.2">
      <c r="A434" s="19"/>
      <c r="B434" s="21"/>
      <c r="C434" s="21"/>
      <c r="D434" s="21"/>
      <c r="E434" s="21"/>
      <c r="F434" s="21"/>
      <c r="G434" s="21"/>
      <c r="H434" s="27"/>
      <c r="I434" s="21"/>
      <c r="J434" s="21"/>
      <c r="K434" s="21"/>
      <c r="L434" s="21"/>
      <c r="M434" s="21"/>
      <c r="N434" s="34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spans="1:28" ht="39.75" customHeight="1" x14ac:dyDescent="0.2">
      <c r="A435" s="19"/>
      <c r="B435" s="21"/>
      <c r="C435" s="21"/>
      <c r="D435" s="21"/>
      <c r="E435" s="21"/>
      <c r="F435" s="21"/>
      <c r="G435" s="21"/>
      <c r="H435" s="27"/>
      <c r="I435" s="21"/>
      <c r="J435" s="21"/>
      <c r="K435" s="21"/>
      <c r="L435" s="21"/>
      <c r="M435" s="21"/>
      <c r="N435" s="34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spans="1:28" ht="39.75" customHeight="1" x14ac:dyDescent="0.2">
      <c r="A436" s="19"/>
      <c r="B436" s="21"/>
      <c r="C436" s="21"/>
      <c r="D436" s="21"/>
      <c r="E436" s="21"/>
      <c r="F436" s="21"/>
      <c r="G436" s="21"/>
      <c r="H436" s="27"/>
      <c r="I436" s="21"/>
      <c r="J436" s="21"/>
      <c r="K436" s="21"/>
      <c r="L436" s="21"/>
      <c r="M436" s="21"/>
      <c r="N436" s="34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spans="1:28" ht="39.75" customHeight="1" x14ac:dyDescent="0.2">
      <c r="A437" s="19"/>
      <c r="B437" s="21"/>
      <c r="C437" s="21"/>
      <c r="D437" s="21"/>
      <c r="E437" s="21"/>
      <c r="F437" s="21"/>
      <c r="G437" s="21"/>
      <c r="H437" s="27"/>
      <c r="I437" s="21"/>
      <c r="J437" s="21"/>
      <c r="K437" s="21"/>
      <c r="L437" s="21"/>
      <c r="M437" s="21"/>
      <c r="N437" s="34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spans="1:28" ht="39.75" customHeight="1" x14ac:dyDescent="0.2">
      <c r="A438" s="19"/>
      <c r="B438" s="21"/>
      <c r="C438" s="21"/>
      <c r="D438" s="21"/>
      <c r="E438" s="21"/>
      <c r="F438" s="21"/>
      <c r="G438" s="21"/>
      <c r="H438" s="27"/>
      <c r="I438" s="21"/>
      <c r="J438" s="21"/>
      <c r="K438" s="21"/>
      <c r="L438" s="21"/>
      <c r="M438" s="21"/>
      <c r="N438" s="34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spans="1:28" ht="39.75" customHeight="1" x14ac:dyDescent="0.2">
      <c r="A439" s="19"/>
      <c r="B439" s="21"/>
      <c r="C439" s="21"/>
      <c r="D439" s="21"/>
      <c r="E439" s="21"/>
      <c r="F439" s="21"/>
      <c r="G439" s="21"/>
      <c r="H439" s="27"/>
      <c r="I439" s="21"/>
      <c r="J439" s="21"/>
      <c r="K439" s="21"/>
      <c r="L439" s="21"/>
      <c r="M439" s="21"/>
      <c r="N439" s="34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spans="1:28" ht="39.75" customHeight="1" x14ac:dyDescent="0.2">
      <c r="A440" s="19"/>
      <c r="B440" s="21"/>
      <c r="C440" s="21"/>
      <c r="D440" s="21"/>
      <c r="E440" s="21"/>
      <c r="F440" s="21"/>
      <c r="G440" s="21"/>
      <c r="H440" s="27"/>
      <c r="I440" s="21"/>
      <c r="J440" s="21"/>
      <c r="K440" s="21"/>
      <c r="L440" s="21"/>
      <c r="M440" s="21"/>
      <c r="N440" s="34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spans="1:28" ht="39.75" customHeight="1" x14ac:dyDescent="0.2">
      <c r="A441" s="19"/>
      <c r="B441" s="21"/>
      <c r="C441" s="21"/>
      <c r="D441" s="21"/>
      <c r="E441" s="21"/>
      <c r="F441" s="21"/>
      <c r="G441" s="21"/>
      <c r="H441" s="27"/>
      <c r="I441" s="21"/>
      <c r="J441" s="21"/>
      <c r="K441" s="21"/>
      <c r="L441" s="21"/>
      <c r="M441" s="21"/>
      <c r="N441" s="34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spans="1:28" ht="39.75" customHeight="1" x14ac:dyDescent="0.2">
      <c r="A442" s="19"/>
      <c r="B442" s="21"/>
      <c r="C442" s="21"/>
      <c r="D442" s="21"/>
      <c r="E442" s="21"/>
      <c r="F442" s="21"/>
      <c r="G442" s="21"/>
      <c r="H442" s="27"/>
      <c r="I442" s="21"/>
      <c r="J442" s="21"/>
      <c r="K442" s="21"/>
      <c r="L442" s="21"/>
      <c r="M442" s="21"/>
      <c r="N442" s="34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spans="1:28" ht="39.75" customHeight="1" x14ac:dyDescent="0.2">
      <c r="A443" s="19"/>
      <c r="B443" s="21"/>
      <c r="C443" s="21"/>
      <c r="D443" s="21"/>
      <c r="E443" s="21"/>
      <c r="F443" s="21"/>
      <c r="G443" s="21"/>
      <c r="H443" s="27"/>
      <c r="I443" s="21"/>
      <c r="J443" s="21"/>
      <c r="K443" s="21"/>
      <c r="L443" s="21"/>
      <c r="M443" s="21"/>
      <c r="N443" s="34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spans="1:28" ht="39.75" customHeight="1" x14ac:dyDescent="0.2">
      <c r="A444" s="19"/>
      <c r="B444" s="21"/>
      <c r="C444" s="21"/>
      <c r="D444" s="21"/>
      <c r="E444" s="21"/>
      <c r="F444" s="21"/>
      <c r="G444" s="21"/>
      <c r="H444" s="27"/>
      <c r="I444" s="21"/>
      <c r="J444" s="21"/>
      <c r="K444" s="21"/>
      <c r="L444" s="21"/>
      <c r="M444" s="21"/>
      <c r="N444" s="34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spans="1:28" ht="39.75" customHeight="1" x14ac:dyDescent="0.2">
      <c r="A445" s="19"/>
      <c r="B445" s="21"/>
      <c r="C445" s="21"/>
      <c r="D445" s="21"/>
      <c r="E445" s="21"/>
      <c r="F445" s="21"/>
      <c r="G445" s="21"/>
      <c r="H445" s="27"/>
      <c r="I445" s="21"/>
      <c r="J445" s="21"/>
      <c r="K445" s="21"/>
      <c r="L445" s="21"/>
      <c r="M445" s="21"/>
      <c r="N445" s="34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spans="1:28" ht="39.75" customHeight="1" x14ac:dyDescent="0.2">
      <c r="A446" s="19"/>
      <c r="B446" s="21"/>
      <c r="C446" s="21"/>
      <c r="D446" s="21"/>
      <c r="E446" s="21"/>
      <c r="F446" s="21"/>
      <c r="G446" s="21"/>
      <c r="H446" s="27"/>
      <c r="I446" s="21"/>
      <c r="J446" s="21"/>
      <c r="K446" s="21"/>
      <c r="L446" s="21"/>
      <c r="M446" s="21"/>
      <c r="N446" s="34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spans="1:28" ht="39.75" customHeight="1" x14ac:dyDescent="0.2">
      <c r="A447" s="19"/>
      <c r="B447" s="21"/>
      <c r="C447" s="21"/>
      <c r="D447" s="21"/>
      <c r="E447" s="21"/>
      <c r="F447" s="21"/>
      <c r="G447" s="21"/>
      <c r="H447" s="27"/>
      <c r="I447" s="21"/>
      <c r="J447" s="21"/>
      <c r="K447" s="21"/>
      <c r="L447" s="21"/>
      <c r="M447" s="21"/>
      <c r="N447" s="34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spans="1:28" ht="39.75" customHeight="1" x14ac:dyDescent="0.2">
      <c r="A448" s="19"/>
      <c r="B448" s="21"/>
      <c r="C448" s="21"/>
      <c r="D448" s="21"/>
      <c r="E448" s="21"/>
      <c r="F448" s="21"/>
      <c r="G448" s="21"/>
      <c r="H448" s="27"/>
      <c r="I448" s="21"/>
      <c r="J448" s="21"/>
      <c r="K448" s="21"/>
      <c r="L448" s="21"/>
      <c r="M448" s="21"/>
      <c r="N448" s="34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spans="1:28" ht="39.75" customHeight="1" x14ac:dyDescent="0.2">
      <c r="A449" s="19"/>
      <c r="B449" s="21"/>
      <c r="C449" s="21"/>
      <c r="D449" s="21"/>
      <c r="E449" s="21"/>
      <c r="F449" s="21"/>
      <c r="G449" s="21"/>
      <c r="H449" s="27"/>
      <c r="I449" s="21"/>
      <c r="J449" s="21"/>
      <c r="K449" s="21"/>
      <c r="L449" s="21"/>
      <c r="M449" s="21"/>
      <c r="N449" s="34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spans="1:28" ht="39.75" customHeight="1" x14ac:dyDescent="0.2">
      <c r="A450" s="19"/>
      <c r="B450" s="21"/>
      <c r="C450" s="21"/>
      <c r="D450" s="21"/>
      <c r="E450" s="21"/>
      <c r="F450" s="21"/>
      <c r="G450" s="21"/>
      <c r="H450" s="27"/>
      <c r="I450" s="21"/>
      <c r="J450" s="21"/>
      <c r="K450" s="21"/>
      <c r="L450" s="21"/>
      <c r="M450" s="21"/>
      <c r="N450" s="34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spans="1:28" ht="39.75" customHeight="1" x14ac:dyDescent="0.2">
      <c r="A451" s="19"/>
      <c r="B451" s="21"/>
      <c r="C451" s="21"/>
      <c r="D451" s="21"/>
      <c r="E451" s="21"/>
      <c r="F451" s="21"/>
      <c r="G451" s="21"/>
      <c r="H451" s="27"/>
      <c r="I451" s="21"/>
      <c r="J451" s="21"/>
      <c r="K451" s="21"/>
      <c r="L451" s="21"/>
      <c r="M451" s="21"/>
      <c r="N451" s="34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spans="1:28" ht="39.75" customHeight="1" x14ac:dyDescent="0.2">
      <c r="A452" s="19"/>
      <c r="B452" s="21"/>
      <c r="C452" s="21"/>
      <c r="D452" s="21"/>
      <c r="E452" s="21"/>
      <c r="F452" s="21"/>
      <c r="G452" s="21"/>
      <c r="H452" s="27"/>
      <c r="I452" s="21"/>
      <c r="J452" s="21"/>
      <c r="K452" s="21"/>
      <c r="L452" s="21"/>
      <c r="M452" s="21"/>
      <c r="N452" s="34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spans="1:28" ht="39.75" customHeight="1" x14ac:dyDescent="0.2">
      <c r="A453" s="19"/>
      <c r="B453" s="21"/>
      <c r="C453" s="21"/>
      <c r="D453" s="21"/>
      <c r="E453" s="21"/>
      <c r="F453" s="21"/>
      <c r="G453" s="21"/>
      <c r="H453" s="27"/>
      <c r="I453" s="21"/>
      <c r="J453" s="21"/>
      <c r="K453" s="21"/>
      <c r="L453" s="21"/>
      <c r="M453" s="21"/>
      <c r="N453" s="34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spans="1:28" ht="39.75" customHeight="1" x14ac:dyDescent="0.2">
      <c r="A454" s="19"/>
      <c r="B454" s="21"/>
      <c r="C454" s="21"/>
      <c r="D454" s="21"/>
      <c r="E454" s="21"/>
      <c r="F454" s="21"/>
      <c r="G454" s="21"/>
      <c r="H454" s="27"/>
      <c r="I454" s="21"/>
      <c r="J454" s="21"/>
      <c r="K454" s="21"/>
      <c r="L454" s="21"/>
      <c r="M454" s="21"/>
      <c r="N454" s="34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spans="1:28" ht="39.75" customHeight="1" x14ac:dyDescent="0.2">
      <c r="A455" s="19"/>
      <c r="B455" s="21"/>
      <c r="C455" s="21"/>
      <c r="D455" s="21"/>
      <c r="E455" s="21"/>
      <c r="F455" s="21"/>
      <c r="G455" s="21"/>
      <c r="H455" s="27"/>
      <c r="I455" s="21"/>
      <c r="J455" s="21"/>
      <c r="K455" s="21"/>
      <c r="L455" s="21"/>
      <c r="M455" s="21"/>
      <c r="N455" s="34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spans="1:28" ht="39.75" customHeight="1" x14ac:dyDescent="0.2">
      <c r="A456" s="19"/>
      <c r="B456" s="21"/>
      <c r="C456" s="21"/>
      <c r="D456" s="21"/>
      <c r="E456" s="21"/>
      <c r="F456" s="21"/>
      <c r="G456" s="21"/>
      <c r="H456" s="27"/>
      <c r="I456" s="21"/>
      <c r="J456" s="21"/>
      <c r="K456" s="21"/>
      <c r="L456" s="21"/>
      <c r="M456" s="21"/>
      <c r="N456" s="34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spans="1:28" ht="39.75" customHeight="1" x14ac:dyDescent="0.2">
      <c r="A457" s="19"/>
      <c r="B457" s="21"/>
      <c r="C457" s="21"/>
      <c r="D457" s="21"/>
      <c r="E457" s="21"/>
      <c r="F457" s="21"/>
      <c r="G457" s="21"/>
      <c r="H457" s="27"/>
      <c r="I457" s="21"/>
      <c r="J457" s="21"/>
      <c r="K457" s="21"/>
      <c r="L457" s="21"/>
      <c r="M457" s="21"/>
      <c r="N457" s="34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spans="1:28" ht="39.75" customHeight="1" x14ac:dyDescent="0.2">
      <c r="A458" s="19"/>
      <c r="B458" s="21"/>
      <c r="C458" s="21"/>
      <c r="D458" s="21"/>
      <c r="E458" s="21"/>
      <c r="F458" s="21"/>
      <c r="G458" s="21"/>
      <c r="H458" s="27"/>
      <c r="I458" s="21"/>
      <c r="J458" s="21"/>
      <c r="K458" s="21"/>
      <c r="L458" s="21"/>
      <c r="M458" s="21"/>
      <c r="N458" s="34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spans="1:28" ht="39.75" customHeight="1" x14ac:dyDescent="0.2">
      <c r="A459" s="19"/>
      <c r="B459" s="21"/>
      <c r="C459" s="21"/>
      <c r="D459" s="21"/>
      <c r="E459" s="21"/>
      <c r="F459" s="21"/>
      <c r="G459" s="21"/>
      <c r="H459" s="27"/>
      <c r="I459" s="21"/>
      <c r="J459" s="21"/>
      <c r="K459" s="21"/>
      <c r="L459" s="21"/>
      <c r="M459" s="21"/>
      <c r="N459" s="34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spans="1:28" ht="39.75" customHeight="1" x14ac:dyDescent="0.2">
      <c r="A460" s="19"/>
      <c r="B460" s="21"/>
      <c r="C460" s="21"/>
      <c r="D460" s="21"/>
      <c r="E460" s="21"/>
      <c r="F460" s="21"/>
      <c r="G460" s="21"/>
      <c r="H460" s="27"/>
      <c r="I460" s="21"/>
      <c r="J460" s="21"/>
      <c r="K460" s="21"/>
      <c r="L460" s="21"/>
      <c r="M460" s="21"/>
      <c r="N460" s="34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spans="1:28" ht="39.75" customHeight="1" x14ac:dyDescent="0.2">
      <c r="A461" s="19"/>
      <c r="B461" s="21"/>
      <c r="C461" s="21"/>
      <c r="D461" s="21"/>
      <c r="E461" s="21"/>
      <c r="F461" s="21"/>
      <c r="G461" s="21"/>
      <c r="H461" s="27"/>
      <c r="I461" s="21"/>
      <c r="J461" s="21"/>
      <c r="K461" s="21"/>
      <c r="L461" s="21"/>
      <c r="M461" s="21"/>
      <c r="N461" s="34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spans="1:28" ht="39.75" customHeight="1" x14ac:dyDescent="0.2">
      <c r="A462" s="19"/>
      <c r="B462" s="21"/>
      <c r="C462" s="21"/>
      <c r="D462" s="21"/>
      <c r="E462" s="21"/>
      <c r="F462" s="21"/>
      <c r="G462" s="21"/>
      <c r="H462" s="27"/>
      <c r="I462" s="21"/>
      <c r="J462" s="21"/>
      <c r="K462" s="21"/>
      <c r="L462" s="21"/>
      <c r="M462" s="21"/>
      <c r="N462" s="34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spans="1:28" ht="39.75" customHeight="1" x14ac:dyDescent="0.2">
      <c r="A463" s="19"/>
      <c r="B463" s="21"/>
      <c r="C463" s="21"/>
      <c r="D463" s="21"/>
      <c r="E463" s="21"/>
      <c r="F463" s="21"/>
      <c r="G463" s="21"/>
      <c r="H463" s="27"/>
      <c r="I463" s="21"/>
      <c r="J463" s="21"/>
      <c r="K463" s="21"/>
      <c r="L463" s="21"/>
      <c r="M463" s="21"/>
      <c r="N463" s="34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spans="1:28" ht="39.75" customHeight="1" x14ac:dyDescent="0.2">
      <c r="A464" s="19"/>
      <c r="B464" s="21"/>
      <c r="C464" s="21"/>
      <c r="D464" s="21"/>
      <c r="E464" s="21"/>
      <c r="F464" s="21"/>
      <c r="G464" s="21"/>
      <c r="H464" s="27"/>
      <c r="I464" s="21"/>
      <c r="J464" s="21"/>
      <c r="K464" s="21"/>
      <c r="L464" s="21"/>
      <c r="M464" s="21"/>
      <c r="N464" s="34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spans="1:28" ht="39.75" customHeight="1" x14ac:dyDescent="0.2">
      <c r="A465" s="19"/>
      <c r="B465" s="21"/>
      <c r="C465" s="21"/>
      <c r="D465" s="21"/>
      <c r="E465" s="21"/>
      <c r="F465" s="21"/>
      <c r="G465" s="21"/>
      <c r="H465" s="27"/>
      <c r="I465" s="21"/>
      <c r="J465" s="21"/>
      <c r="K465" s="21"/>
      <c r="L465" s="21"/>
      <c r="M465" s="21"/>
      <c r="N465" s="34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spans="1:28" ht="39.75" customHeight="1" x14ac:dyDescent="0.2">
      <c r="A466" s="19"/>
      <c r="B466" s="21"/>
      <c r="C466" s="21"/>
      <c r="D466" s="21"/>
      <c r="E466" s="21"/>
      <c r="F466" s="21"/>
      <c r="G466" s="21"/>
      <c r="H466" s="27"/>
      <c r="I466" s="21"/>
      <c r="J466" s="21"/>
      <c r="K466" s="21"/>
      <c r="L466" s="21"/>
      <c r="M466" s="21"/>
      <c r="N466" s="34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spans="1:28" ht="39.75" customHeight="1" x14ac:dyDescent="0.2">
      <c r="A467" s="19"/>
      <c r="B467" s="21"/>
      <c r="C467" s="21"/>
      <c r="D467" s="21"/>
      <c r="E467" s="21"/>
      <c r="F467" s="21"/>
      <c r="G467" s="21"/>
      <c r="H467" s="27"/>
      <c r="I467" s="21"/>
      <c r="J467" s="21"/>
      <c r="K467" s="21"/>
      <c r="L467" s="21"/>
      <c r="M467" s="21"/>
      <c r="N467" s="34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spans="1:28" ht="39.75" customHeight="1" x14ac:dyDescent="0.2">
      <c r="A468" s="19"/>
      <c r="B468" s="21"/>
      <c r="C468" s="21"/>
      <c r="D468" s="21"/>
      <c r="E468" s="21"/>
      <c r="F468" s="21"/>
      <c r="G468" s="21"/>
      <c r="H468" s="27"/>
      <c r="I468" s="21"/>
      <c r="J468" s="21"/>
      <c r="K468" s="21"/>
      <c r="L468" s="21"/>
      <c r="M468" s="21"/>
      <c r="N468" s="34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spans="1:28" ht="39.75" customHeight="1" x14ac:dyDescent="0.2">
      <c r="A469" s="19"/>
      <c r="B469" s="21"/>
      <c r="C469" s="21"/>
      <c r="D469" s="21"/>
      <c r="E469" s="21"/>
      <c r="F469" s="21"/>
      <c r="G469" s="21"/>
      <c r="H469" s="27"/>
      <c r="I469" s="21"/>
      <c r="J469" s="21"/>
      <c r="K469" s="21"/>
      <c r="L469" s="21"/>
      <c r="M469" s="21"/>
      <c r="N469" s="34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spans="1:28" ht="39.75" customHeight="1" x14ac:dyDescent="0.2">
      <c r="A470" s="19"/>
      <c r="B470" s="21"/>
      <c r="C470" s="21"/>
      <c r="D470" s="21"/>
      <c r="E470" s="21"/>
      <c r="F470" s="21"/>
      <c r="G470" s="21"/>
      <c r="H470" s="27"/>
      <c r="I470" s="21"/>
      <c r="J470" s="21"/>
      <c r="K470" s="21"/>
      <c r="L470" s="21"/>
      <c r="M470" s="21"/>
      <c r="N470" s="34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spans="1:28" ht="39.75" customHeight="1" x14ac:dyDescent="0.2">
      <c r="A471" s="19"/>
      <c r="B471" s="21"/>
      <c r="C471" s="21"/>
      <c r="D471" s="21"/>
      <c r="E471" s="21"/>
      <c r="F471" s="21"/>
      <c r="G471" s="21"/>
      <c r="H471" s="27"/>
      <c r="I471" s="21"/>
      <c r="J471" s="21"/>
      <c r="K471" s="21"/>
      <c r="L471" s="21"/>
      <c r="M471" s="21"/>
      <c r="N471" s="34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spans="1:28" ht="39.75" customHeight="1" x14ac:dyDescent="0.2">
      <c r="A472" s="19"/>
      <c r="B472" s="21"/>
      <c r="C472" s="21"/>
      <c r="D472" s="21"/>
      <c r="E472" s="21"/>
      <c r="F472" s="21"/>
      <c r="G472" s="21"/>
      <c r="H472" s="27"/>
      <c r="I472" s="21"/>
      <c r="J472" s="21"/>
      <c r="K472" s="21"/>
      <c r="L472" s="21"/>
      <c r="M472" s="21"/>
      <c r="N472" s="34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spans="1:28" ht="39.75" customHeight="1" x14ac:dyDescent="0.2">
      <c r="A473" s="19"/>
      <c r="B473" s="21"/>
      <c r="C473" s="21"/>
      <c r="D473" s="21"/>
      <c r="E473" s="21"/>
      <c r="F473" s="21"/>
      <c r="G473" s="21"/>
      <c r="H473" s="27"/>
      <c r="I473" s="21"/>
      <c r="J473" s="21"/>
      <c r="K473" s="21"/>
      <c r="L473" s="21"/>
      <c r="M473" s="21"/>
      <c r="N473" s="34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spans="1:28" ht="39.75" customHeight="1" x14ac:dyDescent="0.2">
      <c r="A474" s="19"/>
      <c r="B474" s="21"/>
      <c r="C474" s="21"/>
      <c r="D474" s="21"/>
      <c r="E474" s="21"/>
      <c r="F474" s="21"/>
      <c r="G474" s="21"/>
      <c r="H474" s="27"/>
      <c r="I474" s="21"/>
      <c r="J474" s="21"/>
      <c r="K474" s="21"/>
      <c r="L474" s="21"/>
      <c r="M474" s="21"/>
      <c r="N474" s="34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spans="1:28" ht="39.75" customHeight="1" x14ac:dyDescent="0.2">
      <c r="A475" s="19"/>
      <c r="B475" s="21"/>
      <c r="C475" s="21"/>
      <c r="D475" s="21"/>
      <c r="E475" s="21"/>
      <c r="F475" s="21"/>
      <c r="G475" s="21"/>
      <c r="H475" s="27"/>
      <c r="I475" s="21"/>
      <c r="J475" s="21"/>
      <c r="K475" s="21"/>
      <c r="L475" s="21"/>
      <c r="M475" s="21"/>
      <c r="N475" s="34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spans="1:28" ht="39.75" customHeight="1" x14ac:dyDescent="0.2">
      <c r="A476" s="19"/>
      <c r="B476" s="21"/>
      <c r="C476" s="21"/>
      <c r="D476" s="21"/>
      <c r="E476" s="21"/>
      <c r="F476" s="21"/>
      <c r="G476" s="21"/>
      <c r="H476" s="27"/>
      <c r="I476" s="21"/>
      <c r="J476" s="21"/>
      <c r="K476" s="21"/>
      <c r="L476" s="21"/>
      <c r="M476" s="21"/>
      <c r="N476" s="34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spans="1:28" ht="39.75" customHeight="1" x14ac:dyDescent="0.2">
      <c r="A477" s="19"/>
      <c r="B477" s="21"/>
      <c r="C477" s="21"/>
      <c r="D477" s="21"/>
      <c r="E477" s="21"/>
      <c r="F477" s="21"/>
      <c r="G477" s="21"/>
      <c r="H477" s="27"/>
      <c r="I477" s="21"/>
      <c r="J477" s="21"/>
      <c r="K477" s="21"/>
      <c r="L477" s="21"/>
      <c r="M477" s="21"/>
      <c r="N477" s="34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spans="1:28" ht="39.75" customHeight="1" x14ac:dyDescent="0.2">
      <c r="A478" s="19"/>
      <c r="B478" s="21"/>
      <c r="C478" s="21"/>
      <c r="D478" s="21"/>
      <c r="E478" s="21"/>
      <c r="F478" s="21"/>
      <c r="G478" s="21"/>
      <c r="H478" s="27"/>
      <c r="I478" s="21"/>
      <c r="J478" s="21"/>
      <c r="K478" s="21"/>
      <c r="L478" s="21"/>
      <c r="M478" s="21"/>
      <c r="N478" s="34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spans="1:28" ht="39.75" customHeight="1" x14ac:dyDescent="0.2">
      <c r="A479" s="19"/>
      <c r="B479" s="21"/>
      <c r="C479" s="21"/>
      <c r="D479" s="21"/>
      <c r="E479" s="21"/>
      <c r="F479" s="21"/>
      <c r="G479" s="21"/>
      <c r="H479" s="27"/>
      <c r="I479" s="21"/>
      <c r="J479" s="21"/>
      <c r="K479" s="21"/>
      <c r="L479" s="21"/>
      <c r="M479" s="21"/>
      <c r="N479" s="34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spans="1:28" ht="39.75" customHeight="1" x14ac:dyDescent="0.2">
      <c r="A480" s="19"/>
      <c r="B480" s="21"/>
      <c r="C480" s="21"/>
      <c r="D480" s="21"/>
      <c r="E480" s="21"/>
      <c r="F480" s="21"/>
      <c r="G480" s="21"/>
      <c r="H480" s="27"/>
      <c r="I480" s="21"/>
      <c r="J480" s="21"/>
      <c r="K480" s="21"/>
      <c r="L480" s="21"/>
      <c r="M480" s="21"/>
      <c r="N480" s="34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spans="1:28" ht="39.75" customHeight="1" x14ac:dyDescent="0.2">
      <c r="A481" s="19"/>
      <c r="B481" s="21"/>
      <c r="C481" s="21"/>
      <c r="D481" s="21"/>
      <c r="E481" s="21"/>
      <c r="F481" s="21"/>
      <c r="G481" s="21"/>
      <c r="H481" s="27"/>
      <c r="I481" s="21"/>
      <c r="J481" s="21"/>
      <c r="K481" s="21"/>
      <c r="L481" s="21"/>
      <c r="M481" s="21"/>
      <c r="N481" s="34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spans="1:28" ht="39.75" customHeight="1" x14ac:dyDescent="0.2">
      <c r="A482" s="19"/>
      <c r="B482" s="21"/>
      <c r="C482" s="21"/>
      <c r="D482" s="21"/>
      <c r="E482" s="21"/>
      <c r="F482" s="21"/>
      <c r="G482" s="21"/>
      <c r="H482" s="27"/>
      <c r="I482" s="21"/>
      <c r="J482" s="21"/>
      <c r="K482" s="21"/>
      <c r="L482" s="21"/>
      <c r="M482" s="21"/>
      <c r="N482" s="34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spans="1:28" ht="39.75" customHeight="1" x14ac:dyDescent="0.2">
      <c r="A483" s="19"/>
      <c r="B483" s="21"/>
      <c r="C483" s="21"/>
      <c r="D483" s="21"/>
      <c r="E483" s="21"/>
      <c r="F483" s="21"/>
      <c r="G483" s="21"/>
      <c r="H483" s="27"/>
      <c r="I483" s="21"/>
      <c r="J483" s="21"/>
      <c r="K483" s="21"/>
      <c r="L483" s="21"/>
      <c r="M483" s="21"/>
      <c r="N483" s="34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spans="1:28" ht="39.75" customHeight="1" x14ac:dyDescent="0.2">
      <c r="A484" s="19"/>
      <c r="B484" s="21"/>
      <c r="C484" s="21"/>
      <c r="D484" s="21"/>
      <c r="E484" s="21"/>
      <c r="F484" s="21"/>
      <c r="G484" s="21"/>
      <c r="H484" s="27"/>
      <c r="I484" s="21"/>
      <c r="J484" s="21"/>
      <c r="K484" s="21"/>
      <c r="L484" s="21"/>
      <c r="M484" s="21"/>
      <c r="N484" s="34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spans="1:28" ht="39.75" customHeight="1" x14ac:dyDescent="0.2">
      <c r="A485" s="19"/>
      <c r="B485" s="21"/>
      <c r="C485" s="21"/>
      <c r="D485" s="21"/>
      <c r="E485" s="21"/>
      <c r="F485" s="21"/>
      <c r="G485" s="21"/>
      <c r="H485" s="27"/>
      <c r="I485" s="21"/>
      <c r="J485" s="21"/>
      <c r="K485" s="21"/>
      <c r="L485" s="21"/>
      <c r="M485" s="21"/>
      <c r="N485" s="34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spans="1:28" ht="39.75" customHeight="1" x14ac:dyDescent="0.2">
      <c r="A486" s="19"/>
      <c r="B486" s="21"/>
      <c r="C486" s="21"/>
      <c r="D486" s="21"/>
      <c r="E486" s="21"/>
      <c r="F486" s="21"/>
      <c r="G486" s="21"/>
      <c r="H486" s="27"/>
      <c r="I486" s="21"/>
      <c r="J486" s="21"/>
      <c r="K486" s="21"/>
      <c r="L486" s="21"/>
      <c r="M486" s="21"/>
      <c r="N486" s="34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spans="1:28" ht="39.75" customHeight="1" x14ac:dyDescent="0.2">
      <c r="A487" s="19"/>
      <c r="B487" s="21"/>
      <c r="C487" s="21"/>
      <c r="D487" s="21"/>
      <c r="E487" s="21"/>
      <c r="F487" s="21"/>
      <c r="G487" s="21"/>
      <c r="H487" s="27"/>
      <c r="I487" s="21"/>
      <c r="J487" s="21"/>
      <c r="K487" s="21"/>
      <c r="L487" s="21"/>
      <c r="M487" s="21"/>
      <c r="N487" s="34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spans="1:28" ht="39.75" customHeight="1" x14ac:dyDescent="0.2">
      <c r="A488" s="19"/>
      <c r="B488" s="21"/>
      <c r="C488" s="21"/>
      <c r="D488" s="21"/>
      <c r="E488" s="21"/>
      <c r="F488" s="21"/>
      <c r="G488" s="21"/>
      <c r="H488" s="27"/>
      <c r="I488" s="21"/>
      <c r="J488" s="21"/>
      <c r="K488" s="21"/>
      <c r="L488" s="21"/>
      <c r="M488" s="21"/>
      <c r="N488" s="34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spans="1:28" ht="39.75" customHeight="1" x14ac:dyDescent="0.2">
      <c r="A489" s="19"/>
      <c r="B489" s="21"/>
      <c r="C489" s="21"/>
      <c r="D489" s="21"/>
      <c r="E489" s="21"/>
      <c r="F489" s="21"/>
      <c r="G489" s="21"/>
      <c r="H489" s="27"/>
      <c r="I489" s="21"/>
      <c r="J489" s="21"/>
      <c r="K489" s="21"/>
      <c r="L489" s="21"/>
      <c r="M489" s="21"/>
      <c r="N489" s="34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spans="1:28" ht="39.75" customHeight="1" x14ac:dyDescent="0.2">
      <c r="A490" s="19"/>
      <c r="B490" s="21"/>
      <c r="C490" s="21"/>
      <c r="D490" s="21"/>
      <c r="E490" s="21"/>
      <c r="F490" s="21"/>
      <c r="G490" s="21"/>
      <c r="H490" s="27"/>
      <c r="I490" s="21"/>
      <c r="J490" s="21"/>
      <c r="K490" s="21"/>
      <c r="L490" s="21"/>
      <c r="M490" s="21"/>
      <c r="N490" s="34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spans="1:28" ht="39.75" customHeight="1" x14ac:dyDescent="0.2">
      <c r="A491" s="19"/>
      <c r="B491" s="21"/>
      <c r="C491" s="21"/>
      <c r="D491" s="21"/>
      <c r="E491" s="21"/>
      <c r="F491" s="21"/>
      <c r="G491" s="21"/>
      <c r="H491" s="27"/>
      <c r="I491" s="21"/>
      <c r="J491" s="21"/>
      <c r="K491" s="21"/>
      <c r="L491" s="21"/>
      <c r="M491" s="21"/>
      <c r="N491" s="34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spans="1:28" ht="39.75" customHeight="1" x14ac:dyDescent="0.2">
      <c r="A492" s="19"/>
      <c r="B492" s="21"/>
      <c r="C492" s="21"/>
      <c r="D492" s="21"/>
      <c r="E492" s="21"/>
      <c r="F492" s="21"/>
      <c r="G492" s="21"/>
      <c r="H492" s="27"/>
      <c r="I492" s="21"/>
      <c r="J492" s="21"/>
      <c r="K492" s="21"/>
      <c r="L492" s="21"/>
      <c r="M492" s="21"/>
      <c r="N492" s="34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spans="1:28" ht="39.75" customHeight="1" x14ac:dyDescent="0.2">
      <c r="A493" s="19"/>
      <c r="B493" s="21"/>
      <c r="C493" s="21"/>
      <c r="D493" s="21"/>
      <c r="E493" s="21"/>
      <c r="F493" s="21"/>
      <c r="G493" s="21"/>
      <c r="H493" s="27"/>
      <c r="I493" s="21"/>
      <c r="J493" s="21"/>
      <c r="K493" s="21"/>
      <c r="L493" s="21"/>
      <c r="M493" s="21"/>
      <c r="N493" s="34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spans="1:28" ht="39.75" customHeight="1" x14ac:dyDescent="0.2">
      <c r="A494" s="19"/>
      <c r="B494" s="21"/>
      <c r="C494" s="21"/>
      <c r="D494" s="21"/>
      <c r="E494" s="21"/>
      <c r="F494" s="21"/>
      <c r="G494" s="21"/>
      <c r="H494" s="27"/>
      <c r="I494" s="21"/>
      <c r="J494" s="21"/>
      <c r="K494" s="21"/>
      <c r="L494" s="21"/>
      <c r="M494" s="21"/>
      <c r="N494" s="34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spans="1:28" ht="39.75" customHeight="1" x14ac:dyDescent="0.2">
      <c r="A495" s="19"/>
      <c r="B495" s="21"/>
      <c r="C495" s="21"/>
      <c r="D495" s="21"/>
      <c r="E495" s="21"/>
      <c r="F495" s="21"/>
      <c r="G495" s="21"/>
      <c r="H495" s="27"/>
      <c r="I495" s="21"/>
      <c r="J495" s="21"/>
      <c r="K495" s="21"/>
      <c r="L495" s="21"/>
      <c r="M495" s="21"/>
      <c r="N495" s="34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spans="1:28" ht="39.75" customHeight="1" x14ac:dyDescent="0.2">
      <c r="A496" s="19"/>
      <c r="B496" s="21"/>
      <c r="C496" s="21"/>
      <c r="D496" s="21"/>
      <c r="E496" s="21"/>
      <c r="F496" s="21"/>
      <c r="G496" s="21"/>
      <c r="H496" s="27"/>
      <c r="I496" s="21"/>
      <c r="J496" s="21"/>
      <c r="K496" s="21"/>
      <c r="L496" s="21"/>
      <c r="M496" s="21"/>
      <c r="N496" s="34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spans="1:28" ht="39.75" customHeight="1" x14ac:dyDescent="0.2">
      <c r="A497" s="19"/>
      <c r="B497" s="21"/>
      <c r="C497" s="21"/>
      <c r="D497" s="21"/>
      <c r="E497" s="21"/>
      <c r="F497" s="21"/>
      <c r="G497" s="21"/>
      <c r="H497" s="27"/>
      <c r="I497" s="21"/>
      <c r="J497" s="21"/>
      <c r="K497" s="21"/>
      <c r="L497" s="21"/>
      <c r="M497" s="21"/>
      <c r="N497" s="34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spans="1:28" ht="39.75" customHeight="1" x14ac:dyDescent="0.2">
      <c r="A498" s="19"/>
      <c r="B498" s="21"/>
      <c r="C498" s="21"/>
      <c r="D498" s="21"/>
      <c r="E498" s="21"/>
      <c r="F498" s="21"/>
      <c r="G498" s="21"/>
      <c r="H498" s="27"/>
      <c r="I498" s="21"/>
      <c r="J498" s="21"/>
      <c r="K498" s="21"/>
      <c r="L498" s="21"/>
      <c r="M498" s="21"/>
      <c r="N498" s="34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spans="1:28" ht="39.75" customHeight="1" x14ac:dyDescent="0.2">
      <c r="A499" s="19"/>
      <c r="B499" s="21"/>
      <c r="C499" s="21"/>
      <c r="D499" s="21"/>
      <c r="E499" s="21"/>
      <c r="F499" s="21"/>
      <c r="G499" s="21"/>
      <c r="H499" s="27"/>
      <c r="I499" s="21"/>
      <c r="J499" s="21"/>
      <c r="K499" s="21"/>
      <c r="L499" s="21"/>
      <c r="M499" s="21"/>
      <c r="N499" s="34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spans="1:28" ht="39.75" customHeight="1" x14ac:dyDescent="0.2">
      <c r="A500" s="19"/>
      <c r="B500" s="21"/>
      <c r="C500" s="21"/>
      <c r="D500" s="21"/>
      <c r="E500" s="21"/>
      <c r="F500" s="21"/>
      <c r="G500" s="21"/>
      <c r="H500" s="27"/>
      <c r="I500" s="21"/>
      <c r="J500" s="21"/>
      <c r="K500" s="21"/>
      <c r="L500" s="21"/>
      <c r="M500" s="21"/>
      <c r="N500" s="34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spans="1:28" ht="39.75" customHeight="1" x14ac:dyDescent="0.2">
      <c r="A501" s="19"/>
      <c r="B501" s="21"/>
      <c r="C501" s="21"/>
      <c r="D501" s="21"/>
      <c r="E501" s="21"/>
      <c r="F501" s="21"/>
      <c r="G501" s="21"/>
      <c r="H501" s="27"/>
      <c r="I501" s="21"/>
      <c r="J501" s="21"/>
      <c r="K501" s="21"/>
      <c r="L501" s="21"/>
      <c r="M501" s="21"/>
      <c r="N501" s="34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spans="1:28" ht="39.75" customHeight="1" x14ac:dyDescent="0.2">
      <c r="A502" s="19"/>
      <c r="B502" s="21"/>
      <c r="C502" s="21"/>
      <c r="D502" s="21"/>
      <c r="E502" s="21"/>
      <c r="F502" s="21"/>
      <c r="G502" s="21"/>
      <c r="H502" s="27"/>
      <c r="I502" s="21"/>
      <c r="J502" s="21"/>
      <c r="K502" s="21"/>
      <c r="L502" s="21"/>
      <c r="M502" s="21"/>
      <c r="N502" s="34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spans="1:28" ht="39.75" customHeight="1" x14ac:dyDescent="0.2">
      <c r="A503" s="19"/>
      <c r="B503" s="21"/>
      <c r="C503" s="21"/>
      <c r="D503" s="21"/>
      <c r="E503" s="21"/>
      <c r="F503" s="21"/>
      <c r="G503" s="21"/>
      <c r="H503" s="27"/>
      <c r="I503" s="21"/>
      <c r="J503" s="21"/>
      <c r="K503" s="21"/>
      <c r="L503" s="21"/>
      <c r="M503" s="21"/>
      <c r="N503" s="34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spans="1:28" ht="39.75" customHeight="1" x14ac:dyDescent="0.2">
      <c r="A504" s="19"/>
      <c r="B504" s="21"/>
      <c r="C504" s="21"/>
      <c r="D504" s="21"/>
      <c r="E504" s="21"/>
      <c r="F504" s="21"/>
      <c r="G504" s="21"/>
      <c r="H504" s="27"/>
      <c r="I504" s="21"/>
      <c r="J504" s="21"/>
      <c r="K504" s="21"/>
      <c r="L504" s="21"/>
      <c r="M504" s="21"/>
      <c r="N504" s="34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spans="1:28" ht="39.75" customHeight="1" x14ac:dyDescent="0.2">
      <c r="A505" s="19"/>
      <c r="B505" s="21"/>
      <c r="C505" s="21"/>
      <c r="D505" s="21"/>
      <c r="E505" s="21"/>
      <c r="F505" s="21"/>
      <c r="G505" s="21"/>
      <c r="H505" s="27"/>
      <c r="I505" s="21"/>
      <c r="J505" s="21"/>
      <c r="K505" s="21"/>
      <c r="L505" s="21"/>
      <c r="M505" s="21"/>
      <c r="N505" s="34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spans="1:28" ht="39.75" customHeight="1" x14ac:dyDescent="0.2">
      <c r="A506" s="19"/>
      <c r="B506" s="21"/>
      <c r="C506" s="21"/>
      <c r="D506" s="21"/>
      <c r="E506" s="21"/>
      <c r="F506" s="21"/>
      <c r="G506" s="21"/>
      <c r="H506" s="27"/>
      <c r="I506" s="21"/>
      <c r="J506" s="21"/>
      <c r="K506" s="21"/>
      <c r="L506" s="21"/>
      <c r="M506" s="21"/>
      <c r="N506" s="34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spans="1:28" ht="39.75" customHeight="1" x14ac:dyDescent="0.2">
      <c r="A507" s="19"/>
      <c r="B507" s="21"/>
      <c r="C507" s="21"/>
      <c r="D507" s="21"/>
      <c r="E507" s="21"/>
      <c r="F507" s="21"/>
      <c r="G507" s="21"/>
      <c r="H507" s="27"/>
      <c r="I507" s="21"/>
      <c r="J507" s="21"/>
      <c r="K507" s="21"/>
      <c r="L507" s="21"/>
      <c r="M507" s="21"/>
      <c r="N507" s="34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spans="1:28" ht="39.75" customHeight="1" x14ac:dyDescent="0.2">
      <c r="A508" s="19"/>
      <c r="B508" s="21"/>
      <c r="C508" s="21"/>
      <c r="D508" s="21"/>
      <c r="E508" s="21"/>
      <c r="F508" s="21"/>
      <c r="G508" s="21"/>
      <c r="H508" s="27"/>
      <c r="I508" s="21"/>
      <c r="J508" s="21"/>
      <c r="K508" s="21"/>
      <c r="L508" s="21"/>
      <c r="M508" s="21"/>
      <c r="N508" s="34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spans="1:28" ht="39.75" customHeight="1" x14ac:dyDescent="0.2">
      <c r="A509" s="19"/>
      <c r="B509" s="21"/>
      <c r="C509" s="21"/>
      <c r="D509" s="21"/>
      <c r="E509" s="21"/>
      <c r="F509" s="21"/>
      <c r="G509" s="21"/>
      <c r="H509" s="27"/>
      <c r="I509" s="21"/>
      <c r="J509" s="21"/>
      <c r="K509" s="21"/>
      <c r="L509" s="21"/>
      <c r="M509" s="21"/>
      <c r="N509" s="34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spans="1:28" ht="39.75" customHeight="1" x14ac:dyDescent="0.2">
      <c r="A510" s="19"/>
      <c r="B510" s="21"/>
      <c r="C510" s="21"/>
      <c r="D510" s="21"/>
      <c r="E510" s="21"/>
      <c r="F510" s="21"/>
      <c r="G510" s="21"/>
      <c r="H510" s="27"/>
      <c r="I510" s="21"/>
      <c r="J510" s="21"/>
      <c r="K510" s="21"/>
      <c r="L510" s="21"/>
      <c r="M510" s="21"/>
      <c r="N510" s="34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spans="1:28" ht="39.75" customHeight="1" x14ac:dyDescent="0.2">
      <c r="A511" s="19"/>
      <c r="B511" s="21"/>
      <c r="C511" s="21"/>
      <c r="D511" s="21"/>
      <c r="E511" s="21"/>
      <c r="F511" s="21"/>
      <c r="G511" s="21"/>
      <c r="H511" s="27"/>
      <c r="I511" s="21"/>
      <c r="J511" s="21"/>
      <c r="K511" s="21"/>
      <c r="L511" s="21"/>
      <c r="M511" s="21"/>
      <c r="N511" s="34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spans="1:28" ht="39.75" customHeight="1" x14ac:dyDescent="0.2">
      <c r="A512" s="19"/>
      <c r="B512" s="21"/>
      <c r="C512" s="21"/>
      <c r="D512" s="21"/>
      <c r="E512" s="21"/>
      <c r="F512" s="21"/>
      <c r="G512" s="21"/>
      <c r="H512" s="27"/>
      <c r="I512" s="21"/>
      <c r="J512" s="21"/>
      <c r="K512" s="21"/>
      <c r="L512" s="21"/>
      <c r="M512" s="21"/>
      <c r="N512" s="34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spans="1:28" ht="39.75" customHeight="1" x14ac:dyDescent="0.2">
      <c r="A513" s="19"/>
      <c r="B513" s="21"/>
      <c r="C513" s="21"/>
      <c r="D513" s="21"/>
      <c r="E513" s="21"/>
      <c r="F513" s="21"/>
      <c r="G513" s="21"/>
      <c r="H513" s="27"/>
      <c r="I513" s="21"/>
      <c r="J513" s="21"/>
      <c r="K513" s="21"/>
      <c r="L513" s="21"/>
      <c r="M513" s="21"/>
      <c r="N513" s="34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spans="1:28" ht="39.75" customHeight="1" x14ac:dyDescent="0.2">
      <c r="A514" s="19"/>
      <c r="B514" s="21"/>
      <c r="C514" s="21"/>
      <c r="D514" s="21"/>
      <c r="E514" s="21"/>
      <c r="F514" s="21"/>
      <c r="G514" s="21"/>
      <c r="H514" s="27"/>
      <c r="I514" s="21"/>
      <c r="J514" s="21"/>
      <c r="K514" s="21"/>
      <c r="L514" s="21"/>
      <c r="M514" s="21"/>
      <c r="N514" s="34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spans="1:28" ht="39.75" customHeight="1" x14ac:dyDescent="0.2">
      <c r="A515" s="19"/>
      <c r="B515" s="21"/>
      <c r="C515" s="21"/>
      <c r="D515" s="21"/>
      <c r="E515" s="21"/>
      <c r="F515" s="21"/>
      <c r="G515" s="21"/>
      <c r="H515" s="27"/>
      <c r="I515" s="21"/>
      <c r="J515" s="21"/>
      <c r="K515" s="21"/>
      <c r="L515" s="21"/>
      <c r="M515" s="21"/>
      <c r="N515" s="34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spans="1:28" ht="39.75" customHeight="1" x14ac:dyDescent="0.2">
      <c r="A516" s="19"/>
      <c r="B516" s="21"/>
      <c r="C516" s="21"/>
      <c r="D516" s="21"/>
      <c r="E516" s="21"/>
      <c r="F516" s="21"/>
      <c r="G516" s="21"/>
      <c r="H516" s="27"/>
      <c r="I516" s="21"/>
      <c r="J516" s="21"/>
      <c r="K516" s="21"/>
      <c r="L516" s="21"/>
      <c r="M516" s="21"/>
      <c r="N516" s="34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spans="1:28" ht="39.75" customHeight="1" x14ac:dyDescent="0.2">
      <c r="A517" s="19"/>
      <c r="B517" s="21"/>
      <c r="C517" s="21"/>
      <c r="D517" s="21"/>
      <c r="E517" s="21"/>
      <c r="F517" s="21"/>
      <c r="G517" s="21"/>
      <c r="H517" s="27"/>
      <c r="I517" s="21"/>
      <c r="J517" s="21"/>
      <c r="K517" s="21"/>
      <c r="L517" s="21"/>
      <c r="M517" s="21"/>
      <c r="N517" s="34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spans="1:28" ht="39.75" customHeight="1" x14ac:dyDescent="0.2">
      <c r="A518" s="19"/>
      <c r="B518" s="21"/>
      <c r="C518" s="21"/>
      <c r="D518" s="21"/>
      <c r="E518" s="21"/>
      <c r="F518" s="21"/>
      <c r="G518" s="21"/>
      <c r="H518" s="27"/>
      <c r="I518" s="21"/>
      <c r="J518" s="21"/>
      <c r="K518" s="21"/>
      <c r="L518" s="21"/>
      <c r="M518" s="21"/>
      <c r="N518" s="34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spans="1:28" ht="39.75" customHeight="1" x14ac:dyDescent="0.2">
      <c r="A519" s="19"/>
      <c r="B519" s="21"/>
      <c r="C519" s="21"/>
      <c r="D519" s="21"/>
      <c r="E519" s="21"/>
      <c r="F519" s="21"/>
      <c r="G519" s="21"/>
      <c r="H519" s="27"/>
      <c r="I519" s="21"/>
      <c r="J519" s="21"/>
      <c r="K519" s="21"/>
      <c r="L519" s="21"/>
      <c r="M519" s="21"/>
      <c r="N519" s="34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spans="1:28" ht="39.75" customHeight="1" x14ac:dyDescent="0.2">
      <c r="A520" s="19"/>
      <c r="B520" s="21"/>
      <c r="C520" s="21"/>
      <c r="D520" s="21"/>
      <c r="E520" s="21"/>
      <c r="F520" s="21"/>
      <c r="G520" s="21"/>
      <c r="H520" s="27"/>
      <c r="I520" s="21"/>
      <c r="J520" s="21"/>
      <c r="K520" s="21"/>
      <c r="L520" s="21"/>
      <c r="M520" s="21"/>
      <c r="N520" s="34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spans="1:28" ht="39.75" customHeight="1" x14ac:dyDescent="0.2">
      <c r="A521" s="19"/>
      <c r="B521" s="21"/>
      <c r="C521" s="21"/>
      <c r="D521" s="21"/>
      <c r="E521" s="21"/>
      <c r="F521" s="21"/>
      <c r="G521" s="21"/>
      <c r="H521" s="27"/>
      <c r="I521" s="21"/>
      <c r="J521" s="21"/>
      <c r="K521" s="21"/>
      <c r="L521" s="21"/>
      <c r="M521" s="21"/>
      <c r="N521" s="34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spans="1:28" ht="39.75" customHeight="1" x14ac:dyDescent="0.2">
      <c r="A522" s="19"/>
      <c r="B522" s="21"/>
      <c r="C522" s="21"/>
      <c r="D522" s="21"/>
      <c r="E522" s="21"/>
      <c r="F522" s="21"/>
      <c r="G522" s="21"/>
      <c r="H522" s="27"/>
      <c r="I522" s="21"/>
      <c r="J522" s="21"/>
      <c r="K522" s="21"/>
      <c r="L522" s="21"/>
      <c r="M522" s="21"/>
      <c r="N522" s="34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spans="1:28" ht="39.75" customHeight="1" x14ac:dyDescent="0.2">
      <c r="A523" s="19"/>
      <c r="B523" s="21"/>
      <c r="C523" s="21"/>
      <c r="D523" s="21"/>
      <c r="E523" s="21"/>
      <c r="F523" s="21"/>
      <c r="G523" s="21"/>
      <c r="H523" s="27"/>
      <c r="I523" s="21"/>
      <c r="J523" s="21"/>
      <c r="K523" s="21"/>
      <c r="L523" s="21"/>
      <c r="M523" s="21"/>
      <c r="N523" s="34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spans="1:28" ht="39.75" customHeight="1" x14ac:dyDescent="0.2">
      <c r="A524" s="19"/>
      <c r="B524" s="21"/>
      <c r="C524" s="21"/>
      <c r="D524" s="21"/>
      <c r="E524" s="21"/>
      <c r="F524" s="21"/>
      <c r="G524" s="21"/>
      <c r="H524" s="27"/>
      <c r="I524" s="21"/>
      <c r="J524" s="21"/>
      <c r="K524" s="21"/>
      <c r="L524" s="21"/>
      <c r="M524" s="21"/>
      <c r="N524" s="34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spans="1:28" ht="39.75" customHeight="1" x14ac:dyDescent="0.2">
      <c r="A525" s="19"/>
      <c r="B525" s="21"/>
      <c r="C525" s="21"/>
      <c r="D525" s="21"/>
      <c r="E525" s="21"/>
      <c r="F525" s="21"/>
      <c r="G525" s="21"/>
      <c r="H525" s="27"/>
      <c r="I525" s="21"/>
      <c r="J525" s="21"/>
      <c r="K525" s="21"/>
      <c r="L525" s="21"/>
      <c r="M525" s="21"/>
      <c r="N525" s="34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spans="1:28" ht="39.75" customHeight="1" x14ac:dyDescent="0.2">
      <c r="A526" s="19"/>
      <c r="B526" s="21"/>
      <c r="C526" s="21"/>
      <c r="D526" s="21"/>
      <c r="E526" s="21"/>
      <c r="F526" s="21"/>
      <c r="G526" s="21"/>
      <c r="H526" s="27"/>
      <c r="I526" s="21"/>
      <c r="J526" s="21"/>
      <c r="K526" s="21"/>
      <c r="L526" s="21"/>
      <c r="M526" s="21"/>
      <c r="N526" s="34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spans="1:28" ht="39.75" customHeight="1" x14ac:dyDescent="0.2">
      <c r="A527" s="19"/>
      <c r="B527" s="21"/>
      <c r="C527" s="21"/>
      <c r="D527" s="21"/>
      <c r="E527" s="21"/>
      <c r="F527" s="21"/>
      <c r="G527" s="21"/>
      <c r="H527" s="27"/>
      <c r="I527" s="21"/>
      <c r="J527" s="21"/>
      <c r="K527" s="21"/>
      <c r="L527" s="21"/>
      <c r="M527" s="21"/>
      <c r="N527" s="34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spans="1:28" ht="39.75" customHeight="1" x14ac:dyDescent="0.2">
      <c r="A528" s="19"/>
      <c r="B528" s="21"/>
      <c r="C528" s="21"/>
      <c r="D528" s="21"/>
      <c r="E528" s="21"/>
      <c r="F528" s="21"/>
      <c r="G528" s="21"/>
      <c r="H528" s="27"/>
      <c r="I528" s="21"/>
      <c r="J528" s="21"/>
      <c r="K528" s="21"/>
      <c r="L528" s="21"/>
      <c r="M528" s="21"/>
      <c r="N528" s="34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spans="1:28" ht="39.75" customHeight="1" x14ac:dyDescent="0.2">
      <c r="A529" s="19"/>
      <c r="B529" s="21"/>
      <c r="C529" s="21"/>
      <c r="D529" s="21"/>
      <c r="E529" s="21"/>
      <c r="F529" s="21"/>
      <c r="G529" s="21"/>
      <c r="H529" s="27"/>
      <c r="I529" s="21"/>
      <c r="J529" s="21"/>
      <c r="K529" s="21"/>
      <c r="L529" s="21"/>
      <c r="M529" s="21"/>
      <c r="N529" s="34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spans="1:28" ht="39.75" customHeight="1" x14ac:dyDescent="0.2">
      <c r="A530" s="19"/>
      <c r="B530" s="21"/>
      <c r="C530" s="21"/>
      <c r="D530" s="21"/>
      <c r="E530" s="21"/>
      <c r="F530" s="21"/>
      <c r="G530" s="21"/>
      <c r="H530" s="27"/>
      <c r="I530" s="21"/>
      <c r="J530" s="21"/>
      <c r="K530" s="21"/>
      <c r="L530" s="21"/>
      <c r="M530" s="21"/>
      <c r="N530" s="34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spans="1:28" ht="39.75" customHeight="1" x14ac:dyDescent="0.2">
      <c r="A531" s="19"/>
      <c r="B531" s="21"/>
      <c r="C531" s="21"/>
      <c r="D531" s="21"/>
      <c r="E531" s="21"/>
      <c r="F531" s="21"/>
      <c r="G531" s="21"/>
      <c r="H531" s="27"/>
      <c r="I531" s="21"/>
      <c r="J531" s="21"/>
      <c r="K531" s="21"/>
      <c r="L531" s="21"/>
      <c r="M531" s="21"/>
      <c r="N531" s="34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spans="1:28" ht="39.75" customHeight="1" x14ac:dyDescent="0.2">
      <c r="A532" s="19"/>
      <c r="B532" s="21"/>
      <c r="C532" s="21"/>
      <c r="D532" s="21"/>
      <c r="E532" s="21"/>
      <c r="F532" s="21"/>
      <c r="G532" s="21"/>
      <c r="H532" s="27"/>
      <c r="I532" s="21"/>
      <c r="J532" s="21"/>
      <c r="K532" s="21"/>
      <c r="L532" s="21"/>
      <c r="M532" s="21"/>
      <c r="N532" s="34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spans="1:28" ht="39.75" customHeight="1" x14ac:dyDescent="0.2">
      <c r="A533" s="19"/>
      <c r="B533" s="21"/>
      <c r="C533" s="21"/>
      <c r="D533" s="21"/>
      <c r="E533" s="21"/>
      <c r="F533" s="21"/>
      <c r="G533" s="21"/>
      <c r="H533" s="27"/>
      <c r="I533" s="21"/>
      <c r="J533" s="21"/>
      <c r="K533" s="21"/>
      <c r="L533" s="21"/>
      <c r="M533" s="21"/>
      <c r="N533" s="34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spans="1:28" ht="39.75" customHeight="1" x14ac:dyDescent="0.2">
      <c r="A534" s="19"/>
      <c r="B534" s="21"/>
      <c r="C534" s="21"/>
      <c r="D534" s="21"/>
      <c r="E534" s="21"/>
      <c r="F534" s="21"/>
      <c r="G534" s="21"/>
      <c r="H534" s="27"/>
      <c r="I534" s="21"/>
      <c r="J534" s="21"/>
      <c r="K534" s="21"/>
      <c r="L534" s="21"/>
      <c r="M534" s="21"/>
      <c r="N534" s="34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spans="1:28" ht="39.75" customHeight="1" x14ac:dyDescent="0.2">
      <c r="A535" s="19"/>
      <c r="B535" s="21"/>
      <c r="C535" s="21"/>
      <c r="D535" s="21"/>
      <c r="E535" s="21"/>
      <c r="F535" s="21"/>
      <c r="G535" s="21"/>
      <c r="H535" s="27"/>
      <c r="I535" s="21"/>
      <c r="J535" s="21"/>
      <c r="K535" s="21"/>
      <c r="L535" s="21"/>
      <c r="M535" s="21"/>
      <c r="N535" s="34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spans="1:28" ht="39.75" customHeight="1" x14ac:dyDescent="0.2">
      <c r="A536" s="19"/>
      <c r="B536" s="21"/>
      <c r="C536" s="21"/>
      <c r="D536" s="21"/>
      <c r="E536" s="21"/>
      <c r="F536" s="21"/>
      <c r="G536" s="21"/>
      <c r="H536" s="27"/>
      <c r="I536" s="21"/>
      <c r="J536" s="21"/>
      <c r="K536" s="21"/>
      <c r="L536" s="21"/>
      <c r="M536" s="21"/>
      <c r="N536" s="34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spans="1:28" ht="39.75" customHeight="1" x14ac:dyDescent="0.2">
      <c r="A537" s="19"/>
      <c r="B537" s="21"/>
      <c r="C537" s="21"/>
      <c r="D537" s="21"/>
      <c r="E537" s="21"/>
      <c r="F537" s="21"/>
      <c r="G537" s="21"/>
      <c r="H537" s="27"/>
      <c r="I537" s="21"/>
      <c r="J537" s="21"/>
      <c r="K537" s="21"/>
      <c r="L537" s="21"/>
      <c r="M537" s="21"/>
      <c r="N537" s="34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spans="1:28" ht="39.75" customHeight="1" x14ac:dyDescent="0.2">
      <c r="A538" s="19"/>
      <c r="B538" s="21"/>
      <c r="C538" s="21"/>
      <c r="D538" s="21"/>
      <c r="E538" s="21"/>
      <c r="F538" s="21"/>
      <c r="G538" s="21"/>
      <c r="H538" s="27"/>
      <c r="I538" s="21"/>
      <c r="J538" s="21"/>
      <c r="K538" s="21"/>
      <c r="L538" s="21"/>
      <c r="M538" s="21"/>
      <c r="N538" s="34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spans="1:28" ht="39.75" customHeight="1" x14ac:dyDescent="0.2">
      <c r="A539" s="19"/>
      <c r="B539" s="21"/>
      <c r="C539" s="21"/>
      <c r="D539" s="21"/>
      <c r="E539" s="21"/>
      <c r="F539" s="21"/>
      <c r="G539" s="21"/>
      <c r="H539" s="27"/>
      <c r="I539" s="21"/>
      <c r="J539" s="21"/>
      <c r="K539" s="21"/>
      <c r="L539" s="21"/>
      <c r="M539" s="21"/>
      <c r="N539" s="34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spans="1:28" ht="39.75" customHeight="1" x14ac:dyDescent="0.2">
      <c r="A540" s="19"/>
      <c r="B540" s="21"/>
      <c r="C540" s="21"/>
      <c r="D540" s="21"/>
      <c r="E540" s="21"/>
      <c r="F540" s="21"/>
      <c r="G540" s="21"/>
      <c r="H540" s="27"/>
      <c r="I540" s="21"/>
      <c r="J540" s="21"/>
      <c r="K540" s="21"/>
      <c r="L540" s="21"/>
      <c r="M540" s="21"/>
      <c r="N540" s="34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spans="1:28" ht="39.75" customHeight="1" x14ac:dyDescent="0.2">
      <c r="A541" s="19"/>
      <c r="B541" s="21"/>
      <c r="C541" s="21"/>
      <c r="D541" s="21"/>
      <c r="E541" s="21"/>
      <c r="F541" s="21"/>
      <c r="G541" s="21"/>
      <c r="H541" s="27"/>
      <c r="I541" s="21"/>
      <c r="J541" s="21"/>
      <c r="K541" s="21"/>
      <c r="L541" s="21"/>
      <c r="M541" s="21"/>
      <c r="N541" s="34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spans="1:28" ht="39.75" customHeight="1" x14ac:dyDescent="0.2">
      <c r="A542" s="19"/>
      <c r="B542" s="21"/>
      <c r="C542" s="21"/>
      <c r="D542" s="21"/>
      <c r="E542" s="21"/>
      <c r="F542" s="21"/>
      <c r="G542" s="21"/>
      <c r="H542" s="27"/>
      <c r="I542" s="21"/>
      <c r="J542" s="21"/>
      <c r="K542" s="21"/>
      <c r="L542" s="21"/>
      <c r="M542" s="21"/>
      <c r="N542" s="34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spans="1:28" ht="39.75" customHeight="1" x14ac:dyDescent="0.2">
      <c r="A543" s="19"/>
      <c r="B543" s="21"/>
      <c r="C543" s="21"/>
      <c r="D543" s="21"/>
      <c r="E543" s="21"/>
      <c r="F543" s="21"/>
      <c r="G543" s="21"/>
      <c r="H543" s="27"/>
      <c r="I543" s="21"/>
      <c r="J543" s="21"/>
      <c r="K543" s="21"/>
      <c r="L543" s="21"/>
      <c r="M543" s="21"/>
      <c r="N543" s="34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spans="1:28" ht="39.75" customHeight="1" x14ac:dyDescent="0.2">
      <c r="A544" s="19"/>
      <c r="B544" s="21"/>
      <c r="C544" s="21"/>
      <c r="D544" s="21"/>
      <c r="E544" s="21"/>
      <c r="F544" s="21"/>
      <c r="G544" s="21"/>
      <c r="H544" s="27"/>
      <c r="I544" s="21"/>
      <c r="J544" s="21"/>
      <c r="K544" s="21"/>
      <c r="L544" s="21"/>
      <c r="M544" s="21"/>
      <c r="N544" s="34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spans="1:28" ht="39.75" customHeight="1" x14ac:dyDescent="0.2">
      <c r="A545" s="19"/>
      <c r="B545" s="21"/>
      <c r="C545" s="21"/>
      <c r="D545" s="21"/>
      <c r="E545" s="21"/>
      <c r="F545" s="21"/>
      <c r="G545" s="21"/>
      <c r="H545" s="27"/>
      <c r="I545" s="21"/>
      <c r="J545" s="21"/>
      <c r="K545" s="21"/>
      <c r="L545" s="21"/>
      <c r="M545" s="21"/>
      <c r="N545" s="34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spans="1:28" ht="39.75" customHeight="1" x14ac:dyDescent="0.2">
      <c r="A546" s="19"/>
      <c r="B546" s="21"/>
      <c r="C546" s="21"/>
      <c r="D546" s="21"/>
      <c r="E546" s="21"/>
      <c r="F546" s="21"/>
      <c r="G546" s="21"/>
      <c r="H546" s="27"/>
      <c r="I546" s="21"/>
      <c r="J546" s="21"/>
      <c r="K546" s="21"/>
      <c r="L546" s="21"/>
      <c r="M546" s="21"/>
      <c r="N546" s="34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spans="1:28" ht="39.75" customHeight="1" x14ac:dyDescent="0.2">
      <c r="A547" s="19"/>
      <c r="B547" s="21"/>
      <c r="C547" s="21"/>
      <c r="D547" s="21"/>
      <c r="E547" s="21"/>
      <c r="F547" s="21"/>
      <c r="G547" s="21"/>
      <c r="H547" s="27"/>
      <c r="I547" s="21"/>
      <c r="J547" s="21"/>
      <c r="K547" s="21"/>
      <c r="L547" s="21"/>
      <c r="M547" s="21"/>
      <c r="N547" s="34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spans="1:28" ht="39.75" customHeight="1" x14ac:dyDescent="0.2">
      <c r="A548" s="19"/>
      <c r="B548" s="21"/>
      <c r="C548" s="21"/>
      <c r="D548" s="21"/>
      <c r="E548" s="21"/>
      <c r="F548" s="21"/>
      <c r="G548" s="21"/>
      <c r="H548" s="27"/>
      <c r="I548" s="21"/>
      <c r="J548" s="21"/>
      <c r="K548" s="21"/>
      <c r="L548" s="21"/>
      <c r="M548" s="21"/>
      <c r="N548" s="34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spans="1:28" ht="39.75" customHeight="1" x14ac:dyDescent="0.2">
      <c r="A549" s="19"/>
      <c r="B549" s="21"/>
      <c r="C549" s="21"/>
      <c r="D549" s="21"/>
      <c r="E549" s="21"/>
      <c r="F549" s="21"/>
      <c r="G549" s="21"/>
      <c r="H549" s="27"/>
      <c r="I549" s="21"/>
      <c r="J549" s="21"/>
      <c r="K549" s="21"/>
      <c r="L549" s="21"/>
      <c r="M549" s="21"/>
      <c r="N549" s="34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spans="1:28" ht="39.75" customHeight="1" x14ac:dyDescent="0.2">
      <c r="A550" s="19"/>
      <c r="B550" s="21"/>
      <c r="C550" s="21"/>
      <c r="D550" s="21"/>
      <c r="E550" s="21"/>
      <c r="F550" s="21"/>
      <c r="G550" s="21"/>
      <c r="H550" s="27"/>
      <c r="I550" s="21"/>
      <c r="J550" s="21"/>
      <c r="K550" s="21"/>
      <c r="L550" s="21"/>
      <c r="M550" s="21"/>
      <c r="N550" s="34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spans="1:28" ht="39.75" customHeight="1" x14ac:dyDescent="0.2">
      <c r="A551" s="19"/>
      <c r="B551" s="21"/>
      <c r="C551" s="21"/>
      <c r="D551" s="21"/>
      <c r="E551" s="21"/>
      <c r="F551" s="21"/>
      <c r="G551" s="21"/>
      <c r="H551" s="27"/>
      <c r="I551" s="21"/>
      <c r="J551" s="21"/>
      <c r="K551" s="21"/>
      <c r="L551" s="21"/>
      <c r="M551" s="21"/>
      <c r="N551" s="34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spans="1:28" ht="39.75" customHeight="1" x14ac:dyDescent="0.2">
      <c r="A552" s="19"/>
      <c r="B552" s="21"/>
      <c r="C552" s="21"/>
      <c r="D552" s="21"/>
      <c r="E552" s="21"/>
      <c r="F552" s="21"/>
      <c r="G552" s="21"/>
      <c r="H552" s="27"/>
      <c r="I552" s="21"/>
      <c r="J552" s="21"/>
      <c r="K552" s="21"/>
      <c r="L552" s="21"/>
      <c r="M552" s="21"/>
      <c r="N552" s="34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spans="1:28" ht="39.75" customHeight="1" x14ac:dyDescent="0.2">
      <c r="A553" s="19"/>
      <c r="B553" s="21"/>
      <c r="C553" s="21"/>
      <c r="D553" s="21"/>
      <c r="E553" s="21"/>
      <c r="F553" s="21"/>
      <c r="G553" s="21"/>
      <c r="H553" s="27"/>
      <c r="I553" s="21"/>
      <c r="J553" s="21"/>
      <c r="K553" s="21"/>
      <c r="L553" s="21"/>
      <c r="M553" s="21"/>
      <c r="N553" s="34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spans="1:28" ht="39.75" customHeight="1" x14ac:dyDescent="0.2">
      <c r="A554" s="19"/>
      <c r="B554" s="21"/>
      <c r="C554" s="21"/>
      <c r="D554" s="21"/>
      <c r="E554" s="21"/>
      <c r="F554" s="21"/>
      <c r="G554" s="21"/>
      <c r="H554" s="27"/>
      <c r="I554" s="21"/>
      <c r="J554" s="21"/>
      <c r="K554" s="21"/>
      <c r="L554" s="21"/>
      <c r="M554" s="21"/>
      <c r="N554" s="34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spans="1:28" ht="39.75" customHeight="1" x14ac:dyDescent="0.2">
      <c r="A555" s="19"/>
      <c r="B555" s="21"/>
      <c r="C555" s="21"/>
      <c r="D555" s="21"/>
      <c r="E555" s="21"/>
      <c r="F555" s="21"/>
      <c r="G555" s="21"/>
      <c r="H555" s="27"/>
      <c r="I555" s="21"/>
      <c r="J555" s="21"/>
      <c r="K555" s="21"/>
      <c r="L555" s="21"/>
      <c r="M555" s="21"/>
      <c r="N555" s="34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spans="1:28" ht="39.75" customHeight="1" x14ac:dyDescent="0.2">
      <c r="A556" s="19"/>
      <c r="B556" s="21"/>
      <c r="C556" s="21"/>
      <c r="D556" s="21"/>
      <c r="E556" s="21"/>
      <c r="F556" s="21"/>
      <c r="G556" s="21"/>
      <c r="H556" s="27"/>
      <c r="I556" s="21"/>
      <c r="J556" s="21"/>
      <c r="K556" s="21"/>
      <c r="L556" s="21"/>
      <c r="M556" s="21"/>
      <c r="N556" s="34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spans="1:28" ht="39.75" customHeight="1" x14ac:dyDescent="0.2">
      <c r="A557" s="19"/>
      <c r="B557" s="21"/>
      <c r="C557" s="21"/>
      <c r="D557" s="21"/>
      <c r="E557" s="21"/>
      <c r="F557" s="21"/>
      <c r="G557" s="21"/>
      <c r="H557" s="27"/>
      <c r="I557" s="21"/>
      <c r="J557" s="21"/>
      <c r="K557" s="21"/>
      <c r="L557" s="21"/>
      <c r="M557" s="21"/>
      <c r="N557" s="34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spans="1:28" ht="39.75" customHeight="1" x14ac:dyDescent="0.2">
      <c r="A558" s="19"/>
      <c r="B558" s="21"/>
      <c r="C558" s="21"/>
      <c r="D558" s="21"/>
      <c r="E558" s="21"/>
      <c r="F558" s="21"/>
      <c r="G558" s="21"/>
      <c r="H558" s="27"/>
      <c r="I558" s="21"/>
      <c r="J558" s="21"/>
      <c r="K558" s="21"/>
      <c r="L558" s="21"/>
      <c r="M558" s="21"/>
      <c r="N558" s="34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spans="1:28" ht="39.75" customHeight="1" x14ac:dyDescent="0.2">
      <c r="A559" s="19"/>
      <c r="B559" s="21"/>
      <c r="C559" s="21"/>
      <c r="D559" s="21"/>
      <c r="E559" s="21"/>
      <c r="F559" s="21"/>
      <c r="G559" s="21"/>
      <c r="H559" s="27"/>
      <c r="I559" s="21"/>
      <c r="J559" s="21"/>
      <c r="K559" s="21"/>
      <c r="L559" s="21"/>
      <c r="M559" s="21"/>
      <c r="N559" s="34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spans="1:28" ht="39.75" customHeight="1" x14ac:dyDescent="0.2">
      <c r="A560" s="19"/>
      <c r="B560" s="21"/>
      <c r="C560" s="21"/>
      <c r="D560" s="21"/>
      <c r="E560" s="21"/>
      <c r="F560" s="21"/>
      <c r="G560" s="21"/>
      <c r="H560" s="27"/>
      <c r="I560" s="21"/>
      <c r="J560" s="21"/>
      <c r="K560" s="21"/>
      <c r="L560" s="21"/>
      <c r="M560" s="21"/>
      <c r="N560" s="34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spans="1:28" ht="39.75" customHeight="1" x14ac:dyDescent="0.2">
      <c r="A561" s="19"/>
      <c r="B561" s="21"/>
      <c r="C561" s="21"/>
      <c r="D561" s="21"/>
      <c r="E561" s="21"/>
      <c r="F561" s="21"/>
      <c r="G561" s="21"/>
      <c r="H561" s="27"/>
      <c r="I561" s="21"/>
      <c r="J561" s="21"/>
      <c r="K561" s="21"/>
      <c r="L561" s="21"/>
      <c r="M561" s="21"/>
      <c r="N561" s="34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spans="1:28" ht="39.75" customHeight="1" x14ac:dyDescent="0.2">
      <c r="A562" s="19"/>
      <c r="B562" s="21"/>
      <c r="C562" s="21"/>
      <c r="D562" s="21"/>
      <c r="E562" s="21"/>
      <c r="F562" s="21"/>
      <c r="G562" s="21"/>
      <c r="H562" s="27"/>
      <c r="I562" s="21"/>
      <c r="J562" s="21"/>
      <c r="K562" s="21"/>
      <c r="L562" s="21"/>
      <c r="M562" s="21"/>
      <c r="N562" s="34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spans="1:28" ht="39.75" customHeight="1" x14ac:dyDescent="0.2">
      <c r="A563" s="19"/>
      <c r="B563" s="21"/>
      <c r="C563" s="21"/>
      <c r="D563" s="21"/>
      <c r="E563" s="21"/>
      <c r="F563" s="21"/>
      <c r="G563" s="21"/>
      <c r="H563" s="27"/>
      <c r="I563" s="21"/>
      <c r="J563" s="21"/>
      <c r="K563" s="21"/>
      <c r="L563" s="21"/>
      <c r="M563" s="21"/>
      <c r="N563" s="34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spans="1:28" ht="39.75" customHeight="1" x14ac:dyDescent="0.2">
      <c r="A564" s="19"/>
      <c r="B564" s="21"/>
      <c r="C564" s="21"/>
      <c r="D564" s="21"/>
      <c r="E564" s="21"/>
      <c r="F564" s="21"/>
      <c r="G564" s="21"/>
      <c r="H564" s="27"/>
      <c r="I564" s="21"/>
      <c r="J564" s="21"/>
      <c r="K564" s="21"/>
      <c r="L564" s="21"/>
      <c r="M564" s="21"/>
      <c r="N564" s="34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spans="1:28" ht="39.75" customHeight="1" x14ac:dyDescent="0.2">
      <c r="A565" s="19"/>
      <c r="B565" s="21"/>
      <c r="C565" s="21"/>
      <c r="D565" s="21"/>
      <c r="E565" s="21"/>
      <c r="F565" s="21"/>
      <c r="G565" s="21"/>
      <c r="H565" s="27"/>
      <c r="I565" s="21"/>
      <c r="J565" s="21"/>
      <c r="K565" s="21"/>
      <c r="L565" s="21"/>
      <c r="M565" s="21"/>
      <c r="N565" s="34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spans="1:28" ht="39.75" customHeight="1" x14ac:dyDescent="0.2">
      <c r="A566" s="19"/>
      <c r="B566" s="21"/>
      <c r="C566" s="21"/>
      <c r="D566" s="21"/>
      <c r="E566" s="21"/>
      <c r="F566" s="21"/>
      <c r="G566" s="21"/>
      <c r="H566" s="27"/>
      <c r="I566" s="21"/>
      <c r="J566" s="21"/>
      <c r="K566" s="21"/>
      <c r="L566" s="21"/>
      <c r="M566" s="21"/>
      <c r="N566" s="34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spans="1:28" ht="39.75" customHeight="1" x14ac:dyDescent="0.2">
      <c r="A567" s="19"/>
      <c r="B567" s="21"/>
      <c r="C567" s="21"/>
      <c r="D567" s="21"/>
      <c r="E567" s="21"/>
      <c r="F567" s="21"/>
      <c r="G567" s="21"/>
      <c r="H567" s="27"/>
      <c r="I567" s="21"/>
      <c r="J567" s="21"/>
      <c r="K567" s="21"/>
      <c r="L567" s="21"/>
      <c r="M567" s="21"/>
      <c r="N567" s="34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spans="1:28" ht="39.75" customHeight="1" x14ac:dyDescent="0.2">
      <c r="A568" s="19"/>
      <c r="B568" s="21"/>
      <c r="C568" s="21"/>
      <c r="D568" s="21"/>
      <c r="E568" s="21"/>
      <c r="F568" s="21"/>
      <c r="G568" s="21"/>
      <c r="H568" s="27"/>
      <c r="I568" s="21"/>
      <c r="J568" s="21"/>
      <c r="K568" s="21"/>
      <c r="L568" s="21"/>
      <c r="M568" s="21"/>
      <c r="N568" s="34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spans="1:28" ht="39.75" customHeight="1" x14ac:dyDescent="0.2">
      <c r="A569" s="19"/>
      <c r="B569" s="21"/>
      <c r="C569" s="21"/>
      <c r="D569" s="21"/>
      <c r="E569" s="21"/>
      <c r="F569" s="21"/>
      <c r="G569" s="21"/>
      <c r="H569" s="27"/>
      <c r="I569" s="21"/>
      <c r="J569" s="21"/>
      <c r="K569" s="21"/>
      <c r="L569" s="21"/>
      <c r="M569" s="21"/>
      <c r="N569" s="34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spans="1:28" ht="39.75" customHeight="1" x14ac:dyDescent="0.2">
      <c r="A570" s="19"/>
      <c r="B570" s="21"/>
      <c r="C570" s="21"/>
      <c r="D570" s="21"/>
      <c r="E570" s="21"/>
      <c r="F570" s="21"/>
      <c r="G570" s="21"/>
      <c r="H570" s="27"/>
      <c r="I570" s="21"/>
      <c r="J570" s="21"/>
      <c r="K570" s="21"/>
      <c r="L570" s="21"/>
      <c r="M570" s="21"/>
      <c r="N570" s="34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spans="1:28" ht="39.75" customHeight="1" x14ac:dyDescent="0.2">
      <c r="A571" s="19"/>
      <c r="B571" s="21"/>
      <c r="C571" s="21"/>
      <c r="D571" s="21"/>
      <c r="E571" s="21"/>
      <c r="F571" s="21"/>
      <c r="G571" s="21"/>
      <c r="H571" s="27"/>
      <c r="I571" s="21"/>
      <c r="J571" s="21"/>
      <c r="K571" s="21"/>
      <c r="L571" s="21"/>
      <c r="M571" s="21"/>
      <c r="N571" s="34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spans="1:28" ht="39.75" customHeight="1" x14ac:dyDescent="0.2">
      <c r="A572" s="19"/>
      <c r="B572" s="21"/>
      <c r="C572" s="21"/>
      <c r="D572" s="21"/>
      <c r="E572" s="21"/>
      <c r="F572" s="21"/>
      <c r="G572" s="21"/>
      <c r="H572" s="27"/>
      <c r="I572" s="21"/>
      <c r="J572" s="21"/>
      <c r="K572" s="21"/>
      <c r="L572" s="21"/>
      <c r="M572" s="21"/>
      <c r="N572" s="34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spans="1:28" ht="39.75" customHeight="1" x14ac:dyDescent="0.2">
      <c r="A573" s="19"/>
      <c r="B573" s="21"/>
      <c r="C573" s="21"/>
      <c r="D573" s="21"/>
      <c r="E573" s="21"/>
      <c r="F573" s="21"/>
      <c r="G573" s="21"/>
      <c r="H573" s="27"/>
      <c r="I573" s="21"/>
      <c r="J573" s="21"/>
      <c r="K573" s="21"/>
      <c r="L573" s="21"/>
      <c r="M573" s="21"/>
      <c r="N573" s="34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spans="1:28" ht="39.75" customHeight="1" x14ac:dyDescent="0.2">
      <c r="A574" s="19"/>
      <c r="B574" s="21"/>
      <c r="C574" s="21"/>
      <c r="D574" s="21"/>
      <c r="E574" s="21"/>
      <c r="F574" s="21"/>
      <c r="G574" s="21"/>
      <c r="H574" s="27"/>
      <c r="I574" s="21"/>
      <c r="J574" s="21"/>
      <c r="K574" s="21"/>
      <c r="L574" s="21"/>
      <c r="M574" s="21"/>
      <c r="N574" s="34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spans="1:28" ht="39.75" customHeight="1" x14ac:dyDescent="0.2">
      <c r="A575" s="19"/>
      <c r="B575" s="21"/>
      <c r="C575" s="21"/>
      <c r="D575" s="21"/>
      <c r="E575" s="21"/>
      <c r="F575" s="21"/>
      <c r="G575" s="21"/>
      <c r="H575" s="27"/>
      <c r="I575" s="21"/>
      <c r="J575" s="21"/>
      <c r="K575" s="21"/>
      <c r="L575" s="21"/>
      <c r="M575" s="21"/>
      <c r="N575" s="34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spans="1:28" ht="39.75" customHeight="1" x14ac:dyDescent="0.2">
      <c r="A576" s="19"/>
      <c r="B576" s="21"/>
      <c r="C576" s="21"/>
      <c r="D576" s="21"/>
      <c r="E576" s="21"/>
      <c r="F576" s="21"/>
      <c r="G576" s="21"/>
      <c r="H576" s="27"/>
      <c r="I576" s="21"/>
      <c r="J576" s="21"/>
      <c r="K576" s="21"/>
      <c r="L576" s="21"/>
      <c r="M576" s="21"/>
      <c r="N576" s="34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spans="1:28" ht="39.75" customHeight="1" x14ac:dyDescent="0.2">
      <c r="A577" s="19"/>
      <c r="B577" s="21"/>
      <c r="C577" s="21"/>
      <c r="D577" s="21"/>
      <c r="E577" s="21"/>
      <c r="F577" s="21"/>
      <c r="G577" s="21"/>
      <c r="H577" s="27"/>
      <c r="I577" s="21"/>
      <c r="J577" s="21"/>
      <c r="K577" s="21"/>
      <c r="L577" s="21"/>
      <c r="M577" s="21"/>
      <c r="N577" s="34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spans="1:28" ht="39.75" customHeight="1" x14ac:dyDescent="0.2">
      <c r="A578" s="19"/>
      <c r="B578" s="21"/>
      <c r="C578" s="21"/>
      <c r="D578" s="21"/>
      <c r="E578" s="21"/>
      <c r="F578" s="21"/>
      <c r="G578" s="21"/>
      <c r="H578" s="27"/>
      <c r="I578" s="21"/>
      <c r="J578" s="21"/>
      <c r="K578" s="21"/>
      <c r="L578" s="21"/>
      <c r="M578" s="21"/>
      <c r="N578" s="34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spans="1:28" ht="39.75" customHeight="1" x14ac:dyDescent="0.2">
      <c r="A579" s="19"/>
      <c r="B579" s="21"/>
      <c r="C579" s="21"/>
      <c r="D579" s="21"/>
      <c r="E579" s="21"/>
      <c r="F579" s="21"/>
      <c r="G579" s="21"/>
      <c r="H579" s="27"/>
      <c r="I579" s="21"/>
      <c r="J579" s="21"/>
      <c r="K579" s="21"/>
      <c r="L579" s="21"/>
      <c r="M579" s="21"/>
      <c r="N579" s="34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spans="1:28" ht="39.75" customHeight="1" x14ac:dyDescent="0.2">
      <c r="A580" s="19"/>
      <c r="B580" s="21"/>
      <c r="C580" s="21"/>
      <c r="D580" s="21"/>
      <c r="E580" s="21"/>
      <c r="F580" s="21"/>
      <c r="G580" s="21"/>
      <c r="H580" s="27"/>
      <c r="I580" s="21"/>
      <c r="J580" s="21"/>
      <c r="K580" s="21"/>
      <c r="L580" s="21"/>
      <c r="M580" s="21"/>
      <c r="N580" s="34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spans="1:28" ht="39.75" customHeight="1" x14ac:dyDescent="0.2">
      <c r="A581" s="19"/>
      <c r="B581" s="21"/>
      <c r="C581" s="21"/>
      <c r="D581" s="21"/>
      <c r="E581" s="21"/>
      <c r="F581" s="21"/>
      <c r="G581" s="21"/>
      <c r="H581" s="27"/>
      <c r="I581" s="21"/>
      <c r="J581" s="21"/>
      <c r="K581" s="21"/>
      <c r="L581" s="21"/>
      <c r="M581" s="21"/>
      <c r="N581" s="34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spans="1:28" ht="39.75" customHeight="1" x14ac:dyDescent="0.2">
      <c r="A582" s="19"/>
      <c r="B582" s="21"/>
      <c r="C582" s="21"/>
      <c r="D582" s="21"/>
      <c r="E582" s="21"/>
      <c r="F582" s="21"/>
      <c r="G582" s="21"/>
      <c r="H582" s="27"/>
      <c r="I582" s="21"/>
      <c r="J582" s="21"/>
      <c r="K582" s="21"/>
      <c r="L582" s="21"/>
      <c r="M582" s="21"/>
      <c r="N582" s="34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spans="1:28" ht="39.75" customHeight="1" x14ac:dyDescent="0.2">
      <c r="A583" s="19"/>
      <c r="B583" s="21"/>
      <c r="C583" s="21"/>
      <c r="D583" s="21"/>
      <c r="E583" s="21"/>
      <c r="F583" s="21"/>
      <c r="G583" s="21"/>
      <c r="H583" s="27"/>
      <c r="I583" s="21"/>
      <c r="J583" s="21"/>
      <c r="K583" s="21"/>
      <c r="L583" s="21"/>
      <c r="M583" s="21"/>
      <c r="N583" s="34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spans="1:28" ht="39.75" customHeight="1" x14ac:dyDescent="0.2">
      <c r="A584" s="19"/>
      <c r="B584" s="21"/>
      <c r="C584" s="21"/>
      <c r="D584" s="21"/>
      <c r="E584" s="21"/>
      <c r="F584" s="21"/>
      <c r="G584" s="21"/>
      <c r="H584" s="27"/>
      <c r="I584" s="21"/>
      <c r="J584" s="21"/>
      <c r="K584" s="21"/>
      <c r="L584" s="21"/>
      <c r="M584" s="21"/>
      <c r="N584" s="34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spans="1:28" ht="39.75" customHeight="1" x14ac:dyDescent="0.2">
      <c r="A585" s="19"/>
      <c r="B585" s="21"/>
      <c r="C585" s="21"/>
      <c r="D585" s="21"/>
      <c r="E585" s="21"/>
      <c r="F585" s="21"/>
      <c r="G585" s="21"/>
      <c r="H585" s="27"/>
      <c r="I585" s="21"/>
      <c r="J585" s="21"/>
      <c r="K585" s="21"/>
      <c r="L585" s="21"/>
      <c r="M585" s="21"/>
      <c r="N585" s="34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spans="1:28" ht="39.75" customHeight="1" x14ac:dyDescent="0.2">
      <c r="A586" s="19"/>
      <c r="B586" s="21"/>
      <c r="C586" s="21"/>
      <c r="D586" s="21"/>
      <c r="E586" s="21"/>
      <c r="F586" s="21"/>
      <c r="G586" s="21"/>
      <c r="H586" s="27"/>
      <c r="I586" s="21"/>
      <c r="J586" s="21"/>
      <c r="K586" s="21"/>
      <c r="L586" s="21"/>
      <c r="M586" s="21"/>
      <c r="N586" s="34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spans="1:28" ht="39.75" customHeight="1" x14ac:dyDescent="0.2">
      <c r="A587" s="19"/>
      <c r="B587" s="21"/>
      <c r="C587" s="21"/>
      <c r="D587" s="21"/>
      <c r="E587" s="21"/>
      <c r="F587" s="21"/>
      <c r="G587" s="21"/>
      <c r="H587" s="27"/>
      <c r="I587" s="21"/>
      <c r="J587" s="21"/>
      <c r="K587" s="21"/>
      <c r="L587" s="21"/>
      <c r="M587" s="21"/>
      <c r="N587" s="34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spans="1:28" ht="39.75" customHeight="1" x14ac:dyDescent="0.2">
      <c r="A588" s="19"/>
      <c r="B588" s="21"/>
      <c r="C588" s="21"/>
      <c r="D588" s="21"/>
      <c r="E588" s="21"/>
      <c r="F588" s="21"/>
      <c r="G588" s="21"/>
      <c r="H588" s="27"/>
      <c r="I588" s="21"/>
      <c r="J588" s="21"/>
      <c r="K588" s="21"/>
      <c r="L588" s="21"/>
      <c r="M588" s="21"/>
      <c r="N588" s="34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spans="1:28" ht="39.75" customHeight="1" x14ac:dyDescent="0.2">
      <c r="A589" s="19"/>
      <c r="B589" s="21"/>
      <c r="C589" s="21"/>
      <c r="D589" s="21"/>
      <c r="E589" s="21"/>
      <c r="F589" s="21"/>
      <c r="G589" s="21"/>
      <c r="H589" s="27"/>
      <c r="I589" s="21"/>
      <c r="J589" s="21"/>
      <c r="K589" s="21"/>
      <c r="L589" s="21"/>
      <c r="M589" s="21"/>
      <c r="N589" s="34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spans="1:28" ht="39.75" customHeight="1" x14ac:dyDescent="0.2">
      <c r="A590" s="19"/>
      <c r="B590" s="21"/>
      <c r="C590" s="21"/>
      <c r="D590" s="21"/>
      <c r="E590" s="21"/>
      <c r="F590" s="21"/>
      <c r="G590" s="21"/>
      <c r="H590" s="27"/>
      <c r="I590" s="21"/>
      <c r="J590" s="21"/>
      <c r="K590" s="21"/>
      <c r="L590" s="21"/>
      <c r="M590" s="21"/>
      <c r="N590" s="34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spans="1:28" ht="39.75" customHeight="1" x14ac:dyDescent="0.2">
      <c r="A591" s="19"/>
      <c r="B591" s="21"/>
      <c r="C591" s="21"/>
      <c r="D591" s="21"/>
      <c r="E591" s="21"/>
      <c r="F591" s="21"/>
      <c r="G591" s="21"/>
      <c r="H591" s="27"/>
      <c r="I591" s="21"/>
      <c r="J591" s="21"/>
      <c r="K591" s="21"/>
      <c r="L591" s="21"/>
      <c r="M591" s="21"/>
      <c r="N591" s="34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spans="1:28" ht="39.75" customHeight="1" x14ac:dyDescent="0.2">
      <c r="A592" s="19"/>
      <c r="B592" s="21"/>
      <c r="C592" s="21"/>
      <c r="D592" s="21"/>
      <c r="E592" s="21"/>
      <c r="F592" s="21"/>
      <c r="G592" s="21"/>
      <c r="H592" s="27"/>
      <c r="I592" s="21"/>
      <c r="J592" s="21"/>
      <c r="K592" s="21"/>
      <c r="L592" s="21"/>
      <c r="M592" s="21"/>
      <c r="N592" s="34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spans="1:28" ht="39.75" customHeight="1" x14ac:dyDescent="0.2">
      <c r="A593" s="19"/>
      <c r="B593" s="21"/>
      <c r="C593" s="21"/>
      <c r="D593" s="21"/>
      <c r="E593" s="21"/>
      <c r="F593" s="21"/>
      <c r="G593" s="21"/>
      <c r="H593" s="27"/>
      <c r="I593" s="21"/>
      <c r="J593" s="21"/>
      <c r="K593" s="21"/>
      <c r="L593" s="21"/>
      <c r="M593" s="21"/>
      <c r="N593" s="34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spans="1:28" ht="39.75" customHeight="1" x14ac:dyDescent="0.2">
      <c r="A594" s="19"/>
      <c r="B594" s="21"/>
      <c r="C594" s="21"/>
      <c r="D594" s="21"/>
      <c r="E594" s="21"/>
      <c r="F594" s="21"/>
      <c r="G594" s="21"/>
      <c r="H594" s="27"/>
      <c r="I594" s="21"/>
      <c r="J594" s="21"/>
      <c r="K594" s="21"/>
      <c r="L594" s="21"/>
      <c r="M594" s="21"/>
      <c r="N594" s="34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spans="1:28" ht="39.75" customHeight="1" x14ac:dyDescent="0.2">
      <c r="A595" s="19"/>
      <c r="B595" s="21"/>
      <c r="C595" s="21"/>
      <c r="D595" s="21"/>
      <c r="E595" s="21"/>
      <c r="F595" s="21"/>
      <c r="G595" s="21"/>
      <c r="H595" s="27"/>
      <c r="I595" s="21"/>
      <c r="J595" s="21"/>
      <c r="K595" s="21"/>
      <c r="L595" s="21"/>
      <c r="M595" s="21"/>
      <c r="N595" s="34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spans="1:28" ht="39.75" customHeight="1" x14ac:dyDescent="0.2">
      <c r="A596" s="19"/>
      <c r="B596" s="21"/>
      <c r="C596" s="21"/>
      <c r="D596" s="21"/>
      <c r="E596" s="21"/>
      <c r="F596" s="21"/>
      <c r="G596" s="21"/>
      <c r="H596" s="27"/>
      <c r="I596" s="21"/>
      <c r="J596" s="21"/>
      <c r="K596" s="21"/>
      <c r="L596" s="21"/>
      <c r="M596" s="21"/>
      <c r="N596" s="34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spans="1:28" ht="39.75" customHeight="1" x14ac:dyDescent="0.2">
      <c r="A597" s="19"/>
      <c r="B597" s="21"/>
      <c r="C597" s="21"/>
      <c r="D597" s="21"/>
      <c r="E597" s="21"/>
      <c r="F597" s="21"/>
      <c r="G597" s="21"/>
      <c r="H597" s="27"/>
      <c r="I597" s="21"/>
      <c r="J597" s="21"/>
      <c r="K597" s="21"/>
      <c r="L597" s="21"/>
      <c r="M597" s="21"/>
      <c r="N597" s="34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spans="1:28" ht="39.75" customHeight="1" x14ac:dyDescent="0.2">
      <c r="A598" s="19"/>
      <c r="B598" s="21"/>
      <c r="C598" s="21"/>
      <c r="D598" s="21"/>
      <c r="E598" s="21"/>
      <c r="F598" s="21"/>
      <c r="G598" s="21"/>
      <c r="H598" s="27"/>
      <c r="I598" s="21"/>
      <c r="J598" s="21"/>
      <c r="K598" s="21"/>
      <c r="L598" s="21"/>
      <c r="M598" s="21"/>
      <c r="N598" s="34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spans="1:28" ht="39.75" customHeight="1" x14ac:dyDescent="0.2">
      <c r="A599" s="19"/>
      <c r="B599" s="21"/>
      <c r="C599" s="21"/>
      <c r="D599" s="21"/>
      <c r="E599" s="21"/>
      <c r="F599" s="21"/>
      <c r="G599" s="21"/>
      <c r="H599" s="27"/>
      <c r="I599" s="21"/>
      <c r="J599" s="21"/>
      <c r="K599" s="21"/>
      <c r="L599" s="21"/>
      <c r="M599" s="21"/>
      <c r="N599" s="34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spans="1:28" ht="39.75" customHeight="1" x14ac:dyDescent="0.2">
      <c r="A600" s="19"/>
      <c r="B600" s="21"/>
      <c r="C600" s="21"/>
      <c r="D600" s="21"/>
      <c r="E600" s="21"/>
      <c r="F600" s="21"/>
      <c r="G600" s="21"/>
      <c r="H600" s="27"/>
      <c r="I600" s="21"/>
      <c r="J600" s="21"/>
      <c r="K600" s="21"/>
      <c r="L600" s="21"/>
      <c r="M600" s="21"/>
      <c r="N600" s="34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spans="1:28" ht="39.75" customHeight="1" x14ac:dyDescent="0.2">
      <c r="A601" s="19"/>
      <c r="B601" s="21"/>
      <c r="C601" s="21"/>
      <c r="D601" s="21"/>
      <c r="E601" s="21"/>
      <c r="F601" s="21"/>
      <c r="G601" s="21"/>
      <c r="H601" s="27"/>
      <c r="I601" s="21"/>
      <c r="J601" s="21"/>
      <c r="K601" s="21"/>
      <c r="L601" s="21"/>
      <c r="M601" s="21"/>
      <c r="N601" s="34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spans="1:28" ht="39.75" customHeight="1" x14ac:dyDescent="0.2">
      <c r="A602" s="19"/>
      <c r="B602" s="21"/>
      <c r="C602" s="21"/>
      <c r="D602" s="21"/>
      <c r="E602" s="21"/>
      <c r="F602" s="21"/>
      <c r="G602" s="21"/>
      <c r="H602" s="27"/>
      <c r="I602" s="21"/>
      <c r="J602" s="21"/>
      <c r="K602" s="21"/>
      <c r="L602" s="21"/>
      <c r="M602" s="21"/>
      <c r="N602" s="34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spans="1:28" ht="39.75" customHeight="1" x14ac:dyDescent="0.2">
      <c r="A603" s="19"/>
      <c r="B603" s="21"/>
      <c r="C603" s="21"/>
      <c r="D603" s="21"/>
      <c r="E603" s="21"/>
      <c r="F603" s="21"/>
      <c r="G603" s="21"/>
      <c r="H603" s="27"/>
      <c r="I603" s="21"/>
      <c r="J603" s="21"/>
      <c r="K603" s="21"/>
      <c r="L603" s="21"/>
      <c r="M603" s="21"/>
      <c r="N603" s="34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spans="1:28" ht="39.75" customHeight="1" x14ac:dyDescent="0.2">
      <c r="A604" s="19"/>
      <c r="B604" s="21"/>
      <c r="C604" s="21"/>
      <c r="D604" s="21"/>
      <c r="E604" s="21"/>
      <c r="F604" s="21"/>
      <c r="G604" s="21"/>
      <c r="H604" s="27"/>
      <c r="I604" s="21"/>
      <c r="J604" s="21"/>
      <c r="K604" s="21"/>
      <c r="L604" s="21"/>
      <c r="M604" s="21"/>
      <c r="N604" s="34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spans="1:28" ht="39.75" customHeight="1" x14ac:dyDescent="0.2">
      <c r="A605" s="19"/>
      <c r="B605" s="21"/>
      <c r="C605" s="21"/>
      <c r="D605" s="21"/>
      <c r="E605" s="21"/>
      <c r="F605" s="21"/>
      <c r="G605" s="21"/>
      <c r="H605" s="27"/>
      <c r="I605" s="21"/>
      <c r="J605" s="21"/>
      <c r="K605" s="21"/>
      <c r="L605" s="21"/>
      <c r="M605" s="21"/>
      <c r="N605" s="34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spans="1:28" ht="39.75" customHeight="1" x14ac:dyDescent="0.2">
      <c r="A606" s="19"/>
      <c r="B606" s="21"/>
      <c r="C606" s="21"/>
      <c r="D606" s="21"/>
      <c r="E606" s="21"/>
      <c r="F606" s="21"/>
      <c r="G606" s="21"/>
      <c r="H606" s="27"/>
      <c r="I606" s="21"/>
      <c r="J606" s="21"/>
      <c r="K606" s="21"/>
      <c r="L606" s="21"/>
      <c r="M606" s="21"/>
      <c r="N606" s="34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spans="1:28" ht="39.75" customHeight="1" x14ac:dyDescent="0.2">
      <c r="A607" s="19"/>
      <c r="B607" s="21"/>
      <c r="C607" s="21"/>
      <c r="D607" s="21"/>
      <c r="E607" s="21"/>
      <c r="F607" s="21"/>
      <c r="G607" s="21"/>
      <c r="H607" s="27"/>
      <c r="I607" s="21"/>
      <c r="J607" s="21"/>
      <c r="K607" s="21"/>
      <c r="L607" s="21"/>
      <c r="M607" s="21"/>
      <c r="N607" s="34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spans="1:28" ht="39.75" customHeight="1" x14ac:dyDescent="0.2">
      <c r="A608" s="19"/>
      <c r="B608" s="21"/>
      <c r="C608" s="21"/>
      <c r="D608" s="21"/>
      <c r="E608" s="21"/>
      <c r="F608" s="21"/>
      <c r="G608" s="21"/>
      <c r="H608" s="27"/>
      <c r="I608" s="21"/>
      <c r="J608" s="21"/>
      <c r="K608" s="21"/>
      <c r="L608" s="21"/>
      <c r="M608" s="21"/>
      <c r="N608" s="34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spans="1:28" ht="39.75" customHeight="1" x14ac:dyDescent="0.2">
      <c r="A609" s="19"/>
      <c r="B609" s="21"/>
      <c r="C609" s="21"/>
      <c r="D609" s="21"/>
      <c r="E609" s="21"/>
      <c r="F609" s="21"/>
      <c r="G609" s="21"/>
      <c r="H609" s="27"/>
      <c r="I609" s="21"/>
      <c r="J609" s="21"/>
      <c r="K609" s="21"/>
      <c r="L609" s="21"/>
      <c r="M609" s="21"/>
      <c r="N609" s="34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spans="1:28" ht="39.75" customHeight="1" x14ac:dyDescent="0.2">
      <c r="A610" s="19"/>
      <c r="B610" s="21"/>
      <c r="C610" s="21"/>
      <c r="D610" s="21"/>
      <c r="E610" s="21"/>
      <c r="F610" s="21"/>
      <c r="G610" s="21"/>
      <c r="H610" s="27"/>
      <c r="I610" s="21"/>
      <c r="J610" s="21"/>
      <c r="K610" s="21"/>
      <c r="L610" s="21"/>
      <c r="M610" s="21"/>
      <c r="N610" s="34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spans="1:28" ht="39.75" customHeight="1" x14ac:dyDescent="0.2">
      <c r="A611" s="19"/>
      <c r="B611" s="21"/>
      <c r="C611" s="21"/>
      <c r="D611" s="21"/>
      <c r="E611" s="21"/>
      <c r="F611" s="21"/>
      <c r="G611" s="21"/>
      <c r="H611" s="27"/>
      <c r="I611" s="21"/>
      <c r="J611" s="21"/>
      <c r="K611" s="21"/>
      <c r="L611" s="21"/>
      <c r="M611" s="21"/>
      <c r="N611" s="34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spans="1:28" ht="39.75" customHeight="1" x14ac:dyDescent="0.2">
      <c r="A612" s="19"/>
      <c r="B612" s="21"/>
      <c r="C612" s="21"/>
      <c r="D612" s="21"/>
      <c r="E612" s="21"/>
      <c r="F612" s="21"/>
      <c r="G612" s="21"/>
      <c r="H612" s="27"/>
      <c r="I612" s="21"/>
      <c r="J612" s="21"/>
      <c r="K612" s="21"/>
      <c r="L612" s="21"/>
      <c r="M612" s="21"/>
      <c r="N612" s="34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spans="1:28" ht="39.75" customHeight="1" x14ac:dyDescent="0.2">
      <c r="A613" s="19"/>
      <c r="B613" s="21"/>
      <c r="C613" s="21"/>
      <c r="D613" s="21"/>
      <c r="E613" s="21"/>
      <c r="F613" s="21"/>
      <c r="G613" s="21"/>
      <c r="H613" s="27"/>
      <c r="I613" s="21"/>
      <c r="J613" s="21"/>
      <c r="K613" s="21"/>
      <c r="L613" s="21"/>
      <c r="M613" s="21"/>
      <c r="N613" s="34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spans="1:28" ht="39.75" customHeight="1" x14ac:dyDescent="0.2">
      <c r="A614" s="19"/>
      <c r="B614" s="21"/>
      <c r="C614" s="21"/>
      <c r="D614" s="21"/>
      <c r="E614" s="21"/>
      <c r="F614" s="21"/>
      <c r="G614" s="21"/>
      <c r="H614" s="27"/>
      <c r="I614" s="21"/>
      <c r="J614" s="21"/>
      <c r="K614" s="21"/>
      <c r="L614" s="21"/>
      <c r="M614" s="21"/>
      <c r="N614" s="34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spans="1:28" ht="39.75" customHeight="1" x14ac:dyDescent="0.2">
      <c r="A615" s="19"/>
      <c r="B615" s="21"/>
      <c r="C615" s="21"/>
      <c r="D615" s="21"/>
      <c r="E615" s="21"/>
      <c r="F615" s="21"/>
      <c r="G615" s="21"/>
      <c r="H615" s="27"/>
      <c r="I615" s="21"/>
      <c r="J615" s="21"/>
      <c r="K615" s="21"/>
      <c r="L615" s="21"/>
      <c r="M615" s="21"/>
      <c r="N615" s="34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spans="1:28" ht="39.75" customHeight="1" x14ac:dyDescent="0.2">
      <c r="A616" s="19"/>
      <c r="B616" s="21"/>
      <c r="C616" s="21"/>
      <c r="D616" s="21"/>
      <c r="E616" s="21"/>
      <c r="F616" s="21"/>
      <c r="G616" s="21"/>
      <c r="H616" s="27"/>
      <c r="I616" s="21"/>
      <c r="J616" s="21"/>
      <c r="K616" s="21"/>
      <c r="L616" s="21"/>
      <c r="M616" s="21"/>
      <c r="N616" s="34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spans="1:28" ht="39.75" customHeight="1" x14ac:dyDescent="0.2">
      <c r="A617" s="19"/>
      <c r="B617" s="21"/>
      <c r="C617" s="21"/>
      <c r="D617" s="21"/>
      <c r="E617" s="21"/>
      <c r="F617" s="21"/>
      <c r="G617" s="21"/>
      <c r="H617" s="27"/>
      <c r="I617" s="21"/>
      <c r="J617" s="21"/>
      <c r="K617" s="21"/>
      <c r="L617" s="21"/>
      <c r="M617" s="21"/>
      <c r="N617" s="34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spans="1:28" ht="39.75" customHeight="1" x14ac:dyDescent="0.2">
      <c r="A618" s="19"/>
      <c r="B618" s="21"/>
      <c r="C618" s="21"/>
      <c r="D618" s="21"/>
      <c r="E618" s="21"/>
      <c r="F618" s="21"/>
      <c r="G618" s="21"/>
      <c r="H618" s="27"/>
      <c r="I618" s="21"/>
      <c r="J618" s="21"/>
      <c r="K618" s="21"/>
      <c r="L618" s="21"/>
      <c r="M618" s="21"/>
      <c r="N618" s="34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spans="1:28" ht="39.75" customHeight="1" x14ac:dyDescent="0.2">
      <c r="A619" s="19"/>
      <c r="B619" s="21"/>
      <c r="C619" s="21"/>
      <c r="D619" s="21"/>
      <c r="E619" s="21"/>
      <c r="F619" s="21"/>
      <c r="G619" s="21"/>
      <c r="H619" s="27"/>
      <c r="I619" s="21"/>
      <c r="J619" s="21"/>
      <c r="K619" s="21"/>
      <c r="L619" s="21"/>
      <c r="M619" s="21"/>
      <c r="N619" s="34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spans="1:28" ht="39.75" customHeight="1" x14ac:dyDescent="0.2">
      <c r="A620" s="19"/>
      <c r="B620" s="21"/>
      <c r="C620" s="21"/>
      <c r="D620" s="21"/>
      <c r="E620" s="21"/>
      <c r="F620" s="21"/>
      <c r="G620" s="21"/>
      <c r="H620" s="27"/>
      <c r="I620" s="21"/>
      <c r="J620" s="21"/>
      <c r="K620" s="21"/>
      <c r="L620" s="21"/>
      <c r="M620" s="21"/>
      <c r="N620" s="34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spans="1:28" ht="39.75" customHeight="1" x14ac:dyDescent="0.2">
      <c r="A621" s="19"/>
      <c r="B621" s="21"/>
      <c r="C621" s="21"/>
      <c r="D621" s="21"/>
      <c r="E621" s="21"/>
      <c r="F621" s="21"/>
      <c r="G621" s="21"/>
      <c r="H621" s="27"/>
      <c r="I621" s="21"/>
      <c r="J621" s="21"/>
      <c r="K621" s="21"/>
      <c r="L621" s="21"/>
      <c r="M621" s="21"/>
      <c r="N621" s="34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spans="1:28" ht="39.75" customHeight="1" x14ac:dyDescent="0.2">
      <c r="A622" s="19"/>
      <c r="B622" s="21"/>
      <c r="C622" s="21"/>
      <c r="D622" s="21"/>
      <c r="E622" s="21"/>
      <c r="F622" s="21"/>
      <c r="G622" s="21"/>
      <c r="H622" s="27"/>
      <c r="I622" s="21"/>
      <c r="J622" s="21"/>
      <c r="K622" s="21"/>
      <c r="L622" s="21"/>
      <c r="M622" s="21"/>
      <c r="N622" s="34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spans="1:28" ht="39.75" customHeight="1" x14ac:dyDescent="0.2">
      <c r="A623" s="19"/>
      <c r="B623" s="21"/>
      <c r="C623" s="21"/>
      <c r="D623" s="21"/>
      <c r="E623" s="21"/>
      <c r="F623" s="21"/>
      <c r="G623" s="21"/>
      <c r="H623" s="27"/>
      <c r="I623" s="21"/>
      <c r="J623" s="21"/>
      <c r="K623" s="21"/>
      <c r="L623" s="21"/>
      <c r="M623" s="21"/>
      <c r="N623" s="34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spans="1:28" ht="39.75" customHeight="1" x14ac:dyDescent="0.2">
      <c r="A624" s="19"/>
      <c r="B624" s="21"/>
      <c r="C624" s="21"/>
      <c r="D624" s="21"/>
      <c r="E624" s="21"/>
      <c r="F624" s="21"/>
      <c r="G624" s="21"/>
      <c r="H624" s="27"/>
      <c r="I624" s="21"/>
      <c r="J624" s="21"/>
      <c r="K624" s="21"/>
      <c r="L624" s="21"/>
      <c r="M624" s="21"/>
      <c r="N624" s="34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spans="1:28" ht="39.75" customHeight="1" x14ac:dyDescent="0.2">
      <c r="A625" s="19"/>
      <c r="B625" s="21"/>
      <c r="C625" s="21"/>
      <c r="D625" s="21"/>
      <c r="E625" s="21"/>
      <c r="F625" s="21"/>
      <c r="G625" s="21"/>
      <c r="H625" s="27"/>
      <c r="I625" s="21"/>
      <c r="J625" s="21"/>
      <c r="K625" s="21"/>
      <c r="L625" s="21"/>
      <c r="M625" s="21"/>
      <c r="N625" s="34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spans="1:28" ht="39.75" customHeight="1" x14ac:dyDescent="0.2">
      <c r="A626" s="19"/>
      <c r="B626" s="21"/>
      <c r="C626" s="21"/>
      <c r="D626" s="21"/>
      <c r="E626" s="21"/>
      <c r="F626" s="21"/>
      <c r="G626" s="21"/>
      <c r="H626" s="27"/>
      <c r="I626" s="21"/>
      <c r="J626" s="21"/>
      <c r="K626" s="21"/>
      <c r="L626" s="21"/>
      <c r="M626" s="21"/>
      <c r="N626" s="34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spans="1:28" ht="39.75" customHeight="1" x14ac:dyDescent="0.2">
      <c r="A627" s="19"/>
      <c r="B627" s="21"/>
      <c r="C627" s="21"/>
      <c r="D627" s="21"/>
      <c r="E627" s="21"/>
      <c r="F627" s="21"/>
      <c r="G627" s="21"/>
      <c r="H627" s="27"/>
      <c r="I627" s="21"/>
      <c r="J627" s="21"/>
      <c r="K627" s="21"/>
      <c r="L627" s="21"/>
      <c r="M627" s="21"/>
      <c r="N627" s="34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spans="1:28" ht="39.75" customHeight="1" x14ac:dyDescent="0.2">
      <c r="A628" s="19"/>
      <c r="B628" s="21"/>
      <c r="C628" s="21"/>
      <c r="D628" s="21"/>
      <c r="E628" s="21"/>
      <c r="F628" s="21"/>
      <c r="G628" s="21"/>
      <c r="H628" s="27"/>
      <c r="I628" s="21"/>
      <c r="J628" s="21"/>
      <c r="K628" s="21"/>
      <c r="L628" s="21"/>
      <c r="M628" s="21"/>
      <c r="N628" s="34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spans="1:28" ht="39.75" customHeight="1" x14ac:dyDescent="0.2">
      <c r="A629" s="19"/>
      <c r="B629" s="21"/>
      <c r="C629" s="21"/>
      <c r="D629" s="21"/>
      <c r="E629" s="21"/>
      <c r="F629" s="21"/>
      <c r="G629" s="21"/>
      <c r="H629" s="27"/>
      <c r="I629" s="21"/>
      <c r="J629" s="21"/>
      <c r="K629" s="21"/>
      <c r="L629" s="21"/>
      <c r="M629" s="21"/>
      <c r="N629" s="34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spans="1:28" ht="39.75" customHeight="1" x14ac:dyDescent="0.2">
      <c r="A630" s="19"/>
      <c r="B630" s="21"/>
      <c r="C630" s="21"/>
      <c r="D630" s="21"/>
      <c r="E630" s="21"/>
      <c r="F630" s="21"/>
      <c r="G630" s="21"/>
      <c r="H630" s="27"/>
      <c r="I630" s="21"/>
      <c r="J630" s="21"/>
      <c r="K630" s="21"/>
      <c r="L630" s="21"/>
      <c r="M630" s="21"/>
      <c r="N630" s="34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spans="1:28" ht="39.75" customHeight="1" x14ac:dyDescent="0.2">
      <c r="A631" s="19"/>
      <c r="B631" s="21"/>
      <c r="C631" s="21"/>
      <c r="D631" s="21"/>
      <c r="E631" s="21"/>
      <c r="F631" s="21"/>
      <c r="G631" s="21"/>
      <c r="H631" s="27"/>
      <c r="I631" s="21"/>
      <c r="J631" s="21"/>
      <c r="K631" s="21"/>
      <c r="L631" s="21"/>
      <c r="M631" s="21"/>
      <c r="N631" s="34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spans="1:28" ht="39.75" customHeight="1" x14ac:dyDescent="0.2">
      <c r="A632" s="19"/>
      <c r="B632" s="21"/>
      <c r="C632" s="21"/>
      <c r="D632" s="21"/>
      <c r="E632" s="21"/>
      <c r="F632" s="21"/>
      <c r="G632" s="21"/>
      <c r="H632" s="27"/>
      <c r="I632" s="21"/>
      <c r="J632" s="21"/>
      <c r="K632" s="21"/>
      <c r="L632" s="21"/>
      <c r="M632" s="21"/>
      <c r="N632" s="34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spans="1:28" ht="39.75" customHeight="1" x14ac:dyDescent="0.2">
      <c r="A633" s="19"/>
      <c r="B633" s="21"/>
      <c r="C633" s="21"/>
      <c r="D633" s="21"/>
      <c r="E633" s="21"/>
      <c r="F633" s="21"/>
      <c r="G633" s="21"/>
      <c r="H633" s="27"/>
      <c r="I633" s="21"/>
      <c r="J633" s="21"/>
      <c r="K633" s="21"/>
      <c r="L633" s="21"/>
      <c r="M633" s="21"/>
      <c r="N633" s="34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spans="1:28" ht="39.75" customHeight="1" x14ac:dyDescent="0.2">
      <c r="A634" s="19"/>
      <c r="B634" s="21"/>
      <c r="C634" s="21"/>
      <c r="D634" s="21"/>
      <c r="E634" s="21"/>
      <c r="F634" s="21"/>
      <c r="G634" s="21"/>
      <c r="H634" s="27"/>
      <c r="I634" s="21"/>
      <c r="J634" s="21"/>
      <c r="K634" s="21"/>
      <c r="L634" s="21"/>
      <c r="M634" s="21"/>
      <c r="N634" s="34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spans="1:28" ht="39.75" customHeight="1" x14ac:dyDescent="0.2">
      <c r="A635" s="19"/>
      <c r="B635" s="21"/>
      <c r="C635" s="21"/>
      <c r="D635" s="21"/>
      <c r="E635" s="21"/>
      <c r="F635" s="21"/>
      <c r="G635" s="21"/>
      <c r="H635" s="27"/>
      <c r="I635" s="21"/>
      <c r="J635" s="21"/>
      <c r="K635" s="21"/>
      <c r="L635" s="21"/>
      <c r="M635" s="21"/>
      <c r="N635" s="34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spans="1:28" ht="39.75" customHeight="1" x14ac:dyDescent="0.2">
      <c r="A636" s="19"/>
      <c r="B636" s="21"/>
      <c r="C636" s="21"/>
      <c r="D636" s="21"/>
      <c r="E636" s="21"/>
      <c r="F636" s="21"/>
      <c r="G636" s="21"/>
      <c r="H636" s="27"/>
      <c r="I636" s="21"/>
      <c r="J636" s="21"/>
      <c r="K636" s="21"/>
      <c r="L636" s="21"/>
      <c r="M636" s="21"/>
      <c r="N636" s="34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spans="1:28" ht="39.75" customHeight="1" x14ac:dyDescent="0.2">
      <c r="A637" s="19"/>
      <c r="B637" s="21"/>
      <c r="C637" s="21"/>
      <c r="D637" s="21"/>
      <c r="E637" s="21"/>
      <c r="F637" s="21"/>
      <c r="G637" s="21"/>
      <c r="H637" s="27"/>
      <c r="I637" s="21"/>
      <c r="J637" s="21"/>
      <c r="K637" s="21"/>
      <c r="L637" s="21"/>
      <c r="M637" s="21"/>
      <c r="N637" s="34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1:28" ht="39.75" customHeight="1" x14ac:dyDescent="0.2">
      <c r="A638" s="19"/>
      <c r="B638" s="21"/>
      <c r="C638" s="21"/>
      <c r="D638" s="21"/>
      <c r="E638" s="21"/>
      <c r="F638" s="21"/>
      <c r="G638" s="21"/>
      <c r="H638" s="27"/>
      <c r="I638" s="21"/>
      <c r="J638" s="21"/>
      <c r="K638" s="21"/>
      <c r="L638" s="21"/>
      <c r="M638" s="21"/>
      <c r="N638" s="34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spans="1:28" ht="39.75" customHeight="1" x14ac:dyDescent="0.2">
      <c r="A639" s="19"/>
      <c r="B639" s="21"/>
      <c r="C639" s="21"/>
      <c r="D639" s="21"/>
      <c r="E639" s="21"/>
      <c r="F639" s="21"/>
      <c r="G639" s="21"/>
      <c r="H639" s="27"/>
      <c r="I639" s="21"/>
      <c r="J639" s="21"/>
      <c r="K639" s="21"/>
      <c r="L639" s="21"/>
      <c r="M639" s="21"/>
      <c r="N639" s="34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spans="1:28" ht="39.75" customHeight="1" x14ac:dyDescent="0.2">
      <c r="A640" s="19"/>
      <c r="B640" s="21"/>
      <c r="C640" s="21"/>
      <c r="D640" s="21"/>
      <c r="E640" s="21"/>
      <c r="F640" s="21"/>
      <c r="G640" s="21"/>
      <c r="H640" s="27"/>
      <c r="I640" s="21"/>
      <c r="J640" s="21"/>
      <c r="K640" s="21"/>
      <c r="L640" s="21"/>
      <c r="M640" s="21"/>
      <c r="N640" s="34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spans="1:28" ht="39.75" customHeight="1" x14ac:dyDescent="0.2">
      <c r="A641" s="19"/>
      <c r="B641" s="21"/>
      <c r="C641" s="21"/>
      <c r="D641" s="21"/>
      <c r="E641" s="21"/>
      <c r="F641" s="21"/>
      <c r="G641" s="21"/>
      <c r="H641" s="27"/>
      <c r="I641" s="21"/>
      <c r="J641" s="21"/>
      <c r="K641" s="21"/>
      <c r="L641" s="21"/>
      <c r="M641" s="21"/>
      <c r="N641" s="34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spans="1:28" ht="39.75" customHeight="1" x14ac:dyDescent="0.2">
      <c r="A642" s="19"/>
      <c r="B642" s="21"/>
      <c r="C642" s="21"/>
      <c r="D642" s="21"/>
      <c r="E642" s="21"/>
      <c r="F642" s="21"/>
      <c r="G642" s="21"/>
      <c r="H642" s="27"/>
      <c r="I642" s="21"/>
      <c r="J642" s="21"/>
      <c r="K642" s="21"/>
      <c r="L642" s="21"/>
      <c r="M642" s="21"/>
      <c r="N642" s="34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spans="1:28" ht="39.75" customHeight="1" x14ac:dyDescent="0.2">
      <c r="A643" s="19"/>
      <c r="B643" s="21"/>
      <c r="C643" s="21"/>
      <c r="D643" s="21"/>
      <c r="E643" s="21"/>
      <c r="F643" s="21"/>
      <c r="G643" s="21"/>
      <c r="H643" s="27"/>
      <c r="I643" s="21"/>
      <c r="J643" s="21"/>
      <c r="K643" s="21"/>
      <c r="L643" s="21"/>
      <c r="M643" s="21"/>
      <c r="N643" s="34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spans="1:28" ht="39.75" customHeight="1" x14ac:dyDescent="0.2">
      <c r="A644" s="19"/>
      <c r="B644" s="21"/>
      <c r="C644" s="21"/>
      <c r="D644" s="21"/>
      <c r="E644" s="21"/>
      <c r="F644" s="21"/>
      <c r="G644" s="21"/>
      <c r="H644" s="27"/>
      <c r="I644" s="21"/>
      <c r="J644" s="21"/>
      <c r="K644" s="21"/>
      <c r="L644" s="21"/>
      <c r="M644" s="21"/>
      <c r="N644" s="34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spans="1:28" ht="39.75" customHeight="1" x14ac:dyDescent="0.2">
      <c r="A645" s="19"/>
      <c r="B645" s="21"/>
      <c r="C645" s="21"/>
      <c r="D645" s="21"/>
      <c r="E645" s="21"/>
      <c r="F645" s="21"/>
      <c r="G645" s="21"/>
      <c r="H645" s="27"/>
      <c r="I645" s="21"/>
      <c r="J645" s="21"/>
      <c r="K645" s="21"/>
      <c r="L645" s="21"/>
      <c r="M645" s="21"/>
      <c r="N645" s="34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spans="1:28" ht="39.75" customHeight="1" x14ac:dyDescent="0.2">
      <c r="A646" s="19"/>
      <c r="B646" s="21"/>
      <c r="C646" s="21"/>
      <c r="D646" s="21"/>
      <c r="E646" s="21"/>
      <c r="F646" s="21"/>
      <c r="G646" s="21"/>
      <c r="H646" s="27"/>
      <c r="I646" s="21"/>
      <c r="J646" s="21"/>
      <c r="K646" s="21"/>
      <c r="L646" s="21"/>
      <c r="M646" s="21"/>
      <c r="N646" s="34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spans="1:28" ht="39.75" customHeight="1" x14ac:dyDescent="0.2">
      <c r="A647" s="19"/>
      <c r="B647" s="21"/>
      <c r="C647" s="21"/>
      <c r="D647" s="21"/>
      <c r="E647" s="21"/>
      <c r="F647" s="21"/>
      <c r="G647" s="21"/>
      <c r="H647" s="27"/>
      <c r="I647" s="21"/>
      <c r="J647" s="21"/>
      <c r="K647" s="21"/>
      <c r="L647" s="21"/>
      <c r="M647" s="21"/>
      <c r="N647" s="34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spans="1:28" ht="39.75" customHeight="1" x14ac:dyDescent="0.2">
      <c r="A648" s="19"/>
      <c r="B648" s="21"/>
      <c r="C648" s="21"/>
      <c r="D648" s="21"/>
      <c r="E648" s="21"/>
      <c r="F648" s="21"/>
      <c r="G648" s="21"/>
      <c r="H648" s="27"/>
      <c r="I648" s="21"/>
      <c r="J648" s="21"/>
      <c r="K648" s="21"/>
      <c r="L648" s="21"/>
      <c r="M648" s="21"/>
      <c r="N648" s="34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spans="1:28" ht="39.75" customHeight="1" x14ac:dyDescent="0.2">
      <c r="A649" s="19"/>
      <c r="B649" s="21"/>
      <c r="C649" s="21"/>
      <c r="D649" s="21"/>
      <c r="E649" s="21"/>
      <c r="F649" s="21"/>
      <c r="G649" s="21"/>
      <c r="H649" s="27"/>
      <c r="I649" s="21"/>
      <c r="J649" s="21"/>
      <c r="K649" s="21"/>
      <c r="L649" s="21"/>
      <c r="M649" s="21"/>
      <c r="N649" s="34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spans="1:28" ht="39.75" customHeight="1" x14ac:dyDescent="0.2">
      <c r="A650" s="19"/>
      <c r="B650" s="21"/>
      <c r="C650" s="21"/>
      <c r="D650" s="21"/>
      <c r="E650" s="21"/>
      <c r="F650" s="21"/>
      <c r="G650" s="21"/>
      <c r="H650" s="27"/>
      <c r="I650" s="21"/>
      <c r="J650" s="21"/>
      <c r="K650" s="21"/>
      <c r="L650" s="21"/>
      <c r="M650" s="21"/>
      <c r="N650" s="34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spans="1:28" ht="39.75" customHeight="1" x14ac:dyDescent="0.2">
      <c r="A651" s="19"/>
      <c r="B651" s="21"/>
      <c r="C651" s="21"/>
      <c r="D651" s="21"/>
      <c r="E651" s="21"/>
      <c r="F651" s="21"/>
      <c r="G651" s="21"/>
      <c r="H651" s="27"/>
      <c r="I651" s="21"/>
      <c r="J651" s="21"/>
      <c r="K651" s="21"/>
      <c r="L651" s="21"/>
      <c r="M651" s="21"/>
      <c r="N651" s="34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spans="1:28" ht="39.75" customHeight="1" x14ac:dyDescent="0.2">
      <c r="A652" s="19"/>
      <c r="B652" s="21"/>
      <c r="C652" s="21"/>
      <c r="D652" s="21"/>
      <c r="E652" s="21"/>
      <c r="F652" s="21"/>
      <c r="G652" s="21"/>
      <c r="H652" s="27"/>
      <c r="I652" s="21"/>
      <c r="J652" s="21"/>
      <c r="K652" s="21"/>
      <c r="L652" s="21"/>
      <c r="M652" s="21"/>
      <c r="N652" s="34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spans="1:28" ht="39.75" customHeight="1" x14ac:dyDescent="0.2">
      <c r="A653" s="19"/>
      <c r="B653" s="21"/>
      <c r="C653" s="21"/>
      <c r="D653" s="21"/>
      <c r="E653" s="21"/>
      <c r="F653" s="21"/>
      <c r="G653" s="21"/>
      <c r="H653" s="27"/>
      <c r="I653" s="21"/>
      <c r="J653" s="21"/>
      <c r="K653" s="21"/>
      <c r="L653" s="21"/>
      <c r="M653" s="21"/>
      <c r="N653" s="34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spans="1:28" ht="39.75" customHeight="1" x14ac:dyDescent="0.2">
      <c r="A654" s="19"/>
      <c r="B654" s="21"/>
      <c r="C654" s="21"/>
      <c r="D654" s="21"/>
      <c r="E654" s="21"/>
      <c r="F654" s="21"/>
      <c r="G654" s="21"/>
      <c r="H654" s="27"/>
      <c r="I654" s="21"/>
      <c r="J654" s="21"/>
      <c r="K654" s="21"/>
      <c r="L654" s="21"/>
      <c r="M654" s="21"/>
      <c r="N654" s="34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spans="1:28" ht="39.75" customHeight="1" x14ac:dyDescent="0.2">
      <c r="A655" s="19"/>
      <c r="B655" s="21"/>
      <c r="C655" s="21"/>
      <c r="D655" s="21"/>
      <c r="E655" s="21"/>
      <c r="F655" s="21"/>
      <c r="G655" s="21"/>
      <c r="H655" s="27"/>
      <c r="I655" s="21"/>
      <c r="J655" s="21"/>
      <c r="K655" s="21"/>
      <c r="L655" s="21"/>
      <c r="M655" s="21"/>
      <c r="N655" s="34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spans="1:28" ht="39.75" customHeight="1" x14ac:dyDescent="0.2">
      <c r="A656" s="19"/>
      <c r="B656" s="21"/>
      <c r="C656" s="21"/>
      <c r="D656" s="21"/>
      <c r="E656" s="21"/>
      <c r="F656" s="21"/>
      <c r="G656" s="21"/>
      <c r="H656" s="27"/>
      <c r="I656" s="21"/>
      <c r="J656" s="21"/>
      <c r="K656" s="21"/>
      <c r="L656" s="21"/>
      <c r="M656" s="21"/>
      <c r="N656" s="34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spans="1:28" ht="39.75" customHeight="1" x14ac:dyDescent="0.2">
      <c r="A657" s="19"/>
      <c r="B657" s="21"/>
      <c r="C657" s="21"/>
      <c r="D657" s="21"/>
      <c r="E657" s="21"/>
      <c r="F657" s="21"/>
      <c r="G657" s="21"/>
      <c r="H657" s="27"/>
      <c r="I657" s="21"/>
      <c r="J657" s="21"/>
      <c r="K657" s="21"/>
      <c r="L657" s="21"/>
      <c r="M657" s="21"/>
      <c r="N657" s="34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spans="1:28" ht="39.75" customHeight="1" x14ac:dyDescent="0.2">
      <c r="A658" s="19"/>
      <c r="B658" s="21"/>
      <c r="C658" s="21"/>
      <c r="D658" s="21"/>
      <c r="E658" s="21"/>
      <c r="F658" s="21"/>
      <c r="G658" s="21"/>
      <c r="H658" s="27"/>
      <c r="I658" s="21"/>
      <c r="J658" s="21"/>
      <c r="K658" s="21"/>
      <c r="L658" s="21"/>
      <c r="M658" s="21"/>
      <c r="N658" s="34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spans="1:28" ht="39.75" customHeight="1" x14ac:dyDescent="0.2">
      <c r="A659" s="19"/>
      <c r="B659" s="21"/>
      <c r="C659" s="21"/>
      <c r="D659" s="21"/>
      <c r="E659" s="21"/>
      <c r="F659" s="21"/>
      <c r="G659" s="21"/>
      <c r="H659" s="27"/>
      <c r="I659" s="21"/>
      <c r="J659" s="21"/>
      <c r="K659" s="21"/>
      <c r="L659" s="21"/>
      <c r="M659" s="21"/>
      <c r="N659" s="34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spans="1:28" ht="39.75" customHeight="1" x14ac:dyDescent="0.2">
      <c r="A660" s="19"/>
      <c r="B660" s="21"/>
      <c r="C660" s="21"/>
      <c r="D660" s="21"/>
      <c r="E660" s="21"/>
      <c r="F660" s="21"/>
      <c r="G660" s="21"/>
      <c r="H660" s="27"/>
      <c r="I660" s="21"/>
      <c r="J660" s="21"/>
      <c r="K660" s="21"/>
      <c r="L660" s="21"/>
      <c r="M660" s="21"/>
      <c r="N660" s="34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spans="1:28" ht="39.75" customHeight="1" x14ac:dyDescent="0.2">
      <c r="A661" s="19"/>
      <c r="B661" s="21"/>
      <c r="C661" s="21"/>
      <c r="D661" s="21"/>
      <c r="E661" s="21"/>
      <c r="F661" s="21"/>
      <c r="G661" s="21"/>
      <c r="H661" s="27"/>
      <c r="I661" s="21"/>
      <c r="J661" s="21"/>
      <c r="K661" s="21"/>
      <c r="L661" s="21"/>
      <c r="M661" s="21"/>
      <c r="N661" s="34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spans="1:28" ht="39.75" customHeight="1" x14ac:dyDescent="0.2">
      <c r="A662" s="19"/>
      <c r="B662" s="21"/>
      <c r="C662" s="21"/>
      <c r="D662" s="21"/>
      <c r="E662" s="21"/>
      <c r="F662" s="21"/>
      <c r="G662" s="21"/>
      <c r="H662" s="27"/>
      <c r="I662" s="21"/>
      <c r="J662" s="21"/>
      <c r="K662" s="21"/>
      <c r="L662" s="21"/>
      <c r="M662" s="21"/>
      <c r="N662" s="34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spans="1:28" ht="39.75" customHeight="1" x14ac:dyDescent="0.2">
      <c r="A663" s="19"/>
      <c r="B663" s="21"/>
      <c r="C663" s="21"/>
      <c r="D663" s="21"/>
      <c r="E663" s="21"/>
      <c r="F663" s="21"/>
      <c r="G663" s="21"/>
      <c r="H663" s="27"/>
      <c r="I663" s="21"/>
      <c r="J663" s="21"/>
      <c r="K663" s="21"/>
      <c r="L663" s="21"/>
      <c r="M663" s="21"/>
      <c r="N663" s="34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spans="1:28" ht="39.75" customHeight="1" x14ac:dyDescent="0.2">
      <c r="A664" s="19"/>
      <c r="B664" s="21"/>
      <c r="C664" s="21"/>
      <c r="D664" s="21"/>
      <c r="E664" s="21"/>
      <c r="F664" s="21"/>
      <c r="G664" s="21"/>
      <c r="H664" s="27"/>
      <c r="I664" s="21"/>
      <c r="J664" s="21"/>
      <c r="K664" s="21"/>
      <c r="L664" s="21"/>
      <c r="M664" s="21"/>
      <c r="N664" s="34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spans="1:28" ht="39.75" customHeight="1" x14ac:dyDescent="0.2">
      <c r="A665" s="19"/>
      <c r="B665" s="21"/>
      <c r="C665" s="21"/>
      <c r="D665" s="21"/>
      <c r="E665" s="21"/>
      <c r="F665" s="21"/>
      <c r="G665" s="21"/>
      <c r="H665" s="27"/>
      <c r="I665" s="21"/>
      <c r="J665" s="21"/>
      <c r="K665" s="21"/>
      <c r="L665" s="21"/>
      <c r="M665" s="21"/>
      <c r="N665" s="34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spans="1:28" ht="39.75" customHeight="1" x14ac:dyDescent="0.2">
      <c r="A666" s="19"/>
      <c r="B666" s="21"/>
      <c r="C666" s="21"/>
      <c r="D666" s="21"/>
      <c r="E666" s="21"/>
      <c r="F666" s="21"/>
      <c r="G666" s="21"/>
      <c r="H666" s="27"/>
      <c r="I666" s="21"/>
      <c r="J666" s="21"/>
      <c r="K666" s="21"/>
      <c r="L666" s="21"/>
      <c r="M666" s="21"/>
      <c r="N666" s="34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spans="1:28" ht="39.75" customHeight="1" x14ac:dyDescent="0.2">
      <c r="A667" s="19"/>
      <c r="B667" s="21"/>
      <c r="C667" s="21"/>
      <c r="D667" s="21"/>
      <c r="E667" s="21"/>
      <c r="F667" s="21"/>
      <c r="G667" s="21"/>
      <c r="H667" s="27"/>
      <c r="I667" s="21"/>
      <c r="J667" s="21"/>
      <c r="K667" s="21"/>
      <c r="L667" s="21"/>
      <c r="M667" s="21"/>
      <c r="N667" s="34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spans="1:28" ht="39.75" customHeight="1" x14ac:dyDescent="0.2">
      <c r="A668" s="19"/>
      <c r="B668" s="21"/>
      <c r="C668" s="21"/>
      <c r="D668" s="21"/>
      <c r="E668" s="21"/>
      <c r="F668" s="21"/>
      <c r="G668" s="21"/>
      <c r="H668" s="27"/>
      <c r="I668" s="21"/>
      <c r="J668" s="21"/>
      <c r="K668" s="21"/>
      <c r="L668" s="21"/>
      <c r="M668" s="21"/>
      <c r="N668" s="34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spans="1:28" ht="39.75" customHeight="1" x14ac:dyDescent="0.2">
      <c r="A669" s="19"/>
      <c r="B669" s="21"/>
      <c r="C669" s="21"/>
      <c r="D669" s="21"/>
      <c r="E669" s="21"/>
      <c r="F669" s="21"/>
      <c r="G669" s="21"/>
      <c r="H669" s="27"/>
      <c r="I669" s="21"/>
      <c r="J669" s="21"/>
      <c r="K669" s="21"/>
      <c r="L669" s="21"/>
      <c r="M669" s="21"/>
      <c r="N669" s="34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spans="1:28" ht="39.75" customHeight="1" x14ac:dyDescent="0.2">
      <c r="A670" s="19"/>
      <c r="B670" s="21"/>
      <c r="C670" s="21"/>
      <c r="D670" s="21"/>
      <c r="E670" s="21"/>
      <c r="F670" s="21"/>
      <c r="G670" s="21"/>
      <c r="H670" s="27"/>
      <c r="I670" s="21"/>
      <c r="J670" s="21"/>
      <c r="K670" s="21"/>
      <c r="L670" s="21"/>
      <c r="M670" s="21"/>
      <c r="N670" s="34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spans="1:28" ht="39.75" customHeight="1" x14ac:dyDescent="0.2">
      <c r="A671" s="19"/>
      <c r="B671" s="21"/>
      <c r="C671" s="21"/>
      <c r="D671" s="21"/>
      <c r="E671" s="21"/>
      <c r="F671" s="21"/>
      <c r="G671" s="21"/>
      <c r="H671" s="27"/>
      <c r="I671" s="21"/>
      <c r="J671" s="21"/>
      <c r="K671" s="21"/>
      <c r="L671" s="21"/>
      <c r="M671" s="21"/>
      <c r="N671" s="34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spans="1:28" ht="39.75" customHeight="1" x14ac:dyDescent="0.2">
      <c r="A672" s="19"/>
      <c r="B672" s="21"/>
      <c r="C672" s="21"/>
      <c r="D672" s="21"/>
      <c r="E672" s="21"/>
      <c r="F672" s="21"/>
      <c r="G672" s="21"/>
      <c r="H672" s="27"/>
      <c r="I672" s="21"/>
      <c r="J672" s="21"/>
      <c r="K672" s="21"/>
      <c r="L672" s="21"/>
      <c r="M672" s="21"/>
      <c r="N672" s="34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spans="1:28" ht="39.75" customHeight="1" x14ac:dyDescent="0.2">
      <c r="A673" s="19"/>
      <c r="B673" s="21"/>
      <c r="C673" s="21"/>
      <c r="D673" s="21"/>
      <c r="E673" s="21"/>
      <c r="F673" s="21"/>
      <c r="G673" s="21"/>
      <c r="H673" s="27"/>
      <c r="I673" s="21"/>
      <c r="J673" s="21"/>
      <c r="K673" s="21"/>
      <c r="L673" s="21"/>
      <c r="M673" s="21"/>
      <c r="N673" s="34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spans="1:28" ht="39.75" customHeight="1" x14ac:dyDescent="0.2">
      <c r="A674" s="19"/>
      <c r="B674" s="21"/>
      <c r="C674" s="21"/>
      <c r="D674" s="21"/>
      <c r="E674" s="21"/>
      <c r="F674" s="21"/>
      <c r="G674" s="21"/>
      <c r="H674" s="27"/>
      <c r="I674" s="21"/>
      <c r="J674" s="21"/>
      <c r="K674" s="21"/>
      <c r="L674" s="21"/>
      <c r="M674" s="21"/>
      <c r="N674" s="34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spans="1:28" ht="39.75" customHeight="1" x14ac:dyDescent="0.2">
      <c r="A675" s="19"/>
      <c r="B675" s="21"/>
      <c r="C675" s="21"/>
      <c r="D675" s="21"/>
      <c r="E675" s="21"/>
      <c r="F675" s="21"/>
      <c r="G675" s="21"/>
      <c r="H675" s="27"/>
      <c r="I675" s="21"/>
      <c r="J675" s="21"/>
      <c r="K675" s="21"/>
      <c r="L675" s="21"/>
      <c r="M675" s="21"/>
      <c r="N675" s="34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spans="1:28" ht="39.75" customHeight="1" x14ac:dyDescent="0.2">
      <c r="A676" s="19"/>
      <c r="B676" s="21"/>
      <c r="C676" s="21"/>
      <c r="D676" s="21"/>
      <c r="E676" s="21"/>
      <c r="F676" s="21"/>
      <c r="G676" s="21"/>
      <c r="H676" s="27"/>
      <c r="I676" s="21"/>
      <c r="J676" s="21"/>
      <c r="K676" s="21"/>
      <c r="L676" s="21"/>
      <c r="M676" s="21"/>
      <c r="N676" s="34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spans="1:28" ht="39.75" customHeight="1" x14ac:dyDescent="0.2">
      <c r="A677" s="19"/>
      <c r="B677" s="21"/>
      <c r="C677" s="21"/>
      <c r="D677" s="21"/>
      <c r="E677" s="21"/>
      <c r="F677" s="21"/>
      <c r="G677" s="21"/>
      <c r="H677" s="27"/>
      <c r="I677" s="21"/>
      <c r="J677" s="21"/>
      <c r="K677" s="21"/>
      <c r="L677" s="21"/>
      <c r="M677" s="21"/>
      <c r="N677" s="34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spans="1:28" ht="39.75" customHeight="1" x14ac:dyDescent="0.2">
      <c r="A678" s="19"/>
      <c r="B678" s="21"/>
      <c r="C678" s="21"/>
      <c r="D678" s="21"/>
      <c r="E678" s="21"/>
      <c r="F678" s="21"/>
      <c r="G678" s="21"/>
      <c r="H678" s="27"/>
      <c r="I678" s="21"/>
      <c r="J678" s="21"/>
      <c r="K678" s="21"/>
      <c r="L678" s="21"/>
      <c r="M678" s="21"/>
      <c r="N678" s="34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spans="1:28" ht="39.75" customHeight="1" x14ac:dyDescent="0.2">
      <c r="A679" s="19"/>
      <c r="B679" s="21"/>
      <c r="C679" s="21"/>
      <c r="D679" s="21"/>
      <c r="E679" s="21"/>
      <c r="F679" s="21"/>
      <c r="G679" s="21"/>
      <c r="H679" s="27"/>
      <c r="I679" s="21"/>
      <c r="J679" s="21"/>
      <c r="K679" s="21"/>
      <c r="L679" s="21"/>
      <c r="M679" s="21"/>
      <c r="N679" s="34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spans="1:28" ht="39.75" customHeight="1" x14ac:dyDescent="0.2">
      <c r="A680" s="19"/>
      <c r="B680" s="21"/>
      <c r="C680" s="21"/>
      <c r="D680" s="21"/>
      <c r="E680" s="21"/>
      <c r="F680" s="21"/>
      <c r="G680" s="21"/>
      <c r="H680" s="27"/>
      <c r="I680" s="21"/>
      <c r="J680" s="21"/>
      <c r="K680" s="21"/>
      <c r="L680" s="21"/>
      <c r="M680" s="21"/>
      <c r="N680" s="34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spans="1:28" ht="39.75" customHeight="1" x14ac:dyDescent="0.2">
      <c r="A681" s="19"/>
      <c r="B681" s="21"/>
      <c r="C681" s="21"/>
      <c r="D681" s="21"/>
      <c r="E681" s="21"/>
      <c r="F681" s="21"/>
      <c r="G681" s="21"/>
      <c r="H681" s="27"/>
      <c r="I681" s="21"/>
      <c r="J681" s="21"/>
      <c r="K681" s="21"/>
      <c r="L681" s="21"/>
      <c r="M681" s="21"/>
      <c r="N681" s="34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spans="1:28" ht="39.75" customHeight="1" x14ac:dyDescent="0.2">
      <c r="A682" s="19"/>
      <c r="B682" s="21"/>
      <c r="C682" s="21"/>
      <c r="D682" s="21"/>
      <c r="E682" s="21"/>
      <c r="F682" s="21"/>
      <c r="G682" s="21"/>
      <c r="H682" s="27"/>
      <c r="I682" s="21"/>
      <c r="J682" s="21"/>
      <c r="K682" s="21"/>
      <c r="L682" s="21"/>
      <c r="M682" s="21"/>
      <c r="N682" s="34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spans="1:28" ht="39.75" customHeight="1" x14ac:dyDescent="0.2">
      <c r="A683" s="19"/>
      <c r="B683" s="21"/>
      <c r="C683" s="21"/>
      <c r="D683" s="21"/>
      <c r="E683" s="21"/>
      <c r="F683" s="21"/>
      <c r="G683" s="21"/>
      <c r="H683" s="27"/>
      <c r="I683" s="21"/>
      <c r="J683" s="21"/>
      <c r="K683" s="21"/>
      <c r="L683" s="21"/>
      <c r="M683" s="21"/>
      <c r="N683" s="34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spans="1:28" ht="39.75" customHeight="1" x14ac:dyDescent="0.2">
      <c r="A684" s="19"/>
      <c r="B684" s="21"/>
      <c r="C684" s="21"/>
      <c r="D684" s="21"/>
      <c r="E684" s="21"/>
      <c r="F684" s="21"/>
      <c r="G684" s="21"/>
      <c r="H684" s="27"/>
      <c r="I684" s="21"/>
      <c r="J684" s="21"/>
      <c r="K684" s="21"/>
      <c r="L684" s="21"/>
      <c r="M684" s="21"/>
      <c r="N684" s="34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spans="1:28" ht="39.75" customHeight="1" x14ac:dyDescent="0.2">
      <c r="A685" s="19"/>
      <c r="B685" s="21"/>
      <c r="C685" s="21"/>
      <c r="D685" s="21"/>
      <c r="E685" s="21"/>
      <c r="F685" s="21"/>
      <c r="G685" s="21"/>
      <c r="H685" s="27"/>
      <c r="I685" s="21"/>
      <c r="J685" s="21"/>
      <c r="K685" s="21"/>
      <c r="L685" s="21"/>
      <c r="M685" s="21"/>
      <c r="N685" s="34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spans="1:28" ht="39.75" customHeight="1" x14ac:dyDescent="0.2">
      <c r="A686" s="19"/>
      <c r="B686" s="21"/>
      <c r="C686" s="21"/>
      <c r="D686" s="21"/>
      <c r="E686" s="21"/>
      <c r="F686" s="21"/>
      <c r="G686" s="21"/>
      <c r="H686" s="27"/>
      <c r="I686" s="21"/>
      <c r="J686" s="21"/>
      <c r="K686" s="21"/>
      <c r="L686" s="21"/>
      <c r="M686" s="21"/>
      <c r="N686" s="34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spans="1:28" ht="39.75" customHeight="1" x14ac:dyDescent="0.2">
      <c r="A687" s="19"/>
      <c r="B687" s="21"/>
      <c r="C687" s="21"/>
      <c r="D687" s="21"/>
      <c r="E687" s="21"/>
      <c r="F687" s="21"/>
      <c r="G687" s="21"/>
      <c r="H687" s="27"/>
      <c r="I687" s="21"/>
      <c r="J687" s="21"/>
      <c r="K687" s="21"/>
      <c r="L687" s="21"/>
      <c r="M687" s="21"/>
      <c r="N687" s="34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spans="1:28" ht="39.75" customHeight="1" x14ac:dyDescent="0.2">
      <c r="A688" s="19"/>
      <c r="B688" s="21"/>
      <c r="C688" s="21"/>
      <c r="D688" s="21"/>
      <c r="E688" s="21"/>
      <c r="F688" s="21"/>
      <c r="G688" s="21"/>
      <c r="H688" s="27"/>
      <c r="I688" s="21"/>
      <c r="J688" s="21"/>
      <c r="K688" s="21"/>
      <c r="L688" s="21"/>
      <c r="M688" s="21"/>
      <c r="N688" s="34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spans="1:28" ht="39.75" customHeight="1" x14ac:dyDescent="0.2">
      <c r="A689" s="19"/>
      <c r="B689" s="21"/>
      <c r="C689" s="21"/>
      <c r="D689" s="21"/>
      <c r="E689" s="21"/>
      <c r="F689" s="21"/>
      <c r="G689" s="21"/>
      <c r="H689" s="27"/>
      <c r="I689" s="21"/>
      <c r="J689" s="21"/>
      <c r="K689" s="21"/>
      <c r="L689" s="21"/>
      <c r="M689" s="21"/>
      <c r="N689" s="34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spans="1:28" ht="39.75" customHeight="1" x14ac:dyDescent="0.2">
      <c r="A690" s="19"/>
      <c r="B690" s="21"/>
      <c r="C690" s="21"/>
      <c r="D690" s="21"/>
      <c r="E690" s="21"/>
      <c r="F690" s="21"/>
      <c r="G690" s="21"/>
      <c r="H690" s="27"/>
      <c r="I690" s="21"/>
      <c r="J690" s="21"/>
      <c r="K690" s="21"/>
      <c r="L690" s="21"/>
      <c r="M690" s="21"/>
      <c r="N690" s="34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spans="1:28" ht="39.75" customHeight="1" x14ac:dyDescent="0.2">
      <c r="A691" s="19"/>
      <c r="B691" s="21"/>
      <c r="C691" s="21"/>
      <c r="D691" s="21"/>
      <c r="E691" s="21"/>
      <c r="F691" s="21"/>
      <c r="G691" s="21"/>
      <c r="H691" s="27"/>
      <c r="I691" s="21"/>
      <c r="J691" s="21"/>
      <c r="K691" s="21"/>
      <c r="L691" s="21"/>
      <c r="M691" s="21"/>
      <c r="N691" s="34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spans="1:28" ht="39.75" customHeight="1" x14ac:dyDescent="0.2">
      <c r="A692" s="19"/>
      <c r="B692" s="21"/>
      <c r="C692" s="21"/>
      <c r="D692" s="21"/>
      <c r="E692" s="21"/>
      <c r="F692" s="21"/>
      <c r="G692" s="21"/>
      <c r="H692" s="27"/>
      <c r="I692" s="21"/>
      <c r="J692" s="21"/>
      <c r="K692" s="21"/>
      <c r="L692" s="21"/>
      <c r="M692" s="21"/>
      <c r="N692" s="34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spans="1:28" ht="39.75" customHeight="1" x14ac:dyDescent="0.2">
      <c r="A693" s="19"/>
      <c r="B693" s="21"/>
      <c r="C693" s="21"/>
      <c r="D693" s="21"/>
      <c r="E693" s="21"/>
      <c r="F693" s="21"/>
      <c r="G693" s="21"/>
      <c r="H693" s="27"/>
      <c r="I693" s="21"/>
      <c r="J693" s="21"/>
      <c r="K693" s="21"/>
      <c r="L693" s="21"/>
      <c r="M693" s="21"/>
      <c r="N693" s="34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spans="1:28" ht="39.75" customHeight="1" x14ac:dyDescent="0.2">
      <c r="A694" s="19"/>
      <c r="B694" s="21"/>
      <c r="C694" s="21"/>
      <c r="D694" s="21"/>
      <c r="E694" s="21"/>
      <c r="F694" s="21"/>
      <c r="G694" s="21"/>
      <c r="H694" s="27"/>
      <c r="I694" s="21"/>
      <c r="J694" s="21"/>
      <c r="K694" s="21"/>
      <c r="L694" s="21"/>
      <c r="M694" s="21"/>
      <c r="N694" s="34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spans="1:28" ht="39.75" customHeight="1" x14ac:dyDescent="0.2">
      <c r="A695" s="19"/>
      <c r="B695" s="21"/>
      <c r="C695" s="21"/>
      <c r="D695" s="21"/>
      <c r="E695" s="21"/>
      <c r="F695" s="21"/>
      <c r="G695" s="21"/>
      <c r="H695" s="27"/>
      <c r="I695" s="21"/>
      <c r="J695" s="21"/>
      <c r="K695" s="21"/>
      <c r="L695" s="21"/>
      <c r="M695" s="21"/>
      <c r="N695" s="34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spans="1:28" ht="39.75" customHeight="1" x14ac:dyDescent="0.2">
      <c r="A696" s="19"/>
      <c r="B696" s="21"/>
      <c r="C696" s="21"/>
      <c r="D696" s="21"/>
      <c r="E696" s="21"/>
      <c r="F696" s="21"/>
      <c r="G696" s="21"/>
      <c r="H696" s="27"/>
      <c r="I696" s="21"/>
      <c r="J696" s="21"/>
      <c r="K696" s="21"/>
      <c r="L696" s="21"/>
      <c r="M696" s="21"/>
      <c r="N696" s="34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spans="1:28" ht="39.75" customHeight="1" x14ac:dyDescent="0.2">
      <c r="A697" s="19"/>
      <c r="B697" s="21"/>
      <c r="C697" s="21"/>
      <c r="D697" s="21"/>
      <c r="E697" s="21"/>
      <c r="F697" s="21"/>
      <c r="G697" s="21"/>
      <c r="H697" s="27"/>
      <c r="I697" s="21"/>
      <c r="J697" s="21"/>
      <c r="K697" s="21"/>
      <c r="L697" s="21"/>
      <c r="M697" s="21"/>
      <c r="N697" s="34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spans="1:28" ht="39.75" customHeight="1" x14ac:dyDescent="0.2">
      <c r="A698" s="19"/>
      <c r="B698" s="21"/>
      <c r="C698" s="21"/>
      <c r="D698" s="21"/>
      <c r="E698" s="21"/>
      <c r="F698" s="21"/>
      <c r="G698" s="21"/>
      <c r="H698" s="27"/>
      <c r="I698" s="21"/>
      <c r="J698" s="21"/>
      <c r="K698" s="21"/>
      <c r="L698" s="21"/>
      <c r="M698" s="21"/>
      <c r="N698" s="34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spans="1:28" ht="39.75" customHeight="1" x14ac:dyDescent="0.2">
      <c r="A699" s="19"/>
      <c r="B699" s="21"/>
      <c r="C699" s="21"/>
      <c r="D699" s="21"/>
      <c r="E699" s="21"/>
      <c r="F699" s="21"/>
      <c r="G699" s="21"/>
      <c r="H699" s="27"/>
      <c r="I699" s="21"/>
      <c r="J699" s="21"/>
      <c r="K699" s="21"/>
      <c r="L699" s="21"/>
      <c r="M699" s="21"/>
      <c r="N699" s="34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spans="1:28" ht="39.75" customHeight="1" x14ac:dyDescent="0.2">
      <c r="A700" s="19"/>
      <c r="B700" s="21"/>
      <c r="C700" s="21"/>
      <c r="D700" s="21"/>
      <c r="E700" s="21"/>
      <c r="F700" s="21"/>
      <c r="G700" s="21"/>
      <c r="H700" s="27"/>
      <c r="I700" s="21"/>
      <c r="J700" s="21"/>
      <c r="K700" s="21"/>
      <c r="L700" s="21"/>
      <c r="M700" s="21"/>
      <c r="N700" s="34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spans="1:28" ht="39.75" customHeight="1" x14ac:dyDescent="0.2">
      <c r="A701" s="19"/>
      <c r="B701" s="21"/>
      <c r="C701" s="21"/>
      <c r="D701" s="21"/>
      <c r="E701" s="21"/>
      <c r="F701" s="21"/>
      <c r="G701" s="21"/>
      <c r="H701" s="27"/>
      <c r="I701" s="21"/>
      <c r="J701" s="21"/>
      <c r="K701" s="21"/>
      <c r="L701" s="21"/>
      <c r="M701" s="21"/>
      <c r="N701" s="34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spans="1:28" ht="39.75" customHeight="1" x14ac:dyDescent="0.2">
      <c r="A702" s="19"/>
      <c r="B702" s="21"/>
      <c r="C702" s="21"/>
      <c r="D702" s="21"/>
      <c r="E702" s="21"/>
      <c r="F702" s="21"/>
      <c r="G702" s="21"/>
      <c r="H702" s="27"/>
      <c r="I702" s="21"/>
      <c r="J702" s="21"/>
      <c r="K702" s="21"/>
      <c r="L702" s="21"/>
      <c r="M702" s="21"/>
      <c r="N702" s="34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spans="1:28" ht="39.75" customHeight="1" x14ac:dyDescent="0.2">
      <c r="A703" s="19"/>
      <c r="B703" s="21"/>
      <c r="C703" s="21"/>
      <c r="D703" s="21"/>
      <c r="E703" s="21"/>
      <c r="F703" s="21"/>
      <c r="G703" s="21"/>
      <c r="H703" s="27"/>
      <c r="I703" s="21"/>
      <c r="J703" s="21"/>
      <c r="K703" s="21"/>
      <c r="L703" s="21"/>
      <c r="M703" s="21"/>
      <c r="N703" s="34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spans="1:28" ht="39.75" customHeight="1" x14ac:dyDescent="0.2">
      <c r="A704" s="19"/>
      <c r="B704" s="21"/>
      <c r="C704" s="21"/>
      <c r="D704" s="21"/>
      <c r="E704" s="21"/>
      <c r="F704" s="21"/>
      <c r="G704" s="21"/>
      <c r="H704" s="27"/>
      <c r="I704" s="21"/>
      <c r="J704" s="21"/>
      <c r="K704" s="21"/>
      <c r="L704" s="21"/>
      <c r="M704" s="21"/>
      <c r="N704" s="34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spans="1:28" ht="39.75" customHeight="1" x14ac:dyDescent="0.2">
      <c r="A705" s="19"/>
      <c r="B705" s="21"/>
      <c r="C705" s="21"/>
      <c r="D705" s="21"/>
      <c r="E705" s="21"/>
      <c r="F705" s="21"/>
      <c r="G705" s="21"/>
      <c r="H705" s="27"/>
      <c r="I705" s="21"/>
      <c r="J705" s="21"/>
      <c r="K705" s="21"/>
      <c r="L705" s="21"/>
      <c r="M705" s="21"/>
      <c r="N705" s="34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spans="1:28" ht="39.75" customHeight="1" x14ac:dyDescent="0.2">
      <c r="A706" s="19"/>
      <c r="B706" s="21"/>
      <c r="C706" s="21"/>
      <c r="D706" s="21"/>
      <c r="E706" s="21"/>
      <c r="F706" s="21"/>
      <c r="G706" s="21"/>
      <c r="H706" s="27"/>
      <c r="I706" s="21"/>
      <c r="J706" s="21"/>
      <c r="K706" s="21"/>
      <c r="L706" s="21"/>
      <c r="M706" s="21"/>
      <c r="N706" s="34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spans="1:28" ht="39.75" customHeight="1" x14ac:dyDescent="0.2">
      <c r="A707" s="19"/>
      <c r="B707" s="21"/>
      <c r="C707" s="21"/>
      <c r="D707" s="21"/>
      <c r="E707" s="21"/>
      <c r="F707" s="21"/>
      <c r="G707" s="21"/>
      <c r="H707" s="27"/>
      <c r="I707" s="21"/>
      <c r="J707" s="21"/>
      <c r="K707" s="21"/>
      <c r="L707" s="21"/>
      <c r="M707" s="21"/>
      <c r="N707" s="34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spans="1:28" ht="39.75" customHeight="1" x14ac:dyDescent="0.2">
      <c r="A708" s="19"/>
      <c r="B708" s="21"/>
      <c r="C708" s="21"/>
      <c r="D708" s="21"/>
      <c r="E708" s="21"/>
      <c r="F708" s="21"/>
      <c r="G708" s="21"/>
      <c r="H708" s="27"/>
      <c r="I708" s="21"/>
      <c r="J708" s="21"/>
      <c r="K708" s="21"/>
      <c r="L708" s="21"/>
      <c r="M708" s="21"/>
      <c r="N708" s="34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spans="1:28" ht="39.75" customHeight="1" x14ac:dyDescent="0.2">
      <c r="A709" s="19"/>
      <c r="B709" s="21"/>
      <c r="C709" s="21"/>
      <c r="D709" s="21"/>
      <c r="E709" s="21"/>
      <c r="F709" s="21"/>
      <c r="G709" s="21"/>
      <c r="H709" s="27"/>
      <c r="I709" s="21"/>
      <c r="J709" s="21"/>
      <c r="K709" s="21"/>
      <c r="L709" s="21"/>
      <c r="M709" s="21"/>
      <c r="N709" s="34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spans="1:28" ht="39.75" customHeight="1" x14ac:dyDescent="0.2">
      <c r="A710" s="19"/>
      <c r="B710" s="21"/>
      <c r="C710" s="21"/>
      <c r="D710" s="21"/>
      <c r="E710" s="21"/>
      <c r="F710" s="21"/>
      <c r="G710" s="21"/>
      <c r="H710" s="27"/>
      <c r="I710" s="21"/>
      <c r="J710" s="21"/>
      <c r="K710" s="21"/>
      <c r="L710" s="21"/>
      <c r="M710" s="21"/>
      <c r="N710" s="34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spans="1:28" ht="39.75" customHeight="1" x14ac:dyDescent="0.2">
      <c r="A711" s="19"/>
      <c r="B711" s="21"/>
      <c r="C711" s="21"/>
      <c r="D711" s="21"/>
      <c r="E711" s="21"/>
      <c r="F711" s="21"/>
      <c r="G711" s="21"/>
      <c r="H711" s="27"/>
      <c r="I711" s="21"/>
      <c r="J711" s="21"/>
      <c r="K711" s="21"/>
      <c r="L711" s="21"/>
      <c r="M711" s="21"/>
      <c r="N711" s="34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spans="1:28" ht="39.75" customHeight="1" x14ac:dyDescent="0.2">
      <c r="A712" s="19"/>
      <c r="B712" s="21"/>
      <c r="C712" s="21"/>
      <c r="D712" s="21"/>
      <c r="E712" s="21"/>
      <c r="F712" s="21"/>
      <c r="G712" s="21"/>
      <c r="H712" s="27"/>
      <c r="I712" s="21"/>
      <c r="J712" s="21"/>
      <c r="K712" s="21"/>
      <c r="L712" s="21"/>
      <c r="M712" s="21"/>
      <c r="N712" s="34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spans="1:28" ht="39.75" customHeight="1" x14ac:dyDescent="0.2">
      <c r="A713" s="19"/>
      <c r="B713" s="21"/>
      <c r="C713" s="21"/>
      <c r="D713" s="21"/>
      <c r="E713" s="21"/>
      <c r="F713" s="21"/>
      <c r="G713" s="21"/>
      <c r="H713" s="27"/>
      <c r="I713" s="21"/>
      <c r="J713" s="21"/>
      <c r="K713" s="21"/>
      <c r="L713" s="21"/>
      <c r="M713" s="21"/>
      <c r="N713" s="34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spans="1:28" ht="39.75" customHeight="1" x14ac:dyDescent="0.2">
      <c r="A714" s="19"/>
      <c r="B714" s="21"/>
      <c r="C714" s="21"/>
      <c r="D714" s="21"/>
      <c r="E714" s="21"/>
      <c r="F714" s="21"/>
      <c r="G714" s="21"/>
      <c r="H714" s="27"/>
      <c r="I714" s="21"/>
      <c r="J714" s="21"/>
      <c r="K714" s="21"/>
      <c r="L714" s="21"/>
      <c r="M714" s="21"/>
      <c r="N714" s="34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spans="1:28" ht="39.75" customHeight="1" x14ac:dyDescent="0.2">
      <c r="A715" s="19"/>
      <c r="B715" s="21"/>
      <c r="C715" s="21"/>
      <c r="D715" s="21"/>
      <c r="E715" s="21"/>
      <c r="F715" s="21"/>
      <c r="G715" s="21"/>
      <c r="H715" s="27"/>
      <c r="I715" s="21"/>
      <c r="J715" s="21"/>
      <c r="K715" s="21"/>
      <c r="L715" s="21"/>
      <c r="M715" s="21"/>
      <c r="N715" s="34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spans="1:28" ht="39.75" customHeight="1" x14ac:dyDescent="0.2">
      <c r="A716" s="19"/>
      <c r="B716" s="21"/>
      <c r="C716" s="21"/>
      <c r="D716" s="21"/>
      <c r="E716" s="21"/>
      <c r="F716" s="21"/>
      <c r="G716" s="21"/>
      <c r="H716" s="27"/>
      <c r="I716" s="21"/>
      <c r="J716" s="21"/>
      <c r="K716" s="21"/>
      <c r="L716" s="21"/>
      <c r="M716" s="21"/>
      <c r="N716" s="34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spans="1:28" ht="39.75" customHeight="1" x14ac:dyDescent="0.2">
      <c r="A717" s="19"/>
      <c r="B717" s="21"/>
      <c r="C717" s="21"/>
      <c r="D717" s="21"/>
      <c r="E717" s="21"/>
      <c r="F717" s="21"/>
      <c r="G717" s="21"/>
      <c r="H717" s="27"/>
      <c r="I717" s="21"/>
      <c r="J717" s="21"/>
      <c r="K717" s="21"/>
      <c r="L717" s="21"/>
      <c r="M717" s="21"/>
      <c r="N717" s="34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spans="1:28" ht="39.75" customHeight="1" x14ac:dyDescent="0.2">
      <c r="A718" s="19"/>
      <c r="B718" s="21"/>
      <c r="C718" s="21"/>
      <c r="D718" s="21"/>
      <c r="E718" s="21"/>
      <c r="F718" s="21"/>
      <c r="G718" s="21"/>
      <c r="H718" s="27"/>
      <c r="I718" s="21"/>
      <c r="J718" s="21"/>
      <c r="K718" s="21"/>
      <c r="L718" s="21"/>
      <c r="M718" s="21"/>
      <c r="N718" s="34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spans="1:28" ht="39.75" customHeight="1" x14ac:dyDescent="0.2">
      <c r="A719" s="19"/>
      <c r="B719" s="21"/>
      <c r="C719" s="21"/>
      <c r="D719" s="21"/>
      <c r="E719" s="21"/>
      <c r="F719" s="21"/>
      <c r="G719" s="21"/>
      <c r="H719" s="27"/>
      <c r="I719" s="21"/>
      <c r="J719" s="21"/>
      <c r="K719" s="21"/>
      <c r="L719" s="21"/>
      <c r="M719" s="21"/>
      <c r="N719" s="34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spans="1:28" ht="39.75" customHeight="1" x14ac:dyDescent="0.2">
      <c r="A720" s="19"/>
      <c r="B720" s="21"/>
      <c r="C720" s="21"/>
      <c r="D720" s="21"/>
      <c r="E720" s="21"/>
      <c r="F720" s="21"/>
      <c r="G720" s="21"/>
      <c r="H720" s="27"/>
      <c r="I720" s="21"/>
      <c r="J720" s="21"/>
      <c r="K720" s="21"/>
      <c r="L720" s="21"/>
      <c r="M720" s="21"/>
      <c r="N720" s="34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spans="1:28" ht="39.75" customHeight="1" x14ac:dyDescent="0.2">
      <c r="A721" s="19"/>
      <c r="B721" s="21"/>
      <c r="C721" s="21"/>
      <c r="D721" s="21"/>
      <c r="E721" s="21"/>
      <c r="F721" s="21"/>
      <c r="G721" s="21"/>
      <c r="H721" s="27"/>
      <c r="I721" s="21"/>
      <c r="J721" s="21"/>
      <c r="K721" s="21"/>
      <c r="L721" s="21"/>
      <c r="M721" s="21"/>
      <c r="N721" s="34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spans="1:28" ht="39.75" customHeight="1" x14ac:dyDescent="0.2">
      <c r="A722" s="19"/>
      <c r="B722" s="21"/>
      <c r="C722" s="21"/>
      <c r="D722" s="21"/>
      <c r="E722" s="21"/>
      <c r="F722" s="21"/>
      <c r="G722" s="21"/>
      <c r="H722" s="27"/>
      <c r="I722" s="21"/>
      <c r="J722" s="21"/>
      <c r="K722" s="21"/>
      <c r="L722" s="21"/>
      <c r="M722" s="21"/>
      <c r="N722" s="34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spans="1:28" ht="39.75" customHeight="1" x14ac:dyDescent="0.2">
      <c r="A723" s="19"/>
      <c r="B723" s="21"/>
      <c r="C723" s="21"/>
      <c r="D723" s="21"/>
      <c r="E723" s="21"/>
      <c r="F723" s="21"/>
      <c r="G723" s="21"/>
      <c r="H723" s="27"/>
      <c r="I723" s="21"/>
      <c r="J723" s="21"/>
      <c r="K723" s="21"/>
      <c r="L723" s="21"/>
      <c r="M723" s="21"/>
      <c r="N723" s="34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spans="1:28" ht="39.75" customHeight="1" x14ac:dyDescent="0.2">
      <c r="A724" s="19"/>
      <c r="B724" s="21"/>
      <c r="C724" s="21"/>
      <c r="D724" s="21"/>
      <c r="E724" s="21"/>
      <c r="F724" s="21"/>
      <c r="G724" s="21"/>
      <c r="H724" s="27"/>
      <c r="I724" s="21"/>
      <c r="J724" s="21"/>
      <c r="K724" s="21"/>
      <c r="L724" s="21"/>
      <c r="M724" s="21"/>
      <c r="N724" s="34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spans="1:28" ht="39.75" customHeight="1" x14ac:dyDescent="0.2">
      <c r="A725" s="19"/>
      <c r="B725" s="21"/>
      <c r="C725" s="21"/>
      <c r="D725" s="21"/>
      <c r="E725" s="21"/>
      <c r="F725" s="21"/>
      <c r="G725" s="21"/>
      <c r="H725" s="27"/>
      <c r="I725" s="21"/>
      <c r="J725" s="21"/>
      <c r="K725" s="21"/>
      <c r="L725" s="21"/>
      <c r="M725" s="21"/>
      <c r="N725" s="34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spans="1:28" ht="39.75" customHeight="1" x14ac:dyDescent="0.2">
      <c r="A726" s="19"/>
      <c r="B726" s="21"/>
      <c r="C726" s="21"/>
      <c r="D726" s="21"/>
      <c r="E726" s="21"/>
      <c r="F726" s="21"/>
      <c r="G726" s="21"/>
      <c r="H726" s="27"/>
      <c r="I726" s="21"/>
      <c r="J726" s="21"/>
      <c r="K726" s="21"/>
      <c r="L726" s="21"/>
      <c r="M726" s="21"/>
      <c r="N726" s="34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spans="1:28" ht="39.75" customHeight="1" x14ac:dyDescent="0.2">
      <c r="A727" s="19"/>
      <c r="B727" s="21"/>
      <c r="C727" s="21"/>
      <c r="D727" s="21"/>
      <c r="E727" s="21"/>
      <c r="F727" s="21"/>
      <c r="G727" s="21"/>
      <c r="H727" s="27"/>
      <c r="I727" s="21"/>
      <c r="J727" s="21"/>
      <c r="K727" s="21"/>
      <c r="L727" s="21"/>
      <c r="M727" s="21"/>
      <c r="N727" s="34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spans="1:28" ht="39.75" customHeight="1" x14ac:dyDescent="0.2">
      <c r="A728" s="19"/>
      <c r="B728" s="21"/>
      <c r="C728" s="21"/>
      <c r="D728" s="21"/>
      <c r="E728" s="21"/>
      <c r="F728" s="21"/>
      <c r="G728" s="21"/>
      <c r="H728" s="27"/>
      <c r="I728" s="21"/>
      <c r="J728" s="21"/>
      <c r="K728" s="21"/>
      <c r="L728" s="21"/>
      <c r="M728" s="21"/>
      <c r="N728" s="34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spans="1:28" ht="39.75" customHeight="1" x14ac:dyDescent="0.2">
      <c r="A729" s="19"/>
      <c r="B729" s="21"/>
      <c r="C729" s="21"/>
      <c r="D729" s="21"/>
      <c r="E729" s="21"/>
      <c r="F729" s="21"/>
      <c r="G729" s="21"/>
      <c r="H729" s="27"/>
      <c r="I729" s="21"/>
      <c r="J729" s="21"/>
      <c r="K729" s="21"/>
      <c r="L729" s="21"/>
      <c r="M729" s="21"/>
      <c r="N729" s="34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spans="1:28" ht="39.75" customHeight="1" x14ac:dyDescent="0.2">
      <c r="A730" s="19"/>
      <c r="B730" s="21"/>
      <c r="C730" s="21"/>
      <c r="D730" s="21"/>
      <c r="E730" s="21"/>
      <c r="F730" s="21"/>
      <c r="G730" s="21"/>
      <c r="H730" s="27"/>
      <c r="I730" s="21"/>
      <c r="J730" s="21"/>
      <c r="K730" s="21"/>
      <c r="L730" s="21"/>
      <c r="M730" s="21"/>
      <c r="N730" s="34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spans="1:28" ht="39.75" customHeight="1" x14ac:dyDescent="0.2">
      <c r="A731" s="19"/>
      <c r="B731" s="21"/>
      <c r="C731" s="21"/>
      <c r="D731" s="21"/>
      <c r="E731" s="21"/>
      <c r="F731" s="21"/>
      <c r="G731" s="21"/>
      <c r="H731" s="27"/>
      <c r="I731" s="21"/>
      <c r="J731" s="21"/>
      <c r="K731" s="21"/>
      <c r="L731" s="21"/>
      <c r="M731" s="21"/>
      <c r="N731" s="34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spans="1:28" ht="39.75" customHeight="1" x14ac:dyDescent="0.2">
      <c r="A732" s="19"/>
      <c r="B732" s="21"/>
      <c r="C732" s="21"/>
      <c r="D732" s="21"/>
      <c r="E732" s="21"/>
      <c r="F732" s="21"/>
      <c r="G732" s="21"/>
      <c r="H732" s="27"/>
      <c r="I732" s="21"/>
      <c r="J732" s="21"/>
      <c r="K732" s="21"/>
      <c r="L732" s="21"/>
      <c r="M732" s="21"/>
      <c r="N732" s="34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spans="1:28" ht="39.75" customHeight="1" x14ac:dyDescent="0.2">
      <c r="A733" s="19"/>
      <c r="B733" s="21"/>
      <c r="C733" s="21"/>
      <c r="D733" s="21"/>
      <c r="E733" s="21"/>
      <c r="F733" s="21"/>
      <c r="G733" s="21"/>
      <c r="H733" s="27"/>
      <c r="I733" s="21"/>
      <c r="J733" s="21"/>
      <c r="K733" s="21"/>
      <c r="L733" s="21"/>
      <c r="M733" s="21"/>
      <c r="N733" s="34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spans="1:28" ht="39.75" customHeight="1" x14ac:dyDescent="0.2">
      <c r="A734" s="19"/>
      <c r="B734" s="21"/>
      <c r="C734" s="21"/>
      <c r="D734" s="21"/>
      <c r="E734" s="21"/>
      <c r="F734" s="21"/>
      <c r="G734" s="21"/>
      <c r="H734" s="27"/>
      <c r="I734" s="21"/>
      <c r="J734" s="21"/>
      <c r="K734" s="21"/>
      <c r="L734" s="21"/>
      <c r="M734" s="21"/>
      <c r="N734" s="34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spans="1:28" ht="39.75" customHeight="1" x14ac:dyDescent="0.2">
      <c r="A735" s="19"/>
      <c r="B735" s="21"/>
      <c r="C735" s="21"/>
      <c r="D735" s="21"/>
      <c r="E735" s="21"/>
      <c r="F735" s="21"/>
      <c r="G735" s="21"/>
      <c r="H735" s="27"/>
      <c r="I735" s="21"/>
      <c r="J735" s="21"/>
      <c r="K735" s="21"/>
      <c r="L735" s="21"/>
      <c r="M735" s="21"/>
      <c r="N735" s="34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spans="1:28" ht="39.75" customHeight="1" x14ac:dyDescent="0.2">
      <c r="A736" s="19"/>
      <c r="B736" s="21"/>
      <c r="C736" s="21"/>
      <c r="D736" s="21"/>
      <c r="E736" s="21"/>
      <c r="F736" s="21"/>
      <c r="G736" s="21"/>
      <c r="H736" s="27"/>
      <c r="I736" s="21"/>
      <c r="J736" s="21"/>
      <c r="K736" s="21"/>
      <c r="L736" s="21"/>
      <c r="M736" s="21"/>
      <c r="N736" s="34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spans="1:28" ht="39.75" customHeight="1" x14ac:dyDescent="0.2">
      <c r="A737" s="19"/>
      <c r="B737" s="21"/>
      <c r="C737" s="21"/>
      <c r="D737" s="21"/>
      <c r="E737" s="21"/>
      <c r="F737" s="21"/>
      <c r="G737" s="21"/>
      <c r="H737" s="27"/>
      <c r="I737" s="21"/>
      <c r="J737" s="21"/>
      <c r="K737" s="21"/>
      <c r="L737" s="21"/>
      <c r="M737" s="21"/>
      <c r="N737" s="34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spans="1:28" ht="39.75" customHeight="1" x14ac:dyDescent="0.2">
      <c r="A738" s="19"/>
      <c r="B738" s="21"/>
      <c r="C738" s="21"/>
      <c r="D738" s="21"/>
      <c r="E738" s="21"/>
      <c r="F738" s="21"/>
      <c r="G738" s="21"/>
      <c r="H738" s="27"/>
      <c r="I738" s="21"/>
      <c r="J738" s="21"/>
      <c r="K738" s="21"/>
      <c r="L738" s="21"/>
      <c r="M738" s="21"/>
      <c r="N738" s="34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spans="1:28" ht="39.75" customHeight="1" x14ac:dyDescent="0.2">
      <c r="A739" s="19"/>
      <c r="B739" s="21"/>
      <c r="C739" s="21"/>
      <c r="D739" s="21"/>
      <c r="E739" s="21"/>
      <c r="F739" s="21"/>
      <c r="G739" s="21"/>
      <c r="H739" s="27"/>
      <c r="I739" s="21"/>
      <c r="J739" s="21"/>
      <c r="K739" s="21"/>
      <c r="L739" s="21"/>
      <c r="M739" s="21"/>
      <c r="N739" s="34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spans="1:28" ht="39.75" customHeight="1" x14ac:dyDescent="0.2">
      <c r="A740" s="19"/>
      <c r="B740" s="21"/>
      <c r="C740" s="21"/>
      <c r="D740" s="21"/>
      <c r="E740" s="21"/>
      <c r="F740" s="21"/>
      <c r="G740" s="21"/>
      <c r="H740" s="27"/>
      <c r="I740" s="21"/>
      <c r="J740" s="21"/>
      <c r="K740" s="21"/>
      <c r="L740" s="21"/>
      <c r="M740" s="21"/>
      <c r="N740" s="34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spans="1:28" ht="39.75" customHeight="1" x14ac:dyDescent="0.2">
      <c r="A741" s="19"/>
      <c r="B741" s="21"/>
      <c r="C741" s="21"/>
      <c r="D741" s="21"/>
      <c r="E741" s="21"/>
      <c r="F741" s="21"/>
      <c r="G741" s="21"/>
      <c r="H741" s="27"/>
      <c r="I741" s="21"/>
      <c r="J741" s="21"/>
      <c r="K741" s="21"/>
      <c r="L741" s="21"/>
      <c r="M741" s="21"/>
      <c r="N741" s="34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spans="1:28" ht="39.75" customHeight="1" x14ac:dyDescent="0.2">
      <c r="A742" s="19"/>
      <c r="B742" s="21"/>
      <c r="C742" s="21"/>
      <c r="D742" s="21"/>
      <c r="E742" s="21"/>
      <c r="F742" s="21"/>
      <c r="G742" s="21"/>
      <c r="H742" s="27"/>
      <c r="I742" s="21"/>
      <c r="J742" s="21"/>
      <c r="K742" s="21"/>
      <c r="L742" s="21"/>
      <c r="M742" s="21"/>
      <c r="N742" s="34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spans="1:28" ht="39.75" customHeight="1" x14ac:dyDescent="0.2">
      <c r="A743" s="19"/>
      <c r="B743" s="21"/>
      <c r="C743" s="21"/>
      <c r="D743" s="21"/>
      <c r="E743" s="21"/>
      <c r="F743" s="21"/>
      <c r="G743" s="21"/>
      <c r="H743" s="27"/>
      <c r="I743" s="21"/>
      <c r="J743" s="21"/>
      <c r="K743" s="21"/>
      <c r="L743" s="21"/>
      <c r="M743" s="21"/>
      <c r="N743" s="34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spans="1:28" ht="39.75" customHeight="1" x14ac:dyDescent="0.2">
      <c r="A744" s="19"/>
      <c r="B744" s="21"/>
      <c r="C744" s="21"/>
      <c r="D744" s="21"/>
      <c r="E744" s="21"/>
      <c r="F744" s="21"/>
      <c r="G744" s="21"/>
      <c r="H744" s="27"/>
      <c r="I744" s="21"/>
      <c r="J744" s="21"/>
      <c r="K744" s="21"/>
      <c r="L744" s="21"/>
      <c r="M744" s="21"/>
      <c r="N744" s="34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spans="1:28" ht="39.75" customHeight="1" x14ac:dyDescent="0.2">
      <c r="A745" s="19"/>
      <c r="B745" s="21"/>
      <c r="C745" s="21"/>
      <c r="D745" s="21"/>
      <c r="E745" s="21"/>
      <c r="F745" s="21"/>
      <c r="G745" s="21"/>
      <c r="H745" s="27"/>
      <c r="I745" s="21"/>
      <c r="J745" s="21"/>
      <c r="K745" s="21"/>
      <c r="L745" s="21"/>
      <c r="M745" s="21"/>
      <c r="N745" s="34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spans="1:28" ht="39.75" customHeight="1" x14ac:dyDescent="0.2">
      <c r="A746" s="19"/>
      <c r="B746" s="21"/>
      <c r="C746" s="21"/>
      <c r="D746" s="21"/>
      <c r="E746" s="21"/>
      <c r="F746" s="21"/>
      <c r="G746" s="21"/>
      <c r="H746" s="27"/>
      <c r="I746" s="21"/>
      <c r="J746" s="21"/>
      <c r="K746" s="21"/>
      <c r="L746" s="21"/>
      <c r="M746" s="21"/>
      <c r="N746" s="34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spans="1:28" ht="39.75" customHeight="1" x14ac:dyDescent="0.2">
      <c r="A747" s="19"/>
      <c r="B747" s="21"/>
      <c r="C747" s="21"/>
      <c r="D747" s="21"/>
      <c r="E747" s="21"/>
      <c r="F747" s="21"/>
      <c r="G747" s="21"/>
      <c r="H747" s="27"/>
      <c r="I747" s="21"/>
      <c r="J747" s="21"/>
      <c r="K747" s="21"/>
      <c r="L747" s="21"/>
      <c r="M747" s="21"/>
      <c r="N747" s="34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spans="1:28" ht="39.75" customHeight="1" x14ac:dyDescent="0.2">
      <c r="A748" s="19"/>
      <c r="B748" s="21"/>
      <c r="C748" s="21"/>
      <c r="D748" s="21"/>
      <c r="E748" s="21"/>
      <c r="F748" s="21"/>
      <c r="G748" s="21"/>
      <c r="H748" s="27"/>
      <c r="I748" s="21"/>
      <c r="J748" s="21"/>
      <c r="K748" s="21"/>
      <c r="L748" s="21"/>
      <c r="M748" s="21"/>
      <c r="N748" s="34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spans="1:28" ht="39.75" customHeight="1" x14ac:dyDescent="0.2">
      <c r="A749" s="19"/>
      <c r="B749" s="21"/>
      <c r="C749" s="21"/>
      <c r="D749" s="21"/>
      <c r="E749" s="21"/>
      <c r="F749" s="21"/>
      <c r="G749" s="21"/>
      <c r="H749" s="27"/>
      <c r="I749" s="21"/>
      <c r="J749" s="21"/>
      <c r="K749" s="21"/>
      <c r="L749" s="21"/>
      <c r="M749" s="21"/>
      <c r="N749" s="34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spans="1:28" ht="39.75" customHeight="1" x14ac:dyDescent="0.2">
      <c r="A750" s="19"/>
      <c r="B750" s="21"/>
      <c r="C750" s="21"/>
      <c r="D750" s="21"/>
      <c r="E750" s="21"/>
      <c r="F750" s="21"/>
      <c r="G750" s="21"/>
      <c r="H750" s="27"/>
      <c r="I750" s="21"/>
      <c r="J750" s="21"/>
      <c r="K750" s="21"/>
      <c r="L750" s="21"/>
      <c r="M750" s="21"/>
      <c r="N750" s="34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spans="1:28" ht="39.75" customHeight="1" x14ac:dyDescent="0.2">
      <c r="A751" s="19"/>
      <c r="B751" s="21"/>
      <c r="C751" s="21"/>
      <c r="D751" s="21"/>
      <c r="E751" s="21"/>
      <c r="F751" s="21"/>
      <c r="G751" s="21"/>
      <c r="H751" s="27"/>
      <c r="I751" s="21"/>
      <c r="J751" s="21"/>
      <c r="K751" s="21"/>
      <c r="L751" s="21"/>
      <c r="M751" s="21"/>
      <c r="N751" s="34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spans="1:28" ht="39.75" customHeight="1" x14ac:dyDescent="0.2">
      <c r="A752" s="19"/>
      <c r="B752" s="21"/>
      <c r="C752" s="21"/>
      <c r="D752" s="21"/>
      <c r="E752" s="21"/>
      <c r="F752" s="21"/>
      <c r="G752" s="21"/>
      <c r="H752" s="27"/>
      <c r="I752" s="21"/>
      <c r="J752" s="21"/>
      <c r="K752" s="21"/>
      <c r="L752" s="21"/>
      <c r="M752" s="21"/>
      <c r="N752" s="34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spans="1:28" ht="39.75" customHeight="1" x14ac:dyDescent="0.2">
      <c r="A753" s="19"/>
      <c r="B753" s="21"/>
      <c r="C753" s="21"/>
      <c r="D753" s="21"/>
      <c r="E753" s="21"/>
      <c r="F753" s="21"/>
      <c r="G753" s="21"/>
      <c r="H753" s="27"/>
      <c r="I753" s="21"/>
      <c r="J753" s="21"/>
      <c r="K753" s="21"/>
      <c r="L753" s="21"/>
      <c r="M753" s="21"/>
      <c r="N753" s="34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spans="1:28" ht="39.75" customHeight="1" x14ac:dyDescent="0.2">
      <c r="A754" s="19"/>
      <c r="B754" s="21"/>
      <c r="C754" s="21"/>
      <c r="D754" s="21"/>
      <c r="E754" s="21"/>
      <c r="F754" s="21"/>
      <c r="G754" s="21"/>
      <c r="H754" s="27"/>
      <c r="I754" s="21"/>
      <c r="J754" s="21"/>
      <c r="K754" s="21"/>
      <c r="L754" s="21"/>
      <c r="M754" s="21"/>
      <c r="N754" s="34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spans="1:28" ht="39.75" customHeight="1" x14ac:dyDescent="0.2">
      <c r="A755" s="19"/>
      <c r="B755" s="21"/>
      <c r="C755" s="21"/>
      <c r="D755" s="21"/>
      <c r="E755" s="21"/>
      <c r="F755" s="21"/>
      <c r="G755" s="21"/>
      <c r="H755" s="27"/>
      <c r="I755" s="21"/>
      <c r="J755" s="21"/>
      <c r="K755" s="21"/>
      <c r="L755" s="21"/>
      <c r="M755" s="21"/>
      <c r="N755" s="34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spans="1:28" ht="39.75" customHeight="1" x14ac:dyDescent="0.2">
      <c r="A756" s="19"/>
      <c r="B756" s="21"/>
      <c r="C756" s="21"/>
      <c r="D756" s="21"/>
      <c r="E756" s="21"/>
      <c r="F756" s="21"/>
      <c r="G756" s="21"/>
      <c r="H756" s="27"/>
      <c r="I756" s="21"/>
      <c r="J756" s="21"/>
      <c r="K756" s="21"/>
      <c r="L756" s="21"/>
      <c r="M756" s="21"/>
      <c r="N756" s="34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spans="1:28" ht="39.75" customHeight="1" x14ac:dyDescent="0.2">
      <c r="A757" s="19"/>
      <c r="B757" s="21"/>
      <c r="C757" s="21"/>
      <c r="D757" s="21"/>
      <c r="E757" s="21"/>
      <c r="F757" s="21"/>
      <c r="G757" s="21"/>
      <c r="H757" s="27"/>
      <c r="I757" s="21"/>
      <c r="J757" s="21"/>
      <c r="K757" s="21"/>
      <c r="L757" s="21"/>
      <c r="M757" s="21"/>
      <c r="N757" s="34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spans="1:28" ht="39.75" customHeight="1" x14ac:dyDescent="0.2">
      <c r="A758" s="19"/>
      <c r="B758" s="21"/>
      <c r="C758" s="21"/>
      <c r="D758" s="21"/>
      <c r="E758" s="21"/>
      <c r="F758" s="21"/>
      <c r="G758" s="21"/>
      <c r="H758" s="27"/>
      <c r="I758" s="21"/>
      <c r="J758" s="21"/>
      <c r="K758" s="21"/>
      <c r="L758" s="21"/>
      <c r="M758" s="21"/>
      <c r="N758" s="34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spans="1:28" ht="39.75" customHeight="1" x14ac:dyDescent="0.2">
      <c r="A759" s="19"/>
      <c r="B759" s="21"/>
      <c r="C759" s="21"/>
      <c r="D759" s="21"/>
      <c r="E759" s="21"/>
      <c r="F759" s="21"/>
      <c r="G759" s="21"/>
      <c r="H759" s="27"/>
      <c r="I759" s="21"/>
      <c r="J759" s="21"/>
      <c r="K759" s="21"/>
      <c r="L759" s="21"/>
      <c r="M759" s="21"/>
      <c r="N759" s="34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spans="1:28" ht="39.75" customHeight="1" x14ac:dyDescent="0.2">
      <c r="A760" s="19"/>
      <c r="B760" s="21"/>
      <c r="C760" s="21"/>
      <c r="D760" s="21"/>
      <c r="E760" s="21"/>
      <c r="F760" s="21"/>
      <c r="G760" s="21"/>
      <c r="H760" s="27"/>
      <c r="I760" s="21"/>
      <c r="J760" s="21"/>
      <c r="K760" s="21"/>
      <c r="L760" s="21"/>
      <c r="M760" s="21"/>
      <c r="N760" s="34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spans="1:28" ht="39.75" customHeight="1" x14ac:dyDescent="0.2">
      <c r="A761" s="19"/>
      <c r="B761" s="21"/>
      <c r="C761" s="21"/>
      <c r="D761" s="21"/>
      <c r="E761" s="21"/>
      <c r="F761" s="21"/>
      <c r="G761" s="21"/>
      <c r="H761" s="27"/>
      <c r="I761" s="21"/>
      <c r="J761" s="21"/>
      <c r="K761" s="21"/>
      <c r="L761" s="21"/>
      <c r="M761" s="21"/>
      <c r="N761" s="34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spans="1:28" ht="39.75" customHeight="1" x14ac:dyDescent="0.2">
      <c r="A762" s="19"/>
      <c r="B762" s="21"/>
      <c r="C762" s="21"/>
      <c r="D762" s="21"/>
      <c r="E762" s="21"/>
      <c r="F762" s="21"/>
      <c r="G762" s="21"/>
      <c r="H762" s="27"/>
      <c r="I762" s="21"/>
      <c r="J762" s="21"/>
      <c r="K762" s="21"/>
      <c r="L762" s="21"/>
      <c r="M762" s="21"/>
      <c r="N762" s="34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spans="1:28" ht="39.75" customHeight="1" x14ac:dyDescent="0.2">
      <c r="A763" s="19"/>
      <c r="B763" s="21"/>
      <c r="C763" s="21"/>
      <c r="D763" s="21"/>
      <c r="E763" s="21"/>
      <c r="F763" s="21"/>
      <c r="G763" s="21"/>
      <c r="H763" s="27"/>
      <c r="I763" s="21"/>
      <c r="J763" s="21"/>
      <c r="K763" s="21"/>
      <c r="L763" s="21"/>
      <c r="M763" s="21"/>
      <c r="N763" s="34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spans="1:28" ht="39.75" customHeight="1" x14ac:dyDescent="0.2">
      <c r="A764" s="19"/>
      <c r="B764" s="21"/>
      <c r="C764" s="21"/>
      <c r="D764" s="21"/>
      <c r="E764" s="21"/>
      <c r="F764" s="21"/>
      <c r="G764" s="21"/>
      <c r="H764" s="27"/>
      <c r="I764" s="21"/>
      <c r="J764" s="21"/>
      <c r="K764" s="21"/>
      <c r="L764" s="21"/>
      <c r="M764" s="21"/>
      <c r="N764" s="34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spans="1:28" ht="39.75" customHeight="1" x14ac:dyDescent="0.2">
      <c r="A765" s="19"/>
      <c r="B765" s="21"/>
      <c r="C765" s="21"/>
      <c r="D765" s="21"/>
      <c r="E765" s="21"/>
      <c r="F765" s="21"/>
      <c r="G765" s="21"/>
      <c r="H765" s="27"/>
      <c r="I765" s="21"/>
      <c r="J765" s="21"/>
      <c r="K765" s="21"/>
      <c r="L765" s="21"/>
      <c r="M765" s="21"/>
      <c r="N765" s="34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spans="1:28" ht="39.75" customHeight="1" x14ac:dyDescent="0.2">
      <c r="A766" s="19"/>
      <c r="B766" s="21"/>
      <c r="C766" s="21"/>
      <c r="D766" s="21"/>
      <c r="E766" s="21"/>
      <c r="F766" s="21"/>
      <c r="G766" s="21"/>
      <c r="H766" s="27"/>
      <c r="I766" s="21"/>
      <c r="J766" s="21"/>
      <c r="K766" s="21"/>
      <c r="L766" s="21"/>
      <c r="M766" s="21"/>
      <c r="N766" s="34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spans="1:28" ht="39.75" customHeight="1" x14ac:dyDescent="0.2">
      <c r="A767" s="19"/>
      <c r="B767" s="21"/>
      <c r="C767" s="21"/>
      <c r="D767" s="21"/>
      <c r="E767" s="21"/>
      <c r="F767" s="21"/>
      <c r="G767" s="21"/>
      <c r="H767" s="27"/>
      <c r="I767" s="21"/>
      <c r="J767" s="21"/>
      <c r="K767" s="21"/>
      <c r="L767" s="21"/>
      <c r="M767" s="21"/>
      <c r="N767" s="34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spans="1:28" ht="39.75" customHeight="1" x14ac:dyDescent="0.2">
      <c r="A768" s="19"/>
      <c r="B768" s="21"/>
      <c r="C768" s="21"/>
      <c r="D768" s="21"/>
      <c r="E768" s="21"/>
      <c r="F768" s="21"/>
      <c r="G768" s="21"/>
      <c r="H768" s="27"/>
      <c r="I768" s="21"/>
      <c r="J768" s="21"/>
      <c r="K768" s="21"/>
      <c r="L768" s="21"/>
      <c r="M768" s="21"/>
      <c r="N768" s="34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spans="1:28" ht="39.75" customHeight="1" x14ac:dyDescent="0.2">
      <c r="A769" s="19"/>
      <c r="B769" s="21"/>
      <c r="C769" s="21"/>
      <c r="D769" s="21"/>
      <c r="E769" s="21"/>
      <c r="F769" s="21"/>
      <c r="G769" s="21"/>
      <c r="H769" s="27"/>
      <c r="I769" s="21"/>
      <c r="J769" s="21"/>
      <c r="K769" s="21"/>
      <c r="L769" s="21"/>
      <c r="M769" s="21"/>
      <c r="N769" s="34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spans="1:28" ht="39.75" customHeight="1" x14ac:dyDescent="0.2">
      <c r="A770" s="19"/>
      <c r="B770" s="21"/>
      <c r="C770" s="21"/>
      <c r="D770" s="21"/>
      <c r="E770" s="21"/>
      <c r="F770" s="21"/>
      <c r="G770" s="21"/>
      <c r="H770" s="27"/>
      <c r="I770" s="21"/>
      <c r="J770" s="21"/>
      <c r="K770" s="21"/>
      <c r="L770" s="21"/>
      <c r="M770" s="21"/>
      <c r="N770" s="34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spans="1:28" ht="39.75" customHeight="1" x14ac:dyDescent="0.2">
      <c r="A771" s="19"/>
      <c r="B771" s="21"/>
      <c r="C771" s="21"/>
      <c r="D771" s="21"/>
      <c r="E771" s="21"/>
      <c r="F771" s="21"/>
      <c r="G771" s="21"/>
      <c r="H771" s="27"/>
      <c r="I771" s="21"/>
      <c r="J771" s="21"/>
      <c r="K771" s="21"/>
      <c r="L771" s="21"/>
      <c r="M771" s="21"/>
      <c r="N771" s="34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spans="1:28" ht="39.75" customHeight="1" x14ac:dyDescent="0.2">
      <c r="A772" s="19"/>
      <c r="B772" s="21"/>
      <c r="C772" s="21"/>
      <c r="D772" s="21"/>
      <c r="E772" s="21"/>
      <c r="F772" s="21"/>
      <c r="G772" s="21"/>
      <c r="H772" s="27"/>
      <c r="I772" s="21"/>
      <c r="J772" s="21"/>
      <c r="K772" s="21"/>
      <c r="L772" s="21"/>
      <c r="M772" s="21"/>
      <c r="N772" s="34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spans="1:28" ht="39.75" customHeight="1" x14ac:dyDescent="0.2">
      <c r="A773" s="19"/>
      <c r="B773" s="21"/>
      <c r="C773" s="21"/>
      <c r="D773" s="21"/>
      <c r="E773" s="21"/>
      <c r="F773" s="21"/>
      <c r="G773" s="21"/>
      <c r="H773" s="27"/>
      <c r="I773" s="21"/>
      <c r="J773" s="21"/>
      <c r="K773" s="21"/>
      <c r="L773" s="21"/>
      <c r="M773" s="21"/>
      <c r="N773" s="34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spans="1:28" ht="39.75" customHeight="1" x14ac:dyDescent="0.2">
      <c r="A774" s="19"/>
      <c r="B774" s="21"/>
      <c r="C774" s="21"/>
      <c r="D774" s="21"/>
      <c r="E774" s="21"/>
      <c r="F774" s="21"/>
      <c r="G774" s="21"/>
      <c r="H774" s="27"/>
      <c r="I774" s="21"/>
      <c r="J774" s="21"/>
      <c r="K774" s="21"/>
      <c r="L774" s="21"/>
      <c r="M774" s="21"/>
      <c r="N774" s="34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spans="1:28" ht="39.75" customHeight="1" x14ac:dyDescent="0.2">
      <c r="A775" s="19"/>
      <c r="B775" s="21"/>
      <c r="C775" s="21"/>
      <c r="D775" s="21"/>
      <c r="E775" s="21"/>
      <c r="F775" s="21"/>
      <c r="G775" s="21"/>
      <c r="H775" s="27"/>
      <c r="I775" s="21"/>
      <c r="J775" s="21"/>
      <c r="K775" s="21"/>
      <c r="L775" s="21"/>
      <c r="M775" s="21"/>
      <c r="N775" s="34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spans="1:28" ht="39.75" customHeight="1" x14ac:dyDescent="0.2">
      <c r="A776" s="19"/>
      <c r="B776" s="21"/>
      <c r="C776" s="21"/>
      <c r="D776" s="21"/>
      <c r="E776" s="21"/>
      <c r="F776" s="21"/>
      <c r="G776" s="21"/>
      <c r="H776" s="27"/>
      <c r="I776" s="21"/>
      <c r="J776" s="21"/>
      <c r="K776" s="21"/>
      <c r="L776" s="21"/>
      <c r="M776" s="21"/>
      <c r="N776" s="34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spans="1:28" ht="39.75" customHeight="1" x14ac:dyDescent="0.2">
      <c r="A777" s="19"/>
      <c r="B777" s="21"/>
      <c r="C777" s="21"/>
      <c r="D777" s="21"/>
      <c r="E777" s="21"/>
      <c r="F777" s="21"/>
      <c r="G777" s="21"/>
      <c r="H777" s="27"/>
      <c r="I777" s="21"/>
      <c r="J777" s="21"/>
      <c r="K777" s="21"/>
      <c r="L777" s="21"/>
      <c r="M777" s="21"/>
      <c r="N777" s="34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spans="1:28" ht="39.75" customHeight="1" x14ac:dyDescent="0.2">
      <c r="A778" s="19"/>
      <c r="B778" s="21"/>
      <c r="C778" s="21"/>
      <c r="D778" s="21"/>
      <c r="E778" s="21"/>
      <c r="F778" s="21"/>
      <c r="G778" s="21"/>
      <c r="H778" s="27"/>
      <c r="I778" s="21"/>
      <c r="J778" s="21"/>
      <c r="K778" s="21"/>
      <c r="L778" s="21"/>
      <c r="M778" s="21"/>
      <c r="N778" s="34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spans="1:28" ht="39.75" customHeight="1" x14ac:dyDescent="0.2">
      <c r="A779" s="19"/>
      <c r="B779" s="21"/>
      <c r="C779" s="21"/>
      <c r="D779" s="21"/>
      <c r="E779" s="21"/>
      <c r="F779" s="21"/>
      <c r="G779" s="21"/>
      <c r="H779" s="27"/>
      <c r="I779" s="21"/>
      <c r="J779" s="21"/>
      <c r="K779" s="21"/>
      <c r="L779" s="21"/>
      <c r="M779" s="21"/>
      <c r="N779" s="34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spans="1:28" ht="39.75" customHeight="1" x14ac:dyDescent="0.2">
      <c r="A780" s="19"/>
      <c r="B780" s="21"/>
      <c r="C780" s="21"/>
      <c r="D780" s="21"/>
      <c r="E780" s="21"/>
      <c r="F780" s="21"/>
      <c r="G780" s="21"/>
      <c r="H780" s="27"/>
      <c r="I780" s="21"/>
      <c r="J780" s="21"/>
      <c r="K780" s="21"/>
      <c r="L780" s="21"/>
      <c r="M780" s="21"/>
      <c r="N780" s="34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spans="1:28" ht="39.75" customHeight="1" x14ac:dyDescent="0.2">
      <c r="A781" s="19"/>
      <c r="B781" s="21"/>
      <c r="C781" s="21"/>
      <c r="D781" s="21"/>
      <c r="E781" s="21"/>
      <c r="F781" s="21"/>
      <c r="G781" s="21"/>
      <c r="H781" s="27"/>
      <c r="I781" s="21"/>
      <c r="J781" s="21"/>
      <c r="K781" s="21"/>
      <c r="L781" s="21"/>
      <c r="M781" s="21"/>
      <c r="N781" s="34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1:28" ht="39.75" customHeight="1" x14ac:dyDescent="0.2">
      <c r="A782" s="19"/>
      <c r="B782" s="21"/>
      <c r="C782" s="21"/>
      <c r="D782" s="21"/>
      <c r="E782" s="21"/>
      <c r="F782" s="21"/>
      <c r="G782" s="21"/>
      <c r="H782" s="27"/>
      <c r="I782" s="21"/>
      <c r="J782" s="21"/>
      <c r="K782" s="21"/>
      <c r="L782" s="21"/>
      <c r="M782" s="21"/>
      <c r="N782" s="34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spans="1:28" ht="39.75" customHeight="1" x14ac:dyDescent="0.2">
      <c r="A783" s="19"/>
      <c r="B783" s="21"/>
      <c r="C783" s="21"/>
      <c r="D783" s="21"/>
      <c r="E783" s="21"/>
      <c r="F783" s="21"/>
      <c r="G783" s="21"/>
      <c r="H783" s="27"/>
      <c r="I783" s="21"/>
      <c r="J783" s="21"/>
      <c r="K783" s="21"/>
      <c r="L783" s="21"/>
      <c r="M783" s="21"/>
      <c r="N783" s="34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spans="1:28" ht="39.75" customHeight="1" x14ac:dyDescent="0.2">
      <c r="A784" s="19"/>
      <c r="B784" s="21"/>
      <c r="C784" s="21"/>
      <c r="D784" s="21"/>
      <c r="E784" s="21"/>
      <c r="F784" s="21"/>
      <c r="G784" s="21"/>
      <c r="H784" s="27"/>
      <c r="I784" s="21"/>
      <c r="J784" s="21"/>
      <c r="K784" s="21"/>
      <c r="L784" s="21"/>
      <c r="M784" s="21"/>
      <c r="N784" s="34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spans="1:28" ht="39.75" customHeight="1" x14ac:dyDescent="0.2">
      <c r="A785" s="19"/>
      <c r="B785" s="21"/>
      <c r="C785" s="21"/>
      <c r="D785" s="21"/>
      <c r="E785" s="21"/>
      <c r="F785" s="21"/>
      <c r="G785" s="21"/>
      <c r="H785" s="27"/>
      <c r="I785" s="21"/>
      <c r="J785" s="21"/>
      <c r="K785" s="21"/>
      <c r="L785" s="21"/>
      <c r="M785" s="21"/>
      <c r="N785" s="34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spans="1:28" ht="39.75" customHeight="1" x14ac:dyDescent="0.2">
      <c r="A786" s="19"/>
      <c r="B786" s="21"/>
      <c r="C786" s="21"/>
      <c r="D786" s="21"/>
      <c r="E786" s="21"/>
      <c r="F786" s="21"/>
      <c r="G786" s="21"/>
      <c r="H786" s="27"/>
      <c r="I786" s="21"/>
      <c r="J786" s="21"/>
      <c r="K786" s="21"/>
      <c r="L786" s="21"/>
      <c r="M786" s="21"/>
      <c r="N786" s="34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spans="1:28" ht="39.75" customHeight="1" x14ac:dyDescent="0.2">
      <c r="A787" s="19"/>
      <c r="B787" s="21"/>
      <c r="C787" s="21"/>
      <c r="D787" s="21"/>
      <c r="E787" s="21"/>
      <c r="F787" s="21"/>
      <c r="G787" s="21"/>
      <c r="H787" s="27"/>
      <c r="I787" s="21"/>
      <c r="J787" s="21"/>
      <c r="K787" s="21"/>
      <c r="L787" s="21"/>
      <c r="M787" s="21"/>
      <c r="N787" s="34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spans="1:28" ht="39.75" customHeight="1" x14ac:dyDescent="0.2">
      <c r="A788" s="19"/>
      <c r="B788" s="21"/>
      <c r="C788" s="21"/>
      <c r="D788" s="21"/>
      <c r="E788" s="21"/>
      <c r="F788" s="21"/>
      <c r="G788" s="21"/>
      <c r="H788" s="27"/>
      <c r="I788" s="21"/>
      <c r="J788" s="21"/>
      <c r="K788" s="21"/>
      <c r="L788" s="21"/>
      <c r="M788" s="21"/>
      <c r="N788" s="34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spans="1:28" ht="39.75" customHeight="1" x14ac:dyDescent="0.2">
      <c r="A789" s="19"/>
      <c r="B789" s="21"/>
      <c r="C789" s="21"/>
      <c r="D789" s="21"/>
      <c r="E789" s="21"/>
      <c r="F789" s="21"/>
      <c r="G789" s="21"/>
      <c r="H789" s="27"/>
      <c r="I789" s="21"/>
      <c r="J789" s="21"/>
      <c r="K789" s="21"/>
      <c r="L789" s="21"/>
      <c r="M789" s="21"/>
      <c r="N789" s="34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spans="1:28" ht="39.75" customHeight="1" x14ac:dyDescent="0.2">
      <c r="A790" s="19"/>
      <c r="B790" s="21"/>
      <c r="C790" s="21"/>
      <c r="D790" s="21"/>
      <c r="E790" s="21"/>
      <c r="F790" s="21"/>
      <c r="G790" s="21"/>
      <c r="H790" s="27"/>
      <c r="I790" s="21"/>
      <c r="J790" s="21"/>
      <c r="K790" s="21"/>
      <c r="L790" s="21"/>
      <c r="M790" s="21"/>
      <c r="N790" s="34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spans="1:28" ht="39.75" customHeight="1" x14ac:dyDescent="0.2">
      <c r="A791" s="19"/>
      <c r="B791" s="21"/>
      <c r="C791" s="21"/>
      <c r="D791" s="21"/>
      <c r="E791" s="21"/>
      <c r="F791" s="21"/>
      <c r="G791" s="21"/>
      <c r="H791" s="27"/>
      <c r="I791" s="21"/>
      <c r="J791" s="21"/>
      <c r="K791" s="21"/>
      <c r="L791" s="21"/>
      <c r="M791" s="21"/>
      <c r="N791" s="34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spans="1:28" ht="39.75" customHeight="1" x14ac:dyDescent="0.2">
      <c r="A792" s="19"/>
      <c r="B792" s="21"/>
      <c r="C792" s="21"/>
      <c r="D792" s="21"/>
      <c r="E792" s="21"/>
      <c r="F792" s="21"/>
      <c r="G792" s="21"/>
      <c r="H792" s="27"/>
      <c r="I792" s="21"/>
      <c r="J792" s="21"/>
      <c r="K792" s="21"/>
      <c r="L792" s="21"/>
      <c r="M792" s="21"/>
      <c r="N792" s="34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1:28" ht="39.75" customHeight="1" x14ac:dyDescent="0.2">
      <c r="A793" s="19"/>
      <c r="B793" s="21"/>
      <c r="C793" s="21"/>
      <c r="D793" s="21"/>
      <c r="E793" s="21"/>
      <c r="F793" s="21"/>
      <c r="G793" s="21"/>
      <c r="H793" s="27"/>
      <c r="I793" s="21"/>
      <c r="J793" s="21"/>
      <c r="K793" s="21"/>
      <c r="L793" s="21"/>
      <c r="M793" s="21"/>
      <c r="N793" s="34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spans="1:28" ht="39.75" customHeight="1" x14ac:dyDescent="0.2">
      <c r="A794" s="19"/>
      <c r="B794" s="21"/>
      <c r="C794" s="21"/>
      <c r="D794" s="21"/>
      <c r="E794" s="21"/>
      <c r="F794" s="21"/>
      <c r="G794" s="21"/>
      <c r="H794" s="27"/>
      <c r="I794" s="21"/>
      <c r="J794" s="21"/>
      <c r="K794" s="21"/>
      <c r="L794" s="21"/>
      <c r="M794" s="21"/>
      <c r="N794" s="34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spans="1:28" ht="39.75" customHeight="1" x14ac:dyDescent="0.2">
      <c r="A795" s="19"/>
      <c r="B795" s="21"/>
      <c r="C795" s="21"/>
      <c r="D795" s="21"/>
      <c r="E795" s="21"/>
      <c r="F795" s="21"/>
      <c r="G795" s="21"/>
      <c r="H795" s="27"/>
      <c r="I795" s="21"/>
      <c r="J795" s="21"/>
      <c r="K795" s="21"/>
      <c r="L795" s="21"/>
      <c r="M795" s="21"/>
      <c r="N795" s="34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spans="1:28" ht="39.75" customHeight="1" x14ac:dyDescent="0.2">
      <c r="A796" s="19"/>
      <c r="B796" s="21"/>
      <c r="C796" s="21"/>
      <c r="D796" s="21"/>
      <c r="E796" s="21"/>
      <c r="F796" s="21"/>
      <c r="G796" s="21"/>
      <c r="H796" s="27"/>
      <c r="I796" s="21"/>
      <c r="J796" s="21"/>
      <c r="K796" s="21"/>
      <c r="L796" s="21"/>
      <c r="M796" s="21"/>
      <c r="N796" s="34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spans="1:28" ht="39.75" customHeight="1" x14ac:dyDescent="0.2">
      <c r="A797" s="19"/>
      <c r="B797" s="21"/>
      <c r="C797" s="21"/>
      <c r="D797" s="21"/>
      <c r="E797" s="21"/>
      <c r="F797" s="21"/>
      <c r="G797" s="21"/>
      <c r="H797" s="27"/>
      <c r="I797" s="21"/>
      <c r="J797" s="21"/>
      <c r="K797" s="21"/>
      <c r="L797" s="21"/>
      <c r="M797" s="21"/>
      <c r="N797" s="34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spans="1:28" ht="39.75" customHeight="1" x14ac:dyDescent="0.2">
      <c r="A798" s="19"/>
      <c r="B798" s="21"/>
      <c r="C798" s="21"/>
      <c r="D798" s="21"/>
      <c r="E798" s="21"/>
      <c r="F798" s="21"/>
      <c r="G798" s="21"/>
      <c r="H798" s="27"/>
      <c r="I798" s="21"/>
      <c r="J798" s="21"/>
      <c r="K798" s="21"/>
      <c r="L798" s="21"/>
      <c r="M798" s="21"/>
      <c r="N798" s="34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spans="1:28" ht="39.75" customHeight="1" x14ac:dyDescent="0.2">
      <c r="A799" s="19"/>
      <c r="B799" s="21"/>
      <c r="C799" s="21"/>
      <c r="D799" s="21"/>
      <c r="E799" s="21"/>
      <c r="F799" s="21"/>
      <c r="G799" s="21"/>
      <c r="H799" s="27"/>
      <c r="I799" s="21"/>
      <c r="J799" s="21"/>
      <c r="K799" s="21"/>
      <c r="L799" s="21"/>
      <c r="M799" s="21"/>
      <c r="N799" s="34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spans="1:28" ht="39.75" customHeight="1" x14ac:dyDescent="0.2">
      <c r="A800" s="19"/>
      <c r="B800" s="21"/>
      <c r="C800" s="21"/>
      <c r="D800" s="21"/>
      <c r="E800" s="21"/>
      <c r="F800" s="21"/>
      <c r="G800" s="21"/>
      <c r="H800" s="27"/>
      <c r="I800" s="21"/>
      <c r="J800" s="21"/>
      <c r="K800" s="21"/>
      <c r="L800" s="21"/>
      <c r="M800" s="21"/>
      <c r="N800" s="34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spans="1:28" ht="39.75" customHeight="1" x14ac:dyDescent="0.2">
      <c r="A801" s="19"/>
      <c r="B801" s="21"/>
      <c r="C801" s="21"/>
      <c r="D801" s="21"/>
      <c r="E801" s="21"/>
      <c r="F801" s="21"/>
      <c r="G801" s="21"/>
      <c r="H801" s="27"/>
      <c r="I801" s="21"/>
      <c r="J801" s="21"/>
      <c r="K801" s="21"/>
      <c r="L801" s="21"/>
      <c r="M801" s="21"/>
      <c r="N801" s="34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spans="1:28" ht="39.75" customHeight="1" x14ac:dyDescent="0.2">
      <c r="A802" s="19"/>
      <c r="B802" s="21"/>
      <c r="C802" s="21"/>
      <c r="D802" s="21"/>
      <c r="E802" s="21"/>
      <c r="F802" s="21"/>
      <c r="G802" s="21"/>
      <c r="H802" s="27"/>
      <c r="I802" s="21"/>
      <c r="J802" s="21"/>
      <c r="K802" s="21"/>
      <c r="L802" s="21"/>
      <c r="M802" s="21"/>
      <c r="N802" s="34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spans="1:28" ht="39.75" customHeight="1" x14ac:dyDescent="0.2">
      <c r="A803" s="19"/>
      <c r="B803" s="21"/>
      <c r="C803" s="21"/>
      <c r="D803" s="21"/>
      <c r="E803" s="21"/>
      <c r="F803" s="21"/>
      <c r="G803" s="21"/>
      <c r="H803" s="27"/>
      <c r="I803" s="21"/>
      <c r="J803" s="21"/>
      <c r="K803" s="21"/>
      <c r="L803" s="21"/>
      <c r="M803" s="21"/>
      <c r="N803" s="34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spans="1:28" ht="39.75" customHeight="1" x14ac:dyDescent="0.2">
      <c r="A804" s="19"/>
      <c r="B804" s="21"/>
      <c r="C804" s="21"/>
      <c r="D804" s="21"/>
      <c r="E804" s="21"/>
      <c r="F804" s="21"/>
      <c r="G804" s="21"/>
      <c r="H804" s="27"/>
      <c r="I804" s="21"/>
      <c r="J804" s="21"/>
      <c r="K804" s="21"/>
      <c r="L804" s="21"/>
      <c r="M804" s="21"/>
      <c r="N804" s="34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spans="1:28" ht="39.75" customHeight="1" x14ac:dyDescent="0.2">
      <c r="A805" s="19"/>
      <c r="B805" s="21"/>
      <c r="C805" s="21"/>
      <c r="D805" s="21"/>
      <c r="E805" s="21"/>
      <c r="F805" s="21"/>
      <c r="G805" s="21"/>
      <c r="H805" s="27"/>
      <c r="I805" s="21"/>
      <c r="J805" s="21"/>
      <c r="K805" s="21"/>
      <c r="L805" s="21"/>
      <c r="M805" s="21"/>
      <c r="N805" s="34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spans="1:28" ht="39.75" customHeight="1" x14ac:dyDescent="0.2">
      <c r="A806" s="19"/>
      <c r="B806" s="21"/>
      <c r="C806" s="21"/>
      <c r="D806" s="21"/>
      <c r="E806" s="21"/>
      <c r="F806" s="21"/>
      <c r="G806" s="21"/>
      <c r="H806" s="27"/>
      <c r="I806" s="21"/>
      <c r="J806" s="21"/>
      <c r="K806" s="21"/>
      <c r="L806" s="21"/>
      <c r="M806" s="21"/>
      <c r="N806" s="34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spans="1:28" ht="39.75" customHeight="1" x14ac:dyDescent="0.2">
      <c r="A807" s="19"/>
      <c r="B807" s="21"/>
      <c r="C807" s="21"/>
      <c r="D807" s="21"/>
      <c r="E807" s="21"/>
      <c r="F807" s="21"/>
      <c r="G807" s="21"/>
      <c r="H807" s="27"/>
      <c r="I807" s="21"/>
      <c r="J807" s="21"/>
      <c r="K807" s="21"/>
      <c r="L807" s="21"/>
      <c r="M807" s="21"/>
      <c r="N807" s="34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spans="1:28" ht="39.75" customHeight="1" x14ac:dyDescent="0.2">
      <c r="A808" s="19"/>
      <c r="B808" s="21"/>
      <c r="C808" s="21"/>
      <c r="D808" s="21"/>
      <c r="E808" s="21"/>
      <c r="F808" s="21"/>
      <c r="G808" s="21"/>
      <c r="H808" s="27"/>
      <c r="I808" s="21"/>
      <c r="J808" s="21"/>
      <c r="K808" s="21"/>
      <c r="L808" s="21"/>
      <c r="M808" s="21"/>
      <c r="N808" s="34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spans="1:28" ht="39.75" customHeight="1" x14ac:dyDescent="0.2">
      <c r="A809" s="19"/>
      <c r="B809" s="21"/>
      <c r="C809" s="21"/>
      <c r="D809" s="21"/>
      <c r="E809" s="21"/>
      <c r="F809" s="21"/>
      <c r="G809" s="21"/>
      <c r="H809" s="27"/>
      <c r="I809" s="21"/>
      <c r="J809" s="21"/>
      <c r="K809" s="21"/>
      <c r="L809" s="21"/>
      <c r="M809" s="21"/>
      <c r="N809" s="34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spans="1:28" ht="39.75" customHeight="1" x14ac:dyDescent="0.2">
      <c r="A810" s="19"/>
      <c r="B810" s="21"/>
      <c r="C810" s="21"/>
      <c r="D810" s="21"/>
      <c r="E810" s="21"/>
      <c r="F810" s="21"/>
      <c r="G810" s="21"/>
      <c r="H810" s="27"/>
      <c r="I810" s="21"/>
      <c r="J810" s="21"/>
      <c r="K810" s="21"/>
      <c r="L810" s="21"/>
      <c r="M810" s="21"/>
      <c r="N810" s="34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spans="1:28" ht="39.75" customHeight="1" x14ac:dyDescent="0.2">
      <c r="A811" s="19"/>
      <c r="B811" s="21"/>
      <c r="C811" s="21"/>
      <c r="D811" s="21"/>
      <c r="E811" s="21"/>
      <c r="F811" s="21"/>
      <c r="G811" s="21"/>
      <c r="H811" s="27"/>
      <c r="I811" s="21"/>
      <c r="J811" s="21"/>
      <c r="K811" s="21"/>
      <c r="L811" s="21"/>
      <c r="M811" s="21"/>
      <c r="N811" s="34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spans="1:28" ht="39.75" customHeight="1" x14ac:dyDescent="0.2">
      <c r="A812" s="19"/>
      <c r="B812" s="21"/>
      <c r="C812" s="21"/>
      <c r="D812" s="21"/>
      <c r="E812" s="21"/>
      <c r="F812" s="21"/>
      <c r="G812" s="21"/>
      <c r="H812" s="27"/>
      <c r="I812" s="21"/>
      <c r="J812" s="21"/>
      <c r="K812" s="21"/>
      <c r="L812" s="21"/>
      <c r="M812" s="21"/>
      <c r="N812" s="34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spans="1:28" ht="39.75" customHeight="1" x14ac:dyDescent="0.2">
      <c r="A813" s="19"/>
      <c r="B813" s="21"/>
      <c r="C813" s="21"/>
      <c r="D813" s="21"/>
      <c r="E813" s="21"/>
      <c r="F813" s="21"/>
      <c r="G813" s="21"/>
      <c r="H813" s="27"/>
      <c r="I813" s="21"/>
      <c r="J813" s="21"/>
      <c r="K813" s="21"/>
      <c r="L813" s="21"/>
      <c r="M813" s="21"/>
      <c r="N813" s="34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spans="1:28" ht="39.75" customHeight="1" x14ac:dyDescent="0.2">
      <c r="A814" s="19"/>
      <c r="B814" s="21"/>
      <c r="C814" s="21"/>
      <c r="D814" s="21"/>
      <c r="E814" s="21"/>
      <c r="F814" s="21"/>
      <c r="G814" s="21"/>
      <c r="H814" s="27"/>
      <c r="I814" s="21"/>
      <c r="J814" s="21"/>
      <c r="K814" s="21"/>
      <c r="L814" s="21"/>
      <c r="M814" s="21"/>
      <c r="N814" s="34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spans="1:28" ht="39.75" customHeight="1" x14ac:dyDescent="0.2">
      <c r="A815" s="19"/>
      <c r="B815" s="21"/>
      <c r="C815" s="21"/>
      <c r="D815" s="21"/>
      <c r="E815" s="21"/>
      <c r="F815" s="21"/>
      <c r="G815" s="21"/>
      <c r="H815" s="27"/>
      <c r="I815" s="21"/>
      <c r="J815" s="21"/>
      <c r="K815" s="21"/>
      <c r="L815" s="21"/>
      <c r="M815" s="21"/>
      <c r="N815" s="34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spans="1:28" ht="39.75" customHeight="1" x14ac:dyDescent="0.2">
      <c r="A816" s="19"/>
      <c r="B816" s="21"/>
      <c r="C816" s="21"/>
      <c r="D816" s="21"/>
      <c r="E816" s="21"/>
      <c r="F816" s="21"/>
      <c r="G816" s="21"/>
      <c r="H816" s="27"/>
      <c r="I816" s="21"/>
      <c r="J816" s="21"/>
      <c r="K816" s="21"/>
      <c r="L816" s="21"/>
      <c r="M816" s="21"/>
      <c r="N816" s="34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spans="1:28" ht="39.75" customHeight="1" x14ac:dyDescent="0.2">
      <c r="A817" s="19"/>
      <c r="B817" s="21"/>
      <c r="C817" s="21"/>
      <c r="D817" s="21"/>
      <c r="E817" s="21"/>
      <c r="F817" s="21"/>
      <c r="G817" s="21"/>
      <c r="H817" s="27"/>
      <c r="I817" s="21"/>
      <c r="J817" s="21"/>
      <c r="K817" s="21"/>
      <c r="L817" s="21"/>
      <c r="M817" s="21"/>
      <c r="N817" s="34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spans="1:28" ht="39.75" customHeight="1" x14ac:dyDescent="0.2">
      <c r="A818" s="19"/>
      <c r="B818" s="21"/>
      <c r="C818" s="21"/>
      <c r="D818" s="21"/>
      <c r="E818" s="21"/>
      <c r="F818" s="21"/>
      <c r="G818" s="21"/>
      <c r="H818" s="27"/>
      <c r="I818" s="21"/>
      <c r="J818" s="21"/>
      <c r="K818" s="21"/>
      <c r="L818" s="21"/>
      <c r="M818" s="21"/>
      <c r="N818" s="34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spans="1:28" ht="39.75" customHeight="1" x14ac:dyDescent="0.2">
      <c r="A819" s="19"/>
      <c r="B819" s="21"/>
      <c r="C819" s="21"/>
      <c r="D819" s="21"/>
      <c r="E819" s="21"/>
      <c r="F819" s="21"/>
      <c r="G819" s="21"/>
      <c r="H819" s="27"/>
      <c r="I819" s="21"/>
      <c r="J819" s="21"/>
      <c r="K819" s="21"/>
      <c r="L819" s="21"/>
      <c r="M819" s="21"/>
      <c r="N819" s="34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spans="1:28" ht="39.75" customHeight="1" x14ac:dyDescent="0.2">
      <c r="A820" s="19"/>
      <c r="B820" s="21"/>
      <c r="C820" s="21"/>
      <c r="D820" s="21"/>
      <c r="E820" s="21"/>
      <c r="F820" s="21"/>
      <c r="G820" s="21"/>
      <c r="H820" s="27"/>
      <c r="I820" s="21"/>
      <c r="J820" s="21"/>
      <c r="K820" s="21"/>
      <c r="L820" s="21"/>
      <c r="M820" s="21"/>
      <c r="N820" s="34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spans="1:28" ht="39.75" customHeight="1" x14ac:dyDescent="0.2">
      <c r="A821" s="19"/>
      <c r="B821" s="21"/>
      <c r="C821" s="21"/>
      <c r="D821" s="21"/>
      <c r="E821" s="21"/>
      <c r="F821" s="21"/>
      <c r="G821" s="21"/>
      <c r="H821" s="27"/>
      <c r="I821" s="21"/>
      <c r="J821" s="21"/>
      <c r="K821" s="21"/>
      <c r="L821" s="21"/>
      <c r="M821" s="21"/>
      <c r="N821" s="34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spans="1:28" ht="39.75" customHeight="1" x14ac:dyDescent="0.2">
      <c r="A822" s="19"/>
      <c r="B822" s="21"/>
      <c r="C822" s="21"/>
      <c r="D822" s="21"/>
      <c r="E822" s="21"/>
      <c r="F822" s="21"/>
      <c r="G822" s="21"/>
      <c r="H822" s="27"/>
      <c r="I822" s="21"/>
      <c r="J822" s="21"/>
      <c r="K822" s="21"/>
      <c r="L822" s="21"/>
      <c r="M822" s="21"/>
      <c r="N822" s="34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spans="1:28" ht="39.75" customHeight="1" x14ac:dyDescent="0.2">
      <c r="A823" s="19"/>
      <c r="B823" s="21"/>
      <c r="C823" s="21"/>
      <c r="D823" s="21"/>
      <c r="E823" s="21"/>
      <c r="F823" s="21"/>
      <c r="G823" s="21"/>
      <c r="H823" s="27"/>
      <c r="I823" s="21"/>
      <c r="J823" s="21"/>
      <c r="K823" s="21"/>
      <c r="L823" s="21"/>
      <c r="M823" s="21"/>
      <c r="N823" s="34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spans="1:28" ht="39.75" customHeight="1" x14ac:dyDescent="0.2">
      <c r="A824" s="19"/>
      <c r="B824" s="21"/>
      <c r="C824" s="21"/>
      <c r="D824" s="21"/>
      <c r="E824" s="21"/>
      <c r="F824" s="21"/>
      <c r="G824" s="21"/>
      <c r="H824" s="27"/>
      <c r="I824" s="21"/>
      <c r="J824" s="21"/>
      <c r="K824" s="21"/>
      <c r="L824" s="21"/>
      <c r="M824" s="21"/>
      <c r="N824" s="34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spans="1:28" ht="39.75" customHeight="1" x14ac:dyDescent="0.2">
      <c r="A825" s="19"/>
      <c r="B825" s="21"/>
      <c r="C825" s="21"/>
      <c r="D825" s="21"/>
      <c r="E825" s="21"/>
      <c r="F825" s="21"/>
      <c r="G825" s="21"/>
      <c r="H825" s="27"/>
      <c r="I825" s="21"/>
      <c r="J825" s="21"/>
      <c r="K825" s="21"/>
      <c r="L825" s="21"/>
      <c r="M825" s="21"/>
      <c r="N825" s="34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spans="1:28" ht="39.75" customHeight="1" x14ac:dyDescent="0.2">
      <c r="A826" s="19"/>
      <c r="B826" s="21"/>
      <c r="C826" s="21"/>
      <c r="D826" s="21"/>
      <c r="E826" s="21"/>
      <c r="F826" s="21"/>
      <c r="G826" s="21"/>
      <c r="H826" s="27"/>
      <c r="I826" s="21"/>
      <c r="J826" s="21"/>
      <c r="K826" s="21"/>
      <c r="L826" s="21"/>
      <c r="M826" s="21"/>
      <c r="N826" s="34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spans="1:28" ht="39.75" customHeight="1" x14ac:dyDescent="0.2">
      <c r="A827" s="19"/>
      <c r="B827" s="21"/>
      <c r="C827" s="21"/>
      <c r="D827" s="21"/>
      <c r="E827" s="21"/>
      <c r="F827" s="21"/>
      <c r="G827" s="21"/>
      <c r="H827" s="27"/>
      <c r="I827" s="21"/>
      <c r="J827" s="21"/>
      <c r="K827" s="21"/>
      <c r="L827" s="21"/>
      <c r="M827" s="21"/>
      <c r="N827" s="34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spans="1:28" ht="39.75" customHeight="1" x14ac:dyDescent="0.2">
      <c r="A828" s="19"/>
      <c r="B828" s="21"/>
      <c r="C828" s="21"/>
      <c r="D828" s="21"/>
      <c r="E828" s="21"/>
      <c r="F828" s="21"/>
      <c r="G828" s="21"/>
      <c r="H828" s="27"/>
      <c r="I828" s="21"/>
      <c r="J828" s="21"/>
      <c r="K828" s="21"/>
      <c r="L828" s="21"/>
      <c r="M828" s="21"/>
      <c r="N828" s="34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spans="1:28" ht="39.75" customHeight="1" x14ac:dyDescent="0.2">
      <c r="A829" s="19"/>
      <c r="B829" s="21"/>
      <c r="C829" s="21"/>
      <c r="D829" s="21"/>
      <c r="E829" s="21"/>
      <c r="F829" s="21"/>
      <c r="G829" s="21"/>
      <c r="H829" s="27"/>
      <c r="I829" s="21"/>
      <c r="J829" s="21"/>
      <c r="K829" s="21"/>
      <c r="L829" s="21"/>
      <c r="M829" s="21"/>
      <c r="N829" s="34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spans="1:28" ht="39.75" customHeight="1" x14ac:dyDescent="0.2">
      <c r="A830" s="19"/>
      <c r="B830" s="21"/>
      <c r="C830" s="21"/>
      <c r="D830" s="21"/>
      <c r="E830" s="21"/>
      <c r="F830" s="21"/>
      <c r="G830" s="21"/>
      <c r="H830" s="27"/>
      <c r="I830" s="21"/>
      <c r="J830" s="21"/>
      <c r="K830" s="21"/>
      <c r="L830" s="21"/>
      <c r="M830" s="21"/>
      <c r="N830" s="34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spans="1:28" ht="39.75" customHeight="1" x14ac:dyDescent="0.2">
      <c r="A831" s="19"/>
      <c r="B831" s="21"/>
      <c r="C831" s="21"/>
      <c r="D831" s="21"/>
      <c r="E831" s="21"/>
      <c r="F831" s="21"/>
      <c r="G831" s="21"/>
      <c r="H831" s="27"/>
      <c r="I831" s="21"/>
      <c r="J831" s="21"/>
      <c r="K831" s="21"/>
      <c r="L831" s="21"/>
      <c r="M831" s="21"/>
      <c r="N831" s="34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spans="1:28" ht="39.75" customHeight="1" x14ac:dyDescent="0.2">
      <c r="A832" s="19"/>
      <c r="B832" s="21"/>
      <c r="C832" s="21"/>
      <c r="D832" s="21"/>
      <c r="E832" s="21"/>
      <c r="F832" s="21"/>
      <c r="G832" s="21"/>
      <c r="H832" s="27"/>
      <c r="I832" s="21"/>
      <c r="J832" s="21"/>
      <c r="K832" s="21"/>
      <c r="L832" s="21"/>
      <c r="M832" s="21"/>
      <c r="N832" s="34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spans="1:28" ht="39.75" customHeight="1" x14ac:dyDescent="0.2">
      <c r="A833" s="19"/>
      <c r="B833" s="21"/>
      <c r="C833" s="21"/>
      <c r="D833" s="21"/>
      <c r="E833" s="21"/>
      <c r="F833" s="21"/>
      <c r="G833" s="21"/>
      <c r="H833" s="27"/>
      <c r="I833" s="21"/>
      <c r="J833" s="21"/>
      <c r="K833" s="21"/>
      <c r="L833" s="21"/>
      <c r="M833" s="21"/>
      <c r="N833" s="34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spans="1:28" ht="39.75" customHeight="1" x14ac:dyDescent="0.2">
      <c r="A834" s="19"/>
      <c r="B834" s="21"/>
      <c r="C834" s="21"/>
      <c r="D834" s="21"/>
      <c r="E834" s="21"/>
      <c r="F834" s="21"/>
      <c r="G834" s="21"/>
      <c r="H834" s="27"/>
      <c r="I834" s="21"/>
      <c r="J834" s="21"/>
      <c r="K834" s="21"/>
      <c r="L834" s="21"/>
      <c r="M834" s="21"/>
      <c r="N834" s="34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spans="1:28" ht="39.75" customHeight="1" x14ac:dyDescent="0.2">
      <c r="A835" s="19"/>
      <c r="B835" s="21"/>
      <c r="C835" s="21"/>
      <c r="D835" s="21"/>
      <c r="E835" s="21"/>
      <c r="F835" s="21"/>
      <c r="G835" s="21"/>
      <c r="H835" s="27"/>
      <c r="I835" s="21"/>
      <c r="J835" s="21"/>
      <c r="K835" s="21"/>
      <c r="L835" s="21"/>
      <c r="M835" s="21"/>
      <c r="N835" s="34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spans="1:28" ht="39.75" customHeight="1" x14ac:dyDescent="0.2">
      <c r="A836" s="19"/>
      <c r="B836" s="21"/>
      <c r="C836" s="21"/>
      <c r="D836" s="21"/>
      <c r="E836" s="21"/>
      <c r="F836" s="21"/>
      <c r="G836" s="21"/>
      <c r="H836" s="27"/>
      <c r="I836" s="21"/>
      <c r="J836" s="21"/>
      <c r="K836" s="21"/>
      <c r="L836" s="21"/>
      <c r="M836" s="21"/>
      <c r="N836" s="34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spans="1:28" ht="39.75" customHeight="1" x14ac:dyDescent="0.2">
      <c r="A837" s="19"/>
      <c r="B837" s="21"/>
      <c r="C837" s="21"/>
      <c r="D837" s="21"/>
      <c r="E837" s="21"/>
      <c r="F837" s="21"/>
      <c r="G837" s="21"/>
      <c r="H837" s="27"/>
      <c r="I837" s="21"/>
      <c r="J837" s="21"/>
      <c r="K837" s="21"/>
      <c r="L837" s="21"/>
      <c r="M837" s="21"/>
      <c r="N837" s="34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spans="1:28" ht="39.75" customHeight="1" x14ac:dyDescent="0.2">
      <c r="A838" s="19"/>
      <c r="B838" s="21"/>
      <c r="C838" s="21"/>
      <c r="D838" s="21"/>
      <c r="E838" s="21"/>
      <c r="F838" s="21"/>
      <c r="G838" s="21"/>
      <c r="H838" s="27"/>
      <c r="I838" s="21"/>
      <c r="J838" s="21"/>
      <c r="K838" s="21"/>
      <c r="L838" s="21"/>
      <c r="M838" s="21"/>
      <c r="N838" s="34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spans="1:28" ht="39.75" customHeight="1" x14ac:dyDescent="0.2">
      <c r="A839" s="19"/>
      <c r="B839" s="21"/>
      <c r="C839" s="21"/>
      <c r="D839" s="21"/>
      <c r="E839" s="21"/>
      <c r="F839" s="21"/>
      <c r="G839" s="21"/>
      <c r="H839" s="27"/>
      <c r="I839" s="21"/>
      <c r="J839" s="21"/>
      <c r="K839" s="21"/>
      <c r="L839" s="21"/>
      <c r="M839" s="21"/>
      <c r="N839" s="34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spans="1:28" ht="39.75" customHeight="1" x14ac:dyDescent="0.2">
      <c r="A840" s="19"/>
      <c r="B840" s="21"/>
      <c r="C840" s="21"/>
      <c r="D840" s="21"/>
      <c r="E840" s="21"/>
      <c r="F840" s="21"/>
      <c r="G840" s="21"/>
      <c r="H840" s="27"/>
      <c r="I840" s="21"/>
      <c r="J840" s="21"/>
      <c r="K840" s="21"/>
      <c r="L840" s="21"/>
      <c r="M840" s="21"/>
      <c r="N840" s="34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spans="1:28" ht="39.75" customHeight="1" x14ac:dyDescent="0.2">
      <c r="A841" s="19"/>
      <c r="B841" s="21"/>
      <c r="C841" s="21"/>
      <c r="D841" s="21"/>
      <c r="E841" s="21"/>
      <c r="F841" s="21"/>
      <c r="G841" s="21"/>
      <c r="H841" s="27"/>
      <c r="I841" s="21"/>
      <c r="J841" s="21"/>
      <c r="K841" s="21"/>
      <c r="L841" s="21"/>
      <c r="M841" s="21"/>
      <c r="N841" s="34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spans="1:28" ht="39.75" customHeight="1" x14ac:dyDescent="0.2">
      <c r="A842" s="19"/>
      <c r="B842" s="21"/>
      <c r="C842" s="21"/>
      <c r="D842" s="21"/>
      <c r="E842" s="21"/>
      <c r="F842" s="21"/>
      <c r="G842" s="21"/>
      <c r="H842" s="27"/>
      <c r="I842" s="21"/>
      <c r="J842" s="21"/>
      <c r="K842" s="21"/>
      <c r="L842" s="21"/>
      <c r="M842" s="21"/>
      <c r="N842" s="34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spans="1:28" ht="39.75" customHeight="1" x14ac:dyDescent="0.2">
      <c r="A843" s="19"/>
      <c r="B843" s="21"/>
      <c r="C843" s="21"/>
      <c r="D843" s="21"/>
      <c r="E843" s="21"/>
      <c r="F843" s="21"/>
      <c r="G843" s="21"/>
      <c r="H843" s="27"/>
      <c r="I843" s="21"/>
      <c r="J843" s="21"/>
      <c r="K843" s="21"/>
      <c r="L843" s="21"/>
      <c r="M843" s="21"/>
      <c r="N843" s="34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spans="1:28" ht="39.75" customHeight="1" x14ac:dyDescent="0.2">
      <c r="A844" s="19"/>
      <c r="B844" s="21"/>
      <c r="C844" s="21"/>
      <c r="D844" s="21"/>
      <c r="E844" s="21"/>
      <c r="F844" s="21"/>
      <c r="G844" s="21"/>
      <c r="H844" s="27"/>
      <c r="I844" s="21"/>
      <c r="J844" s="21"/>
      <c r="K844" s="21"/>
      <c r="L844" s="21"/>
      <c r="M844" s="21"/>
      <c r="N844" s="34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spans="1:28" ht="39.75" customHeight="1" x14ac:dyDescent="0.2">
      <c r="A845" s="19"/>
      <c r="B845" s="21"/>
      <c r="C845" s="21"/>
      <c r="D845" s="21"/>
      <c r="E845" s="21"/>
      <c r="F845" s="21"/>
      <c r="G845" s="21"/>
      <c r="H845" s="27"/>
      <c r="I845" s="21"/>
      <c r="J845" s="21"/>
      <c r="K845" s="21"/>
      <c r="L845" s="21"/>
      <c r="M845" s="21"/>
      <c r="N845" s="34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spans="1:28" ht="39.75" customHeight="1" x14ac:dyDescent="0.2">
      <c r="A846" s="19"/>
      <c r="B846" s="21"/>
      <c r="C846" s="21"/>
      <c r="D846" s="21"/>
      <c r="E846" s="21"/>
      <c r="F846" s="21"/>
      <c r="G846" s="21"/>
      <c r="H846" s="27"/>
      <c r="I846" s="21"/>
      <c r="J846" s="21"/>
      <c r="K846" s="21"/>
      <c r="L846" s="21"/>
      <c r="M846" s="21"/>
      <c r="N846" s="34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spans="1:28" ht="39.75" customHeight="1" x14ac:dyDescent="0.2">
      <c r="A847" s="19"/>
      <c r="B847" s="21"/>
      <c r="C847" s="21"/>
      <c r="D847" s="21"/>
      <c r="E847" s="21"/>
      <c r="F847" s="21"/>
      <c r="G847" s="21"/>
      <c r="H847" s="27"/>
      <c r="I847" s="21"/>
      <c r="J847" s="21"/>
      <c r="K847" s="21"/>
      <c r="L847" s="21"/>
      <c r="M847" s="21"/>
      <c r="N847" s="34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spans="1:28" ht="39.75" customHeight="1" x14ac:dyDescent="0.2">
      <c r="A848" s="19"/>
      <c r="B848" s="21"/>
      <c r="C848" s="21"/>
      <c r="D848" s="21"/>
      <c r="E848" s="21"/>
      <c r="F848" s="21"/>
      <c r="G848" s="21"/>
      <c r="H848" s="27"/>
      <c r="I848" s="21"/>
      <c r="J848" s="21"/>
      <c r="K848" s="21"/>
      <c r="L848" s="21"/>
      <c r="M848" s="21"/>
      <c r="N848" s="34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spans="1:28" ht="39.75" customHeight="1" x14ac:dyDescent="0.2">
      <c r="A849" s="19"/>
      <c r="B849" s="21"/>
      <c r="C849" s="21"/>
      <c r="D849" s="21"/>
      <c r="E849" s="21"/>
      <c r="F849" s="21"/>
      <c r="G849" s="21"/>
      <c r="H849" s="27"/>
      <c r="I849" s="21"/>
      <c r="J849" s="21"/>
      <c r="K849" s="21"/>
      <c r="L849" s="21"/>
      <c r="M849" s="21"/>
      <c r="N849" s="34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spans="1:28" ht="39.75" customHeight="1" x14ac:dyDescent="0.2">
      <c r="A850" s="19"/>
      <c r="B850" s="21"/>
      <c r="C850" s="21"/>
      <c r="D850" s="21"/>
      <c r="E850" s="21"/>
      <c r="F850" s="21"/>
      <c r="G850" s="21"/>
      <c r="H850" s="27"/>
      <c r="I850" s="21"/>
      <c r="J850" s="21"/>
      <c r="K850" s="21"/>
      <c r="L850" s="21"/>
      <c r="M850" s="21"/>
      <c r="N850" s="34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spans="1:28" ht="39.75" customHeight="1" x14ac:dyDescent="0.2">
      <c r="A851" s="19"/>
      <c r="B851" s="21"/>
      <c r="C851" s="21"/>
      <c r="D851" s="21"/>
      <c r="E851" s="21"/>
      <c r="F851" s="21"/>
      <c r="G851" s="21"/>
      <c r="H851" s="27"/>
      <c r="I851" s="21"/>
      <c r="J851" s="21"/>
      <c r="K851" s="21"/>
      <c r="L851" s="21"/>
      <c r="M851" s="21"/>
      <c r="N851" s="34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spans="1:28" ht="39.75" customHeight="1" x14ac:dyDescent="0.2">
      <c r="A852" s="19"/>
      <c r="B852" s="21"/>
      <c r="C852" s="21"/>
      <c r="D852" s="21"/>
      <c r="E852" s="21"/>
      <c r="F852" s="21"/>
      <c r="G852" s="21"/>
      <c r="H852" s="27"/>
      <c r="I852" s="21"/>
      <c r="J852" s="21"/>
      <c r="K852" s="21"/>
      <c r="L852" s="21"/>
      <c r="M852" s="21"/>
      <c r="N852" s="34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spans="1:28" ht="39.75" customHeight="1" x14ac:dyDescent="0.2">
      <c r="A853" s="19"/>
      <c r="B853" s="21"/>
      <c r="C853" s="21"/>
      <c r="D853" s="21"/>
      <c r="E853" s="21"/>
      <c r="F853" s="21"/>
      <c r="G853" s="21"/>
      <c r="H853" s="27"/>
      <c r="I853" s="21"/>
      <c r="J853" s="21"/>
      <c r="K853" s="21"/>
      <c r="L853" s="21"/>
      <c r="M853" s="21"/>
      <c r="N853" s="34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spans="1:28" ht="39.75" customHeight="1" x14ac:dyDescent="0.2">
      <c r="A854" s="19"/>
      <c r="B854" s="21"/>
      <c r="C854" s="21"/>
      <c r="D854" s="21"/>
      <c r="E854" s="21"/>
      <c r="F854" s="21"/>
      <c r="G854" s="21"/>
      <c r="H854" s="27"/>
      <c r="I854" s="21"/>
      <c r="J854" s="21"/>
      <c r="K854" s="21"/>
      <c r="L854" s="21"/>
      <c r="M854" s="21"/>
      <c r="N854" s="34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spans="1:28" ht="39.75" customHeight="1" x14ac:dyDescent="0.2">
      <c r="A855" s="19"/>
      <c r="B855" s="21"/>
      <c r="C855" s="21"/>
      <c r="D855" s="21"/>
      <c r="E855" s="21"/>
      <c r="F855" s="21"/>
      <c r="G855" s="21"/>
      <c r="H855" s="27"/>
      <c r="I855" s="21"/>
      <c r="J855" s="21"/>
      <c r="K855" s="21"/>
      <c r="L855" s="21"/>
      <c r="M855" s="21"/>
      <c r="N855" s="34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spans="1:28" ht="39.75" customHeight="1" x14ac:dyDescent="0.2">
      <c r="A856" s="19"/>
      <c r="B856" s="21"/>
      <c r="C856" s="21"/>
      <c r="D856" s="21"/>
      <c r="E856" s="21"/>
      <c r="F856" s="21"/>
      <c r="G856" s="21"/>
      <c r="H856" s="27"/>
      <c r="I856" s="21"/>
      <c r="J856" s="21"/>
      <c r="K856" s="21"/>
      <c r="L856" s="21"/>
      <c r="M856" s="21"/>
      <c r="N856" s="34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spans="1:28" ht="39.75" customHeight="1" x14ac:dyDescent="0.2">
      <c r="A857" s="19"/>
      <c r="B857" s="21"/>
      <c r="C857" s="21"/>
      <c r="D857" s="21"/>
      <c r="E857" s="21"/>
      <c r="F857" s="21"/>
      <c r="G857" s="21"/>
      <c r="H857" s="27"/>
      <c r="I857" s="21"/>
      <c r="J857" s="21"/>
      <c r="K857" s="21"/>
      <c r="L857" s="21"/>
      <c r="M857" s="21"/>
      <c r="N857" s="34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spans="1:28" ht="39.75" customHeight="1" x14ac:dyDescent="0.2">
      <c r="A858" s="19"/>
      <c r="B858" s="21"/>
      <c r="C858" s="21"/>
      <c r="D858" s="21"/>
      <c r="E858" s="21"/>
      <c r="F858" s="21"/>
      <c r="G858" s="21"/>
      <c r="H858" s="27"/>
      <c r="I858" s="21"/>
      <c r="J858" s="21"/>
      <c r="K858" s="21"/>
      <c r="L858" s="21"/>
      <c r="M858" s="21"/>
      <c r="N858" s="34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spans="1:28" ht="39.75" customHeight="1" x14ac:dyDescent="0.2">
      <c r="A859" s="19"/>
      <c r="B859" s="21"/>
      <c r="C859" s="21"/>
      <c r="D859" s="21"/>
      <c r="E859" s="21"/>
      <c r="F859" s="21"/>
      <c r="G859" s="21"/>
      <c r="H859" s="27"/>
      <c r="I859" s="21"/>
      <c r="J859" s="21"/>
      <c r="K859" s="21"/>
      <c r="L859" s="21"/>
      <c r="M859" s="21"/>
      <c r="N859" s="34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spans="1:28" ht="39.75" customHeight="1" x14ac:dyDescent="0.2">
      <c r="A860" s="19"/>
      <c r="B860" s="21"/>
      <c r="C860" s="21"/>
      <c r="D860" s="21"/>
      <c r="E860" s="21"/>
      <c r="F860" s="21"/>
      <c r="G860" s="21"/>
      <c r="H860" s="27"/>
      <c r="I860" s="21"/>
      <c r="J860" s="21"/>
      <c r="K860" s="21"/>
      <c r="L860" s="21"/>
      <c r="M860" s="21"/>
      <c r="N860" s="34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spans="1:28" ht="39.75" customHeight="1" x14ac:dyDescent="0.2">
      <c r="A861" s="19"/>
      <c r="B861" s="21"/>
      <c r="C861" s="21"/>
      <c r="D861" s="21"/>
      <c r="E861" s="21"/>
      <c r="F861" s="21"/>
      <c r="G861" s="21"/>
      <c r="H861" s="27"/>
      <c r="I861" s="21"/>
      <c r="J861" s="21"/>
      <c r="K861" s="21"/>
      <c r="L861" s="21"/>
      <c r="M861" s="21"/>
      <c r="N861" s="34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spans="1:28" ht="39.75" customHeight="1" x14ac:dyDescent="0.2">
      <c r="A862" s="19"/>
      <c r="B862" s="21"/>
      <c r="C862" s="21"/>
      <c r="D862" s="21"/>
      <c r="E862" s="21"/>
      <c r="F862" s="21"/>
      <c r="G862" s="21"/>
      <c r="H862" s="27"/>
      <c r="I862" s="21"/>
      <c r="J862" s="21"/>
      <c r="K862" s="21"/>
      <c r="L862" s="21"/>
      <c r="M862" s="21"/>
      <c r="N862" s="34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spans="1:28" ht="39.75" customHeight="1" x14ac:dyDescent="0.2">
      <c r="A863" s="19"/>
      <c r="B863" s="21"/>
      <c r="C863" s="21"/>
      <c r="D863" s="21"/>
      <c r="E863" s="21"/>
      <c r="F863" s="21"/>
      <c r="G863" s="21"/>
      <c r="H863" s="27"/>
      <c r="I863" s="21"/>
      <c r="J863" s="21"/>
      <c r="K863" s="21"/>
      <c r="L863" s="21"/>
      <c r="M863" s="21"/>
      <c r="N863" s="34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spans="1:28" ht="39.75" customHeight="1" x14ac:dyDescent="0.2">
      <c r="A864" s="19"/>
      <c r="B864" s="21"/>
      <c r="C864" s="21"/>
      <c r="D864" s="21"/>
      <c r="E864" s="21"/>
      <c r="F864" s="21"/>
      <c r="G864" s="21"/>
      <c r="H864" s="27"/>
      <c r="I864" s="21"/>
      <c r="J864" s="21"/>
      <c r="K864" s="21"/>
      <c r="L864" s="21"/>
      <c r="M864" s="21"/>
      <c r="N864" s="34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spans="1:28" ht="39.75" customHeight="1" x14ac:dyDescent="0.2">
      <c r="A865" s="19"/>
      <c r="B865" s="21"/>
      <c r="C865" s="21"/>
      <c r="D865" s="21"/>
      <c r="E865" s="21"/>
      <c r="F865" s="21"/>
      <c r="G865" s="21"/>
      <c r="H865" s="27"/>
      <c r="I865" s="21"/>
      <c r="J865" s="21"/>
      <c r="K865" s="21"/>
      <c r="L865" s="21"/>
      <c r="M865" s="21"/>
      <c r="N865" s="34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spans="1:28" ht="39.75" customHeight="1" x14ac:dyDescent="0.2">
      <c r="A866" s="19"/>
      <c r="B866" s="21"/>
      <c r="C866" s="21"/>
      <c r="D866" s="21"/>
      <c r="E866" s="21"/>
      <c r="F866" s="21"/>
      <c r="G866" s="21"/>
      <c r="H866" s="27"/>
      <c r="I866" s="21"/>
      <c r="J866" s="21"/>
      <c r="K866" s="21"/>
      <c r="L866" s="21"/>
      <c r="M866" s="21"/>
      <c r="N866" s="34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spans="1:28" ht="39.75" customHeight="1" x14ac:dyDescent="0.2">
      <c r="A867" s="19"/>
      <c r="B867" s="21"/>
      <c r="C867" s="21"/>
      <c r="D867" s="21"/>
      <c r="E867" s="21"/>
      <c r="F867" s="21"/>
      <c r="G867" s="21"/>
      <c r="H867" s="27"/>
      <c r="I867" s="21"/>
      <c r="J867" s="21"/>
      <c r="K867" s="21"/>
      <c r="L867" s="21"/>
      <c r="M867" s="21"/>
      <c r="N867" s="34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spans="1:28" ht="39.75" customHeight="1" x14ac:dyDescent="0.2">
      <c r="A868" s="19"/>
      <c r="B868" s="21"/>
      <c r="C868" s="21"/>
      <c r="D868" s="21"/>
      <c r="E868" s="21"/>
      <c r="F868" s="21"/>
      <c r="G868" s="21"/>
      <c r="H868" s="27"/>
      <c r="I868" s="21"/>
      <c r="J868" s="21"/>
      <c r="K868" s="21"/>
      <c r="L868" s="21"/>
      <c r="M868" s="21"/>
      <c r="N868" s="34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spans="1:28" ht="39.75" customHeight="1" x14ac:dyDescent="0.2">
      <c r="A869" s="19"/>
      <c r="B869" s="21"/>
      <c r="C869" s="21"/>
      <c r="D869" s="21"/>
      <c r="E869" s="21"/>
      <c r="F869" s="21"/>
      <c r="G869" s="21"/>
      <c r="H869" s="27"/>
      <c r="I869" s="21"/>
      <c r="J869" s="21"/>
      <c r="K869" s="21"/>
      <c r="L869" s="21"/>
      <c r="M869" s="21"/>
      <c r="N869" s="34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spans="1:28" ht="39.75" customHeight="1" x14ac:dyDescent="0.2">
      <c r="A870" s="19"/>
      <c r="B870" s="21"/>
      <c r="C870" s="21"/>
      <c r="D870" s="21"/>
      <c r="E870" s="21"/>
      <c r="F870" s="21"/>
      <c r="G870" s="21"/>
      <c r="H870" s="27"/>
      <c r="I870" s="21"/>
      <c r="J870" s="21"/>
      <c r="K870" s="21"/>
      <c r="L870" s="21"/>
      <c r="M870" s="21"/>
      <c r="N870" s="34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spans="1:28" ht="39.75" customHeight="1" x14ac:dyDescent="0.2">
      <c r="A871" s="19"/>
      <c r="B871" s="21"/>
      <c r="C871" s="21"/>
      <c r="D871" s="21"/>
      <c r="E871" s="21"/>
      <c r="F871" s="21"/>
      <c r="G871" s="21"/>
      <c r="H871" s="27"/>
      <c r="I871" s="21"/>
      <c r="J871" s="21"/>
      <c r="K871" s="21"/>
      <c r="L871" s="21"/>
      <c r="M871" s="21"/>
      <c r="N871" s="34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spans="1:28" ht="39.75" customHeight="1" x14ac:dyDescent="0.2">
      <c r="A872" s="19"/>
      <c r="B872" s="21"/>
      <c r="C872" s="21"/>
      <c r="D872" s="21"/>
      <c r="E872" s="21"/>
      <c r="F872" s="21"/>
      <c r="G872" s="21"/>
      <c r="H872" s="27"/>
      <c r="I872" s="21"/>
      <c r="J872" s="21"/>
      <c r="K872" s="21"/>
      <c r="L872" s="21"/>
      <c r="M872" s="21"/>
      <c r="N872" s="34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spans="1:28" ht="39.75" customHeight="1" x14ac:dyDescent="0.2">
      <c r="A873" s="19"/>
      <c r="B873" s="21"/>
      <c r="C873" s="21"/>
      <c r="D873" s="21"/>
      <c r="E873" s="21"/>
      <c r="F873" s="21"/>
      <c r="G873" s="21"/>
      <c r="H873" s="27"/>
      <c r="I873" s="21"/>
      <c r="J873" s="21"/>
      <c r="K873" s="21"/>
      <c r="L873" s="21"/>
      <c r="M873" s="21"/>
      <c r="N873" s="34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spans="1:28" ht="39.75" customHeight="1" x14ac:dyDescent="0.2">
      <c r="A874" s="19"/>
      <c r="B874" s="21"/>
      <c r="C874" s="21"/>
      <c r="D874" s="21"/>
      <c r="E874" s="21"/>
      <c r="F874" s="21"/>
      <c r="G874" s="21"/>
      <c r="H874" s="27"/>
      <c r="I874" s="21"/>
      <c r="J874" s="21"/>
      <c r="K874" s="21"/>
      <c r="L874" s="21"/>
      <c r="M874" s="21"/>
      <c r="N874" s="34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spans="1:28" ht="39.75" customHeight="1" x14ac:dyDescent="0.2">
      <c r="A875" s="19"/>
      <c r="B875" s="21"/>
      <c r="C875" s="21"/>
      <c r="D875" s="21"/>
      <c r="E875" s="21"/>
      <c r="F875" s="21"/>
      <c r="G875" s="21"/>
      <c r="H875" s="27"/>
      <c r="I875" s="21"/>
      <c r="J875" s="21"/>
      <c r="K875" s="21"/>
      <c r="L875" s="21"/>
      <c r="M875" s="21"/>
      <c r="N875" s="34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spans="1:28" ht="39.75" customHeight="1" x14ac:dyDescent="0.2">
      <c r="A876" s="19"/>
      <c r="B876" s="21"/>
      <c r="C876" s="21"/>
      <c r="D876" s="21"/>
      <c r="E876" s="21"/>
      <c r="F876" s="21"/>
      <c r="G876" s="21"/>
      <c r="H876" s="27"/>
      <c r="I876" s="21"/>
      <c r="J876" s="21"/>
      <c r="K876" s="21"/>
      <c r="L876" s="21"/>
      <c r="M876" s="21"/>
      <c r="N876" s="34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spans="1:28" ht="39.75" customHeight="1" x14ac:dyDescent="0.2">
      <c r="A877" s="19"/>
      <c r="B877" s="21"/>
      <c r="C877" s="21"/>
      <c r="D877" s="21"/>
      <c r="E877" s="21"/>
      <c r="F877" s="21"/>
      <c r="G877" s="21"/>
      <c r="H877" s="27"/>
      <c r="I877" s="21"/>
      <c r="J877" s="21"/>
      <c r="K877" s="21"/>
      <c r="L877" s="21"/>
      <c r="M877" s="21"/>
      <c r="N877" s="34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spans="1:28" ht="39.75" customHeight="1" x14ac:dyDescent="0.2">
      <c r="A878" s="19"/>
      <c r="B878" s="21"/>
      <c r="C878" s="21"/>
      <c r="D878" s="21"/>
      <c r="E878" s="21"/>
      <c r="F878" s="21"/>
      <c r="G878" s="21"/>
      <c r="H878" s="27"/>
      <c r="I878" s="21"/>
      <c r="J878" s="21"/>
      <c r="K878" s="21"/>
      <c r="L878" s="21"/>
      <c r="M878" s="21"/>
      <c r="N878" s="34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spans="1:28" ht="39.75" customHeight="1" x14ac:dyDescent="0.2">
      <c r="A879" s="19"/>
      <c r="B879" s="21"/>
      <c r="C879" s="21"/>
      <c r="D879" s="21"/>
      <c r="E879" s="21"/>
      <c r="F879" s="21"/>
      <c r="G879" s="21"/>
      <c r="H879" s="27"/>
      <c r="I879" s="21"/>
      <c r="J879" s="21"/>
      <c r="K879" s="21"/>
      <c r="L879" s="21"/>
      <c r="M879" s="21"/>
      <c r="N879" s="34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spans="1:28" ht="39.75" customHeight="1" x14ac:dyDescent="0.2">
      <c r="A880" s="19"/>
      <c r="B880" s="21"/>
      <c r="C880" s="21"/>
      <c r="D880" s="21"/>
      <c r="E880" s="21"/>
      <c r="F880" s="21"/>
      <c r="G880" s="21"/>
      <c r="H880" s="27"/>
      <c r="I880" s="21"/>
      <c r="J880" s="21"/>
      <c r="K880" s="21"/>
      <c r="L880" s="21"/>
      <c r="M880" s="21"/>
      <c r="N880" s="34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spans="1:28" ht="39.75" customHeight="1" x14ac:dyDescent="0.2">
      <c r="A881" s="19"/>
      <c r="B881" s="21"/>
      <c r="C881" s="21"/>
      <c r="D881" s="21"/>
      <c r="E881" s="21"/>
      <c r="F881" s="21"/>
      <c r="G881" s="21"/>
      <c r="H881" s="27"/>
      <c r="I881" s="21"/>
      <c r="J881" s="21"/>
      <c r="K881" s="21"/>
      <c r="L881" s="21"/>
      <c r="M881" s="21"/>
      <c r="N881" s="34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spans="1:28" ht="39.75" customHeight="1" x14ac:dyDescent="0.2">
      <c r="A882" s="19"/>
      <c r="B882" s="21"/>
      <c r="C882" s="21"/>
      <c r="D882" s="21"/>
      <c r="E882" s="21"/>
      <c r="F882" s="21"/>
      <c r="G882" s="21"/>
      <c r="H882" s="27"/>
      <c r="I882" s="21"/>
      <c r="J882" s="21"/>
      <c r="K882" s="21"/>
      <c r="L882" s="21"/>
      <c r="M882" s="21"/>
      <c r="N882" s="34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spans="1:28" ht="39.75" customHeight="1" x14ac:dyDescent="0.2">
      <c r="A883" s="19"/>
      <c r="B883" s="21"/>
      <c r="C883" s="21"/>
      <c r="D883" s="21"/>
      <c r="E883" s="21"/>
      <c r="F883" s="21"/>
      <c r="G883" s="21"/>
      <c r="H883" s="27"/>
      <c r="I883" s="21"/>
      <c r="J883" s="21"/>
      <c r="K883" s="21"/>
      <c r="L883" s="21"/>
      <c r="M883" s="21"/>
      <c r="N883" s="34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spans="1:28" ht="39.75" customHeight="1" x14ac:dyDescent="0.2">
      <c r="A884" s="19"/>
      <c r="B884" s="21"/>
      <c r="C884" s="21"/>
      <c r="D884" s="21"/>
      <c r="E884" s="21"/>
      <c r="F884" s="21"/>
      <c r="G884" s="21"/>
      <c r="H884" s="27"/>
      <c r="I884" s="21"/>
      <c r="J884" s="21"/>
      <c r="K884" s="21"/>
      <c r="L884" s="21"/>
      <c r="M884" s="21"/>
      <c r="N884" s="34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spans="1:28" ht="39.75" customHeight="1" x14ac:dyDescent="0.2">
      <c r="A885" s="19"/>
      <c r="B885" s="21"/>
      <c r="C885" s="21"/>
      <c r="D885" s="21"/>
      <c r="E885" s="21"/>
      <c r="F885" s="21"/>
      <c r="G885" s="21"/>
      <c r="H885" s="27"/>
      <c r="I885" s="21"/>
      <c r="J885" s="21"/>
      <c r="K885" s="21"/>
      <c r="L885" s="21"/>
      <c r="M885" s="21"/>
      <c r="N885" s="34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spans="1:28" ht="39.75" customHeight="1" x14ac:dyDescent="0.2">
      <c r="A886" s="19"/>
      <c r="B886" s="21"/>
      <c r="C886" s="21"/>
      <c r="D886" s="21"/>
      <c r="E886" s="21"/>
      <c r="F886" s="21"/>
      <c r="G886" s="21"/>
      <c r="H886" s="27"/>
      <c r="I886" s="21"/>
      <c r="J886" s="21"/>
      <c r="K886" s="21"/>
      <c r="L886" s="21"/>
      <c r="M886" s="21"/>
      <c r="N886" s="34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spans="1:28" ht="39.75" customHeight="1" x14ac:dyDescent="0.2">
      <c r="A887" s="19"/>
      <c r="B887" s="21"/>
      <c r="C887" s="21"/>
      <c r="D887" s="21"/>
      <c r="E887" s="21"/>
      <c r="F887" s="21"/>
      <c r="G887" s="21"/>
      <c r="H887" s="27"/>
      <c r="I887" s="21"/>
      <c r="J887" s="21"/>
      <c r="K887" s="21"/>
      <c r="L887" s="21"/>
      <c r="M887" s="21"/>
      <c r="N887" s="34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spans="1:28" ht="39.75" customHeight="1" x14ac:dyDescent="0.2">
      <c r="A888" s="19"/>
      <c r="B888" s="21"/>
      <c r="C888" s="21"/>
      <c r="D888" s="21"/>
      <c r="E888" s="21"/>
      <c r="F888" s="21"/>
      <c r="G888" s="21"/>
      <c r="H888" s="27"/>
      <c r="I888" s="21"/>
      <c r="J888" s="21"/>
      <c r="K888" s="21"/>
      <c r="L888" s="21"/>
      <c r="M888" s="21"/>
      <c r="N888" s="34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spans="1:28" ht="39.75" customHeight="1" x14ac:dyDescent="0.2">
      <c r="A889" s="19"/>
      <c r="B889" s="21"/>
      <c r="C889" s="21"/>
      <c r="D889" s="21"/>
      <c r="E889" s="21"/>
      <c r="F889" s="21"/>
      <c r="G889" s="21"/>
      <c r="H889" s="27"/>
      <c r="I889" s="21"/>
      <c r="J889" s="21"/>
      <c r="K889" s="21"/>
      <c r="L889" s="21"/>
      <c r="M889" s="21"/>
      <c r="N889" s="34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spans="1:28" ht="39.75" customHeight="1" x14ac:dyDescent="0.2">
      <c r="A890" s="19"/>
      <c r="B890" s="21"/>
      <c r="C890" s="21"/>
      <c r="D890" s="21"/>
      <c r="E890" s="21"/>
      <c r="F890" s="21"/>
      <c r="G890" s="21"/>
      <c r="H890" s="27"/>
      <c r="I890" s="21"/>
      <c r="J890" s="21"/>
      <c r="K890" s="21"/>
      <c r="L890" s="21"/>
      <c r="M890" s="21"/>
      <c r="N890" s="34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spans="1:28" ht="39.75" customHeight="1" x14ac:dyDescent="0.2">
      <c r="A891" s="19"/>
      <c r="B891" s="21"/>
      <c r="C891" s="21"/>
      <c r="D891" s="21"/>
      <c r="E891" s="21"/>
      <c r="F891" s="21"/>
      <c r="G891" s="21"/>
      <c r="H891" s="27"/>
      <c r="I891" s="21"/>
      <c r="J891" s="21"/>
      <c r="K891" s="21"/>
      <c r="L891" s="21"/>
      <c r="M891" s="21"/>
      <c r="N891" s="34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spans="1:28" ht="39.75" customHeight="1" x14ac:dyDescent="0.2">
      <c r="A892" s="19"/>
      <c r="B892" s="21"/>
      <c r="C892" s="21"/>
      <c r="D892" s="21"/>
      <c r="E892" s="21"/>
      <c r="F892" s="21"/>
      <c r="G892" s="21"/>
      <c r="H892" s="27"/>
      <c r="I892" s="21"/>
      <c r="J892" s="21"/>
      <c r="K892" s="21"/>
      <c r="L892" s="21"/>
      <c r="M892" s="21"/>
      <c r="N892" s="34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spans="1:28" ht="39.75" customHeight="1" x14ac:dyDescent="0.2">
      <c r="A893" s="19"/>
      <c r="B893" s="21"/>
      <c r="C893" s="21"/>
      <c r="D893" s="21"/>
      <c r="E893" s="21"/>
      <c r="F893" s="21"/>
      <c r="G893" s="21"/>
      <c r="H893" s="27"/>
      <c r="I893" s="21"/>
      <c r="J893" s="21"/>
      <c r="K893" s="21"/>
      <c r="L893" s="21"/>
      <c r="M893" s="21"/>
      <c r="N893" s="34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spans="1:28" ht="39.75" customHeight="1" x14ac:dyDescent="0.2">
      <c r="A894" s="19"/>
      <c r="B894" s="21"/>
      <c r="C894" s="21"/>
      <c r="D894" s="21"/>
      <c r="E894" s="21"/>
      <c r="F894" s="21"/>
      <c r="G894" s="21"/>
      <c r="H894" s="27"/>
      <c r="I894" s="21"/>
      <c r="J894" s="21"/>
      <c r="K894" s="21"/>
      <c r="L894" s="21"/>
      <c r="M894" s="21"/>
      <c r="N894" s="34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spans="1:28" ht="39.75" customHeight="1" x14ac:dyDescent="0.2">
      <c r="A895" s="19"/>
      <c r="B895" s="21"/>
      <c r="C895" s="21"/>
      <c r="D895" s="21"/>
      <c r="E895" s="21"/>
      <c r="F895" s="21"/>
      <c r="G895" s="21"/>
      <c r="H895" s="27"/>
      <c r="I895" s="21"/>
      <c r="J895" s="21"/>
      <c r="K895" s="21"/>
      <c r="L895" s="21"/>
      <c r="M895" s="21"/>
      <c r="N895" s="34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spans="1:28" ht="39.75" customHeight="1" x14ac:dyDescent="0.2">
      <c r="A896" s="19"/>
      <c r="B896" s="21"/>
      <c r="C896" s="21"/>
      <c r="D896" s="21"/>
      <c r="E896" s="21"/>
      <c r="F896" s="21"/>
      <c r="G896" s="21"/>
      <c r="H896" s="27"/>
      <c r="I896" s="21"/>
      <c r="J896" s="21"/>
      <c r="K896" s="21"/>
      <c r="L896" s="21"/>
      <c r="M896" s="21"/>
      <c r="N896" s="34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spans="1:28" ht="39.75" customHeight="1" x14ac:dyDescent="0.2">
      <c r="A897" s="19"/>
      <c r="B897" s="21"/>
      <c r="C897" s="21"/>
      <c r="D897" s="21"/>
      <c r="E897" s="21"/>
      <c r="F897" s="21"/>
      <c r="G897" s="21"/>
      <c r="H897" s="27"/>
      <c r="I897" s="21"/>
      <c r="J897" s="21"/>
      <c r="K897" s="21"/>
      <c r="L897" s="21"/>
      <c r="M897" s="21"/>
      <c r="N897" s="34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spans="1:28" ht="39.75" customHeight="1" x14ac:dyDescent="0.2">
      <c r="A898" s="19"/>
      <c r="B898" s="21"/>
      <c r="C898" s="21"/>
      <c r="D898" s="21"/>
      <c r="E898" s="21"/>
      <c r="F898" s="21"/>
      <c r="G898" s="21"/>
      <c r="H898" s="27"/>
      <c r="I898" s="21"/>
      <c r="J898" s="21"/>
      <c r="K898" s="21"/>
      <c r="L898" s="21"/>
      <c r="M898" s="21"/>
      <c r="N898" s="34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spans="1:28" ht="39.75" customHeight="1" x14ac:dyDescent="0.2">
      <c r="A899" s="19"/>
      <c r="B899" s="21"/>
      <c r="C899" s="21"/>
      <c r="D899" s="21"/>
      <c r="E899" s="21"/>
      <c r="F899" s="21"/>
      <c r="G899" s="21"/>
      <c r="H899" s="27"/>
      <c r="I899" s="21"/>
      <c r="J899" s="21"/>
      <c r="K899" s="21"/>
      <c r="L899" s="21"/>
      <c r="M899" s="21"/>
      <c r="N899" s="34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spans="1:28" ht="39.75" customHeight="1" x14ac:dyDescent="0.2">
      <c r="A900" s="19"/>
      <c r="B900" s="21"/>
      <c r="C900" s="21"/>
      <c r="D900" s="21"/>
      <c r="E900" s="21"/>
      <c r="F900" s="21"/>
      <c r="G900" s="21"/>
      <c r="H900" s="27"/>
      <c r="I900" s="21"/>
      <c r="J900" s="21"/>
      <c r="K900" s="21"/>
      <c r="L900" s="21"/>
      <c r="M900" s="21"/>
      <c r="N900" s="34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spans="1:28" ht="39.75" customHeight="1" x14ac:dyDescent="0.2">
      <c r="A901" s="19"/>
      <c r="B901" s="21"/>
      <c r="C901" s="21"/>
      <c r="D901" s="21"/>
      <c r="E901" s="21"/>
      <c r="F901" s="21"/>
      <c r="G901" s="21"/>
      <c r="H901" s="27"/>
      <c r="I901" s="21"/>
      <c r="J901" s="21"/>
      <c r="K901" s="21"/>
      <c r="L901" s="21"/>
      <c r="M901" s="21"/>
      <c r="N901" s="34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spans="1:28" ht="39.75" customHeight="1" x14ac:dyDescent="0.2">
      <c r="A902" s="19"/>
      <c r="B902" s="21"/>
      <c r="C902" s="21"/>
      <c r="D902" s="21"/>
      <c r="E902" s="21"/>
      <c r="F902" s="21"/>
      <c r="G902" s="21"/>
      <c r="H902" s="27"/>
      <c r="I902" s="21"/>
      <c r="J902" s="21"/>
      <c r="K902" s="21"/>
      <c r="L902" s="21"/>
      <c r="M902" s="21"/>
      <c r="N902" s="34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spans="1:28" ht="39.75" customHeight="1" x14ac:dyDescent="0.2">
      <c r="A903" s="19"/>
      <c r="B903" s="21"/>
      <c r="C903" s="21"/>
      <c r="D903" s="21"/>
      <c r="E903" s="21"/>
      <c r="F903" s="21"/>
      <c r="G903" s="21"/>
      <c r="H903" s="27"/>
      <c r="I903" s="21"/>
      <c r="J903" s="21"/>
      <c r="K903" s="21"/>
      <c r="L903" s="21"/>
      <c r="M903" s="21"/>
      <c r="N903" s="34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spans="1:28" ht="39.75" customHeight="1" x14ac:dyDescent="0.2">
      <c r="A904" s="19"/>
      <c r="B904" s="21"/>
      <c r="C904" s="21"/>
      <c r="D904" s="21"/>
      <c r="E904" s="21"/>
      <c r="F904" s="21"/>
      <c r="G904" s="21"/>
      <c r="H904" s="27"/>
      <c r="I904" s="21"/>
      <c r="J904" s="21"/>
      <c r="K904" s="21"/>
      <c r="L904" s="21"/>
      <c r="M904" s="21"/>
      <c r="N904" s="34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spans="1:28" ht="39.75" customHeight="1" x14ac:dyDescent="0.2">
      <c r="A905" s="19"/>
      <c r="B905" s="21"/>
      <c r="C905" s="21"/>
      <c r="D905" s="21"/>
      <c r="E905" s="21"/>
      <c r="F905" s="21"/>
      <c r="G905" s="21"/>
      <c r="H905" s="27"/>
      <c r="I905" s="21"/>
      <c r="J905" s="21"/>
      <c r="K905" s="21"/>
      <c r="L905" s="21"/>
      <c r="M905" s="21"/>
      <c r="N905" s="34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spans="1:28" ht="39.75" customHeight="1" x14ac:dyDescent="0.2">
      <c r="A906" s="19"/>
      <c r="B906" s="21"/>
      <c r="C906" s="21"/>
      <c r="D906" s="21"/>
      <c r="E906" s="21"/>
      <c r="F906" s="21"/>
      <c r="G906" s="21"/>
      <c r="H906" s="27"/>
      <c r="I906" s="21"/>
      <c r="J906" s="21"/>
      <c r="K906" s="21"/>
      <c r="L906" s="21"/>
      <c r="M906" s="21"/>
      <c r="N906" s="34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spans="1:28" ht="39.75" customHeight="1" x14ac:dyDescent="0.2">
      <c r="A907" s="19"/>
      <c r="B907" s="21"/>
      <c r="C907" s="21"/>
      <c r="D907" s="21"/>
      <c r="E907" s="21"/>
      <c r="F907" s="21"/>
      <c r="G907" s="21"/>
      <c r="H907" s="27"/>
      <c r="I907" s="21"/>
      <c r="J907" s="21"/>
      <c r="K907" s="21"/>
      <c r="L907" s="21"/>
      <c r="M907" s="21"/>
      <c r="N907" s="34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spans="1:28" ht="39.75" customHeight="1" x14ac:dyDescent="0.2">
      <c r="A908" s="19"/>
      <c r="B908" s="21"/>
      <c r="C908" s="21"/>
      <c r="D908" s="21"/>
      <c r="E908" s="21"/>
      <c r="F908" s="21"/>
      <c r="G908" s="21"/>
      <c r="H908" s="27"/>
      <c r="I908" s="21"/>
      <c r="J908" s="21"/>
      <c r="K908" s="21"/>
      <c r="L908" s="21"/>
      <c r="M908" s="21"/>
      <c r="N908" s="34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spans="1:28" ht="39.75" customHeight="1" x14ac:dyDescent="0.2">
      <c r="A909" s="19"/>
      <c r="B909" s="21"/>
      <c r="C909" s="21"/>
      <c r="D909" s="21"/>
      <c r="E909" s="21"/>
      <c r="F909" s="21"/>
      <c r="G909" s="21"/>
      <c r="H909" s="27"/>
      <c r="I909" s="21"/>
      <c r="J909" s="21"/>
      <c r="K909" s="21"/>
      <c r="L909" s="21"/>
      <c r="M909" s="21"/>
      <c r="N909" s="34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spans="1:28" ht="39.75" customHeight="1" x14ac:dyDescent="0.2">
      <c r="A910" s="19"/>
      <c r="B910" s="21"/>
      <c r="C910" s="21"/>
      <c r="D910" s="21"/>
      <c r="E910" s="21"/>
      <c r="F910" s="21"/>
      <c r="G910" s="21"/>
      <c r="H910" s="27"/>
      <c r="I910" s="21"/>
      <c r="J910" s="21"/>
      <c r="K910" s="21"/>
      <c r="L910" s="21"/>
      <c r="M910" s="21"/>
      <c r="N910" s="34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spans="1:28" ht="39.75" customHeight="1" x14ac:dyDescent="0.2">
      <c r="A911" s="19"/>
      <c r="B911" s="21"/>
      <c r="C911" s="21"/>
      <c r="D911" s="21"/>
      <c r="E911" s="21"/>
      <c r="F911" s="21"/>
      <c r="G911" s="21"/>
      <c r="H911" s="27"/>
      <c r="I911" s="21"/>
      <c r="J911" s="21"/>
      <c r="K911" s="21"/>
      <c r="L911" s="21"/>
      <c r="M911" s="21"/>
      <c r="N911" s="34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spans="1:28" ht="39.75" customHeight="1" x14ac:dyDescent="0.2">
      <c r="A912" s="19"/>
      <c r="B912" s="21"/>
      <c r="C912" s="21"/>
      <c r="D912" s="21"/>
      <c r="E912" s="21"/>
      <c r="F912" s="21"/>
      <c r="G912" s="21"/>
      <c r="H912" s="27"/>
      <c r="I912" s="21"/>
      <c r="J912" s="21"/>
      <c r="K912" s="21"/>
      <c r="L912" s="21"/>
      <c r="M912" s="21"/>
      <c r="N912" s="34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spans="1:28" ht="39.75" customHeight="1" x14ac:dyDescent="0.2">
      <c r="A913" s="19"/>
      <c r="B913" s="21"/>
      <c r="C913" s="21"/>
      <c r="D913" s="21"/>
      <c r="E913" s="21"/>
      <c r="F913" s="21"/>
      <c r="G913" s="21"/>
      <c r="H913" s="27"/>
      <c r="I913" s="21"/>
      <c r="J913" s="21"/>
      <c r="K913" s="21"/>
      <c r="L913" s="21"/>
      <c r="M913" s="21"/>
      <c r="N913" s="34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spans="1:28" ht="39.75" customHeight="1" x14ac:dyDescent="0.2">
      <c r="A914" s="19"/>
      <c r="B914" s="21"/>
      <c r="C914" s="21"/>
      <c r="D914" s="21"/>
      <c r="E914" s="21"/>
      <c r="F914" s="21"/>
      <c r="G914" s="21"/>
      <c r="H914" s="27"/>
      <c r="I914" s="21"/>
      <c r="J914" s="21"/>
      <c r="K914" s="21"/>
      <c r="L914" s="21"/>
      <c r="M914" s="21"/>
      <c r="N914" s="34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spans="1:28" ht="39.75" customHeight="1" x14ac:dyDescent="0.2">
      <c r="A915" s="19"/>
      <c r="B915" s="21"/>
      <c r="C915" s="21"/>
      <c r="D915" s="21"/>
      <c r="E915" s="21"/>
      <c r="F915" s="21"/>
      <c r="G915" s="21"/>
      <c r="H915" s="27"/>
      <c r="I915" s="21"/>
      <c r="J915" s="21"/>
      <c r="K915" s="21"/>
      <c r="L915" s="21"/>
      <c r="M915" s="21"/>
      <c r="N915" s="34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spans="1:28" ht="39.75" customHeight="1" x14ac:dyDescent="0.2">
      <c r="A916" s="19"/>
      <c r="B916" s="21"/>
      <c r="C916" s="21"/>
      <c r="D916" s="21"/>
      <c r="E916" s="21"/>
      <c r="F916" s="21"/>
      <c r="G916" s="21"/>
      <c r="H916" s="27"/>
      <c r="I916" s="21"/>
      <c r="J916" s="21"/>
      <c r="K916" s="21"/>
      <c r="L916" s="21"/>
      <c r="M916" s="21"/>
      <c r="N916" s="34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spans="1:28" ht="39.75" customHeight="1" x14ac:dyDescent="0.2">
      <c r="A917" s="19"/>
      <c r="B917" s="21"/>
      <c r="C917" s="21"/>
      <c r="D917" s="21"/>
      <c r="E917" s="21"/>
      <c r="F917" s="21"/>
      <c r="G917" s="21"/>
      <c r="H917" s="27"/>
      <c r="I917" s="21"/>
      <c r="J917" s="21"/>
      <c r="K917" s="21"/>
      <c r="L917" s="21"/>
      <c r="M917" s="21"/>
      <c r="N917" s="34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spans="1:28" ht="39.75" customHeight="1" x14ac:dyDescent="0.2">
      <c r="A918" s="19"/>
      <c r="B918" s="21"/>
      <c r="C918" s="21"/>
      <c r="D918" s="21"/>
      <c r="E918" s="21"/>
      <c r="F918" s="21"/>
      <c r="G918" s="21"/>
      <c r="H918" s="27"/>
      <c r="I918" s="21"/>
      <c r="J918" s="21"/>
      <c r="K918" s="21"/>
      <c r="L918" s="21"/>
      <c r="M918" s="21"/>
      <c r="N918" s="34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spans="1:28" ht="39.75" customHeight="1" x14ac:dyDescent="0.2">
      <c r="A919" s="19"/>
      <c r="B919" s="21"/>
      <c r="C919" s="21"/>
      <c r="D919" s="21"/>
      <c r="E919" s="21"/>
      <c r="F919" s="21"/>
      <c r="G919" s="21"/>
      <c r="H919" s="27"/>
      <c r="I919" s="21"/>
      <c r="J919" s="21"/>
      <c r="K919" s="21"/>
      <c r="L919" s="21"/>
      <c r="M919" s="21"/>
      <c r="N919" s="34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spans="1:28" ht="39.75" customHeight="1" x14ac:dyDescent="0.2">
      <c r="A920" s="19"/>
      <c r="B920" s="21"/>
      <c r="C920" s="21"/>
      <c r="D920" s="21"/>
      <c r="E920" s="21"/>
      <c r="F920" s="21"/>
      <c r="G920" s="21"/>
      <c r="H920" s="27"/>
      <c r="I920" s="21"/>
      <c r="J920" s="21"/>
      <c r="K920" s="21"/>
      <c r="L920" s="21"/>
      <c r="M920" s="21"/>
      <c r="N920" s="34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spans="1:28" ht="39.75" customHeight="1" x14ac:dyDescent="0.2">
      <c r="A921" s="19"/>
      <c r="B921" s="21"/>
      <c r="C921" s="21"/>
      <c r="D921" s="21"/>
      <c r="E921" s="21"/>
      <c r="F921" s="21"/>
      <c r="G921" s="21"/>
      <c r="H921" s="27"/>
      <c r="I921" s="21"/>
      <c r="J921" s="21"/>
      <c r="K921" s="21"/>
      <c r="L921" s="21"/>
      <c r="M921" s="21"/>
      <c r="N921" s="34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spans="1:28" ht="39.75" customHeight="1" x14ac:dyDescent="0.2">
      <c r="A922" s="19"/>
      <c r="B922" s="21"/>
      <c r="C922" s="21"/>
      <c r="D922" s="21"/>
      <c r="E922" s="21"/>
      <c r="F922" s="21"/>
      <c r="G922" s="21"/>
      <c r="H922" s="27"/>
      <c r="I922" s="21"/>
      <c r="J922" s="21"/>
      <c r="K922" s="21"/>
      <c r="L922" s="21"/>
      <c r="M922" s="21"/>
      <c r="N922" s="34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spans="1:28" ht="39.75" customHeight="1" x14ac:dyDescent="0.2">
      <c r="A923" s="19"/>
      <c r="B923" s="21"/>
      <c r="C923" s="21"/>
      <c r="D923" s="21"/>
      <c r="E923" s="21"/>
      <c r="F923" s="21"/>
      <c r="G923" s="21"/>
      <c r="H923" s="27"/>
      <c r="I923" s="21"/>
      <c r="J923" s="21"/>
      <c r="K923" s="21"/>
      <c r="L923" s="21"/>
      <c r="M923" s="21"/>
      <c r="N923" s="34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spans="1:28" ht="39.75" customHeight="1" x14ac:dyDescent="0.2">
      <c r="A924" s="19"/>
      <c r="B924" s="21"/>
      <c r="C924" s="21"/>
      <c r="D924" s="21"/>
      <c r="E924" s="21"/>
      <c r="F924" s="21"/>
      <c r="G924" s="21"/>
      <c r="H924" s="27"/>
      <c r="I924" s="21"/>
      <c r="J924" s="21"/>
      <c r="K924" s="21"/>
      <c r="L924" s="21"/>
      <c r="M924" s="21"/>
      <c r="N924" s="34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spans="1:28" ht="39.75" customHeight="1" x14ac:dyDescent="0.2">
      <c r="A925" s="19"/>
      <c r="B925" s="21"/>
      <c r="C925" s="21"/>
      <c r="D925" s="21"/>
      <c r="E925" s="21"/>
      <c r="F925" s="21"/>
      <c r="G925" s="21"/>
      <c r="H925" s="27"/>
      <c r="I925" s="21"/>
      <c r="J925" s="21"/>
      <c r="K925" s="21"/>
      <c r="L925" s="21"/>
      <c r="M925" s="21"/>
      <c r="N925" s="34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spans="1:28" ht="39.75" customHeight="1" x14ac:dyDescent="0.2">
      <c r="A926" s="19"/>
      <c r="B926" s="21"/>
      <c r="C926" s="21"/>
      <c r="D926" s="21"/>
      <c r="E926" s="21"/>
      <c r="F926" s="21"/>
      <c r="G926" s="21"/>
      <c r="H926" s="27"/>
      <c r="I926" s="21"/>
      <c r="J926" s="21"/>
      <c r="K926" s="21"/>
      <c r="L926" s="21"/>
      <c r="M926" s="21"/>
      <c r="N926" s="34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spans="1:28" ht="39.75" customHeight="1" x14ac:dyDescent="0.2">
      <c r="A927" s="19"/>
      <c r="B927" s="21"/>
      <c r="C927" s="21"/>
      <c r="D927" s="21"/>
      <c r="E927" s="21"/>
      <c r="F927" s="21"/>
      <c r="G927" s="21"/>
      <c r="H927" s="27"/>
      <c r="I927" s="21"/>
      <c r="J927" s="21"/>
      <c r="K927" s="21"/>
      <c r="L927" s="21"/>
      <c r="M927" s="21"/>
      <c r="N927" s="34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spans="1:28" ht="39.75" customHeight="1" x14ac:dyDescent="0.2">
      <c r="A928" s="19"/>
      <c r="B928" s="21"/>
      <c r="C928" s="21"/>
      <c r="D928" s="21"/>
      <c r="E928" s="21"/>
      <c r="F928" s="21"/>
      <c r="G928" s="21"/>
      <c r="H928" s="27"/>
      <c r="I928" s="21"/>
      <c r="J928" s="21"/>
      <c r="K928" s="21"/>
      <c r="L928" s="21"/>
      <c r="M928" s="21"/>
      <c r="N928" s="34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spans="1:28" ht="39.75" customHeight="1" x14ac:dyDescent="0.2">
      <c r="A929" s="19"/>
      <c r="B929" s="21"/>
      <c r="C929" s="21"/>
      <c r="D929" s="21"/>
      <c r="E929" s="21"/>
      <c r="F929" s="21"/>
      <c r="G929" s="21"/>
      <c r="H929" s="27"/>
      <c r="I929" s="21"/>
      <c r="J929" s="21"/>
      <c r="K929" s="21"/>
      <c r="L929" s="21"/>
      <c r="M929" s="21"/>
      <c r="N929" s="34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spans="1:28" ht="39.75" customHeight="1" x14ac:dyDescent="0.2">
      <c r="A930" s="19"/>
      <c r="B930" s="21"/>
      <c r="C930" s="21"/>
      <c r="D930" s="21"/>
      <c r="E930" s="21"/>
      <c r="F930" s="21"/>
      <c r="G930" s="21"/>
      <c r="H930" s="27"/>
      <c r="I930" s="21"/>
      <c r="J930" s="21"/>
      <c r="K930" s="21"/>
      <c r="L930" s="21"/>
      <c r="M930" s="21"/>
      <c r="N930" s="34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spans="1:28" ht="39.75" customHeight="1" x14ac:dyDescent="0.2">
      <c r="A931" s="19"/>
      <c r="B931" s="21"/>
      <c r="C931" s="21"/>
      <c r="D931" s="21"/>
      <c r="E931" s="21"/>
      <c r="F931" s="21"/>
      <c r="G931" s="21"/>
      <c r="H931" s="27"/>
      <c r="I931" s="21"/>
      <c r="J931" s="21"/>
      <c r="K931" s="21"/>
      <c r="L931" s="21"/>
      <c r="M931" s="21"/>
      <c r="N931" s="34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spans="1:28" ht="39.75" customHeight="1" x14ac:dyDescent="0.2">
      <c r="A932" s="19"/>
      <c r="B932" s="21"/>
      <c r="C932" s="21"/>
      <c r="D932" s="21"/>
      <c r="E932" s="21"/>
      <c r="F932" s="21"/>
      <c r="G932" s="21"/>
      <c r="H932" s="27"/>
      <c r="I932" s="21"/>
      <c r="J932" s="21"/>
      <c r="K932" s="21"/>
      <c r="L932" s="21"/>
      <c r="M932" s="21"/>
      <c r="N932" s="34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spans="1:28" ht="39.75" customHeight="1" x14ac:dyDescent="0.2">
      <c r="A933" s="19"/>
      <c r="B933" s="21"/>
      <c r="C933" s="21"/>
      <c r="D933" s="21"/>
      <c r="E933" s="21"/>
      <c r="F933" s="21"/>
      <c r="G933" s="21"/>
      <c r="H933" s="27"/>
      <c r="I933" s="21"/>
      <c r="J933" s="21"/>
      <c r="K933" s="21"/>
      <c r="L933" s="21"/>
      <c r="M933" s="21"/>
      <c r="N933" s="34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spans="1:28" ht="39.75" customHeight="1" x14ac:dyDescent="0.2">
      <c r="A934" s="19"/>
      <c r="B934" s="21"/>
      <c r="C934" s="21"/>
      <c r="D934" s="21"/>
      <c r="E934" s="21"/>
      <c r="F934" s="21"/>
      <c r="G934" s="21"/>
      <c r="H934" s="27"/>
      <c r="I934" s="21"/>
      <c r="J934" s="21"/>
      <c r="K934" s="21"/>
      <c r="L934" s="21"/>
      <c r="M934" s="21"/>
      <c r="N934" s="34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spans="1:28" ht="39.75" customHeight="1" x14ac:dyDescent="0.2">
      <c r="A935" s="19"/>
      <c r="B935" s="21"/>
      <c r="C935" s="21"/>
      <c r="D935" s="21"/>
      <c r="E935" s="21"/>
      <c r="F935" s="21"/>
      <c r="G935" s="21"/>
      <c r="H935" s="27"/>
      <c r="I935" s="21"/>
      <c r="J935" s="21"/>
      <c r="K935" s="21"/>
      <c r="L935" s="21"/>
      <c r="M935" s="21"/>
      <c r="N935" s="34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spans="1:28" ht="39.75" customHeight="1" x14ac:dyDescent="0.2">
      <c r="A936" s="19"/>
      <c r="B936" s="21"/>
      <c r="C936" s="21"/>
      <c r="D936" s="21"/>
      <c r="E936" s="21"/>
      <c r="F936" s="21"/>
      <c r="G936" s="21"/>
      <c r="H936" s="27"/>
      <c r="I936" s="21"/>
      <c r="J936" s="21"/>
      <c r="K936" s="21"/>
      <c r="L936" s="21"/>
      <c r="M936" s="21"/>
      <c r="N936" s="34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spans="1:28" ht="39.75" customHeight="1" x14ac:dyDescent="0.2">
      <c r="A937" s="19"/>
      <c r="B937" s="21"/>
      <c r="C937" s="21"/>
      <c r="D937" s="21"/>
      <c r="E937" s="21"/>
      <c r="F937" s="21"/>
      <c r="G937" s="21"/>
      <c r="H937" s="27"/>
      <c r="I937" s="21"/>
      <c r="J937" s="21"/>
      <c r="K937" s="21"/>
      <c r="L937" s="21"/>
      <c r="M937" s="21"/>
      <c r="N937" s="34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spans="1:28" ht="39.75" customHeight="1" x14ac:dyDescent="0.2">
      <c r="A938" s="19"/>
      <c r="B938" s="21"/>
      <c r="C938" s="21"/>
      <c r="D938" s="21"/>
      <c r="E938" s="21"/>
      <c r="F938" s="21"/>
      <c r="G938" s="21"/>
      <c r="H938" s="27"/>
      <c r="I938" s="21"/>
      <c r="J938" s="21"/>
      <c r="K938" s="21"/>
      <c r="L938" s="21"/>
      <c r="M938" s="21"/>
      <c r="N938" s="34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spans="1:28" ht="39.75" customHeight="1" x14ac:dyDescent="0.2">
      <c r="A939" s="19"/>
      <c r="B939" s="21"/>
      <c r="C939" s="21"/>
      <c r="D939" s="21"/>
      <c r="E939" s="21"/>
      <c r="F939" s="21"/>
      <c r="G939" s="21"/>
      <c r="H939" s="27"/>
      <c r="I939" s="21"/>
      <c r="J939" s="21"/>
      <c r="K939" s="21"/>
      <c r="L939" s="21"/>
      <c r="M939" s="21"/>
      <c r="N939" s="34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spans="1:28" ht="39.75" customHeight="1" x14ac:dyDescent="0.2">
      <c r="A940" s="19"/>
      <c r="B940" s="21"/>
      <c r="C940" s="21"/>
      <c r="D940" s="21"/>
      <c r="E940" s="21"/>
      <c r="F940" s="21"/>
      <c r="G940" s="21"/>
      <c r="H940" s="27"/>
      <c r="I940" s="21"/>
      <c r="J940" s="21"/>
      <c r="K940" s="21"/>
      <c r="L940" s="21"/>
      <c r="M940" s="21"/>
      <c r="N940" s="34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spans="1:28" ht="39.75" customHeight="1" x14ac:dyDescent="0.2">
      <c r="A941" s="19"/>
      <c r="B941" s="21"/>
      <c r="C941" s="21"/>
      <c r="D941" s="21"/>
      <c r="E941" s="21"/>
      <c r="F941" s="21"/>
      <c r="G941" s="21"/>
      <c r="H941" s="27"/>
      <c r="I941" s="21"/>
      <c r="J941" s="21"/>
      <c r="K941" s="21"/>
      <c r="L941" s="21"/>
      <c r="M941" s="21"/>
      <c r="N941" s="34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spans="1:28" ht="39.75" customHeight="1" x14ac:dyDescent="0.2">
      <c r="A942" s="19"/>
      <c r="B942" s="21"/>
      <c r="C942" s="21"/>
      <c r="D942" s="21"/>
      <c r="E942" s="21"/>
      <c r="F942" s="21"/>
      <c r="G942" s="21"/>
      <c r="H942" s="27"/>
      <c r="I942" s="21"/>
      <c r="J942" s="21"/>
      <c r="K942" s="21"/>
      <c r="L942" s="21"/>
      <c r="M942" s="21"/>
      <c r="N942" s="34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spans="1:28" ht="39.75" customHeight="1" x14ac:dyDescent="0.2">
      <c r="A943" s="19"/>
      <c r="B943" s="21"/>
      <c r="C943" s="21"/>
      <c r="D943" s="21"/>
      <c r="E943" s="21"/>
      <c r="F943" s="21"/>
      <c r="G943" s="21"/>
      <c r="H943" s="27"/>
      <c r="I943" s="21"/>
      <c r="J943" s="21"/>
      <c r="K943" s="21"/>
      <c r="L943" s="21"/>
      <c r="M943" s="21"/>
      <c r="N943" s="34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spans="1:28" ht="39.75" customHeight="1" x14ac:dyDescent="0.2">
      <c r="A944" s="19"/>
      <c r="B944" s="21"/>
      <c r="C944" s="21"/>
      <c r="D944" s="21"/>
      <c r="E944" s="21"/>
      <c r="F944" s="21"/>
      <c r="G944" s="21"/>
      <c r="H944" s="27"/>
      <c r="I944" s="21"/>
      <c r="J944" s="21"/>
      <c r="K944" s="21"/>
      <c r="L944" s="21"/>
      <c r="M944" s="21"/>
      <c r="N944" s="34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spans="1:28" ht="39.75" customHeight="1" x14ac:dyDescent="0.2">
      <c r="A945" s="19"/>
      <c r="B945" s="21"/>
      <c r="C945" s="21"/>
      <c r="D945" s="21"/>
      <c r="E945" s="21"/>
      <c r="F945" s="21"/>
      <c r="G945" s="21"/>
      <c r="H945" s="27"/>
      <c r="I945" s="21"/>
      <c r="J945" s="21"/>
      <c r="K945" s="21"/>
      <c r="L945" s="21"/>
      <c r="M945" s="21"/>
      <c r="N945" s="34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spans="1:28" ht="39.75" customHeight="1" x14ac:dyDescent="0.2">
      <c r="A946" s="19"/>
      <c r="B946" s="21"/>
      <c r="C946" s="21"/>
      <c r="D946" s="21"/>
      <c r="E946" s="21"/>
      <c r="F946" s="21"/>
      <c r="G946" s="21"/>
      <c r="H946" s="27"/>
      <c r="I946" s="21"/>
      <c r="J946" s="21"/>
      <c r="K946" s="21"/>
      <c r="L946" s="21"/>
      <c r="M946" s="21"/>
      <c r="N946" s="34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spans="1:28" ht="39.75" customHeight="1" x14ac:dyDescent="0.2">
      <c r="A947" s="19"/>
      <c r="B947" s="21"/>
      <c r="C947" s="21"/>
      <c r="D947" s="21"/>
      <c r="E947" s="21"/>
      <c r="F947" s="21"/>
      <c r="G947" s="21"/>
      <c r="H947" s="27"/>
      <c r="I947" s="21"/>
      <c r="J947" s="21"/>
      <c r="K947" s="21"/>
      <c r="L947" s="21"/>
      <c r="M947" s="21"/>
      <c r="N947" s="34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spans="1:28" ht="39.75" customHeight="1" x14ac:dyDescent="0.2">
      <c r="A948" s="19"/>
      <c r="B948" s="21"/>
      <c r="C948" s="21"/>
      <c r="D948" s="21"/>
      <c r="E948" s="21"/>
      <c r="F948" s="21"/>
      <c r="G948" s="21"/>
      <c r="H948" s="27"/>
      <c r="I948" s="21"/>
      <c r="J948" s="21"/>
      <c r="K948" s="21"/>
      <c r="L948" s="21"/>
      <c r="M948" s="21"/>
      <c r="N948" s="34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spans="1:28" ht="39.75" customHeight="1" x14ac:dyDescent="0.2">
      <c r="A949" s="19"/>
      <c r="B949" s="21"/>
      <c r="C949" s="21"/>
      <c r="D949" s="21"/>
      <c r="E949" s="21"/>
      <c r="F949" s="21"/>
      <c r="G949" s="21"/>
      <c r="H949" s="27"/>
      <c r="I949" s="21"/>
      <c r="J949" s="21"/>
      <c r="K949" s="21"/>
      <c r="L949" s="21"/>
      <c r="M949" s="21"/>
      <c r="N949" s="34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spans="1:28" ht="39.75" customHeight="1" x14ac:dyDescent="0.2">
      <c r="A950" s="19"/>
      <c r="B950" s="21"/>
      <c r="C950" s="21"/>
      <c r="D950" s="21"/>
      <c r="E950" s="21"/>
      <c r="F950" s="21"/>
      <c r="G950" s="21"/>
      <c r="H950" s="27"/>
      <c r="I950" s="21"/>
      <c r="J950" s="21"/>
      <c r="K950" s="21"/>
      <c r="L950" s="21"/>
      <c r="M950" s="21"/>
      <c r="N950" s="34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spans="1:28" ht="39.75" customHeight="1" x14ac:dyDescent="0.2">
      <c r="A951" s="19"/>
      <c r="B951" s="21"/>
      <c r="C951" s="21"/>
      <c r="D951" s="21"/>
      <c r="E951" s="21"/>
      <c r="F951" s="21"/>
      <c r="G951" s="21"/>
      <c r="H951" s="27"/>
      <c r="I951" s="21"/>
      <c r="J951" s="21"/>
      <c r="K951" s="21"/>
      <c r="L951" s="21"/>
      <c r="M951" s="21"/>
      <c r="N951" s="34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spans="1:28" ht="39.75" customHeight="1" x14ac:dyDescent="0.2">
      <c r="A952" s="19"/>
      <c r="B952" s="21"/>
      <c r="C952" s="21"/>
      <c r="D952" s="21"/>
      <c r="E952" s="21"/>
      <c r="F952" s="21"/>
      <c r="G952" s="21"/>
      <c r="H952" s="27"/>
      <c r="I952" s="21"/>
      <c r="J952" s="21"/>
      <c r="K952" s="21"/>
      <c r="L952" s="21"/>
      <c r="M952" s="21"/>
      <c r="N952" s="34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spans="1:28" ht="39.75" customHeight="1" x14ac:dyDescent="0.2">
      <c r="A953" s="19"/>
      <c r="B953" s="21"/>
      <c r="C953" s="21"/>
      <c r="D953" s="21"/>
      <c r="E953" s="21"/>
      <c r="F953" s="21"/>
      <c r="G953" s="21"/>
      <c r="H953" s="27"/>
      <c r="I953" s="21"/>
      <c r="J953" s="21"/>
      <c r="K953" s="21"/>
      <c r="L953" s="21"/>
      <c r="M953" s="21"/>
      <c r="N953" s="34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spans="1:28" ht="39.75" customHeight="1" x14ac:dyDescent="0.2">
      <c r="A954" s="19"/>
      <c r="B954" s="21"/>
      <c r="C954" s="21"/>
      <c r="D954" s="21"/>
      <c r="E954" s="21"/>
      <c r="F954" s="21"/>
      <c r="G954" s="21"/>
      <c r="H954" s="27"/>
      <c r="I954" s="21"/>
      <c r="J954" s="21"/>
      <c r="K954" s="21"/>
      <c r="L954" s="21"/>
      <c r="M954" s="21"/>
      <c r="N954" s="34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spans="1:28" ht="39.75" customHeight="1" x14ac:dyDescent="0.2">
      <c r="A955" s="19"/>
      <c r="B955" s="21"/>
      <c r="C955" s="21"/>
      <c r="D955" s="21"/>
      <c r="E955" s="21"/>
      <c r="F955" s="21"/>
      <c r="G955" s="21"/>
      <c r="H955" s="27"/>
      <c r="I955" s="21"/>
      <c r="J955" s="21"/>
      <c r="K955" s="21"/>
      <c r="L955" s="21"/>
      <c r="M955" s="21"/>
      <c r="N955" s="34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spans="1:28" ht="39.75" customHeight="1" x14ac:dyDescent="0.2">
      <c r="A956" s="19"/>
      <c r="B956" s="21"/>
      <c r="C956" s="21"/>
      <c r="D956" s="21"/>
      <c r="E956" s="21"/>
      <c r="F956" s="21"/>
      <c r="G956" s="21"/>
      <c r="H956" s="27"/>
      <c r="I956" s="21"/>
      <c r="J956" s="21"/>
      <c r="K956" s="21"/>
      <c r="L956" s="21"/>
      <c r="M956" s="21"/>
      <c r="N956" s="34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spans="1:28" ht="39.75" customHeight="1" x14ac:dyDescent="0.2">
      <c r="A957" s="19"/>
      <c r="B957" s="21"/>
      <c r="C957" s="21"/>
      <c r="D957" s="21"/>
      <c r="E957" s="21"/>
      <c r="F957" s="21"/>
      <c r="G957" s="21"/>
      <c r="H957" s="27"/>
      <c r="I957" s="21"/>
      <c r="J957" s="21"/>
      <c r="K957" s="21"/>
      <c r="L957" s="21"/>
      <c r="M957" s="21"/>
      <c r="N957" s="34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spans="1:28" ht="39.75" customHeight="1" x14ac:dyDescent="0.2">
      <c r="A958" s="19"/>
      <c r="B958" s="21"/>
      <c r="C958" s="21"/>
      <c r="D958" s="21"/>
      <c r="E958" s="21"/>
      <c r="F958" s="21"/>
      <c r="G958" s="21"/>
      <c r="H958" s="27"/>
      <c r="I958" s="21"/>
      <c r="J958" s="21"/>
      <c r="K958" s="21"/>
      <c r="L958" s="21"/>
      <c r="M958" s="21"/>
      <c r="N958" s="34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spans="1:28" ht="39.75" customHeight="1" x14ac:dyDescent="0.2">
      <c r="A959" s="19"/>
      <c r="B959" s="21"/>
      <c r="C959" s="21"/>
      <c r="D959" s="21"/>
      <c r="E959" s="21"/>
      <c r="F959" s="21"/>
      <c r="G959" s="21"/>
      <c r="H959" s="27"/>
      <c r="I959" s="21"/>
      <c r="J959" s="21"/>
      <c r="K959" s="21"/>
      <c r="L959" s="21"/>
      <c r="M959" s="21"/>
      <c r="N959" s="34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spans="1:28" ht="39.75" customHeight="1" x14ac:dyDescent="0.2">
      <c r="A960" s="19"/>
      <c r="B960" s="21"/>
      <c r="C960" s="21"/>
      <c r="D960" s="21"/>
      <c r="E960" s="21"/>
      <c r="F960" s="21"/>
      <c r="G960" s="21"/>
      <c r="H960" s="27"/>
      <c r="I960" s="21"/>
      <c r="J960" s="21"/>
      <c r="K960" s="21"/>
      <c r="L960" s="21"/>
      <c r="M960" s="21"/>
      <c r="N960" s="34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spans="1:28" ht="39.75" customHeight="1" x14ac:dyDescent="0.2">
      <c r="A961" s="19"/>
      <c r="B961" s="21"/>
      <c r="C961" s="21"/>
      <c r="D961" s="21"/>
      <c r="E961" s="21"/>
      <c r="F961" s="21"/>
      <c r="G961" s="21"/>
      <c r="H961" s="27"/>
      <c r="I961" s="21"/>
      <c r="J961" s="21"/>
      <c r="K961" s="21"/>
      <c r="L961" s="21"/>
      <c r="M961" s="21"/>
      <c r="N961" s="34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spans="1:28" ht="39.75" customHeight="1" x14ac:dyDescent="0.2">
      <c r="A962" s="19"/>
      <c r="B962" s="21"/>
      <c r="C962" s="21"/>
      <c r="D962" s="21"/>
      <c r="E962" s="21"/>
      <c r="F962" s="21"/>
      <c r="G962" s="21"/>
      <c r="H962" s="27"/>
      <c r="I962" s="21"/>
      <c r="J962" s="21"/>
      <c r="K962" s="21"/>
      <c r="L962" s="21"/>
      <c r="M962" s="21"/>
      <c r="N962" s="34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spans="1:28" ht="39.75" customHeight="1" x14ac:dyDescent="0.2">
      <c r="A963" s="19"/>
      <c r="B963" s="21"/>
      <c r="C963" s="21"/>
      <c r="D963" s="21"/>
      <c r="E963" s="21"/>
      <c r="F963" s="21"/>
      <c r="G963" s="21"/>
      <c r="H963" s="27"/>
      <c r="I963" s="21"/>
      <c r="J963" s="21"/>
      <c r="K963" s="21"/>
      <c r="L963" s="21"/>
      <c r="M963" s="21"/>
      <c r="N963" s="34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spans="1:28" ht="39.75" customHeight="1" x14ac:dyDescent="0.2">
      <c r="A964" s="19"/>
      <c r="B964" s="21"/>
      <c r="C964" s="21"/>
      <c r="D964" s="21"/>
      <c r="E964" s="21"/>
      <c r="F964" s="21"/>
      <c r="G964" s="21"/>
      <c r="H964" s="27"/>
      <c r="I964" s="21"/>
      <c r="J964" s="21"/>
      <c r="K964" s="21"/>
      <c r="L964" s="21"/>
      <c r="M964" s="21"/>
      <c r="N964" s="34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spans="1:28" ht="39.75" customHeight="1" x14ac:dyDescent="0.2">
      <c r="A965" s="19"/>
      <c r="B965" s="21"/>
      <c r="C965" s="21"/>
      <c r="D965" s="21"/>
      <c r="E965" s="21"/>
      <c r="F965" s="21"/>
      <c r="G965" s="21"/>
      <c r="H965" s="27"/>
      <c r="I965" s="21"/>
      <c r="J965" s="21"/>
      <c r="K965" s="21"/>
      <c r="L965" s="21"/>
      <c r="M965" s="21"/>
      <c r="N965" s="34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spans="1:28" ht="39.75" customHeight="1" x14ac:dyDescent="0.2">
      <c r="A966" s="19"/>
      <c r="B966" s="21"/>
      <c r="C966" s="21"/>
      <c r="D966" s="21"/>
      <c r="E966" s="21"/>
      <c r="F966" s="21"/>
      <c r="G966" s="21"/>
      <c r="H966" s="27"/>
      <c r="I966" s="21"/>
      <c r="J966" s="21"/>
      <c r="K966" s="21"/>
      <c r="L966" s="21"/>
      <c r="M966" s="21"/>
      <c r="N966" s="34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spans="1:28" ht="39.75" customHeight="1" x14ac:dyDescent="0.2">
      <c r="A967" s="19"/>
      <c r="B967" s="21"/>
      <c r="C967" s="21"/>
      <c r="D967" s="21"/>
      <c r="E967" s="21"/>
      <c r="F967" s="21"/>
      <c r="G967" s="21"/>
      <c r="H967" s="27"/>
      <c r="I967" s="21"/>
      <c r="J967" s="21"/>
      <c r="K967" s="21"/>
      <c r="L967" s="21"/>
      <c r="M967" s="21"/>
      <c r="N967" s="34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spans="1:28" ht="39.75" customHeight="1" x14ac:dyDescent="0.2">
      <c r="A968" s="19"/>
      <c r="B968" s="21"/>
      <c r="C968" s="21"/>
      <c r="D968" s="21"/>
      <c r="E968" s="21"/>
      <c r="F968" s="21"/>
      <c r="G968" s="21"/>
      <c r="H968" s="27"/>
      <c r="I968" s="21"/>
      <c r="J968" s="21"/>
      <c r="K968" s="21"/>
      <c r="L968" s="21"/>
      <c r="M968" s="21"/>
      <c r="N968" s="34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spans="1:28" ht="39.75" customHeight="1" x14ac:dyDescent="0.2">
      <c r="A969" s="19"/>
      <c r="B969" s="21"/>
      <c r="C969" s="21"/>
      <c r="D969" s="21"/>
      <c r="E969" s="21"/>
      <c r="F969" s="21"/>
      <c r="G969" s="21"/>
      <c r="H969" s="27"/>
      <c r="I969" s="21"/>
      <c r="J969" s="21"/>
      <c r="K969" s="21"/>
      <c r="L969" s="21"/>
      <c r="M969" s="21"/>
      <c r="N969" s="34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spans="1:28" ht="39.75" customHeight="1" x14ac:dyDescent="0.2">
      <c r="A970" s="19"/>
      <c r="B970" s="21"/>
      <c r="C970" s="21"/>
      <c r="D970" s="21"/>
      <c r="E970" s="21"/>
      <c r="F970" s="21"/>
      <c r="G970" s="21"/>
      <c r="H970" s="27"/>
      <c r="I970" s="21"/>
      <c r="J970" s="21"/>
      <c r="K970" s="21"/>
      <c r="L970" s="21"/>
      <c r="M970" s="21"/>
      <c r="N970" s="34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spans="1:28" ht="39.75" customHeight="1" x14ac:dyDescent="0.2">
      <c r="A971" s="19"/>
      <c r="B971" s="21"/>
      <c r="C971" s="21"/>
      <c r="D971" s="21"/>
      <c r="E971" s="21"/>
      <c r="F971" s="21"/>
      <c r="G971" s="21"/>
      <c r="H971" s="27"/>
      <c r="I971" s="21"/>
      <c r="J971" s="21"/>
      <c r="K971" s="21"/>
      <c r="L971" s="21"/>
      <c r="M971" s="21"/>
      <c r="N971" s="34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spans="1:28" ht="39.75" customHeight="1" x14ac:dyDescent="0.2">
      <c r="A972" s="19"/>
      <c r="B972" s="21"/>
      <c r="C972" s="21"/>
      <c r="D972" s="21"/>
      <c r="E972" s="21"/>
      <c r="F972" s="21"/>
      <c r="G972" s="21"/>
      <c r="H972" s="27"/>
      <c r="I972" s="21"/>
      <c r="J972" s="21"/>
      <c r="K972" s="21"/>
      <c r="L972" s="21"/>
      <c r="M972" s="21"/>
      <c r="N972" s="34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spans="1:28" ht="39.75" customHeight="1" x14ac:dyDescent="0.2">
      <c r="A973" s="19"/>
      <c r="B973" s="21"/>
      <c r="C973" s="21"/>
      <c r="D973" s="21"/>
      <c r="E973" s="21"/>
      <c r="F973" s="21"/>
      <c r="G973" s="21"/>
      <c r="H973" s="27"/>
      <c r="I973" s="21"/>
      <c r="J973" s="21"/>
      <c r="K973" s="21"/>
      <c r="L973" s="21"/>
      <c r="M973" s="21"/>
      <c r="N973" s="34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spans="1:28" ht="39.75" customHeight="1" x14ac:dyDescent="0.2">
      <c r="A974" s="19"/>
      <c r="B974" s="21"/>
      <c r="C974" s="21"/>
      <c r="D974" s="21"/>
      <c r="E974" s="21"/>
      <c r="F974" s="21"/>
      <c r="G974" s="21"/>
      <c r="H974" s="27"/>
      <c r="I974" s="21"/>
      <c r="J974" s="21"/>
      <c r="K974" s="21"/>
      <c r="L974" s="21"/>
      <c r="M974" s="21"/>
      <c r="N974" s="34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spans="1:28" ht="39.75" customHeight="1" x14ac:dyDescent="0.2">
      <c r="A975" s="19"/>
      <c r="B975" s="21"/>
      <c r="C975" s="21"/>
      <c r="D975" s="21"/>
      <c r="E975" s="21"/>
      <c r="F975" s="21"/>
      <c r="G975" s="21"/>
      <c r="H975" s="27"/>
      <c r="I975" s="21"/>
      <c r="J975" s="21"/>
      <c r="K975" s="21"/>
      <c r="L975" s="21"/>
      <c r="M975" s="21"/>
      <c r="N975" s="34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spans="1:28" ht="39.75" customHeight="1" x14ac:dyDescent="0.2">
      <c r="A976" s="19"/>
      <c r="B976" s="21"/>
      <c r="C976" s="21"/>
      <c r="D976" s="21"/>
      <c r="E976" s="21"/>
      <c r="F976" s="21"/>
      <c r="G976" s="21"/>
      <c r="H976" s="27"/>
      <c r="I976" s="21"/>
      <c r="J976" s="21"/>
      <c r="K976" s="21"/>
      <c r="L976" s="21"/>
      <c r="M976" s="21"/>
      <c r="N976" s="34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spans="1:28" ht="39.75" customHeight="1" x14ac:dyDescent="0.2">
      <c r="A977" s="19"/>
      <c r="B977" s="21"/>
      <c r="C977" s="21"/>
      <c r="D977" s="21"/>
      <c r="E977" s="21"/>
      <c r="F977" s="21"/>
      <c r="G977" s="21"/>
      <c r="H977" s="27"/>
      <c r="I977" s="21"/>
      <c r="J977" s="21"/>
      <c r="K977" s="21"/>
      <c r="L977" s="21"/>
      <c r="M977" s="21"/>
      <c r="N977" s="34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spans="1:28" ht="39.75" customHeight="1" x14ac:dyDescent="0.2">
      <c r="A978" s="19"/>
      <c r="B978" s="21"/>
      <c r="C978" s="21"/>
      <c r="D978" s="21"/>
      <c r="E978" s="21"/>
      <c r="F978" s="21"/>
      <c r="G978" s="21"/>
      <c r="H978" s="27"/>
      <c r="I978" s="21"/>
      <c r="J978" s="21"/>
      <c r="K978" s="21"/>
      <c r="L978" s="21"/>
      <c r="M978" s="21"/>
      <c r="N978" s="34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spans="1:28" ht="39.75" customHeight="1" x14ac:dyDescent="0.2">
      <c r="A979" s="19"/>
      <c r="B979" s="21"/>
      <c r="C979" s="21"/>
      <c r="D979" s="21"/>
      <c r="E979" s="21"/>
      <c r="F979" s="21"/>
      <c r="G979" s="21"/>
      <c r="H979" s="27"/>
      <c r="I979" s="21"/>
      <c r="J979" s="21"/>
      <c r="K979" s="21"/>
      <c r="L979" s="21"/>
      <c r="M979" s="21"/>
      <c r="N979" s="34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spans="1:28" ht="39.75" customHeight="1" x14ac:dyDescent="0.2">
      <c r="A980" s="19"/>
      <c r="B980" s="21"/>
      <c r="C980" s="21"/>
      <c r="D980" s="21"/>
      <c r="E980" s="21"/>
      <c r="F980" s="21"/>
      <c r="G980" s="21"/>
      <c r="H980" s="27"/>
      <c r="I980" s="21"/>
      <c r="J980" s="21"/>
      <c r="K980" s="21"/>
      <c r="L980" s="21"/>
      <c r="M980" s="21"/>
      <c r="N980" s="34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spans="1:28" ht="39.75" customHeight="1" x14ac:dyDescent="0.2">
      <c r="A981" s="19"/>
      <c r="B981" s="21"/>
      <c r="C981" s="21"/>
      <c r="D981" s="21"/>
      <c r="E981" s="21"/>
      <c r="F981" s="21"/>
      <c r="G981" s="21"/>
      <c r="H981" s="27"/>
      <c r="I981" s="21"/>
      <c r="J981" s="21"/>
      <c r="K981" s="21"/>
      <c r="L981" s="21"/>
      <c r="M981" s="21"/>
      <c r="N981" s="34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spans="1:28" ht="39.75" customHeight="1" x14ac:dyDescent="0.2">
      <c r="A982" s="19"/>
      <c r="B982" s="21"/>
      <c r="C982" s="21"/>
      <c r="D982" s="21"/>
      <c r="E982" s="21"/>
      <c r="F982" s="21"/>
      <c r="G982" s="21"/>
      <c r="H982" s="27"/>
      <c r="I982" s="21"/>
      <c r="J982" s="21"/>
      <c r="K982" s="21"/>
      <c r="L982" s="21"/>
      <c r="M982" s="21"/>
      <c r="N982" s="34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spans="1:28" ht="39.75" customHeight="1" x14ac:dyDescent="0.2">
      <c r="A983" s="19"/>
      <c r="B983" s="21"/>
      <c r="C983" s="21"/>
      <c r="D983" s="21"/>
      <c r="E983" s="21"/>
      <c r="F983" s="21"/>
      <c r="G983" s="21"/>
      <c r="H983" s="27"/>
      <c r="I983" s="21"/>
      <c r="J983" s="21"/>
      <c r="K983" s="21"/>
      <c r="L983" s="21"/>
      <c r="M983" s="21"/>
      <c r="N983" s="34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spans="1:28" ht="39.75" customHeight="1" x14ac:dyDescent="0.2">
      <c r="A984" s="19"/>
      <c r="B984" s="21"/>
      <c r="C984" s="21"/>
      <c r="D984" s="21"/>
      <c r="E984" s="21"/>
      <c r="F984" s="21"/>
      <c r="G984" s="21"/>
      <c r="H984" s="27"/>
      <c r="I984" s="21"/>
      <c r="J984" s="21"/>
      <c r="K984" s="21"/>
      <c r="L984" s="21"/>
      <c r="M984" s="21"/>
      <c r="N984" s="34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spans="1:28" ht="39.75" customHeight="1" x14ac:dyDescent="0.2">
      <c r="A985" s="19"/>
      <c r="B985" s="21"/>
      <c r="C985" s="21"/>
      <c r="D985" s="21"/>
      <c r="E985" s="21"/>
      <c r="F985" s="21"/>
      <c r="G985" s="21"/>
      <c r="H985" s="27"/>
      <c r="I985" s="21"/>
      <c r="J985" s="21"/>
      <c r="K985" s="21"/>
      <c r="L985" s="21"/>
      <c r="M985" s="21"/>
      <c r="N985" s="34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spans="1:28" ht="39.75" customHeight="1" x14ac:dyDescent="0.2">
      <c r="A986" s="19"/>
      <c r="B986" s="21"/>
      <c r="C986" s="21"/>
      <c r="D986" s="21"/>
      <c r="E986" s="21"/>
      <c r="F986" s="21"/>
      <c r="G986" s="21"/>
      <c r="H986" s="27"/>
      <c r="I986" s="21"/>
      <c r="J986" s="21"/>
      <c r="K986" s="21"/>
      <c r="L986" s="21"/>
      <c r="M986" s="21"/>
      <c r="N986" s="34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spans="1:28" ht="39.75" customHeight="1" x14ac:dyDescent="0.2">
      <c r="A987" s="19"/>
      <c r="B987" s="21"/>
      <c r="C987" s="21"/>
      <c r="D987" s="21"/>
      <c r="E987" s="21"/>
      <c r="F987" s="21"/>
      <c r="G987" s="21"/>
      <c r="H987" s="27"/>
      <c r="I987" s="21"/>
      <c r="J987" s="21"/>
      <c r="K987" s="21"/>
      <c r="L987" s="21"/>
      <c r="M987" s="21"/>
      <c r="N987" s="34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spans="1:28" ht="39.75" customHeight="1" x14ac:dyDescent="0.2">
      <c r="A988" s="19"/>
      <c r="B988" s="21"/>
      <c r="C988" s="21"/>
      <c r="D988" s="21"/>
      <c r="E988" s="21"/>
      <c r="F988" s="21"/>
      <c r="G988" s="21"/>
      <c r="H988" s="27"/>
      <c r="I988" s="21"/>
      <c r="J988" s="21"/>
      <c r="K988" s="21"/>
      <c r="L988" s="21"/>
      <c r="M988" s="21"/>
      <c r="N988" s="34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spans="1:28" ht="39.75" customHeight="1" x14ac:dyDescent="0.2">
      <c r="A989" s="19"/>
      <c r="B989" s="21"/>
      <c r="C989" s="21"/>
      <c r="D989" s="21"/>
      <c r="E989" s="21"/>
      <c r="F989" s="21"/>
      <c r="G989" s="21"/>
      <c r="H989" s="27"/>
      <c r="I989" s="21"/>
      <c r="J989" s="21"/>
      <c r="K989" s="21"/>
      <c r="L989" s="21"/>
      <c r="M989" s="21"/>
      <c r="N989" s="34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spans="1:28" ht="39.75" customHeight="1" x14ac:dyDescent="0.2">
      <c r="A990" s="19"/>
      <c r="B990" s="21"/>
      <c r="C990" s="21"/>
      <c r="D990" s="21"/>
      <c r="E990" s="21"/>
      <c r="F990" s="21"/>
      <c r="G990" s="21"/>
      <c r="H990" s="27"/>
      <c r="I990" s="21"/>
      <c r="J990" s="21"/>
      <c r="K990" s="21"/>
      <c r="L990" s="21"/>
      <c r="M990" s="21"/>
      <c r="N990" s="34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spans="1:28" ht="39.75" customHeight="1" x14ac:dyDescent="0.2">
      <c r="A991" s="19"/>
      <c r="B991" s="21"/>
      <c r="C991" s="21"/>
      <c r="D991" s="21"/>
      <c r="E991" s="21"/>
      <c r="F991" s="21"/>
      <c r="G991" s="21"/>
      <c r="H991" s="27"/>
      <c r="I991" s="21"/>
      <c r="J991" s="21"/>
      <c r="K991" s="21"/>
      <c r="L991" s="21"/>
      <c r="M991" s="21"/>
      <c r="N991" s="34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spans="1:28" ht="39.75" customHeight="1" x14ac:dyDescent="0.2">
      <c r="A992" s="19"/>
      <c r="B992" s="21"/>
      <c r="C992" s="21"/>
      <c r="D992" s="21"/>
      <c r="E992" s="21"/>
      <c r="F992" s="21"/>
      <c r="G992" s="21"/>
      <c r="H992" s="27"/>
      <c r="I992" s="21"/>
      <c r="J992" s="21"/>
      <c r="K992" s="21"/>
      <c r="L992" s="21"/>
      <c r="M992" s="21"/>
      <c r="N992" s="34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spans="1:28" ht="39.75" customHeight="1" x14ac:dyDescent="0.2">
      <c r="A993" s="19"/>
      <c r="B993" s="21"/>
      <c r="C993" s="21"/>
      <c r="D993" s="21"/>
      <c r="E993" s="21"/>
      <c r="F993" s="21"/>
      <c r="G993" s="21"/>
      <c r="H993" s="27"/>
      <c r="I993" s="21"/>
      <c r="J993" s="21"/>
      <c r="K993" s="21"/>
      <c r="L993" s="21"/>
      <c r="M993" s="21"/>
      <c r="N993" s="34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spans="1:28" ht="39.75" customHeight="1" x14ac:dyDescent="0.2">
      <c r="A994" s="19"/>
      <c r="B994" s="21"/>
      <c r="C994" s="21"/>
      <c r="D994" s="21"/>
      <c r="E994" s="21"/>
      <c r="F994" s="21"/>
      <c r="G994" s="21"/>
      <c r="H994" s="27"/>
      <c r="I994" s="21"/>
      <c r="J994" s="21"/>
      <c r="K994" s="21"/>
      <c r="L994" s="21"/>
      <c r="M994" s="21"/>
      <c r="N994" s="34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spans="1:28" ht="39.75" customHeight="1" x14ac:dyDescent="0.2">
      <c r="A995" s="19"/>
      <c r="B995" s="21"/>
      <c r="C995" s="21"/>
      <c r="D995" s="21"/>
      <c r="E995" s="21"/>
      <c r="F995" s="21"/>
      <c r="G995" s="21"/>
      <c r="H995" s="27"/>
      <c r="I995" s="21"/>
      <c r="J995" s="21"/>
      <c r="K995" s="21"/>
      <c r="L995" s="21"/>
      <c r="M995" s="21"/>
      <c r="N995" s="34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spans="1:28" ht="39.75" customHeight="1" x14ac:dyDescent="0.2">
      <c r="A996" s="19"/>
      <c r="B996" s="21"/>
      <c r="C996" s="21"/>
      <c r="D996" s="21"/>
      <c r="E996" s="21"/>
      <c r="F996" s="21"/>
      <c r="G996" s="21"/>
      <c r="H996" s="27"/>
      <c r="I996" s="21"/>
      <c r="J996" s="21"/>
      <c r="K996" s="21"/>
      <c r="L996" s="21"/>
      <c r="M996" s="21"/>
      <c r="N996" s="34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spans="1:28" ht="39.75" customHeight="1" x14ac:dyDescent="0.2">
      <c r="A997" s="19"/>
      <c r="B997" s="21"/>
      <c r="C997" s="21"/>
      <c r="D997" s="21"/>
      <c r="E997" s="21"/>
      <c r="F997" s="21"/>
      <c r="G997" s="21"/>
      <c r="H997" s="27"/>
      <c r="I997" s="21"/>
      <c r="J997" s="21"/>
      <c r="K997" s="21"/>
      <c r="L997" s="21"/>
      <c r="M997" s="21"/>
      <c r="N997" s="34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spans="1:28" ht="39.75" customHeight="1" x14ac:dyDescent="0.2">
      <c r="A998" s="19"/>
      <c r="B998" s="21"/>
      <c r="C998" s="21"/>
      <c r="D998" s="21"/>
      <c r="E998" s="21"/>
      <c r="F998" s="21"/>
      <c r="G998" s="21"/>
      <c r="H998" s="27"/>
      <c r="I998" s="21"/>
      <c r="J998" s="21"/>
      <c r="K998" s="21"/>
      <c r="L998" s="21"/>
      <c r="M998" s="21"/>
      <c r="N998" s="34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spans="1:28" ht="39.75" customHeight="1" x14ac:dyDescent="0.2">
      <c r="A999" s="19"/>
      <c r="B999" s="21"/>
      <c r="C999" s="21"/>
      <c r="D999" s="21"/>
      <c r="E999" s="21"/>
      <c r="F999" s="21"/>
      <c r="G999" s="21"/>
      <c r="H999" s="27"/>
      <c r="I999" s="21"/>
      <c r="J999" s="21"/>
      <c r="K999" s="21"/>
      <c r="L999" s="21"/>
      <c r="M999" s="21"/>
      <c r="N999" s="34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spans="1:28" ht="39.75" customHeight="1" x14ac:dyDescent="0.2">
      <c r="A1000" s="19"/>
      <c r="B1000" s="21"/>
      <c r="C1000" s="21"/>
      <c r="D1000" s="21"/>
      <c r="E1000" s="21"/>
      <c r="F1000" s="21"/>
      <c r="G1000" s="21"/>
      <c r="H1000" s="27"/>
      <c r="I1000" s="21"/>
      <c r="J1000" s="21"/>
      <c r="K1000" s="21"/>
      <c r="L1000" s="21"/>
      <c r="M1000" s="21"/>
      <c r="N1000" s="34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  <row r="1001" spans="1:28" ht="39.75" customHeight="1" x14ac:dyDescent="0.2">
      <c r="A1001" s="19"/>
      <c r="B1001" s="21"/>
      <c r="C1001" s="21"/>
      <c r="D1001" s="21"/>
      <c r="E1001" s="21"/>
      <c r="F1001" s="21"/>
      <c r="G1001" s="21"/>
      <c r="H1001" s="27"/>
      <c r="I1001" s="21"/>
      <c r="J1001" s="21"/>
      <c r="K1001" s="21"/>
      <c r="L1001" s="21"/>
      <c r="M1001" s="21"/>
      <c r="N1001" s="34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</row>
    <row r="1002" spans="1:28" ht="39.75" customHeight="1" x14ac:dyDescent="0.2">
      <c r="A1002" s="19"/>
      <c r="B1002" s="21"/>
      <c r="C1002" s="21"/>
      <c r="D1002" s="21"/>
      <c r="E1002" s="21"/>
      <c r="F1002" s="21"/>
      <c r="G1002" s="21"/>
      <c r="H1002" s="27"/>
      <c r="I1002" s="21"/>
      <c r="J1002" s="21"/>
      <c r="K1002" s="21"/>
      <c r="L1002" s="21"/>
      <c r="M1002" s="21"/>
      <c r="N1002" s="34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sheetData>
    <row r="1" spans="1:27" x14ac:dyDescent="0.2">
      <c r="A1" s="52" t="s">
        <v>2</v>
      </c>
      <c r="B1" s="3" t="s">
        <v>84</v>
      </c>
      <c r="C1" s="3" t="s">
        <v>85</v>
      </c>
      <c r="D1" s="52" t="s">
        <v>86</v>
      </c>
      <c r="E1" s="3" t="s">
        <v>87</v>
      </c>
      <c r="F1" s="52" t="s">
        <v>89</v>
      </c>
      <c r="G1" s="3" t="s">
        <v>91</v>
      </c>
      <c r="H1" s="52" t="s">
        <v>93</v>
      </c>
      <c r="I1" s="3" t="s">
        <v>94</v>
      </c>
      <c r="J1" s="3" t="s">
        <v>96</v>
      </c>
      <c r="K1" s="3" t="s">
        <v>98</v>
      </c>
      <c r="L1" s="3" t="s">
        <v>100</v>
      </c>
      <c r="M1" s="3" t="s">
        <v>102</v>
      </c>
      <c r="N1" s="54" t="s">
        <v>106</v>
      </c>
      <c r="O1" s="52" t="s">
        <v>108</v>
      </c>
      <c r="P1" s="3" t="s">
        <v>109</v>
      </c>
      <c r="Q1" s="52" t="s">
        <v>110</v>
      </c>
      <c r="R1" s="52" t="s">
        <v>111</v>
      </c>
      <c r="S1" s="52" t="s">
        <v>112</v>
      </c>
      <c r="T1" s="52" t="s">
        <v>113</v>
      </c>
      <c r="U1" s="3" t="s">
        <v>114</v>
      </c>
      <c r="V1" s="3" t="s">
        <v>115</v>
      </c>
      <c r="W1" s="3" t="s">
        <v>116</v>
      </c>
      <c r="X1" s="52" t="s">
        <v>117</v>
      </c>
      <c r="Y1" s="3"/>
      <c r="Z1" s="3" t="s">
        <v>107</v>
      </c>
      <c r="AA1" s="3" t="s">
        <v>104</v>
      </c>
    </row>
    <row r="2" spans="1:27" x14ac:dyDescent="0.2">
      <c r="A2" s="52" t="s">
        <v>118</v>
      </c>
      <c r="B2" s="30" t="s">
        <v>119</v>
      </c>
      <c r="C2" s="30" t="s">
        <v>120</v>
      </c>
      <c r="D2" s="56" t="s">
        <v>121</v>
      </c>
      <c r="E2" s="30" t="s">
        <v>122</v>
      </c>
      <c r="F2" s="56" t="s">
        <v>123</v>
      </c>
      <c r="G2" s="30" t="s">
        <v>124</v>
      </c>
      <c r="H2" s="56" t="s">
        <v>125</v>
      </c>
      <c r="I2" s="30" t="s">
        <v>126</v>
      </c>
      <c r="J2" s="30" t="s">
        <v>127</v>
      </c>
      <c r="K2" s="30" t="s">
        <v>128</v>
      </c>
      <c r="L2" s="30" t="s">
        <v>129</v>
      </c>
      <c r="M2" s="30" t="s">
        <v>130</v>
      </c>
      <c r="N2" s="59" t="s">
        <v>131</v>
      </c>
      <c r="O2" s="56" t="s">
        <v>134</v>
      </c>
      <c r="P2" s="30" t="s">
        <v>135</v>
      </c>
      <c r="Q2" s="56" t="s">
        <v>136</v>
      </c>
      <c r="R2" s="56" t="s">
        <v>138</v>
      </c>
      <c r="S2" s="56" t="s">
        <v>139</v>
      </c>
      <c r="T2" s="56" t="s">
        <v>129</v>
      </c>
      <c r="U2" s="30" t="s">
        <v>140</v>
      </c>
      <c r="V2" s="30" t="s">
        <v>139</v>
      </c>
      <c r="W2" s="30" t="s">
        <v>141</v>
      </c>
      <c r="X2" s="56" t="s">
        <v>142</v>
      </c>
      <c r="Y2" s="30"/>
      <c r="Z2" s="30"/>
      <c r="AA2" s="30"/>
    </row>
    <row r="3" spans="1:27" ht="15.75" customHeight="1" x14ac:dyDescent="0.25">
      <c r="A3" s="57" t="s">
        <v>14</v>
      </c>
      <c r="B3" s="55" t="s">
        <v>79</v>
      </c>
      <c r="C3" s="55" t="s">
        <v>77</v>
      </c>
      <c r="D3" s="61" t="s">
        <v>79</v>
      </c>
      <c r="E3" s="55" t="s">
        <v>144</v>
      </c>
      <c r="F3" s="61" t="s">
        <v>144</v>
      </c>
      <c r="G3" s="55" t="s">
        <v>144</v>
      </c>
      <c r="H3" s="55" t="s">
        <v>66</v>
      </c>
      <c r="I3" s="55" t="s">
        <v>66</v>
      </c>
      <c r="J3" s="55" t="s">
        <v>66</v>
      </c>
      <c r="K3" s="55" t="s">
        <v>74</v>
      </c>
      <c r="L3" s="55" t="s">
        <v>145</v>
      </c>
      <c r="M3" s="55" t="s">
        <v>77</v>
      </c>
      <c r="N3" s="63" t="s">
        <v>53</v>
      </c>
      <c r="O3" s="61" t="s">
        <v>146</v>
      </c>
      <c r="P3" s="55" t="s">
        <v>53</v>
      </c>
      <c r="Q3" s="61" t="s">
        <v>146</v>
      </c>
      <c r="R3" s="61" t="s">
        <v>146</v>
      </c>
      <c r="S3" s="61" t="s">
        <v>146</v>
      </c>
      <c r="T3" s="61" t="s">
        <v>79</v>
      </c>
      <c r="U3" s="55" t="s">
        <v>77</v>
      </c>
      <c r="V3" s="55" t="s">
        <v>147</v>
      </c>
      <c r="W3" s="55" t="s">
        <v>66</v>
      </c>
      <c r="X3" s="61" t="s">
        <v>48</v>
      </c>
      <c r="Y3" s="55"/>
      <c r="Z3" s="55"/>
      <c r="AA3" s="55"/>
    </row>
    <row r="4" spans="1:27" ht="15.75" customHeight="1" x14ac:dyDescent="0.25">
      <c r="A4" s="57" t="s">
        <v>143</v>
      </c>
      <c r="B4" s="55">
        <v>23</v>
      </c>
      <c r="C4" s="55">
        <v>33</v>
      </c>
      <c r="D4" s="64">
        <v>39</v>
      </c>
      <c r="E4" s="55">
        <v>44</v>
      </c>
      <c r="F4" s="64">
        <v>20</v>
      </c>
      <c r="G4" s="55">
        <v>22</v>
      </c>
      <c r="H4" s="64">
        <v>38</v>
      </c>
      <c r="I4" s="55">
        <v>35</v>
      </c>
      <c r="J4" s="55">
        <v>18</v>
      </c>
      <c r="K4" s="55">
        <v>33</v>
      </c>
      <c r="L4" s="55">
        <v>21</v>
      </c>
      <c r="M4" s="55">
        <v>30</v>
      </c>
      <c r="N4" s="63">
        <v>19</v>
      </c>
      <c r="O4" s="64">
        <v>20</v>
      </c>
      <c r="P4" s="55">
        <v>25</v>
      </c>
      <c r="Q4" s="64">
        <v>21</v>
      </c>
      <c r="R4" s="64">
        <v>43</v>
      </c>
      <c r="S4" s="64">
        <v>23</v>
      </c>
      <c r="T4" s="64">
        <v>26</v>
      </c>
      <c r="U4" s="55">
        <v>31</v>
      </c>
      <c r="V4" s="55">
        <v>22</v>
      </c>
      <c r="W4" s="55">
        <v>64</v>
      </c>
      <c r="X4" s="64">
        <v>20</v>
      </c>
      <c r="Y4" s="55"/>
      <c r="Z4" s="65">
        <f>AVERAGE(B4:T4)</f>
        <v>28.05263157894737</v>
      </c>
      <c r="AA4" s="55">
        <f>MEDIAN(B4:T4)</f>
        <v>25</v>
      </c>
    </row>
    <row r="5" spans="1:27" ht="15.75" customHeight="1" x14ac:dyDescent="0.25">
      <c r="A5" s="57" t="s">
        <v>148</v>
      </c>
      <c r="B5" s="61" t="s">
        <v>149</v>
      </c>
      <c r="C5" s="61" t="s">
        <v>149</v>
      </c>
      <c r="D5" s="61" t="s">
        <v>149</v>
      </c>
      <c r="E5" s="61" t="s">
        <v>149</v>
      </c>
      <c r="F5" s="61" t="s">
        <v>149</v>
      </c>
      <c r="G5" s="55" t="s">
        <v>150</v>
      </c>
      <c r="H5" s="61" t="s">
        <v>149</v>
      </c>
      <c r="I5" s="55" t="s">
        <v>149</v>
      </c>
      <c r="J5" s="55" t="s">
        <v>149</v>
      </c>
      <c r="K5" s="55" t="s">
        <v>149</v>
      </c>
      <c r="L5" s="55" t="s">
        <v>155</v>
      </c>
      <c r="M5" s="55"/>
      <c r="N5" s="63" t="s">
        <v>149</v>
      </c>
      <c r="O5" s="61" t="s">
        <v>149</v>
      </c>
      <c r="P5" s="55" t="s">
        <v>149</v>
      </c>
      <c r="Q5" s="61" t="s">
        <v>149</v>
      </c>
      <c r="R5" s="61" t="s">
        <v>149</v>
      </c>
      <c r="S5" s="61" t="s">
        <v>149</v>
      </c>
      <c r="T5" s="61" t="s">
        <v>150</v>
      </c>
      <c r="U5" s="55" t="s">
        <v>149</v>
      </c>
      <c r="V5" s="55" t="s">
        <v>156</v>
      </c>
      <c r="W5" s="61" t="s">
        <v>149</v>
      </c>
      <c r="X5" s="61" t="s">
        <v>149</v>
      </c>
      <c r="Y5" s="55"/>
      <c r="Z5" s="65"/>
      <c r="AA5" s="55"/>
    </row>
    <row r="6" spans="1:27" ht="15.75" customHeight="1" x14ac:dyDescent="0.25">
      <c r="A6" s="57" t="s">
        <v>157</v>
      </c>
      <c r="B6" s="69">
        <v>0</v>
      </c>
      <c r="C6" s="69">
        <v>0</v>
      </c>
      <c r="D6" s="69">
        <v>0</v>
      </c>
      <c r="E6" s="69">
        <v>0</v>
      </c>
      <c r="F6" s="69">
        <v>0</v>
      </c>
      <c r="G6" s="55"/>
      <c r="H6" s="69">
        <v>1</v>
      </c>
      <c r="I6" s="70">
        <v>0.5</v>
      </c>
      <c r="J6" s="70"/>
      <c r="K6" s="55"/>
      <c r="L6" s="70">
        <v>100000</v>
      </c>
      <c r="M6" s="55"/>
      <c r="N6" s="63"/>
      <c r="O6" s="69">
        <v>0</v>
      </c>
      <c r="P6" s="55"/>
      <c r="Q6" s="69">
        <v>0</v>
      </c>
      <c r="R6" s="69">
        <v>0</v>
      </c>
      <c r="S6" s="69">
        <v>0</v>
      </c>
      <c r="T6" s="69">
        <v>0</v>
      </c>
      <c r="U6" s="55"/>
      <c r="V6" s="70">
        <v>1.01</v>
      </c>
      <c r="W6" s="69">
        <v>0</v>
      </c>
      <c r="X6" s="69">
        <v>0</v>
      </c>
      <c r="Y6" s="55"/>
      <c r="Z6" s="65"/>
      <c r="AA6" s="55"/>
    </row>
    <row r="7" spans="1:27" ht="15.75" customHeight="1" x14ac:dyDescent="0.25">
      <c r="A7" s="57" t="s">
        <v>151</v>
      </c>
      <c r="B7" s="55">
        <v>70</v>
      </c>
      <c r="C7" s="55">
        <v>120</v>
      </c>
      <c r="D7" s="72">
        <v>100</v>
      </c>
      <c r="E7" s="55">
        <v>20</v>
      </c>
      <c r="F7" s="72">
        <v>55</v>
      </c>
      <c r="G7" s="55">
        <v>100</v>
      </c>
      <c r="H7" s="72">
        <v>80</v>
      </c>
      <c r="I7" s="55">
        <v>55</v>
      </c>
      <c r="J7" s="55">
        <v>65</v>
      </c>
      <c r="K7" s="55">
        <v>105</v>
      </c>
      <c r="L7" s="55">
        <v>100</v>
      </c>
      <c r="M7" s="55">
        <v>50</v>
      </c>
      <c r="N7" s="63">
        <v>50</v>
      </c>
      <c r="O7" s="72">
        <v>60</v>
      </c>
      <c r="P7" s="55">
        <v>65</v>
      </c>
      <c r="Q7" s="72">
        <v>50</v>
      </c>
      <c r="R7" s="72">
        <v>60</v>
      </c>
      <c r="S7" s="72">
        <v>50</v>
      </c>
      <c r="T7" s="72">
        <v>65</v>
      </c>
      <c r="U7" s="55">
        <v>80</v>
      </c>
      <c r="V7" s="55">
        <v>70</v>
      </c>
      <c r="W7" s="55">
        <v>60</v>
      </c>
      <c r="X7" s="72">
        <v>35</v>
      </c>
      <c r="Y7" s="55"/>
      <c r="Z7" s="65">
        <f t="shared" ref="Z7:Z12" si="0">AVERAGE(B7:T7)</f>
        <v>69.473684210526315</v>
      </c>
      <c r="AA7" s="55">
        <f t="shared" ref="AA7:AA12" si="1">MEDIAN(B7:T7)</f>
        <v>65</v>
      </c>
    </row>
    <row r="8" spans="1:27" ht="15.75" customHeight="1" x14ac:dyDescent="0.25">
      <c r="A8" s="57" t="s">
        <v>153</v>
      </c>
      <c r="B8" s="55">
        <v>85</v>
      </c>
      <c r="C8" s="55">
        <v>15</v>
      </c>
      <c r="D8" s="64">
        <v>45</v>
      </c>
      <c r="E8" s="55">
        <v>75</v>
      </c>
      <c r="F8" s="64">
        <v>90</v>
      </c>
      <c r="G8" s="55">
        <v>20</v>
      </c>
      <c r="H8" s="64">
        <v>60</v>
      </c>
      <c r="I8" s="55">
        <v>70</v>
      </c>
      <c r="J8" s="55">
        <v>80</v>
      </c>
      <c r="K8" s="55">
        <v>20</v>
      </c>
      <c r="L8" s="55">
        <v>15</v>
      </c>
      <c r="M8" s="55">
        <v>50</v>
      </c>
      <c r="N8" s="63">
        <v>90</v>
      </c>
      <c r="O8" s="64">
        <v>40</v>
      </c>
      <c r="P8" s="55">
        <v>45</v>
      </c>
      <c r="Q8" s="64">
        <v>90</v>
      </c>
      <c r="R8" s="64">
        <v>40</v>
      </c>
      <c r="S8" s="64">
        <v>80</v>
      </c>
      <c r="T8" s="64">
        <v>10</v>
      </c>
      <c r="U8" s="55">
        <v>70</v>
      </c>
      <c r="V8" s="55">
        <v>110</v>
      </c>
      <c r="W8" s="55">
        <v>10</v>
      </c>
      <c r="X8" s="64">
        <v>125</v>
      </c>
      <c r="Y8" s="55"/>
      <c r="Z8" s="65">
        <f t="shared" si="0"/>
        <v>53.684210526315788</v>
      </c>
      <c r="AA8" s="55">
        <f t="shared" si="1"/>
        <v>50</v>
      </c>
    </row>
    <row r="9" spans="1:27" ht="15.75" customHeight="1" x14ac:dyDescent="0.25">
      <c r="A9" s="66" t="s">
        <v>154</v>
      </c>
      <c r="B9" s="68">
        <v>50</v>
      </c>
      <c r="C9" s="68">
        <v>70</v>
      </c>
      <c r="D9" s="73">
        <v>65</v>
      </c>
      <c r="E9" s="68">
        <v>85</v>
      </c>
      <c r="F9" s="73">
        <v>35</v>
      </c>
      <c r="G9" s="68">
        <v>90</v>
      </c>
      <c r="H9" s="73">
        <v>50</v>
      </c>
      <c r="I9" s="68">
        <v>100</v>
      </c>
      <c r="J9" s="68">
        <v>90</v>
      </c>
      <c r="K9" s="68">
        <v>90</v>
      </c>
      <c r="L9" s="55">
        <v>75</v>
      </c>
      <c r="M9" s="55">
        <v>50</v>
      </c>
      <c r="N9" s="74">
        <v>65</v>
      </c>
      <c r="O9" s="73">
        <v>60</v>
      </c>
      <c r="P9" s="68">
        <v>90</v>
      </c>
      <c r="Q9" s="73">
        <v>30</v>
      </c>
      <c r="R9" s="72">
        <v>100</v>
      </c>
      <c r="S9" s="73">
        <v>40</v>
      </c>
      <c r="T9" s="73">
        <v>110</v>
      </c>
      <c r="U9" s="68">
        <v>85</v>
      </c>
      <c r="V9" s="68">
        <v>65</v>
      </c>
      <c r="W9" s="68">
        <v>90</v>
      </c>
      <c r="X9" s="73">
        <v>50</v>
      </c>
      <c r="Y9" s="68"/>
      <c r="Z9" s="65">
        <f t="shared" si="0"/>
        <v>70.78947368421052</v>
      </c>
      <c r="AA9" s="68">
        <f t="shared" si="1"/>
        <v>70</v>
      </c>
    </row>
    <row r="10" spans="1:27" ht="15.75" customHeight="1" x14ac:dyDescent="0.25">
      <c r="A10" s="57" t="s">
        <v>158</v>
      </c>
      <c r="B10" s="55">
        <v>20</v>
      </c>
      <c r="C10" s="55">
        <v>100</v>
      </c>
      <c r="D10" s="64">
        <v>50</v>
      </c>
      <c r="E10" s="55">
        <v>70</v>
      </c>
      <c r="F10" s="64">
        <v>60</v>
      </c>
      <c r="G10" s="55">
        <v>45</v>
      </c>
      <c r="H10" s="64">
        <v>90</v>
      </c>
      <c r="I10" s="55">
        <v>50</v>
      </c>
      <c r="J10" s="55">
        <v>75</v>
      </c>
      <c r="K10" s="55">
        <v>55</v>
      </c>
      <c r="L10" s="55">
        <v>65</v>
      </c>
      <c r="M10" s="55">
        <v>50</v>
      </c>
      <c r="N10" s="63">
        <v>45</v>
      </c>
      <c r="O10" s="64">
        <v>35</v>
      </c>
      <c r="P10" s="55">
        <v>80</v>
      </c>
      <c r="Q10" s="64">
        <v>80</v>
      </c>
      <c r="R10" s="64">
        <v>50</v>
      </c>
      <c r="S10" s="64">
        <v>70</v>
      </c>
      <c r="T10" s="64">
        <v>50</v>
      </c>
      <c r="U10" s="55">
        <v>40</v>
      </c>
      <c r="V10" s="55">
        <v>35</v>
      </c>
      <c r="W10" s="55">
        <v>80</v>
      </c>
      <c r="X10" s="64">
        <v>40</v>
      </c>
      <c r="Y10" s="55"/>
      <c r="Z10" s="65">
        <f t="shared" si="0"/>
        <v>60</v>
      </c>
      <c r="AA10" s="55">
        <f t="shared" si="1"/>
        <v>55</v>
      </c>
    </row>
    <row r="11" spans="1:27" ht="15.75" customHeight="1" x14ac:dyDescent="0.25">
      <c r="A11" s="57" t="s">
        <v>159</v>
      </c>
      <c r="B11" s="64">
        <f t="shared" ref="B11:X11" si="2">B12/4</f>
        <v>56.25</v>
      </c>
      <c r="C11" s="64">
        <f t="shared" si="2"/>
        <v>76.25</v>
      </c>
      <c r="D11" s="64">
        <f t="shared" si="2"/>
        <v>65</v>
      </c>
      <c r="E11" s="64">
        <f t="shared" si="2"/>
        <v>62.5</v>
      </c>
      <c r="F11" s="64">
        <f t="shared" si="2"/>
        <v>60</v>
      </c>
      <c r="G11" s="64">
        <f t="shared" si="2"/>
        <v>63.75</v>
      </c>
      <c r="H11" s="64">
        <f t="shared" si="2"/>
        <v>70</v>
      </c>
      <c r="I11" s="64">
        <f t="shared" si="2"/>
        <v>68.75</v>
      </c>
      <c r="J11" s="64">
        <f t="shared" si="2"/>
        <v>77.5</v>
      </c>
      <c r="K11" s="64">
        <f t="shared" si="2"/>
        <v>67.5</v>
      </c>
      <c r="L11" s="64">
        <f t="shared" si="2"/>
        <v>63.75</v>
      </c>
      <c r="M11" s="64">
        <f t="shared" si="2"/>
        <v>50</v>
      </c>
      <c r="N11" s="75">
        <f t="shared" si="2"/>
        <v>62.5</v>
      </c>
      <c r="O11" s="64">
        <f t="shared" si="2"/>
        <v>48.75</v>
      </c>
      <c r="P11" s="64">
        <f t="shared" si="2"/>
        <v>70</v>
      </c>
      <c r="Q11" s="64">
        <f t="shared" si="2"/>
        <v>62.5</v>
      </c>
      <c r="R11" s="64">
        <f t="shared" si="2"/>
        <v>62.5</v>
      </c>
      <c r="S11" s="64">
        <f t="shared" si="2"/>
        <v>60</v>
      </c>
      <c r="T11" s="64">
        <f t="shared" si="2"/>
        <v>58.75</v>
      </c>
      <c r="U11" s="64">
        <f t="shared" si="2"/>
        <v>68.75</v>
      </c>
      <c r="V11" s="64">
        <f t="shared" si="2"/>
        <v>70</v>
      </c>
      <c r="W11" s="64">
        <f t="shared" si="2"/>
        <v>60</v>
      </c>
      <c r="X11" s="64">
        <f t="shared" si="2"/>
        <v>62.5</v>
      </c>
      <c r="Y11" s="55"/>
      <c r="Z11" s="65">
        <f t="shared" si="0"/>
        <v>63.486842105263158</v>
      </c>
      <c r="AA11" s="55">
        <f t="shared" si="1"/>
        <v>62.5</v>
      </c>
    </row>
    <row r="12" spans="1:27" ht="15.75" customHeight="1" x14ac:dyDescent="0.25">
      <c r="A12" s="57" t="s">
        <v>160</v>
      </c>
      <c r="B12" s="72">
        <f t="shared" ref="B12:X12" si="3">SUM(B7:B10)</f>
        <v>225</v>
      </c>
      <c r="C12" s="72">
        <f t="shared" si="3"/>
        <v>305</v>
      </c>
      <c r="D12" s="72">
        <f t="shared" si="3"/>
        <v>260</v>
      </c>
      <c r="E12" s="72">
        <f t="shared" si="3"/>
        <v>250</v>
      </c>
      <c r="F12" s="72">
        <f t="shared" si="3"/>
        <v>240</v>
      </c>
      <c r="G12" s="72">
        <f t="shared" si="3"/>
        <v>255</v>
      </c>
      <c r="H12" s="72">
        <f t="shared" si="3"/>
        <v>280</v>
      </c>
      <c r="I12" s="72">
        <f t="shared" si="3"/>
        <v>275</v>
      </c>
      <c r="J12" s="72">
        <f t="shared" si="3"/>
        <v>310</v>
      </c>
      <c r="K12" s="72">
        <f t="shared" si="3"/>
        <v>270</v>
      </c>
      <c r="L12" s="72">
        <f t="shared" si="3"/>
        <v>255</v>
      </c>
      <c r="M12" s="72">
        <f t="shared" si="3"/>
        <v>200</v>
      </c>
      <c r="N12" s="76">
        <f t="shared" si="3"/>
        <v>250</v>
      </c>
      <c r="O12" s="72">
        <f t="shared" si="3"/>
        <v>195</v>
      </c>
      <c r="P12" s="72">
        <f t="shared" si="3"/>
        <v>280</v>
      </c>
      <c r="Q12" s="72">
        <f t="shared" si="3"/>
        <v>250</v>
      </c>
      <c r="R12" s="72">
        <f t="shared" si="3"/>
        <v>250</v>
      </c>
      <c r="S12" s="72">
        <f t="shared" si="3"/>
        <v>240</v>
      </c>
      <c r="T12" s="72">
        <f t="shared" si="3"/>
        <v>235</v>
      </c>
      <c r="U12" s="72">
        <f t="shared" si="3"/>
        <v>275</v>
      </c>
      <c r="V12" s="72">
        <f t="shared" si="3"/>
        <v>280</v>
      </c>
      <c r="W12" s="72">
        <f t="shared" si="3"/>
        <v>240</v>
      </c>
      <c r="X12" s="72">
        <f t="shared" si="3"/>
        <v>250</v>
      </c>
      <c r="Y12" s="55"/>
      <c r="Z12" s="65">
        <f t="shared" si="0"/>
        <v>253.94736842105263</v>
      </c>
      <c r="AA12" s="55">
        <f t="shared" si="1"/>
        <v>250</v>
      </c>
    </row>
    <row r="13" spans="1:27" ht="15.75" customHeight="1" x14ac:dyDescent="0.25">
      <c r="A13" s="57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3"/>
      <c r="O13" s="64"/>
      <c r="P13" s="55"/>
      <c r="Q13" s="64"/>
      <c r="R13" s="64"/>
      <c r="S13" s="64"/>
      <c r="T13" s="64"/>
      <c r="U13" s="55"/>
      <c r="V13" s="64"/>
      <c r="W13" s="64"/>
      <c r="X13" s="64"/>
      <c r="Y13" s="55"/>
      <c r="Z13" s="55"/>
      <c r="AA13" s="55"/>
    </row>
    <row r="14" spans="1:27" ht="15.75" customHeight="1" x14ac:dyDescent="0.25">
      <c r="A14" s="57" t="s">
        <v>161</v>
      </c>
      <c r="B14" s="64">
        <f t="shared" ref="B14:N14" si="4">B4+1</f>
        <v>24</v>
      </c>
      <c r="C14" s="64">
        <f t="shared" si="4"/>
        <v>34</v>
      </c>
      <c r="D14" s="64">
        <f t="shared" si="4"/>
        <v>40</v>
      </c>
      <c r="E14" s="64">
        <f t="shared" si="4"/>
        <v>45</v>
      </c>
      <c r="F14" s="64">
        <f t="shared" si="4"/>
        <v>21</v>
      </c>
      <c r="G14" s="64">
        <f t="shared" si="4"/>
        <v>23</v>
      </c>
      <c r="H14" s="64">
        <f t="shared" si="4"/>
        <v>39</v>
      </c>
      <c r="I14" s="64">
        <f t="shared" si="4"/>
        <v>36</v>
      </c>
      <c r="J14" s="64">
        <f t="shared" si="4"/>
        <v>19</v>
      </c>
      <c r="K14" s="64">
        <f t="shared" si="4"/>
        <v>34</v>
      </c>
      <c r="L14" s="64">
        <f t="shared" si="4"/>
        <v>22</v>
      </c>
      <c r="M14" s="64">
        <f t="shared" si="4"/>
        <v>31</v>
      </c>
      <c r="N14" s="64">
        <f t="shared" si="4"/>
        <v>20</v>
      </c>
      <c r="O14" s="64"/>
      <c r="P14" s="55"/>
      <c r="Q14" s="64"/>
      <c r="R14" s="64"/>
      <c r="S14" s="64"/>
      <c r="T14" s="64"/>
      <c r="U14" s="64">
        <f t="shared" ref="U14:X14" si="5">U4+1</f>
        <v>32</v>
      </c>
      <c r="V14" s="64">
        <f t="shared" si="5"/>
        <v>23</v>
      </c>
      <c r="W14" s="64">
        <f t="shared" si="5"/>
        <v>65</v>
      </c>
      <c r="X14" s="64">
        <f t="shared" si="5"/>
        <v>21</v>
      </c>
      <c r="Y14" s="55"/>
      <c r="Z14" s="55"/>
      <c r="AA14" s="55"/>
    </row>
    <row r="15" spans="1:27" ht="15.75" customHeight="1" x14ac:dyDescent="0.25">
      <c r="A15" s="57"/>
      <c r="B15" s="55"/>
      <c r="C15" s="55"/>
      <c r="D15" s="72"/>
      <c r="E15" s="55"/>
      <c r="F15" s="72"/>
      <c r="G15" s="55"/>
      <c r="H15" s="72"/>
      <c r="I15" s="55"/>
      <c r="J15" s="55"/>
      <c r="K15" s="55"/>
      <c r="L15" s="55"/>
      <c r="M15" s="55"/>
      <c r="N15" s="63"/>
      <c r="O15" s="72"/>
      <c r="P15" s="55"/>
      <c r="Q15" s="72"/>
      <c r="R15" s="72"/>
      <c r="S15" s="72"/>
      <c r="T15" s="72"/>
      <c r="U15" s="55"/>
      <c r="V15" s="55"/>
      <c r="W15" s="55"/>
      <c r="X15" s="72"/>
      <c r="Y15" s="55"/>
      <c r="Z15" s="55"/>
      <c r="AA15" s="55"/>
    </row>
    <row r="16" spans="1:27" ht="15.75" customHeight="1" x14ac:dyDescent="0.25">
      <c r="A16" s="57"/>
      <c r="B16" s="55"/>
      <c r="C16" s="55"/>
      <c r="D16" s="64"/>
      <c r="E16" s="55"/>
      <c r="F16" s="64"/>
      <c r="G16" s="55"/>
      <c r="H16" s="64"/>
      <c r="I16" s="55"/>
      <c r="J16" s="55"/>
      <c r="K16" s="55"/>
      <c r="L16" s="55"/>
      <c r="M16" s="55"/>
      <c r="N16" s="63"/>
      <c r="O16" s="64"/>
      <c r="P16" s="55"/>
      <c r="Q16" s="64"/>
      <c r="R16" s="64"/>
      <c r="S16" s="64"/>
      <c r="T16" s="64"/>
      <c r="U16" s="55"/>
      <c r="V16" s="55"/>
      <c r="W16" s="55"/>
      <c r="X16" s="64"/>
      <c r="Y16" s="55"/>
      <c r="Z16" s="55"/>
      <c r="AA16" s="55"/>
    </row>
    <row r="17" spans="1:27" ht="15.75" customHeight="1" x14ac:dyDescent="0.25">
      <c r="A17" s="57"/>
      <c r="B17" s="55"/>
      <c r="C17" s="55"/>
      <c r="D17" s="77"/>
      <c r="E17" s="55"/>
      <c r="F17" s="77"/>
      <c r="G17" s="55"/>
      <c r="H17" s="77"/>
      <c r="I17" s="55"/>
      <c r="J17" s="55"/>
      <c r="K17" s="55"/>
      <c r="L17" s="55"/>
      <c r="M17" s="55"/>
      <c r="N17" s="63"/>
      <c r="O17" s="77"/>
      <c r="P17" s="55"/>
      <c r="Q17" s="77"/>
      <c r="R17" s="77"/>
      <c r="S17" s="77"/>
      <c r="T17" s="77"/>
      <c r="U17" s="55"/>
      <c r="V17" s="55"/>
      <c r="W17" s="55"/>
      <c r="X17" s="77"/>
      <c r="Y17" s="55"/>
      <c r="Z17" s="55"/>
      <c r="AA17" s="55"/>
    </row>
    <row r="18" spans="1:27" ht="15.75" customHeight="1" x14ac:dyDescent="0.25">
      <c r="A18" s="57"/>
      <c r="B18" s="55"/>
      <c r="C18" s="55"/>
      <c r="D18" s="78"/>
      <c r="E18" s="55"/>
      <c r="F18" s="78"/>
      <c r="G18" s="55"/>
      <c r="H18" s="78"/>
      <c r="I18" s="55"/>
      <c r="J18" s="55"/>
      <c r="K18" s="55"/>
      <c r="L18" s="55"/>
      <c r="M18" s="55"/>
      <c r="N18" s="63"/>
      <c r="O18" s="78"/>
      <c r="P18" s="55"/>
      <c r="Q18" s="78"/>
      <c r="R18" s="78"/>
      <c r="S18" s="78"/>
      <c r="T18" s="78"/>
      <c r="U18" s="55"/>
      <c r="V18" s="55"/>
      <c r="W18" s="55"/>
      <c r="X18" s="78"/>
      <c r="Y18" s="55"/>
      <c r="Z18" s="55"/>
      <c r="AA18" s="55"/>
    </row>
    <row r="19" spans="1:27" ht="15.75" customHeight="1" x14ac:dyDescent="0.25">
      <c r="A19" s="57"/>
      <c r="B19" s="55"/>
      <c r="C19" s="55"/>
      <c r="D19" s="77"/>
      <c r="E19" s="55"/>
      <c r="F19" s="77"/>
      <c r="G19" s="55"/>
      <c r="H19" s="77"/>
      <c r="I19" s="55"/>
      <c r="J19" s="55"/>
      <c r="K19" s="55"/>
      <c r="L19" s="55"/>
      <c r="M19" s="55"/>
      <c r="N19" s="63"/>
      <c r="O19" s="77"/>
      <c r="P19" s="55"/>
      <c r="Q19" s="77"/>
      <c r="R19" s="77"/>
      <c r="S19" s="77"/>
      <c r="T19" s="77"/>
      <c r="U19" s="55"/>
      <c r="V19" s="55"/>
      <c r="W19" s="55"/>
      <c r="X19" s="77"/>
      <c r="Y19" s="55"/>
      <c r="Z19" s="55"/>
      <c r="AA19" s="55"/>
    </row>
    <row r="20" spans="1:27" ht="15.75" customHeight="1" x14ac:dyDescent="0.25">
      <c r="A20" s="79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63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spans="1:27" ht="15.75" customHeight="1" x14ac:dyDescent="0.25">
      <c r="A21" s="79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63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spans="1:27" ht="15.75" customHeight="1" x14ac:dyDescent="0.25">
      <c r="A22" s="79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63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spans="1:27" ht="15.75" customHeight="1" x14ac:dyDescent="0.25">
      <c r="A23" s="79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63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spans="1:27" ht="15.75" customHeight="1" x14ac:dyDescent="0.25">
      <c r="A24" s="79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63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spans="1:27" ht="15.75" customHeight="1" x14ac:dyDescent="0.25">
      <c r="A25" s="79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63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spans="1:27" ht="15.75" customHeight="1" x14ac:dyDescent="0.25">
      <c r="A26" s="79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63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spans="1:27" ht="15.75" customHeight="1" x14ac:dyDescent="0.25">
      <c r="A27" s="79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63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 spans="1:27" ht="15.75" customHeight="1" x14ac:dyDescent="0.25">
      <c r="A28" s="79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63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spans="1:27" ht="15.75" customHeight="1" x14ac:dyDescent="0.25">
      <c r="A29" s="79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63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27" ht="15.75" customHeight="1" x14ac:dyDescent="0.25">
      <c r="A30" s="79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63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27" ht="15.75" customHeight="1" x14ac:dyDescent="0.25">
      <c r="A31" s="79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63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ht="15.75" customHeight="1" x14ac:dyDescent="0.25">
      <c r="A32" s="79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63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 ht="15.75" customHeight="1" x14ac:dyDescent="0.25">
      <c r="A33" s="79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63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spans="1:27" ht="15.75" customHeight="1" x14ac:dyDescent="0.25">
      <c r="A34" s="79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63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spans="1:27" ht="15.75" customHeight="1" x14ac:dyDescent="0.25">
      <c r="A35" s="79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63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spans="1:27" ht="15.75" customHeight="1" x14ac:dyDescent="0.25">
      <c r="A36" s="79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63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spans="1:27" ht="15.75" customHeight="1" x14ac:dyDescent="0.25">
      <c r="A37" s="79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63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spans="1:27" ht="15" x14ac:dyDescent="0.25">
      <c r="A38" s="79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63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spans="1:27" ht="15" x14ac:dyDescent="0.25">
      <c r="A39" s="79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63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spans="1:27" ht="15" x14ac:dyDescent="0.25">
      <c r="A40" s="79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63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spans="1:27" ht="15" x14ac:dyDescent="0.25">
      <c r="A41" s="79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63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spans="1:27" ht="15" x14ac:dyDescent="0.25">
      <c r="A42" s="79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63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spans="1:27" ht="15" x14ac:dyDescent="0.25">
      <c r="A43" s="79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63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spans="1:27" ht="15" x14ac:dyDescent="0.25">
      <c r="A44" s="79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63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spans="1:27" ht="15" x14ac:dyDescent="0.25">
      <c r="A45" s="79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63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spans="1:27" ht="15" x14ac:dyDescent="0.25">
      <c r="A46" s="79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63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spans="1:27" ht="15" x14ac:dyDescent="0.25">
      <c r="A47" s="79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63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spans="1:27" ht="15" x14ac:dyDescent="0.25">
      <c r="A48" s="79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63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spans="1:27" ht="15" x14ac:dyDescent="0.25">
      <c r="A49" s="79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63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spans="1:27" ht="15" x14ac:dyDescent="0.25">
      <c r="A50" s="79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63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spans="1:27" ht="15" x14ac:dyDescent="0.25">
      <c r="A51" s="79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63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spans="1:27" ht="15" x14ac:dyDescent="0.25">
      <c r="A52" s="79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63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spans="1:27" ht="15" x14ac:dyDescent="0.25">
      <c r="A53" s="79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63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spans="1:27" ht="15" x14ac:dyDescent="0.25">
      <c r="A54" s="79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63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spans="1:27" ht="15" x14ac:dyDescent="0.25">
      <c r="A55" s="79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63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1:27" ht="15" x14ac:dyDescent="0.25">
      <c r="A56" s="79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63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spans="1:27" ht="15" x14ac:dyDescent="0.25">
      <c r="A57" s="79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63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spans="1:27" ht="15" x14ac:dyDescent="0.25">
      <c r="A58" s="79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63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spans="1:27" ht="15" x14ac:dyDescent="0.25">
      <c r="A59" s="79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63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spans="1:27" ht="15" x14ac:dyDescent="0.25">
      <c r="A60" s="79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63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spans="1:27" ht="15" x14ac:dyDescent="0.25">
      <c r="A61" s="79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63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spans="1:27" ht="15" x14ac:dyDescent="0.25">
      <c r="A62" s="79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63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spans="1:27" ht="15" x14ac:dyDescent="0.25">
      <c r="A63" s="79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63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spans="1:27" ht="15" x14ac:dyDescent="0.25">
      <c r="A64" s="79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63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spans="1:27" ht="15" x14ac:dyDescent="0.25">
      <c r="A65" s="79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63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spans="1:27" ht="15" x14ac:dyDescent="0.25">
      <c r="A66" s="79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63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spans="1:27" ht="15" x14ac:dyDescent="0.25">
      <c r="A67" s="79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63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spans="1:27" ht="15" x14ac:dyDescent="0.25">
      <c r="A68" s="79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63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spans="1:27" ht="15" x14ac:dyDescent="0.25">
      <c r="A69" s="79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63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spans="1:27" ht="15" x14ac:dyDescent="0.25">
      <c r="A70" s="79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63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spans="1:27" ht="15" x14ac:dyDescent="0.25">
      <c r="A71" s="79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63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spans="1:27" ht="15" x14ac:dyDescent="0.25">
      <c r="A72" s="79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63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spans="1:27" ht="15" x14ac:dyDescent="0.25">
      <c r="A73" s="79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63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spans="1:27" ht="15" x14ac:dyDescent="0.25">
      <c r="A74" s="79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63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spans="1:27" ht="15" x14ac:dyDescent="0.25">
      <c r="A75" s="79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63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spans="1:27" ht="15" x14ac:dyDescent="0.25">
      <c r="A76" s="79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63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spans="1:27" ht="15" x14ac:dyDescent="0.25">
      <c r="A77" s="79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63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spans="1:27" ht="15" x14ac:dyDescent="0.25">
      <c r="A78" s="79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63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spans="1:27" ht="15" x14ac:dyDescent="0.25">
      <c r="A79" s="79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63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spans="1:27" ht="15" x14ac:dyDescent="0.25">
      <c r="A80" s="79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63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spans="1:27" ht="15" x14ac:dyDescent="0.25">
      <c r="A81" s="79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63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spans="1:27" ht="15" x14ac:dyDescent="0.25">
      <c r="A82" s="79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63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spans="1:27" ht="15" x14ac:dyDescent="0.25">
      <c r="A83" s="79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63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spans="1:27" ht="15" x14ac:dyDescent="0.25">
      <c r="A84" s="79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63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spans="1:27" ht="15" x14ac:dyDescent="0.25">
      <c r="A85" s="79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63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spans="1:27" ht="15" x14ac:dyDescent="0.25">
      <c r="A86" s="79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63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spans="1:27" ht="15" x14ac:dyDescent="0.25">
      <c r="A87" s="79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63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spans="1:27" ht="15" x14ac:dyDescent="0.25">
      <c r="A88" s="79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63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spans="1:27" ht="15" x14ac:dyDescent="0.25">
      <c r="A89" s="79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63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spans="1:27" ht="15" x14ac:dyDescent="0.25">
      <c r="A90" s="79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63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spans="1:27" ht="15" x14ac:dyDescent="0.25">
      <c r="A91" s="79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63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spans="1:27" ht="15" x14ac:dyDescent="0.25">
      <c r="A92" s="79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63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spans="1:27" ht="15" x14ac:dyDescent="0.25">
      <c r="A93" s="79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63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spans="1:27" ht="15" x14ac:dyDescent="0.25">
      <c r="A94" s="79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63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spans="1:27" ht="15" x14ac:dyDescent="0.25">
      <c r="A95" s="79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63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spans="1:27" ht="15" x14ac:dyDescent="0.25">
      <c r="A96" s="79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63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spans="1:27" ht="15" x14ac:dyDescent="0.25">
      <c r="A97" s="79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63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spans="1:27" ht="15" x14ac:dyDescent="0.25">
      <c r="A98" s="79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63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spans="1:27" ht="15" x14ac:dyDescent="0.25">
      <c r="A99" s="79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63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spans="1:27" ht="15" x14ac:dyDescent="0.25">
      <c r="A100" s="79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63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spans="1:27" ht="15" x14ac:dyDescent="0.25">
      <c r="A101" s="79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63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spans="1:27" ht="15" x14ac:dyDescent="0.25">
      <c r="A102" s="79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63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spans="1:27" ht="15" x14ac:dyDescent="0.25">
      <c r="A103" s="79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63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spans="1:27" ht="15" x14ac:dyDescent="0.25">
      <c r="A104" s="79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63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spans="1:27" ht="15" x14ac:dyDescent="0.25">
      <c r="A105" s="79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63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spans="1:27" ht="15" x14ac:dyDescent="0.25">
      <c r="A106" s="79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63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spans="1:27" ht="15" x14ac:dyDescent="0.25">
      <c r="A107" s="79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63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 spans="1:27" ht="15" x14ac:dyDescent="0.25">
      <c r="A108" s="79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63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spans="1:27" ht="15" x14ac:dyDescent="0.25">
      <c r="A109" s="79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63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spans="1:27" ht="15" x14ac:dyDescent="0.25">
      <c r="A110" s="79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63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spans="1:27" ht="15" x14ac:dyDescent="0.25">
      <c r="A111" s="79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63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spans="1:27" ht="15" x14ac:dyDescent="0.25">
      <c r="A112" s="79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63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spans="1:27" ht="15" x14ac:dyDescent="0.25">
      <c r="A113" s="79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63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spans="1:27" ht="15" x14ac:dyDescent="0.25">
      <c r="A114" s="79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63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spans="1:27" ht="15" x14ac:dyDescent="0.25">
      <c r="A115" s="79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63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spans="1:27" ht="15" x14ac:dyDescent="0.25">
      <c r="A116" s="79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63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spans="1:27" ht="15" x14ac:dyDescent="0.25">
      <c r="A117" s="79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63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spans="1:27" ht="15" x14ac:dyDescent="0.25">
      <c r="A118" s="79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63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spans="1:27" ht="15" x14ac:dyDescent="0.25">
      <c r="A119" s="79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63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spans="1:27" ht="15" x14ac:dyDescent="0.25">
      <c r="A120" s="79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63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spans="1:27" ht="15" x14ac:dyDescent="0.25">
      <c r="A121" s="79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63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spans="1:27" ht="15" x14ac:dyDescent="0.25">
      <c r="A122" s="79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63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spans="1:27" ht="15" x14ac:dyDescent="0.25">
      <c r="A123" s="79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63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spans="1:27" ht="15" x14ac:dyDescent="0.25">
      <c r="A124" s="79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63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spans="1:27" ht="15" x14ac:dyDescent="0.25">
      <c r="A125" s="79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63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spans="1:27" ht="15" x14ac:dyDescent="0.25">
      <c r="A126" s="79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63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spans="1:27" ht="15" x14ac:dyDescent="0.25">
      <c r="A127" s="79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63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spans="1:27" ht="15" x14ac:dyDescent="0.25">
      <c r="A128" s="79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63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spans="1:27" ht="15" x14ac:dyDescent="0.25">
      <c r="A129" s="79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63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spans="1:27" ht="15" x14ac:dyDescent="0.25">
      <c r="A130" s="79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63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spans="1:27" ht="15" x14ac:dyDescent="0.25">
      <c r="A131" s="79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63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spans="1:27" ht="15" x14ac:dyDescent="0.25">
      <c r="A132" s="79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63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spans="1:27" ht="15" x14ac:dyDescent="0.25">
      <c r="A133" s="79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63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spans="1:27" ht="15" x14ac:dyDescent="0.25">
      <c r="A134" s="79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63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spans="1:27" ht="15" x14ac:dyDescent="0.25">
      <c r="A135" s="79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63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spans="1:27" ht="15" x14ac:dyDescent="0.25">
      <c r="A136" s="79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63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spans="1:27" ht="15" x14ac:dyDescent="0.25">
      <c r="A137" s="79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63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spans="1:27" ht="15" x14ac:dyDescent="0.25">
      <c r="A138" s="79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63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spans="1:27" ht="15" x14ac:dyDescent="0.25">
      <c r="A139" s="79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63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spans="1:27" ht="15" x14ac:dyDescent="0.25">
      <c r="A140" s="79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63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spans="1:27" ht="15" x14ac:dyDescent="0.25">
      <c r="A141" s="79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63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spans="1:27" ht="15" x14ac:dyDescent="0.25">
      <c r="A142" s="79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63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spans="1:27" ht="15" x14ac:dyDescent="0.25">
      <c r="A143" s="79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63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spans="1:27" ht="15" x14ac:dyDescent="0.25">
      <c r="A144" s="79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63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spans="1:27" ht="15" x14ac:dyDescent="0.25">
      <c r="A145" s="79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63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spans="1:27" ht="15" x14ac:dyDescent="0.25">
      <c r="A146" s="79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63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spans="1:27" ht="15" x14ac:dyDescent="0.25">
      <c r="A147" s="79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63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spans="1:27" ht="15" x14ac:dyDescent="0.25">
      <c r="A148" s="79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63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spans="1:27" ht="15" x14ac:dyDescent="0.25">
      <c r="A149" s="79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63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spans="1:27" ht="15" x14ac:dyDescent="0.25">
      <c r="A150" s="79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63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spans="1:27" ht="15" x14ac:dyDescent="0.25">
      <c r="A151" s="79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63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spans="1:27" ht="15" x14ac:dyDescent="0.25">
      <c r="A152" s="79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63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spans="1:27" ht="15" x14ac:dyDescent="0.25">
      <c r="A153" s="79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63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spans="1:27" ht="15" x14ac:dyDescent="0.25">
      <c r="A154" s="79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63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spans="1:27" ht="15" x14ac:dyDescent="0.25">
      <c r="A155" s="79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63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spans="1:27" ht="15" x14ac:dyDescent="0.25">
      <c r="A156" s="79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63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spans="1:27" ht="15" x14ac:dyDescent="0.25">
      <c r="A157" s="79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63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spans="1:27" ht="15" x14ac:dyDescent="0.25">
      <c r="A158" s="79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63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spans="1:27" ht="15" x14ac:dyDescent="0.25">
      <c r="A159" s="79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63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 spans="1:27" ht="15" x14ac:dyDescent="0.25">
      <c r="A160" s="79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63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spans="1:27" ht="15" x14ac:dyDescent="0.25">
      <c r="A161" s="79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63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spans="1:27" ht="15" x14ac:dyDescent="0.25">
      <c r="A162" s="79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63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spans="1:27" ht="15" x14ac:dyDescent="0.25">
      <c r="A163" s="79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63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spans="1:27" ht="15" x14ac:dyDescent="0.25">
      <c r="A164" s="79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63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spans="1:27" ht="15" x14ac:dyDescent="0.25">
      <c r="A165" s="79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63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spans="1:27" ht="15" x14ac:dyDescent="0.25">
      <c r="A166" s="79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63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spans="1:27" ht="15" x14ac:dyDescent="0.25">
      <c r="A167" s="79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63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spans="1:27" ht="15" x14ac:dyDescent="0.25">
      <c r="A168" s="79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63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spans="1:27" ht="15" x14ac:dyDescent="0.25">
      <c r="A169" s="79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63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spans="1:27" ht="15" x14ac:dyDescent="0.25">
      <c r="A170" s="79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63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spans="1:27" ht="15" x14ac:dyDescent="0.25">
      <c r="A171" s="79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63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spans="1:27" ht="15" x14ac:dyDescent="0.25">
      <c r="A172" s="79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63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spans="1:27" ht="15" x14ac:dyDescent="0.25">
      <c r="A173" s="79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63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spans="1:27" ht="15" x14ac:dyDescent="0.25">
      <c r="A174" s="79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63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spans="1:27" ht="15" x14ac:dyDescent="0.25">
      <c r="A175" s="79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63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spans="1:27" ht="15" x14ac:dyDescent="0.25">
      <c r="A176" s="79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63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spans="1:27" ht="15" x14ac:dyDescent="0.25">
      <c r="A177" s="79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63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spans="1:27" ht="15" x14ac:dyDescent="0.25">
      <c r="A178" s="79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63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spans="1:27" ht="15" x14ac:dyDescent="0.25">
      <c r="A179" s="79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63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spans="1:27" ht="15" x14ac:dyDescent="0.25">
      <c r="A180" s="79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63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spans="1:27" ht="15" x14ac:dyDescent="0.25">
      <c r="A181" s="79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63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spans="1:27" ht="15" x14ac:dyDescent="0.25">
      <c r="A182" s="79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63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spans="1:27" ht="15" x14ac:dyDescent="0.25">
      <c r="A183" s="79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63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spans="1:27" ht="15" x14ac:dyDescent="0.25">
      <c r="A184" s="79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63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spans="1:27" ht="15" x14ac:dyDescent="0.25">
      <c r="A185" s="79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63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spans="1:27" ht="15" x14ac:dyDescent="0.25">
      <c r="A186" s="79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63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spans="1:27" ht="15" x14ac:dyDescent="0.25">
      <c r="A187" s="79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63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spans="1:27" ht="15" x14ac:dyDescent="0.25">
      <c r="A188" s="79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63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spans="1:27" ht="15" x14ac:dyDescent="0.25">
      <c r="A189" s="79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63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spans="1:27" ht="15" x14ac:dyDescent="0.25">
      <c r="A190" s="79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63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spans="1:27" ht="15" x14ac:dyDescent="0.25">
      <c r="A191" s="79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63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spans="1:27" ht="15" x14ac:dyDescent="0.25">
      <c r="A192" s="79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63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spans="1:27" ht="15" x14ac:dyDescent="0.25">
      <c r="A193" s="79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63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spans="1:27" ht="15" x14ac:dyDescent="0.25">
      <c r="A194" s="79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63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spans="1:27" ht="15" x14ac:dyDescent="0.25">
      <c r="A195" s="79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63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spans="1:27" ht="15" x14ac:dyDescent="0.25">
      <c r="A196" s="79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63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spans="1:27" ht="15" x14ac:dyDescent="0.25">
      <c r="A197" s="79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63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spans="1:27" ht="15" x14ac:dyDescent="0.25">
      <c r="A198" s="79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63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spans="1:27" ht="15" x14ac:dyDescent="0.25">
      <c r="A199" s="79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63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spans="1:27" ht="15" x14ac:dyDescent="0.25">
      <c r="A200" s="79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63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spans="1:27" ht="15" x14ac:dyDescent="0.25">
      <c r="A201" s="79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63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spans="1:27" ht="15" x14ac:dyDescent="0.25">
      <c r="A202" s="79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63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spans="1:27" ht="15" x14ac:dyDescent="0.25">
      <c r="A203" s="79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63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spans="1:27" ht="15" x14ac:dyDescent="0.25">
      <c r="A204" s="79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63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spans="1:27" ht="15" x14ac:dyDescent="0.25">
      <c r="A205" s="79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63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spans="1:27" ht="15" x14ac:dyDescent="0.25">
      <c r="A206" s="79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63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spans="1:27" ht="15" x14ac:dyDescent="0.25">
      <c r="A207" s="79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63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spans="1:27" ht="15" x14ac:dyDescent="0.25">
      <c r="A208" s="79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63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spans="1:27" ht="15" x14ac:dyDescent="0.25">
      <c r="A209" s="79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63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spans="1:27" ht="15" x14ac:dyDescent="0.25">
      <c r="A210" s="79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63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spans="1:27" ht="15" x14ac:dyDescent="0.25">
      <c r="A211" s="79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63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spans="1:27" ht="15" x14ac:dyDescent="0.25">
      <c r="A212" s="79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63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spans="1:27" ht="15" x14ac:dyDescent="0.25">
      <c r="A213" s="79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63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spans="1:27" ht="15" x14ac:dyDescent="0.25">
      <c r="A214" s="79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63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spans="1:27" ht="15" x14ac:dyDescent="0.25">
      <c r="A215" s="79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63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spans="1:27" ht="15" x14ac:dyDescent="0.25">
      <c r="A216" s="79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63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spans="1:27" ht="15" x14ac:dyDescent="0.25">
      <c r="A217" s="79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63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spans="1:27" ht="15" x14ac:dyDescent="0.25">
      <c r="A218" s="79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63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spans="1:27" ht="15" x14ac:dyDescent="0.25">
      <c r="A219" s="79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63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spans="1:27" ht="15" x14ac:dyDescent="0.25">
      <c r="A220" s="79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63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spans="1:27" ht="15" x14ac:dyDescent="0.25">
      <c r="A221" s="79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63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spans="1:27" ht="15" x14ac:dyDescent="0.25">
      <c r="A222" s="79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63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spans="1:27" ht="15" x14ac:dyDescent="0.25">
      <c r="A223" s="79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63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spans="1:27" ht="15" x14ac:dyDescent="0.25">
      <c r="A224" s="79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63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spans="1:27" ht="15" x14ac:dyDescent="0.25">
      <c r="A225" s="79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63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spans="1:27" ht="15" x14ac:dyDescent="0.25">
      <c r="A226" s="79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63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spans="1:27" ht="15" x14ac:dyDescent="0.25">
      <c r="A227" s="79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63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spans="1:27" ht="15" x14ac:dyDescent="0.25">
      <c r="A228" s="79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63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spans="1:27" ht="15" x14ac:dyDescent="0.25">
      <c r="A229" s="79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63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spans="1:27" ht="15" x14ac:dyDescent="0.25">
      <c r="A230" s="79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63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spans="1:27" ht="15" x14ac:dyDescent="0.25">
      <c r="A231" s="79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63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spans="1:27" ht="15" x14ac:dyDescent="0.25">
      <c r="A232" s="79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63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spans="1:27" ht="15" x14ac:dyDescent="0.25">
      <c r="A233" s="79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63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spans="1:27" ht="15" x14ac:dyDescent="0.25">
      <c r="A234" s="79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63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spans="1:27" ht="15" x14ac:dyDescent="0.25">
      <c r="A235" s="79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63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spans="1:27" ht="15" x14ac:dyDescent="0.25">
      <c r="A236" s="79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63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spans="1:27" ht="15" x14ac:dyDescent="0.25">
      <c r="A237" s="79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63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spans="1:27" ht="15" x14ac:dyDescent="0.25">
      <c r="A238" s="79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63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spans="1:27" ht="15" x14ac:dyDescent="0.25">
      <c r="A239" s="79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63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spans="1:27" ht="15" x14ac:dyDescent="0.25">
      <c r="A240" s="79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63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</row>
    <row r="241" spans="1:27" ht="15" x14ac:dyDescent="0.25">
      <c r="A241" s="79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63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</row>
    <row r="242" spans="1:27" ht="15" x14ac:dyDescent="0.25">
      <c r="A242" s="79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63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</row>
    <row r="243" spans="1:27" ht="15" x14ac:dyDescent="0.25">
      <c r="A243" s="79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63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</row>
    <row r="244" spans="1:27" ht="15" x14ac:dyDescent="0.25">
      <c r="A244" s="79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63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</row>
    <row r="245" spans="1:27" ht="15" x14ac:dyDescent="0.25">
      <c r="A245" s="79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63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</row>
    <row r="246" spans="1:27" ht="15" x14ac:dyDescent="0.25">
      <c r="A246" s="79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63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</row>
    <row r="247" spans="1:27" ht="15" x14ac:dyDescent="0.25">
      <c r="A247" s="79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63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</row>
    <row r="248" spans="1:27" ht="15" x14ac:dyDescent="0.25">
      <c r="A248" s="79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63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</row>
    <row r="249" spans="1:27" ht="15" x14ac:dyDescent="0.25">
      <c r="A249" s="79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63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</row>
    <row r="250" spans="1:27" ht="15" x14ac:dyDescent="0.25">
      <c r="A250" s="79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63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</row>
    <row r="251" spans="1:27" ht="15" x14ac:dyDescent="0.25">
      <c r="A251" s="79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63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</row>
    <row r="252" spans="1:27" ht="15" x14ac:dyDescent="0.25">
      <c r="A252" s="79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63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</row>
    <row r="253" spans="1:27" ht="15" x14ac:dyDescent="0.25">
      <c r="A253" s="79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63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</row>
    <row r="254" spans="1:27" ht="15" x14ac:dyDescent="0.25">
      <c r="A254" s="79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63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</row>
    <row r="255" spans="1:27" ht="15" x14ac:dyDescent="0.25">
      <c r="A255" s="79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63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 spans="1:27" ht="15" x14ac:dyDescent="0.25">
      <c r="A256" s="79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63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</row>
    <row r="257" spans="1:27" ht="15" x14ac:dyDescent="0.25">
      <c r="A257" s="79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63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</row>
    <row r="258" spans="1:27" ht="15" x14ac:dyDescent="0.25">
      <c r="A258" s="79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63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</row>
    <row r="259" spans="1:27" ht="15" x14ac:dyDescent="0.25">
      <c r="A259" s="79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63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</row>
    <row r="260" spans="1:27" ht="15" x14ac:dyDescent="0.25">
      <c r="A260" s="79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63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</row>
    <row r="261" spans="1:27" ht="15" x14ac:dyDescent="0.25">
      <c r="A261" s="79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63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</row>
    <row r="262" spans="1:27" ht="15" x14ac:dyDescent="0.25">
      <c r="A262" s="79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63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</row>
    <row r="263" spans="1:27" ht="15" x14ac:dyDescent="0.25">
      <c r="A263" s="79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63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</row>
    <row r="264" spans="1:27" ht="15" x14ac:dyDescent="0.25">
      <c r="A264" s="79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63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</row>
    <row r="265" spans="1:27" ht="15" x14ac:dyDescent="0.25">
      <c r="A265" s="79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63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</row>
    <row r="266" spans="1:27" ht="15" x14ac:dyDescent="0.25">
      <c r="A266" s="79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63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</row>
    <row r="267" spans="1:27" ht="15" x14ac:dyDescent="0.25">
      <c r="A267" s="79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63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</row>
    <row r="268" spans="1:27" ht="15" x14ac:dyDescent="0.25">
      <c r="A268" s="79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63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</row>
    <row r="269" spans="1:27" ht="15" x14ac:dyDescent="0.25">
      <c r="A269" s="79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63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</row>
    <row r="270" spans="1:27" ht="15" x14ac:dyDescent="0.25">
      <c r="A270" s="79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63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</row>
    <row r="271" spans="1:27" ht="15" x14ac:dyDescent="0.25">
      <c r="A271" s="79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63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</row>
    <row r="272" spans="1:27" ht="15" x14ac:dyDescent="0.25">
      <c r="A272" s="79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63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</row>
    <row r="273" spans="1:27" ht="15" x14ac:dyDescent="0.25">
      <c r="A273" s="79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63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</row>
    <row r="274" spans="1:27" ht="15" x14ac:dyDescent="0.25">
      <c r="A274" s="79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63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</row>
    <row r="275" spans="1:27" ht="15" x14ac:dyDescent="0.25">
      <c r="A275" s="79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63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</row>
    <row r="276" spans="1:27" ht="15" x14ac:dyDescent="0.25">
      <c r="A276" s="79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63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</row>
    <row r="277" spans="1:27" ht="15" x14ac:dyDescent="0.25">
      <c r="A277" s="79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63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</row>
    <row r="278" spans="1:27" ht="15" x14ac:dyDescent="0.25">
      <c r="A278" s="79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63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</row>
    <row r="279" spans="1:27" ht="15" x14ac:dyDescent="0.25">
      <c r="A279" s="79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63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</row>
    <row r="280" spans="1:27" ht="15" x14ac:dyDescent="0.25">
      <c r="A280" s="79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63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</row>
    <row r="281" spans="1:27" ht="15" x14ac:dyDescent="0.25">
      <c r="A281" s="79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63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</row>
    <row r="282" spans="1:27" ht="15" x14ac:dyDescent="0.25">
      <c r="A282" s="79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63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</row>
    <row r="283" spans="1:27" ht="15" x14ac:dyDescent="0.25">
      <c r="A283" s="79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63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</row>
    <row r="284" spans="1:27" ht="15" x14ac:dyDescent="0.25">
      <c r="A284" s="79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63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</row>
    <row r="285" spans="1:27" ht="15" x14ac:dyDescent="0.25">
      <c r="A285" s="79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63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</row>
    <row r="286" spans="1:27" ht="15" x14ac:dyDescent="0.25">
      <c r="A286" s="79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63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</row>
    <row r="287" spans="1:27" ht="15" x14ac:dyDescent="0.25">
      <c r="A287" s="79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63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</row>
    <row r="288" spans="1:27" ht="15" x14ac:dyDescent="0.25">
      <c r="A288" s="79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63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</row>
    <row r="289" spans="1:27" ht="15" x14ac:dyDescent="0.25">
      <c r="A289" s="79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63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</row>
    <row r="290" spans="1:27" ht="15" x14ac:dyDescent="0.25">
      <c r="A290" s="79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63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</row>
    <row r="291" spans="1:27" ht="15" x14ac:dyDescent="0.25">
      <c r="A291" s="79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63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</row>
    <row r="292" spans="1:27" ht="15" x14ac:dyDescent="0.25">
      <c r="A292" s="79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63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</row>
    <row r="293" spans="1:27" ht="15" x14ac:dyDescent="0.25">
      <c r="A293" s="79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63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</row>
    <row r="294" spans="1:27" ht="15" x14ac:dyDescent="0.25">
      <c r="A294" s="79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63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</row>
    <row r="295" spans="1:27" ht="15" x14ac:dyDescent="0.25">
      <c r="A295" s="79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63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</row>
    <row r="296" spans="1:27" ht="15" x14ac:dyDescent="0.25">
      <c r="A296" s="79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63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</row>
    <row r="297" spans="1:27" ht="15" x14ac:dyDescent="0.25">
      <c r="A297" s="79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63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</row>
    <row r="298" spans="1:27" ht="15" x14ac:dyDescent="0.25">
      <c r="A298" s="79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63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</row>
    <row r="299" spans="1:27" ht="15" x14ac:dyDescent="0.25">
      <c r="A299" s="79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63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</row>
    <row r="300" spans="1:27" ht="15" x14ac:dyDescent="0.25">
      <c r="A300" s="79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63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</row>
    <row r="301" spans="1:27" ht="15" x14ac:dyDescent="0.25">
      <c r="A301" s="79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63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</row>
    <row r="302" spans="1:27" ht="15" x14ac:dyDescent="0.25">
      <c r="A302" s="79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63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</row>
    <row r="303" spans="1:27" ht="15" x14ac:dyDescent="0.25">
      <c r="A303" s="79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63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</row>
    <row r="304" spans="1:27" ht="15" x14ac:dyDescent="0.25">
      <c r="A304" s="79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63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</row>
    <row r="305" spans="1:27" ht="15" x14ac:dyDescent="0.25">
      <c r="A305" s="79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63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</row>
    <row r="306" spans="1:27" ht="15" x14ac:dyDescent="0.25">
      <c r="A306" s="79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63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</row>
    <row r="307" spans="1:27" ht="15" x14ac:dyDescent="0.25">
      <c r="A307" s="79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63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</row>
    <row r="308" spans="1:27" ht="15" x14ac:dyDescent="0.25">
      <c r="A308" s="79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63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</row>
    <row r="309" spans="1:27" ht="15" x14ac:dyDescent="0.25">
      <c r="A309" s="79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63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</row>
    <row r="310" spans="1:27" ht="15" x14ac:dyDescent="0.25">
      <c r="A310" s="79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63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</row>
    <row r="311" spans="1:27" ht="15" x14ac:dyDescent="0.25">
      <c r="A311" s="79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63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</row>
    <row r="312" spans="1:27" ht="15" x14ac:dyDescent="0.25">
      <c r="A312" s="79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63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</row>
    <row r="313" spans="1:27" ht="15" x14ac:dyDescent="0.25">
      <c r="A313" s="79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63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</row>
    <row r="314" spans="1:27" ht="15" x14ac:dyDescent="0.25">
      <c r="A314" s="79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63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</row>
    <row r="315" spans="1:27" ht="15" x14ac:dyDescent="0.25">
      <c r="A315" s="79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63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</row>
    <row r="316" spans="1:27" ht="15" x14ac:dyDescent="0.25">
      <c r="A316" s="79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63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</row>
    <row r="317" spans="1:27" ht="15" x14ac:dyDescent="0.25">
      <c r="A317" s="79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63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</row>
    <row r="318" spans="1:27" ht="15" x14ac:dyDescent="0.25">
      <c r="A318" s="79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63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</row>
    <row r="319" spans="1:27" ht="15" x14ac:dyDescent="0.25">
      <c r="A319" s="79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63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</row>
    <row r="320" spans="1:27" ht="15" x14ac:dyDescent="0.25">
      <c r="A320" s="79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63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</row>
    <row r="321" spans="1:27" ht="15" x14ac:dyDescent="0.25">
      <c r="A321" s="79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63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</row>
    <row r="322" spans="1:27" ht="15" x14ac:dyDescent="0.25">
      <c r="A322" s="79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63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</row>
    <row r="323" spans="1:27" ht="15" x14ac:dyDescent="0.25">
      <c r="A323" s="79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63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</row>
    <row r="324" spans="1:27" ht="15" x14ac:dyDescent="0.25">
      <c r="A324" s="79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63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</row>
    <row r="325" spans="1:27" ht="15" x14ac:dyDescent="0.25">
      <c r="A325" s="79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63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</row>
    <row r="326" spans="1:27" ht="15" x14ac:dyDescent="0.25">
      <c r="A326" s="79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63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</row>
    <row r="327" spans="1:27" ht="15" x14ac:dyDescent="0.25">
      <c r="A327" s="79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63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</row>
    <row r="328" spans="1:27" ht="15" x14ac:dyDescent="0.25">
      <c r="A328" s="79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63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</row>
    <row r="329" spans="1:27" ht="15" x14ac:dyDescent="0.25">
      <c r="A329" s="79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63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</row>
    <row r="330" spans="1:27" ht="15" x14ac:dyDescent="0.25">
      <c r="A330" s="79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63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</row>
    <row r="331" spans="1:27" ht="15" x14ac:dyDescent="0.25">
      <c r="A331" s="79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63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</row>
    <row r="332" spans="1:27" ht="15" x14ac:dyDescent="0.25">
      <c r="A332" s="79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63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</row>
    <row r="333" spans="1:27" ht="15" x14ac:dyDescent="0.25">
      <c r="A333" s="79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63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</row>
    <row r="334" spans="1:27" ht="15" x14ac:dyDescent="0.25">
      <c r="A334" s="79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63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</row>
    <row r="335" spans="1:27" ht="15" x14ac:dyDescent="0.25">
      <c r="A335" s="79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63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</row>
    <row r="336" spans="1:27" ht="15" x14ac:dyDescent="0.25">
      <c r="A336" s="79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63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</row>
    <row r="337" spans="1:27" ht="15" x14ac:dyDescent="0.25">
      <c r="A337" s="79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63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</row>
    <row r="338" spans="1:27" ht="15" x14ac:dyDescent="0.25">
      <c r="A338" s="79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63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</row>
    <row r="339" spans="1:27" ht="15" x14ac:dyDescent="0.25">
      <c r="A339" s="79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63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</row>
    <row r="340" spans="1:27" ht="15" x14ac:dyDescent="0.25">
      <c r="A340" s="79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63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</row>
    <row r="341" spans="1:27" ht="15" x14ac:dyDescent="0.25">
      <c r="A341" s="79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63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</row>
    <row r="342" spans="1:27" ht="15" x14ac:dyDescent="0.25">
      <c r="A342" s="79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63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</row>
    <row r="343" spans="1:27" ht="15" x14ac:dyDescent="0.25">
      <c r="A343" s="79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63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</row>
    <row r="344" spans="1:27" ht="15" x14ac:dyDescent="0.25">
      <c r="A344" s="79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63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</row>
    <row r="345" spans="1:27" ht="15" x14ac:dyDescent="0.25">
      <c r="A345" s="79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63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</row>
    <row r="346" spans="1:27" ht="15" x14ac:dyDescent="0.25">
      <c r="A346" s="79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63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</row>
    <row r="347" spans="1:27" ht="15" x14ac:dyDescent="0.25">
      <c r="A347" s="79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63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</row>
    <row r="348" spans="1:27" ht="15" x14ac:dyDescent="0.25">
      <c r="A348" s="79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63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</row>
    <row r="349" spans="1:27" ht="15" x14ac:dyDescent="0.25">
      <c r="A349" s="79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63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</row>
    <row r="350" spans="1:27" ht="15" x14ac:dyDescent="0.25">
      <c r="A350" s="79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63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</row>
    <row r="351" spans="1:27" ht="15" x14ac:dyDescent="0.25">
      <c r="A351" s="79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63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</row>
    <row r="352" spans="1:27" ht="15" x14ac:dyDescent="0.25">
      <c r="A352" s="79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63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</row>
    <row r="353" spans="1:27" ht="15" x14ac:dyDescent="0.25">
      <c r="A353" s="79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63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</row>
    <row r="354" spans="1:27" ht="15" x14ac:dyDescent="0.25">
      <c r="A354" s="79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63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</row>
    <row r="355" spans="1:27" ht="15" x14ac:dyDescent="0.25">
      <c r="A355" s="79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63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</row>
    <row r="356" spans="1:27" ht="15" x14ac:dyDescent="0.25">
      <c r="A356" s="79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63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</row>
    <row r="357" spans="1:27" ht="15" x14ac:dyDescent="0.25">
      <c r="A357" s="79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63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</row>
    <row r="358" spans="1:27" ht="15" x14ac:dyDescent="0.25">
      <c r="A358" s="79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63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</row>
    <row r="359" spans="1:27" ht="15" x14ac:dyDescent="0.25">
      <c r="A359" s="79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63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</row>
    <row r="360" spans="1:27" ht="15" x14ac:dyDescent="0.25">
      <c r="A360" s="79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63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</row>
    <row r="361" spans="1:27" ht="15" x14ac:dyDescent="0.25">
      <c r="A361" s="79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63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</row>
    <row r="362" spans="1:27" ht="15" x14ac:dyDescent="0.25">
      <c r="A362" s="79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63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</row>
    <row r="363" spans="1:27" ht="15" x14ac:dyDescent="0.25">
      <c r="A363" s="79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63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</row>
    <row r="364" spans="1:27" ht="15" x14ac:dyDescent="0.25">
      <c r="A364" s="79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63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</row>
    <row r="365" spans="1:27" ht="15" x14ac:dyDescent="0.25">
      <c r="A365" s="79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63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</row>
    <row r="366" spans="1:27" ht="15" x14ac:dyDescent="0.25">
      <c r="A366" s="79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63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</row>
    <row r="367" spans="1:27" ht="15" x14ac:dyDescent="0.25">
      <c r="A367" s="79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63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</row>
    <row r="368" spans="1:27" ht="15" x14ac:dyDescent="0.25">
      <c r="A368" s="79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63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</row>
    <row r="369" spans="1:27" ht="15" x14ac:dyDescent="0.25">
      <c r="A369" s="79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63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</row>
    <row r="370" spans="1:27" ht="15" x14ac:dyDescent="0.25">
      <c r="A370" s="79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63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</row>
    <row r="371" spans="1:27" ht="15" x14ac:dyDescent="0.25">
      <c r="A371" s="79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63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</row>
    <row r="372" spans="1:27" ht="15" x14ac:dyDescent="0.25">
      <c r="A372" s="79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63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</row>
    <row r="373" spans="1:27" ht="15" x14ac:dyDescent="0.25">
      <c r="A373" s="79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63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</row>
    <row r="374" spans="1:27" ht="15" x14ac:dyDescent="0.25">
      <c r="A374" s="79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63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</row>
    <row r="375" spans="1:27" ht="15" x14ac:dyDescent="0.25">
      <c r="A375" s="79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63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</row>
    <row r="376" spans="1:27" ht="15" x14ac:dyDescent="0.25">
      <c r="A376" s="79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63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</row>
    <row r="377" spans="1:27" ht="15" x14ac:dyDescent="0.25">
      <c r="A377" s="79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63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</row>
    <row r="378" spans="1:27" ht="15" x14ac:dyDescent="0.25">
      <c r="A378" s="79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63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</row>
    <row r="379" spans="1:27" ht="15" x14ac:dyDescent="0.25">
      <c r="A379" s="79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63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</row>
    <row r="380" spans="1:27" ht="15" x14ac:dyDescent="0.25">
      <c r="A380" s="79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63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</row>
    <row r="381" spans="1:27" ht="15" x14ac:dyDescent="0.25">
      <c r="A381" s="79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63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</row>
    <row r="382" spans="1:27" ht="15" x14ac:dyDescent="0.25">
      <c r="A382" s="79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63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</row>
    <row r="383" spans="1:27" ht="15" x14ac:dyDescent="0.25">
      <c r="A383" s="79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63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</row>
    <row r="384" spans="1:27" ht="15" x14ac:dyDescent="0.25">
      <c r="A384" s="79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63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</row>
    <row r="385" spans="1:27" ht="15" x14ac:dyDescent="0.25">
      <c r="A385" s="79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63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</row>
    <row r="386" spans="1:27" ht="15" x14ac:dyDescent="0.25">
      <c r="A386" s="79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63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</row>
    <row r="387" spans="1:27" ht="15" x14ac:dyDescent="0.25">
      <c r="A387" s="79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63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</row>
    <row r="388" spans="1:27" ht="15" x14ac:dyDescent="0.25">
      <c r="A388" s="79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63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</row>
    <row r="389" spans="1:27" ht="15" x14ac:dyDescent="0.25">
      <c r="A389" s="79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63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</row>
    <row r="390" spans="1:27" ht="15" x14ac:dyDescent="0.25">
      <c r="A390" s="79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63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</row>
    <row r="391" spans="1:27" ht="15" x14ac:dyDescent="0.25">
      <c r="A391" s="79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63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</row>
    <row r="392" spans="1:27" ht="15" x14ac:dyDescent="0.25">
      <c r="A392" s="79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63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</row>
    <row r="393" spans="1:27" ht="15" x14ac:dyDescent="0.25">
      <c r="A393" s="79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63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</row>
    <row r="394" spans="1:27" ht="15" x14ac:dyDescent="0.25">
      <c r="A394" s="79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63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</row>
    <row r="395" spans="1:27" ht="15" x14ac:dyDescent="0.25">
      <c r="A395" s="79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63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</row>
    <row r="396" spans="1:27" ht="15" x14ac:dyDescent="0.25">
      <c r="A396" s="79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63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</row>
    <row r="397" spans="1:27" ht="15" x14ac:dyDescent="0.25">
      <c r="A397" s="79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63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</row>
    <row r="398" spans="1:27" ht="15" x14ac:dyDescent="0.25">
      <c r="A398" s="79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63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</row>
    <row r="399" spans="1:27" ht="15" x14ac:dyDescent="0.25">
      <c r="A399" s="79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63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</row>
    <row r="400" spans="1:27" ht="15" x14ac:dyDescent="0.25">
      <c r="A400" s="79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63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</row>
    <row r="401" spans="1:27" ht="15" x14ac:dyDescent="0.25">
      <c r="A401" s="79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63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</row>
    <row r="402" spans="1:27" ht="15" x14ac:dyDescent="0.25">
      <c r="A402" s="79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63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</row>
    <row r="403" spans="1:27" ht="15" x14ac:dyDescent="0.25">
      <c r="A403" s="79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63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</row>
    <row r="404" spans="1:27" ht="15" x14ac:dyDescent="0.25">
      <c r="A404" s="79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63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</row>
    <row r="405" spans="1:27" ht="15" x14ac:dyDescent="0.25">
      <c r="A405" s="79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63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</row>
    <row r="406" spans="1:27" ht="15" x14ac:dyDescent="0.25">
      <c r="A406" s="79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63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</row>
    <row r="407" spans="1:27" ht="15" x14ac:dyDescent="0.25">
      <c r="A407" s="79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63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</row>
    <row r="408" spans="1:27" ht="15" x14ac:dyDescent="0.25">
      <c r="A408" s="79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63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</row>
    <row r="409" spans="1:27" ht="15" x14ac:dyDescent="0.25">
      <c r="A409" s="79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63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</row>
    <row r="410" spans="1:27" ht="15" x14ac:dyDescent="0.25">
      <c r="A410" s="79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63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</row>
    <row r="411" spans="1:27" ht="15" x14ac:dyDescent="0.25">
      <c r="A411" s="79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63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</row>
    <row r="412" spans="1:27" ht="15" x14ac:dyDescent="0.25">
      <c r="A412" s="79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63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</row>
    <row r="413" spans="1:27" ht="15" x14ac:dyDescent="0.25">
      <c r="A413" s="79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63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</row>
    <row r="414" spans="1:27" ht="15" x14ac:dyDescent="0.25">
      <c r="A414" s="79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63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</row>
    <row r="415" spans="1:27" ht="15" x14ac:dyDescent="0.25">
      <c r="A415" s="79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63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</row>
    <row r="416" spans="1:27" ht="15" x14ac:dyDescent="0.25">
      <c r="A416" s="79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63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</row>
    <row r="417" spans="1:27" ht="15" x14ac:dyDescent="0.25">
      <c r="A417" s="79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63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</row>
    <row r="418" spans="1:27" ht="15" x14ac:dyDescent="0.25">
      <c r="A418" s="79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63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</row>
    <row r="419" spans="1:27" ht="15" x14ac:dyDescent="0.25">
      <c r="A419" s="79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63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</row>
    <row r="420" spans="1:27" ht="15" x14ac:dyDescent="0.25">
      <c r="A420" s="79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63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</row>
    <row r="421" spans="1:27" ht="15" x14ac:dyDescent="0.25">
      <c r="A421" s="79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63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</row>
    <row r="422" spans="1:27" ht="15" x14ac:dyDescent="0.25">
      <c r="A422" s="79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63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</row>
    <row r="423" spans="1:27" ht="15" x14ac:dyDescent="0.25">
      <c r="A423" s="79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63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</row>
    <row r="424" spans="1:27" ht="15" x14ac:dyDescent="0.25">
      <c r="A424" s="79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63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</row>
    <row r="425" spans="1:27" ht="15" x14ac:dyDescent="0.25">
      <c r="A425" s="79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63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</row>
    <row r="426" spans="1:27" ht="15" x14ac:dyDescent="0.25">
      <c r="A426" s="79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63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</row>
    <row r="427" spans="1:27" ht="15" x14ac:dyDescent="0.25">
      <c r="A427" s="79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63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</row>
    <row r="428" spans="1:27" ht="15" x14ac:dyDescent="0.25">
      <c r="A428" s="79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63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</row>
    <row r="429" spans="1:27" ht="15" x14ac:dyDescent="0.25">
      <c r="A429" s="79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63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</row>
    <row r="430" spans="1:27" ht="15" x14ac:dyDescent="0.25">
      <c r="A430" s="79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63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</row>
    <row r="431" spans="1:27" ht="15" x14ac:dyDescent="0.25">
      <c r="A431" s="79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63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</row>
    <row r="432" spans="1:27" ht="15" x14ac:dyDescent="0.25">
      <c r="A432" s="79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63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</row>
    <row r="433" spans="1:27" ht="15" x14ac:dyDescent="0.25">
      <c r="A433" s="79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63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</row>
    <row r="434" spans="1:27" ht="15" x14ac:dyDescent="0.25">
      <c r="A434" s="79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63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</row>
    <row r="435" spans="1:27" ht="15" x14ac:dyDescent="0.25">
      <c r="A435" s="79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63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</row>
    <row r="436" spans="1:27" ht="15" x14ac:dyDescent="0.25">
      <c r="A436" s="79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63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</row>
    <row r="437" spans="1:27" ht="15" x14ac:dyDescent="0.25">
      <c r="A437" s="79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63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</row>
    <row r="438" spans="1:27" ht="15" x14ac:dyDescent="0.25">
      <c r="A438" s="79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63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</row>
    <row r="439" spans="1:27" ht="15" x14ac:dyDescent="0.25">
      <c r="A439" s="79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63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</row>
    <row r="440" spans="1:27" ht="15" x14ac:dyDescent="0.25">
      <c r="A440" s="79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63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</row>
    <row r="441" spans="1:27" ht="15" x14ac:dyDescent="0.25">
      <c r="A441" s="79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63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</row>
    <row r="442" spans="1:27" ht="15" x14ac:dyDescent="0.25">
      <c r="A442" s="79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63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</row>
    <row r="443" spans="1:27" ht="15" x14ac:dyDescent="0.25">
      <c r="A443" s="79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63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</row>
    <row r="444" spans="1:27" ht="15" x14ac:dyDescent="0.25">
      <c r="A444" s="79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63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</row>
    <row r="445" spans="1:27" ht="15" x14ac:dyDescent="0.25">
      <c r="A445" s="79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63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</row>
    <row r="446" spans="1:27" ht="15" x14ac:dyDescent="0.25">
      <c r="A446" s="79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63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</row>
    <row r="447" spans="1:27" ht="15" x14ac:dyDescent="0.25">
      <c r="A447" s="79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63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</row>
    <row r="448" spans="1:27" ht="15" x14ac:dyDescent="0.25">
      <c r="A448" s="79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63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</row>
    <row r="449" spans="1:27" ht="15" x14ac:dyDescent="0.25">
      <c r="A449" s="79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63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</row>
    <row r="450" spans="1:27" ht="15" x14ac:dyDescent="0.25">
      <c r="A450" s="79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63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</row>
    <row r="451" spans="1:27" ht="15" x14ac:dyDescent="0.25">
      <c r="A451" s="79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63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</row>
    <row r="452" spans="1:27" ht="15" x14ac:dyDescent="0.25">
      <c r="A452" s="79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63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</row>
    <row r="453" spans="1:27" ht="15" x14ac:dyDescent="0.25">
      <c r="A453" s="79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63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</row>
    <row r="454" spans="1:27" ht="15" x14ac:dyDescent="0.25">
      <c r="A454" s="79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63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</row>
    <row r="455" spans="1:27" ht="15" x14ac:dyDescent="0.25">
      <c r="A455" s="79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63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</row>
    <row r="456" spans="1:27" ht="15" x14ac:dyDescent="0.25">
      <c r="A456" s="79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63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</row>
    <row r="457" spans="1:27" ht="15" x14ac:dyDescent="0.25">
      <c r="A457" s="79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63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</row>
    <row r="458" spans="1:27" ht="15" x14ac:dyDescent="0.25">
      <c r="A458" s="79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63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</row>
    <row r="459" spans="1:27" ht="15" x14ac:dyDescent="0.25">
      <c r="A459" s="79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63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</row>
    <row r="460" spans="1:27" ht="15" x14ac:dyDescent="0.25">
      <c r="A460" s="79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63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</row>
    <row r="461" spans="1:27" ht="15" x14ac:dyDescent="0.25">
      <c r="A461" s="79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63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</row>
    <row r="462" spans="1:27" ht="15" x14ac:dyDescent="0.25">
      <c r="A462" s="79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63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</row>
    <row r="463" spans="1:27" ht="15" x14ac:dyDescent="0.25">
      <c r="A463" s="79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63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</row>
    <row r="464" spans="1:27" ht="15" x14ac:dyDescent="0.25">
      <c r="A464" s="79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63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</row>
    <row r="465" spans="1:27" ht="15" x14ac:dyDescent="0.25">
      <c r="A465" s="79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63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</row>
    <row r="466" spans="1:27" ht="15" x14ac:dyDescent="0.25">
      <c r="A466" s="79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63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</row>
    <row r="467" spans="1:27" ht="15" x14ac:dyDescent="0.25">
      <c r="A467" s="79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63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</row>
    <row r="468" spans="1:27" ht="15" x14ac:dyDescent="0.25">
      <c r="A468" s="79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63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</row>
    <row r="469" spans="1:27" ht="15" x14ac:dyDescent="0.25">
      <c r="A469" s="79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63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</row>
    <row r="470" spans="1:27" ht="15" x14ac:dyDescent="0.25">
      <c r="A470" s="79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63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</row>
    <row r="471" spans="1:27" ht="15" x14ac:dyDescent="0.25">
      <c r="A471" s="79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63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</row>
    <row r="472" spans="1:27" ht="15" x14ac:dyDescent="0.25">
      <c r="A472" s="79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63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</row>
    <row r="473" spans="1:27" ht="15" x14ac:dyDescent="0.25">
      <c r="A473" s="79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63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</row>
    <row r="474" spans="1:27" ht="15" x14ac:dyDescent="0.25">
      <c r="A474" s="79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63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</row>
    <row r="475" spans="1:27" ht="15" x14ac:dyDescent="0.25">
      <c r="A475" s="79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63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</row>
    <row r="476" spans="1:27" ht="15" x14ac:dyDescent="0.25">
      <c r="A476" s="79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63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</row>
    <row r="477" spans="1:27" ht="15" x14ac:dyDescent="0.25">
      <c r="A477" s="79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63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</row>
    <row r="478" spans="1:27" ht="15" x14ac:dyDescent="0.25">
      <c r="A478" s="79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63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</row>
    <row r="479" spans="1:27" ht="15" x14ac:dyDescent="0.25">
      <c r="A479" s="79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63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</row>
    <row r="480" spans="1:27" ht="15" x14ac:dyDescent="0.25">
      <c r="A480" s="79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63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</row>
    <row r="481" spans="1:27" ht="15" x14ac:dyDescent="0.25">
      <c r="A481" s="79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63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</row>
    <row r="482" spans="1:27" ht="15" x14ac:dyDescent="0.25">
      <c r="A482" s="79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63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</row>
    <row r="483" spans="1:27" ht="15" x14ac:dyDescent="0.25">
      <c r="A483" s="79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63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</row>
    <row r="484" spans="1:27" ht="15" x14ac:dyDescent="0.25">
      <c r="A484" s="79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63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</row>
    <row r="485" spans="1:27" ht="15" x14ac:dyDescent="0.25">
      <c r="A485" s="79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63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</row>
    <row r="486" spans="1:27" ht="15" x14ac:dyDescent="0.25">
      <c r="A486" s="79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63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</row>
    <row r="487" spans="1:27" ht="15" x14ac:dyDescent="0.25">
      <c r="A487" s="79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63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</row>
    <row r="488" spans="1:27" ht="15" x14ac:dyDescent="0.25">
      <c r="A488" s="79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63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</row>
    <row r="489" spans="1:27" ht="15" x14ac:dyDescent="0.25">
      <c r="A489" s="79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63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</row>
    <row r="490" spans="1:27" ht="15" x14ac:dyDescent="0.25">
      <c r="A490" s="79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63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</row>
    <row r="491" spans="1:27" ht="15" x14ac:dyDescent="0.25">
      <c r="A491" s="79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63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</row>
    <row r="492" spans="1:27" ht="15" x14ac:dyDescent="0.25">
      <c r="A492" s="79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63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</row>
    <row r="493" spans="1:27" ht="15" x14ac:dyDescent="0.25">
      <c r="A493" s="79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63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</row>
    <row r="494" spans="1:27" ht="15" x14ac:dyDescent="0.25">
      <c r="A494" s="79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63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</row>
    <row r="495" spans="1:27" ht="15" x14ac:dyDescent="0.25">
      <c r="A495" s="79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63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</row>
    <row r="496" spans="1:27" ht="15" x14ac:dyDescent="0.25">
      <c r="A496" s="79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63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</row>
    <row r="497" spans="1:27" ht="15" x14ac:dyDescent="0.25">
      <c r="A497" s="79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63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</row>
    <row r="498" spans="1:27" ht="15" x14ac:dyDescent="0.25">
      <c r="A498" s="79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63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</row>
    <row r="499" spans="1:27" ht="15" x14ac:dyDescent="0.25">
      <c r="A499" s="79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63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</row>
    <row r="500" spans="1:27" ht="15" x14ac:dyDescent="0.25">
      <c r="A500" s="79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63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</row>
    <row r="501" spans="1:27" ht="15" x14ac:dyDescent="0.25">
      <c r="A501" s="79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63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</row>
    <row r="502" spans="1:27" ht="15" x14ac:dyDescent="0.25">
      <c r="A502" s="79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63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</row>
    <row r="503" spans="1:27" ht="15" x14ac:dyDescent="0.25">
      <c r="A503" s="79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63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</row>
    <row r="504" spans="1:27" ht="15" x14ac:dyDescent="0.25">
      <c r="A504" s="79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63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</row>
    <row r="505" spans="1:27" ht="15" x14ac:dyDescent="0.25">
      <c r="A505" s="79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63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</row>
    <row r="506" spans="1:27" ht="15" x14ac:dyDescent="0.25">
      <c r="A506" s="79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63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</row>
    <row r="507" spans="1:27" ht="15" x14ac:dyDescent="0.25">
      <c r="A507" s="79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63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</row>
    <row r="508" spans="1:27" ht="15" x14ac:dyDescent="0.25">
      <c r="A508" s="79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63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</row>
    <row r="509" spans="1:27" ht="15" x14ac:dyDescent="0.25">
      <c r="A509" s="79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63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</row>
    <row r="510" spans="1:27" ht="15" x14ac:dyDescent="0.25">
      <c r="A510" s="79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63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</row>
    <row r="511" spans="1:27" ht="15" x14ac:dyDescent="0.25">
      <c r="A511" s="79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63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</row>
    <row r="512" spans="1:27" ht="15" x14ac:dyDescent="0.25">
      <c r="A512" s="79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63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</row>
    <row r="513" spans="1:27" ht="15" x14ac:dyDescent="0.25">
      <c r="A513" s="79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63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</row>
    <row r="514" spans="1:27" ht="15" x14ac:dyDescent="0.25">
      <c r="A514" s="79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63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</row>
    <row r="515" spans="1:27" ht="15" x14ac:dyDescent="0.25">
      <c r="A515" s="79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63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</row>
    <row r="516" spans="1:27" ht="15" x14ac:dyDescent="0.25">
      <c r="A516" s="79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63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</row>
    <row r="517" spans="1:27" ht="15" x14ac:dyDescent="0.25">
      <c r="A517" s="79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63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</row>
    <row r="518" spans="1:27" ht="15" x14ac:dyDescent="0.25">
      <c r="A518" s="79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63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</row>
    <row r="519" spans="1:27" ht="15" x14ac:dyDescent="0.25">
      <c r="A519" s="79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63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</row>
    <row r="520" spans="1:27" ht="15" x14ac:dyDescent="0.25">
      <c r="A520" s="79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63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</row>
    <row r="521" spans="1:27" ht="15" x14ac:dyDescent="0.25">
      <c r="A521" s="79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63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</row>
    <row r="522" spans="1:27" ht="15" x14ac:dyDescent="0.25">
      <c r="A522" s="79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63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</row>
    <row r="523" spans="1:27" ht="15" x14ac:dyDescent="0.25">
      <c r="A523" s="79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63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</row>
    <row r="524" spans="1:27" ht="15" x14ac:dyDescent="0.25">
      <c r="A524" s="79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63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</row>
    <row r="525" spans="1:27" ht="15" x14ac:dyDescent="0.25">
      <c r="A525" s="79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63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</row>
    <row r="526" spans="1:27" ht="15" x14ac:dyDescent="0.25">
      <c r="A526" s="79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63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</row>
    <row r="527" spans="1:27" ht="15" x14ac:dyDescent="0.25">
      <c r="A527" s="79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63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</row>
    <row r="528" spans="1:27" ht="15" x14ac:dyDescent="0.25">
      <c r="A528" s="79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63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</row>
    <row r="529" spans="1:27" ht="15" x14ac:dyDescent="0.25">
      <c r="A529" s="79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63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</row>
    <row r="530" spans="1:27" ht="15" x14ac:dyDescent="0.25">
      <c r="A530" s="79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63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</row>
    <row r="531" spans="1:27" ht="15" x14ac:dyDescent="0.25">
      <c r="A531" s="79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63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</row>
    <row r="532" spans="1:27" ht="15" x14ac:dyDescent="0.25">
      <c r="A532" s="79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63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</row>
    <row r="533" spans="1:27" ht="15" x14ac:dyDescent="0.25">
      <c r="A533" s="79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63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</row>
    <row r="534" spans="1:27" ht="15" x14ac:dyDescent="0.25">
      <c r="A534" s="79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63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</row>
    <row r="535" spans="1:27" ht="15" x14ac:dyDescent="0.25">
      <c r="A535" s="79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63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</row>
    <row r="536" spans="1:27" ht="15" x14ac:dyDescent="0.25">
      <c r="A536" s="79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63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</row>
    <row r="537" spans="1:27" ht="15" x14ac:dyDescent="0.25">
      <c r="A537" s="79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63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</row>
    <row r="538" spans="1:27" ht="15" x14ac:dyDescent="0.25">
      <c r="A538" s="79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63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</row>
    <row r="539" spans="1:27" ht="15" x14ac:dyDescent="0.25">
      <c r="A539" s="79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63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</row>
    <row r="540" spans="1:27" ht="15" x14ac:dyDescent="0.25">
      <c r="A540" s="79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63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</row>
    <row r="541" spans="1:27" ht="15" x14ac:dyDescent="0.25">
      <c r="A541" s="79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63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</row>
    <row r="542" spans="1:27" ht="15" x14ac:dyDescent="0.25">
      <c r="A542" s="79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63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</row>
    <row r="543" spans="1:27" ht="15" x14ac:dyDescent="0.25">
      <c r="A543" s="79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63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</row>
    <row r="544" spans="1:27" ht="15" x14ac:dyDescent="0.25">
      <c r="A544" s="79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63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</row>
    <row r="545" spans="1:27" ht="15" x14ac:dyDescent="0.25">
      <c r="A545" s="79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63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</row>
    <row r="546" spans="1:27" ht="15" x14ac:dyDescent="0.25">
      <c r="A546" s="79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63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</row>
    <row r="547" spans="1:27" ht="15" x14ac:dyDescent="0.25">
      <c r="A547" s="79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63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</row>
    <row r="548" spans="1:27" ht="15" x14ac:dyDescent="0.25">
      <c r="A548" s="79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63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</row>
    <row r="549" spans="1:27" ht="15" x14ac:dyDescent="0.25">
      <c r="A549" s="79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63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</row>
    <row r="550" spans="1:27" ht="15" x14ac:dyDescent="0.25">
      <c r="A550" s="79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63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</row>
    <row r="551" spans="1:27" ht="15" x14ac:dyDescent="0.25">
      <c r="A551" s="79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63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</row>
    <row r="552" spans="1:27" ht="15" x14ac:dyDescent="0.25">
      <c r="A552" s="79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63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</row>
    <row r="553" spans="1:27" ht="15" x14ac:dyDescent="0.25">
      <c r="A553" s="79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63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</row>
    <row r="554" spans="1:27" ht="15" x14ac:dyDescent="0.25">
      <c r="A554" s="79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63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</row>
    <row r="555" spans="1:27" ht="15" x14ac:dyDescent="0.25">
      <c r="A555" s="79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63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</row>
    <row r="556" spans="1:27" ht="15" x14ac:dyDescent="0.25">
      <c r="A556" s="79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63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</row>
    <row r="557" spans="1:27" ht="15" x14ac:dyDescent="0.25">
      <c r="A557" s="79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63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</row>
    <row r="558" spans="1:27" ht="15" x14ac:dyDescent="0.25">
      <c r="A558" s="79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63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</row>
    <row r="559" spans="1:27" ht="15" x14ac:dyDescent="0.25">
      <c r="A559" s="79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63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</row>
    <row r="560" spans="1:27" ht="15" x14ac:dyDescent="0.25">
      <c r="A560" s="79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63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</row>
    <row r="561" spans="1:27" ht="15" x14ac:dyDescent="0.25">
      <c r="A561" s="79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63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</row>
    <row r="562" spans="1:27" ht="15" x14ac:dyDescent="0.25">
      <c r="A562" s="79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63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</row>
    <row r="563" spans="1:27" ht="15" x14ac:dyDescent="0.25">
      <c r="A563" s="79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63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</row>
    <row r="564" spans="1:27" ht="15" x14ac:dyDescent="0.25">
      <c r="A564" s="79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63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</row>
    <row r="565" spans="1:27" ht="15" x14ac:dyDescent="0.25">
      <c r="A565" s="79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63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</row>
    <row r="566" spans="1:27" ht="15" x14ac:dyDescent="0.25">
      <c r="A566" s="79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63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</row>
    <row r="567" spans="1:27" ht="15" x14ac:dyDescent="0.25">
      <c r="A567" s="79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63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</row>
    <row r="568" spans="1:27" ht="15" x14ac:dyDescent="0.25">
      <c r="A568" s="79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63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</row>
    <row r="569" spans="1:27" ht="15" x14ac:dyDescent="0.25">
      <c r="A569" s="79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63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</row>
    <row r="570" spans="1:27" ht="15" x14ac:dyDescent="0.25">
      <c r="A570" s="79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63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</row>
    <row r="571" spans="1:27" ht="15" x14ac:dyDescent="0.25">
      <c r="A571" s="79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63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</row>
    <row r="572" spans="1:27" ht="15" x14ac:dyDescent="0.25">
      <c r="A572" s="79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63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</row>
    <row r="573" spans="1:27" ht="15" x14ac:dyDescent="0.25">
      <c r="A573" s="79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63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</row>
    <row r="574" spans="1:27" ht="15" x14ac:dyDescent="0.25">
      <c r="A574" s="79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63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</row>
    <row r="575" spans="1:27" ht="15" x14ac:dyDescent="0.25">
      <c r="A575" s="79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63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</row>
    <row r="576" spans="1:27" ht="15" x14ac:dyDescent="0.25">
      <c r="A576" s="79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63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</row>
    <row r="577" spans="1:27" ht="15" x14ac:dyDescent="0.25">
      <c r="A577" s="79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63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</row>
    <row r="578" spans="1:27" ht="15" x14ac:dyDescent="0.25">
      <c r="A578" s="79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63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</row>
    <row r="579" spans="1:27" ht="15" x14ac:dyDescent="0.25">
      <c r="A579" s="79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63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</row>
    <row r="580" spans="1:27" ht="15" x14ac:dyDescent="0.25">
      <c r="A580" s="79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63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</row>
    <row r="581" spans="1:27" ht="15" x14ac:dyDescent="0.25">
      <c r="A581" s="79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63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</row>
    <row r="582" spans="1:27" ht="15" x14ac:dyDescent="0.25">
      <c r="A582" s="79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63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</row>
    <row r="583" spans="1:27" ht="15" x14ac:dyDescent="0.25">
      <c r="A583" s="79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63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</row>
    <row r="584" spans="1:27" ht="15" x14ac:dyDescent="0.25">
      <c r="A584" s="79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63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</row>
    <row r="585" spans="1:27" ht="15" x14ac:dyDescent="0.25">
      <c r="A585" s="79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63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</row>
    <row r="586" spans="1:27" ht="15" x14ac:dyDescent="0.25">
      <c r="A586" s="79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63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</row>
    <row r="587" spans="1:27" ht="15" x14ac:dyDescent="0.25">
      <c r="A587" s="79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63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</row>
    <row r="588" spans="1:27" ht="15" x14ac:dyDescent="0.25">
      <c r="A588" s="79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63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</row>
    <row r="589" spans="1:27" ht="15" x14ac:dyDescent="0.25">
      <c r="A589" s="79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63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</row>
    <row r="590" spans="1:27" ht="15" x14ac:dyDescent="0.25">
      <c r="A590" s="79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63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</row>
    <row r="591" spans="1:27" ht="15" x14ac:dyDescent="0.25">
      <c r="A591" s="79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63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</row>
    <row r="592" spans="1:27" ht="15" x14ac:dyDescent="0.25">
      <c r="A592" s="79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63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</row>
    <row r="593" spans="1:27" ht="15" x14ac:dyDescent="0.25">
      <c r="A593" s="79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63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</row>
    <row r="594" spans="1:27" ht="15" x14ac:dyDescent="0.25">
      <c r="A594" s="79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63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</row>
    <row r="595" spans="1:27" ht="15" x14ac:dyDescent="0.25">
      <c r="A595" s="79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63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</row>
    <row r="596" spans="1:27" ht="15" x14ac:dyDescent="0.25">
      <c r="A596" s="79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63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</row>
    <row r="597" spans="1:27" ht="15" x14ac:dyDescent="0.25">
      <c r="A597" s="79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63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</row>
    <row r="598" spans="1:27" ht="15" x14ac:dyDescent="0.25">
      <c r="A598" s="79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63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</row>
    <row r="599" spans="1:27" ht="15" x14ac:dyDescent="0.25">
      <c r="A599" s="79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63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</row>
    <row r="600" spans="1:27" ht="15" x14ac:dyDescent="0.25">
      <c r="A600" s="79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63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</row>
    <row r="601" spans="1:27" ht="15" x14ac:dyDescent="0.25">
      <c r="A601" s="79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63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</row>
    <row r="602" spans="1:27" ht="15" x14ac:dyDescent="0.25">
      <c r="A602" s="79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63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</row>
    <row r="603" spans="1:27" ht="15" x14ac:dyDescent="0.25">
      <c r="A603" s="79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63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</row>
    <row r="604" spans="1:27" ht="15" x14ac:dyDescent="0.25">
      <c r="A604" s="79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63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</row>
    <row r="605" spans="1:27" ht="15" x14ac:dyDescent="0.25">
      <c r="A605" s="79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63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</row>
    <row r="606" spans="1:27" ht="15" x14ac:dyDescent="0.25">
      <c r="A606" s="79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63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</row>
    <row r="607" spans="1:27" ht="15" x14ac:dyDescent="0.25">
      <c r="A607" s="79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63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</row>
    <row r="608" spans="1:27" ht="15" x14ac:dyDescent="0.25">
      <c r="A608" s="79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63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</row>
    <row r="609" spans="1:27" ht="15" x14ac:dyDescent="0.25">
      <c r="A609" s="79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63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</row>
    <row r="610" spans="1:27" ht="15" x14ac:dyDescent="0.25">
      <c r="A610" s="79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63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</row>
    <row r="611" spans="1:27" ht="15" x14ac:dyDescent="0.25">
      <c r="A611" s="79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63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</row>
    <row r="612" spans="1:27" ht="15" x14ac:dyDescent="0.25">
      <c r="A612" s="79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63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</row>
    <row r="613" spans="1:27" ht="15" x14ac:dyDescent="0.25">
      <c r="A613" s="79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63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</row>
    <row r="614" spans="1:27" ht="15" x14ac:dyDescent="0.25">
      <c r="A614" s="79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63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</row>
    <row r="615" spans="1:27" ht="15" x14ac:dyDescent="0.25">
      <c r="A615" s="79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63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</row>
    <row r="616" spans="1:27" ht="15" x14ac:dyDescent="0.25">
      <c r="A616" s="79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63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</row>
    <row r="617" spans="1:27" ht="15" x14ac:dyDescent="0.25">
      <c r="A617" s="79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63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</row>
    <row r="618" spans="1:27" ht="15" x14ac:dyDescent="0.25">
      <c r="A618" s="79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63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</row>
    <row r="619" spans="1:27" ht="15" x14ac:dyDescent="0.25">
      <c r="A619" s="79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63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</row>
    <row r="620" spans="1:27" ht="15" x14ac:dyDescent="0.25">
      <c r="A620" s="79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63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</row>
    <row r="621" spans="1:27" ht="15" x14ac:dyDescent="0.25">
      <c r="A621" s="79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63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</row>
    <row r="622" spans="1:27" ht="15" x14ac:dyDescent="0.25">
      <c r="A622" s="79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63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</row>
    <row r="623" spans="1:27" ht="15" x14ac:dyDescent="0.25">
      <c r="A623" s="79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63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</row>
    <row r="624" spans="1:27" ht="15" x14ac:dyDescent="0.25">
      <c r="A624" s="79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63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</row>
    <row r="625" spans="1:27" ht="15" x14ac:dyDescent="0.25">
      <c r="A625" s="79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63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</row>
    <row r="626" spans="1:27" ht="15" x14ac:dyDescent="0.25">
      <c r="A626" s="79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63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</row>
    <row r="627" spans="1:27" ht="15" x14ac:dyDescent="0.25">
      <c r="A627" s="79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63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</row>
    <row r="628" spans="1:27" ht="15" x14ac:dyDescent="0.25">
      <c r="A628" s="79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63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</row>
    <row r="629" spans="1:27" ht="15" x14ac:dyDescent="0.25">
      <c r="A629" s="79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63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</row>
    <row r="630" spans="1:27" ht="15" x14ac:dyDescent="0.25">
      <c r="A630" s="79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63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</row>
    <row r="631" spans="1:27" ht="15" x14ac:dyDescent="0.25">
      <c r="A631" s="79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63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</row>
    <row r="632" spans="1:27" ht="15" x14ac:dyDescent="0.25">
      <c r="A632" s="79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63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</row>
    <row r="633" spans="1:27" ht="15" x14ac:dyDescent="0.25">
      <c r="A633" s="79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63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</row>
    <row r="634" spans="1:27" ht="15" x14ac:dyDescent="0.25">
      <c r="A634" s="79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63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</row>
    <row r="635" spans="1:27" ht="15" x14ac:dyDescent="0.25">
      <c r="A635" s="79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63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</row>
    <row r="636" spans="1:27" ht="15" x14ac:dyDescent="0.25">
      <c r="A636" s="79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63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</row>
    <row r="637" spans="1:27" ht="15" x14ac:dyDescent="0.25">
      <c r="A637" s="79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63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</row>
    <row r="638" spans="1:27" ht="15" x14ac:dyDescent="0.25">
      <c r="A638" s="79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63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</row>
    <row r="639" spans="1:27" ht="15" x14ac:dyDescent="0.25">
      <c r="A639" s="79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63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</row>
    <row r="640" spans="1:27" ht="15" x14ac:dyDescent="0.25">
      <c r="A640" s="79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63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</row>
    <row r="641" spans="1:27" ht="15" x14ac:dyDescent="0.25">
      <c r="A641" s="79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63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</row>
    <row r="642" spans="1:27" ht="15" x14ac:dyDescent="0.25">
      <c r="A642" s="79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63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</row>
    <row r="643" spans="1:27" ht="15" x14ac:dyDescent="0.25">
      <c r="A643" s="79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63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</row>
    <row r="644" spans="1:27" ht="15" x14ac:dyDescent="0.25">
      <c r="A644" s="79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63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</row>
    <row r="645" spans="1:27" ht="15" x14ac:dyDescent="0.25">
      <c r="A645" s="79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63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</row>
    <row r="646" spans="1:27" ht="15" x14ac:dyDescent="0.25">
      <c r="A646" s="79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63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</row>
    <row r="647" spans="1:27" ht="15" x14ac:dyDescent="0.25">
      <c r="A647" s="79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63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</row>
    <row r="648" spans="1:27" ht="15" x14ac:dyDescent="0.25">
      <c r="A648" s="79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63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</row>
    <row r="649" spans="1:27" ht="15" x14ac:dyDescent="0.25">
      <c r="A649" s="79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63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</row>
    <row r="650" spans="1:27" ht="15" x14ac:dyDescent="0.25">
      <c r="A650" s="79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63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</row>
    <row r="651" spans="1:27" ht="15" x14ac:dyDescent="0.25">
      <c r="A651" s="79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63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</row>
    <row r="652" spans="1:27" ht="15" x14ac:dyDescent="0.25">
      <c r="A652" s="79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63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</row>
    <row r="653" spans="1:27" ht="15" x14ac:dyDescent="0.25">
      <c r="A653" s="79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63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</row>
    <row r="654" spans="1:27" ht="15" x14ac:dyDescent="0.25">
      <c r="A654" s="79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63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</row>
    <row r="655" spans="1:27" ht="15" x14ac:dyDescent="0.25">
      <c r="A655" s="79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63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</row>
    <row r="656" spans="1:27" ht="15" x14ac:dyDescent="0.25">
      <c r="A656" s="79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63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</row>
    <row r="657" spans="1:27" ht="15" x14ac:dyDescent="0.25">
      <c r="A657" s="79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63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</row>
    <row r="658" spans="1:27" ht="15" x14ac:dyDescent="0.25">
      <c r="A658" s="79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63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</row>
    <row r="659" spans="1:27" ht="15" x14ac:dyDescent="0.25">
      <c r="A659" s="79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63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</row>
    <row r="660" spans="1:27" ht="15" x14ac:dyDescent="0.25">
      <c r="A660" s="79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63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</row>
    <row r="661" spans="1:27" ht="15" x14ac:dyDescent="0.25">
      <c r="A661" s="79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63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</row>
    <row r="662" spans="1:27" ht="15" x14ac:dyDescent="0.25">
      <c r="A662" s="79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63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</row>
    <row r="663" spans="1:27" ht="15" x14ac:dyDescent="0.25">
      <c r="A663" s="79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63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</row>
    <row r="664" spans="1:27" ht="15" x14ac:dyDescent="0.25">
      <c r="A664" s="79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63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</row>
    <row r="665" spans="1:27" ht="15" x14ac:dyDescent="0.25">
      <c r="A665" s="79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63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</row>
    <row r="666" spans="1:27" ht="15" x14ac:dyDescent="0.25">
      <c r="A666" s="79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63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</row>
    <row r="667" spans="1:27" ht="15" x14ac:dyDescent="0.25">
      <c r="A667" s="79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63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</row>
    <row r="668" spans="1:27" ht="15" x14ac:dyDescent="0.25">
      <c r="A668" s="79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63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</row>
    <row r="669" spans="1:27" ht="15" x14ac:dyDescent="0.25">
      <c r="A669" s="79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63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</row>
    <row r="670" spans="1:27" ht="15" x14ac:dyDescent="0.25">
      <c r="A670" s="79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63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</row>
    <row r="671" spans="1:27" ht="15" x14ac:dyDescent="0.25">
      <c r="A671" s="79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63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</row>
    <row r="672" spans="1:27" ht="15" x14ac:dyDescent="0.25">
      <c r="A672" s="79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63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</row>
    <row r="673" spans="1:27" ht="15" x14ac:dyDescent="0.25">
      <c r="A673" s="79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63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</row>
    <row r="674" spans="1:27" ht="15" x14ac:dyDescent="0.25">
      <c r="A674" s="79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63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</row>
    <row r="675" spans="1:27" ht="15" x14ac:dyDescent="0.25">
      <c r="A675" s="79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63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</row>
    <row r="676" spans="1:27" ht="15" x14ac:dyDescent="0.25">
      <c r="A676" s="79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63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</row>
    <row r="677" spans="1:27" ht="15" x14ac:dyDescent="0.25">
      <c r="A677" s="79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63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</row>
    <row r="678" spans="1:27" ht="15" x14ac:dyDescent="0.25">
      <c r="A678" s="79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63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</row>
    <row r="679" spans="1:27" ht="15" x14ac:dyDescent="0.25">
      <c r="A679" s="79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63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</row>
    <row r="680" spans="1:27" ht="15" x14ac:dyDescent="0.25">
      <c r="A680" s="79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63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</row>
    <row r="681" spans="1:27" ht="15" x14ac:dyDescent="0.25">
      <c r="A681" s="79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63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</row>
    <row r="682" spans="1:27" ht="15" x14ac:dyDescent="0.25">
      <c r="A682" s="79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63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</row>
    <row r="683" spans="1:27" ht="15" x14ac:dyDescent="0.25">
      <c r="A683" s="79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63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</row>
    <row r="684" spans="1:27" ht="15" x14ac:dyDescent="0.25">
      <c r="A684" s="79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63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</row>
    <row r="685" spans="1:27" ht="15" x14ac:dyDescent="0.25">
      <c r="A685" s="79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63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</row>
    <row r="686" spans="1:27" ht="15" x14ac:dyDescent="0.25">
      <c r="A686" s="79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63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</row>
    <row r="687" spans="1:27" ht="15" x14ac:dyDescent="0.25">
      <c r="A687" s="79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63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</row>
    <row r="688" spans="1:27" ht="15" x14ac:dyDescent="0.25">
      <c r="A688" s="79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63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</row>
    <row r="689" spans="1:27" ht="15" x14ac:dyDescent="0.25">
      <c r="A689" s="79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63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</row>
    <row r="690" spans="1:27" ht="15" x14ac:dyDescent="0.25">
      <c r="A690" s="79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63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</row>
    <row r="691" spans="1:27" ht="15" x14ac:dyDescent="0.25">
      <c r="A691" s="79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63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</row>
    <row r="692" spans="1:27" ht="15" x14ac:dyDescent="0.25">
      <c r="A692" s="79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63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</row>
    <row r="693" spans="1:27" ht="15" x14ac:dyDescent="0.25">
      <c r="A693" s="79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63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</row>
    <row r="694" spans="1:27" ht="15" x14ac:dyDescent="0.25">
      <c r="A694" s="79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63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</row>
    <row r="695" spans="1:27" ht="15" x14ac:dyDescent="0.25">
      <c r="A695" s="79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63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</row>
    <row r="696" spans="1:27" ht="15" x14ac:dyDescent="0.25">
      <c r="A696" s="79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63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</row>
    <row r="697" spans="1:27" ht="15" x14ac:dyDescent="0.25">
      <c r="A697" s="79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63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</row>
    <row r="698" spans="1:27" ht="15" x14ac:dyDescent="0.25">
      <c r="A698" s="79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63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</row>
    <row r="699" spans="1:27" ht="15" x14ac:dyDescent="0.25">
      <c r="A699" s="79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63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</row>
    <row r="700" spans="1:27" ht="15" x14ac:dyDescent="0.25">
      <c r="A700" s="79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63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</row>
    <row r="701" spans="1:27" ht="15" x14ac:dyDescent="0.25">
      <c r="A701" s="79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63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</row>
    <row r="702" spans="1:27" ht="15" x14ac:dyDescent="0.25">
      <c r="A702" s="79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63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</row>
    <row r="703" spans="1:27" ht="15" x14ac:dyDescent="0.25">
      <c r="A703" s="79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63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</row>
    <row r="704" spans="1:27" ht="15" x14ac:dyDescent="0.25">
      <c r="A704" s="79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63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</row>
    <row r="705" spans="1:27" ht="15" x14ac:dyDescent="0.25">
      <c r="A705" s="79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63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</row>
    <row r="706" spans="1:27" ht="15" x14ac:dyDescent="0.25">
      <c r="A706" s="79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63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</row>
    <row r="707" spans="1:27" ht="15" x14ac:dyDescent="0.25">
      <c r="A707" s="79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63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</row>
    <row r="708" spans="1:27" ht="15" x14ac:dyDescent="0.25">
      <c r="A708" s="79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63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</row>
    <row r="709" spans="1:27" ht="15" x14ac:dyDescent="0.25">
      <c r="A709" s="79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63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</row>
    <row r="710" spans="1:27" ht="15" x14ac:dyDescent="0.25">
      <c r="A710" s="79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63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</row>
    <row r="711" spans="1:27" ht="15" x14ac:dyDescent="0.25">
      <c r="A711" s="79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63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</row>
    <row r="712" spans="1:27" ht="15" x14ac:dyDescent="0.25">
      <c r="A712" s="79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63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</row>
    <row r="713" spans="1:27" ht="15" x14ac:dyDescent="0.25">
      <c r="A713" s="79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63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</row>
    <row r="714" spans="1:27" ht="15" x14ac:dyDescent="0.25">
      <c r="A714" s="79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63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</row>
    <row r="715" spans="1:27" ht="15" x14ac:dyDescent="0.25">
      <c r="A715" s="79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63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</row>
    <row r="716" spans="1:27" ht="15" x14ac:dyDescent="0.25">
      <c r="A716" s="79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63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</row>
    <row r="717" spans="1:27" ht="15" x14ac:dyDescent="0.25">
      <c r="A717" s="79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63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</row>
    <row r="718" spans="1:27" ht="15" x14ac:dyDescent="0.25">
      <c r="A718" s="79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63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</row>
    <row r="719" spans="1:27" ht="15" x14ac:dyDescent="0.25">
      <c r="A719" s="79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63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</row>
    <row r="720" spans="1:27" ht="15" x14ac:dyDescent="0.25">
      <c r="A720" s="79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63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</row>
    <row r="721" spans="1:27" ht="15" x14ac:dyDescent="0.25">
      <c r="A721" s="79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63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</row>
    <row r="722" spans="1:27" ht="15" x14ac:dyDescent="0.25">
      <c r="A722" s="79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63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</row>
    <row r="723" spans="1:27" ht="15" x14ac:dyDescent="0.25">
      <c r="A723" s="79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63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</row>
    <row r="724" spans="1:27" ht="15" x14ac:dyDescent="0.25">
      <c r="A724" s="79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63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</row>
    <row r="725" spans="1:27" ht="15" x14ac:dyDescent="0.25">
      <c r="A725" s="79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63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</row>
    <row r="726" spans="1:27" ht="15" x14ac:dyDescent="0.25">
      <c r="A726" s="79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63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</row>
    <row r="727" spans="1:27" ht="15" x14ac:dyDescent="0.25">
      <c r="A727" s="79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63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</row>
    <row r="728" spans="1:27" ht="15" x14ac:dyDescent="0.25">
      <c r="A728" s="79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63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</row>
    <row r="729" spans="1:27" ht="15" x14ac:dyDescent="0.25">
      <c r="A729" s="79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63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</row>
    <row r="730" spans="1:27" ht="15" x14ac:dyDescent="0.25">
      <c r="A730" s="79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63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</row>
    <row r="731" spans="1:27" ht="15" x14ac:dyDescent="0.25">
      <c r="A731" s="79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63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</row>
    <row r="732" spans="1:27" ht="15" x14ac:dyDescent="0.25">
      <c r="A732" s="79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63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</row>
    <row r="733" spans="1:27" ht="15" x14ac:dyDescent="0.25">
      <c r="A733" s="79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63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</row>
    <row r="734" spans="1:27" ht="15" x14ac:dyDescent="0.25">
      <c r="A734" s="79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63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</row>
    <row r="735" spans="1:27" ht="15" x14ac:dyDescent="0.25">
      <c r="A735" s="79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63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</row>
    <row r="736" spans="1:27" ht="15" x14ac:dyDescent="0.25">
      <c r="A736" s="79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63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</row>
    <row r="737" spans="1:27" ht="15" x14ac:dyDescent="0.25">
      <c r="A737" s="79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63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</row>
    <row r="738" spans="1:27" ht="15" x14ac:dyDescent="0.25">
      <c r="A738" s="79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63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</row>
    <row r="739" spans="1:27" ht="15" x14ac:dyDescent="0.25">
      <c r="A739" s="79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63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</row>
    <row r="740" spans="1:27" ht="15" x14ac:dyDescent="0.25">
      <c r="A740" s="79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63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</row>
    <row r="741" spans="1:27" ht="15" x14ac:dyDescent="0.25">
      <c r="A741" s="79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63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</row>
    <row r="742" spans="1:27" ht="15" x14ac:dyDescent="0.25">
      <c r="A742" s="79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63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</row>
    <row r="743" spans="1:27" ht="15" x14ac:dyDescent="0.25">
      <c r="A743" s="79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63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</row>
    <row r="744" spans="1:27" ht="15" x14ac:dyDescent="0.25">
      <c r="A744" s="79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63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</row>
    <row r="745" spans="1:27" ht="15" x14ac:dyDescent="0.25">
      <c r="A745" s="79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63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</row>
    <row r="746" spans="1:27" ht="15" x14ac:dyDescent="0.25">
      <c r="A746" s="79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63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</row>
    <row r="747" spans="1:27" ht="15" x14ac:dyDescent="0.25">
      <c r="A747" s="79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63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</row>
    <row r="748" spans="1:27" ht="15" x14ac:dyDescent="0.25">
      <c r="A748" s="79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63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</row>
    <row r="749" spans="1:27" ht="15" x14ac:dyDescent="0.25">
      <c r="A749" s="79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63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</row>
    <row r="750" spans="1:27" ht="15" x14ac:dyDescent="0.25">
      <c r="A750" s="79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63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</row>
    <row r="751" spans="1:27" ht="15" x14ac:dyDescent="0.25">
      <c r="A751" s="79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63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</row>
    <row r="752" spans="1:27" ht="15" x14ac:dyDescent="0.25">
      <c r="A752" s="79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63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</row>
    <row r="753" spans="1:27" ht="15" x14ac:dyDescent="0.25">
      <c r="A753" s="79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63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</row>
    <row r="754" spans="1:27" ht="15" x14ac:dyDescent="0.25">
      <c r="A754" s="79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63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</row>
    <row r="755" spans="1:27" ht="15" x14ac:dyDescent="0.25">
      <c r="A755" s="79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63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</row>
    <row r="756" spans="1:27" ht="15" x14ac:dyDescent="0.25">
      <c r="A756" s="79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63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</row>
    <row r="757" spans="1:27" ht="15" x14ac:dyDescent="0.25">
      <c r="A757" s="79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63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</row>
    <row r="758" spans="1:27" ht="15" x14ac:dyDescent="0.25">
      <c r="A758" s="79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63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</row>
    <row r="759" spans="1:27" ht="15" x14ac:dyDescent="0.25">
      <c r="A759" s="79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63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</row>
    <row r="760" spans="1:27" ht="15" x14ac:dyDescent="0.25">
      <c r="A760" s="79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63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</row>
    <row r="761" spans="1:27" ht="15" x14ac:dyDescent="0.25">
      <c r="A761" s="79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63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</row>
    <row r="762" spans="1:27" ht="15" x14ac:dyDescent="0.25">
      <c r="A762" s="79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63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</row>
    <row r="763" spans="1:27" ht="15" x14ac:dyDescent="0.25">
      <c r="A763" s="79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63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</row>
    <row r="764" spans="1:27" ht="15" x14ac:dyDescent="0.25">
      <c r="A764" s="79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63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</row>
    <row r="765" spans="1:27" ht="15" x14ac:dyDescent="0.25">
      <c r="A765" s="79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63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 spans="1:27" ht="15" x14ac:dyDescent="0.25">
      <c r="A766" s="79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63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</row>
    <row r="767" spans="1:27" ht="15" x14ac:dyDescent="0.25">
      <c r="A767" s="79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63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</row>
    <row r="768" spans="1:27" ht="15" x14ac:dyDescent="0.25">
      <c r="A768" s="79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63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</row>
    <row r="769" spans="1:27" ht="15" x14ac:dyDescent="0.25">
      <c r="A769" s="79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63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</row>
    <row r="770" spans="1:27" ht="15" x14ac:dyDescent="0.25">
      <c r="A770" s="79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63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</row>
    <row r="771" spans="1:27" ht="15" x14ac:dyDescent="0.25">
      <c r="A771" s="79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63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</row>
    <row r="772" spans="1:27" ht="15" x14ac:dyDescent="0.25">
      <c r="A772" s="79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63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</row>
    <row r="773" spans="1:27" ht="15" x14ac:dyDescent="0.25">
      <c r="A773" s="79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63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</row>
    <row r="774" spans="1:27" ht="15" x14ac:dyDescent="0.25">
      <c r="A774" s="79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63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</row>
    <row r="775" spans="1:27" ht="15" x14ac:dyDescent="0.25">
      <c r="A775" s="79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63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</row>
    <row r="776" spans="1:27" ht="15" x14ac:dyDescent="0.25">
      <c r="A776" s="79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63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</row>
    <row r="777" spans="1:27" ht="15" x14ac:dyDescent="0.25">
      <c r="A777" s="79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63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</row>
    <row r="778" spans="1:27" ht="15" x14ac:dyDescent="0.25">
      <c r="A778" s="79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63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</row>
    <row r="779" spans="1:27" ht="15" x14ac:dyDescent="0.25">
      <c r="A779" s="79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63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</row>
    <row r="780" spans="1:27" ht="15" x14ac:dyDescent="0.25">
      <c r="A780" s="79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63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</row>
    <row r="781" spans="1:27" ht="15" x14ac:dyDescent="0.25">
      <c r="A781" s="79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63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</row>
    <row r="782" spans="1:27" ht="15" x14ac:dyDescent="0.25">
      <c r="A782" s="79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63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</row>
    <row r="783" spans="1:27" ht="15" x14ac:dyDescent="0.25">
      <c r="A783" s="79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63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</row>
    <row r="784" spans="1:27" ht="15" x14ac:dyDescent="0.25">
      <c r="A784" s="79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63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</row>
    <row r="785" spans="1:27" ht="15" x14ac:dyDescent="0.25">
      <c r="A785" s="79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63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</row>
    <row r="786" spans="1:27" ht="15" x14ac:dyDescent="0.25">
      <c r="A786" s="79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63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</row>
    <row r="787" spans="1:27" ht="15" x14ac:dyDescent="0.25">
      <c r="A787" s="79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63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</row>
    <row r="788" spans="1:27" ht="15" x14ac:dyDescent="0.25">
      <c r="A788" s="79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63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</row>
    <row r="789" spans="1:27" ht="15" x14ac:dyDescent="0.25">
      <c r="A789" s="79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63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</row>
    <row r="790" spans="1:27" ht="15" x14ac:dyDescent="0.25">
      <c r="A790" s="79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63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</row>
    <row r="791" spans="1:27" ht="15" x14ac:dyDescent="0.25">
      <c r="A791" s="79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63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</row>
    <row r="792" spans="1:27" ht="15" x14ac:dyDescent="0.25">
      <c r="A792" s="79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63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</row>
    <row r="793" spans="1:27" ht="15" x14ac:dyDescent="0.25">
      <c r="A793" s="79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63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</row>
    <row r="794" spans="1:27" ht="15" x14ac:dyDescent="0.25">
      <c r="A794" s="79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63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</row>
    <row r="795" spans="1:27" ht="15" x14ac:dyDescent="0.25">
      <c r="A795" s="79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63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</row>
    <row r="796" spans="1:27" ht="15" x14ac:dyDescent="0.25">
      <c r="A796" s="79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63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</row>
    <row r="797" spans="1:27" ht="15" x14ac:dyDescent="0.25">
      <c r="A797" s="79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63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</row>
    <row r="798" spans="1:27" ht="15" x14ac:dyDescent="0.25">
      <c r="A798" s="79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63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</row>
    <row r="799" spans="1:27" ht="15" x14ac:dyDescent="0.25">
      <c r="A799" s="79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63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</row>
    <row r="800" spans="1:27" ht="15" x14ac:dyDescent="0.25">
      <c r="A800" s="79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63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</row>
    <row r="801" spans="1:27" ht="15" x14ac:dyDescent="0.25">
      <c r="A801" s="79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63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</row>
    <row r="802" spans="1:27" ht="15" x14ac:dyDescent="0.25">
      <c r="A802" s="79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63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</row>
    <row r="803" spans="1:27" ht="15" x14ac:dyDescent="0.25">
      <c r="A803" s="79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63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</row>
    <row r="804" spans="1:27" ht="15" x14ac:dyDescent="0.25">
      <c r="A804" s="79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63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</row>
    <row r="805" spans="1:27" ht="15" x14ac:dyDescent="0.25">
      <c r="A805" s="79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63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</row>
    <row r="806" spans="1:27" ht="15" x14ac:dyDescent="0.25">
      <c r="A806" s="79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63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</row>
    <row r="807" spans="1:27" ht="15" x14ac:dyDescent="0.25">
      <c r="A807" s="79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63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</row>
    <row r="808" spans="1:27" ht="15" x14ac:dyDescent="0.25">
      <c r="A808" s="79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63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</row>
    <row r="809" spans="1:27" ht="15" x14ac:dyDescent="0.25">
      <c r="A809" s="79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63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</row>
    <row r="810" spans="1:27" ht="15" x14ac:dyDescent="0.25">
      <c r="A810" s="79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63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</row>
    <row r="811" spans="1:27" ht="15" x14ac:dyDescent="0.25">
      <c r="A811" s="79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63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</row>
    <row r="812" spans="1:27" ht="15" x14ac:dyDescent="0.25">
      <c r="A812" s="79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63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</row>
    <row r="813" spans="1:27" ht="15" x14ac:dyDescent="0.25">
      <c r="A813" s="79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63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</row>
    <row r="814" spans="1:27" ht="15" x14ac:dyDescent="0.25">
      <c r="A814" s="79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63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</row>
    <row r="815" spans="1:27" ht="15" x14ac:dyDescent="0.25">
      <c r="A815" s="79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63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</row>
    <row r="816" spans="1:27" ht="15" x14ac:dyDescent="0.25">
      <c r="A816" s="79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63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</row>
    <row r="817" spans="1:27" ht="15" x14ac:dyDescent="0.25">
      <c r="A817" s="79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63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</row>
    <row r="818" spans="1:27" ht="15" x14ac:dyDescent="0.25">
      <c r="A818" s="79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63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</row>
    <row r="819" spans="1:27" ht="15" x14ac:dyDescent="0.25">
      <c r="A819" s="79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63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</row>
    <row r="820" spans="1:27" ht="15" x14ac:dyDescent="0.25">
      <c r="A820" s="79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63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</row>
    <row r="821" spans="1:27" ht="15" x14ac:dyDescent="0.25">
      <c r="A821" s="79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63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</row>
    <row r="822" spans="1:27" ht="15" x14ac:dyDescent="0.25">
      <c r="A822" s="79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63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</row>
    <row r="823" spans="1:27" ht="15" x14ac:dyDescent="0.25">
      <c r="A823" s="79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63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</row>
    <row r="824" spans="1:27" ht="15" x14ac:dyDescent="0.25">
      <c r="A824" s="79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63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</row>
    <row r="825" spans="1:27" ht="15" x14ac:dyDescent="0.25">
      <c r="A825" s="79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63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</row>
    <row r="826" spans="1:27" ht="15" x14ac:dyDescent="0.25">
      <c r="A826" s="79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63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</row>
    <row r="827" spans="1:27" ht="15" x14ac:dyDescent="0.25">
      <c r="A827" s="79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63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</row>
    <row r="828" spans="1:27" ht="15" x14ac:dyDescent="0.25">
      <c r="A828" s="79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63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</row>
    <row r="829" spans="1:27" ht="15" x14ac:dyDescent="0.25">
      <c r="A829" s="79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63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</row>
    <row r="830" spans="1:27" ht="15" x14ac:dyDescent="0.25">
      <c r="A830" s="79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63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</row>
    <row r="831" spans="1:27" ht="15" x14ac:dyDescent="0.25">
      <c r="A831" s="79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63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</row>
    <row r="832" spans="1:27" ht="15" x14ac:dyDescent="0.25">
      <c r="A832" s="79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63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</row>
    <row r="833" spans="1:27" ht="15" x14ac:dyDescent="0.25">
      <c r="A833" s="79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63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</row>
    <row r="834" spans="1:27" ht="15" x14ac:dyDescent="0.25">
      <c r="A834" s="79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63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</row>
    <row r="835" spans="1:27" ht="15" x14ac:dyDescent="0.25">
      <c r="A835" s="79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63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</row>
    <row r="836" spans="1:27" ht="15" x14ac:dyDescent="0.25">
      <c r="A836" s="79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63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</row>
    <row r="837" spans="1:27" ht="15" x14ac:dyDescent="0.25">
      <c r="A837" s="79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63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</row>
    <row r="838" spans="1:27" ht="15" x14ac:dyDescent="0.25">
      <c r="A838" s="79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63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</row>
    <row r="839" spans="1:27" ht="15" x14ac:dyDescent="0.25">
      <c r="A839" s="79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63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</row>
    <row r="840" spans="1:27" ht="15" x14ac:dyDescent="0.25">
      <c r="A840" s="79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63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</row>
    <row r="841" spans="1:27" ht="15" x14ac:dyDescent="0.25">
      <c r="A841" s="79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63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</row>
    <row r="842" spans="1:27" ht="15" x14ac:dyDescent="0.25">
      <c r="A842" s="79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63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</row>
    <row r="843" spans="1:27" ht="15" x14ac:dyDescent="0.25">
      <c r="A843" s="79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63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</row>
    <row r="844" spans="1:27" ht="15" x14ac:dyDescent="0.25">
      <c r="A844" s="79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63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</row>
    <row r="845" spans="1:27" ht="15" x14ac:dyDescent="0.25">
      <c r="A845" s="79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63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</row>
    <row r="846" spans="1:27" ht="15" x14ac:dyDescent="0.25">
      <c r="A846" s="79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63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</row>
    <row r="847" spans="1:27" ht="15" x14ac:dyDescent="0.25">
      <c r="A847" s="79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63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</row>
    <row r="848" spans="1:27" ht="15" x14ac:dyDescent="0.25">
      <c r="A848" s="79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63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</row>
    <row r="849" spans="1:27" ht="15" x14ac:dyDescent="0.25">
      <c r="A849" s="79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63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</row>
    <row r="850" spans="1:27" ht="15" x14ac:dyDescent="0.25">
      <c r="A850" s="79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63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</row>
    <row r="851" spans="1:27" ht="15" x14ac:dyDescent="0.25">
      <c r="A851" s="79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63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</row>
    <row r="852" spans="1:27" ht="15" x14ac:dyDescent="0.25">
      <c r="A852" s="79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63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</row>
    <row r="853" spans="1:27" ht="15" x14ac:dyDescent="0.25">
      <c r="A853" s="79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63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</row>
    <row r="854" spans="1:27" ht="15" x14ac:dyDescent="0.25">
      <c r="A854" s="79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63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</row>
    <row r="855" spans="1:27" ht="15" x14ac:dyDescent="0.25">
      <c r="A855" s="79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63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</row>
    <row r="856" spans="1:27" ht="15" x14ac:dyDescent="0.25">
      <c r="A856" s="79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63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</row>
    <row r="857" spans="1:27" ht="15" x14ac:dyDescent="0.25">
      <c r="A857" s="79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63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</row>
    <row r="858" spans="1:27" ht="15" x14ac:dyDescent="0.25">
      <c r="A858" s="79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63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</row>
    <row r="859" spans="1:27" ht="15" x14ac:dyDescent="0.25">
      <c r="A859" s="79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63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</row>
    <row r="860" spans="1:27" ht="15" x14ac:dyDescent="0.25">
      <c r="A860" s="79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63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</row>
    <row r="861" spans="1:27" ht="15" x14ac:dyDescent="0.25">
      <c r="A861" s="79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63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</row>
    <row r="862" spans="1:27" ht="15" x14ac:dyDescent="0.25">
      <c r="A862" s="79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63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</row>
    <row r="863" spans="1:27" ht="15" x14ac:dyDescent="0.25">
      <c r="A863" s="79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63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</row>
    <row r="864" spans="1:27" ht="15" x14ac:dyDescent="0.25">
      <c r="A864" s="79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63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</row>
    <row r="865" spans="1:27" ht="15" x14ac:dyDescent="0.25">
      <c r="A865" s="79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63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</row>
    <row r="866" spans="1:27" ht="15" x14ac:dyDescent="0.25">
      <c r="A866" s="79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63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</row>
    <row r="867" spans="1:27" ht="15" x14ac:dyDescent="0.25">
      <c r="A867" s="79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63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</row>
    <row r="868" spans="1:27" ht="15" x14ac:dyDescent="0.25">
      <c r="A868" s="79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63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</row>
    <row r="869" spans="1:27" ht="15" x14ac:dyDescent="0.25">
      <c r="A869" s="79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63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</row>
    <row r="870" spans="1:27" ht="15" x14ac:dyDescent="0.25">
      <c r="A870" s="79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63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</row>
    <row r="871" spans="1:27" ht="15" x14ac:dyDescent="0.25">
      <c r="A871" s="79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63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</row>
    <row r="872" spans="1:27" ht="15" x14ac:dyDescent="0.25">
      <c r="A872" s="79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63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</row>
    <row r="873" spans="1:27" ht="15" x14ac:dyDescent="0.25">
      <c r="A873" s="79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63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</row>
    <row r="874" spans="1:27" ht="15" x14ac:dyDescent="0.25">
      <c r="A874" s="79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63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</row>
    <row r="875" spans="1:27" ht="15" x14ac:dyDescent="0.25">
      <c r="A875" s="79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63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</row>
    <row r="876" spans="1:27" ht="15" x14ac:dyDescent="0.25">
      <c r="A876" s="79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63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</row>
    <row r="877" spans="1:27" ht="15" x14ac:dyDescent="0.25">
      <c r="A877" s="79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63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</row>
    <row r="878" spans="1:27" ht="15" x14ac:dyDescent="0.25">
      <c r="A878" s="79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63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</row>
    <row r="879" spans="1:27" ht="15" x14ac:dyDescent="0.25">
      <c r="A879" s="79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63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</row>
    <row r="880" spans="1:27" ht="15" x14ac:dyDescent="0.25">
      <c r="A880" s="79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63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</row>
    <row r="881" spans="1:27" ht="15" x14ac:dyDescent="0.25">
      <c r="A881" s="79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63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</row>
    <row r="882" spans="1:27" ht="15" x14ac:dyDescent="0.25">
      <c r="A882" s="79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63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</row>
    <row r="883" spans="1:27" ht="15" x14ac:dyDescent="0.25">
      <c r="A883" s="79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63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</row>
    <row r="884" spans="1:27" ht="15" x14ac:dyDescent="0.25">
      <c r="A884" s="79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63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</row>
    <row r="885" spans="1:27" ht="15" x14ac:dyDescent="0.25">
      <c r="A885" s="79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63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</row>
    <row r="886" spans="1:27" ht="15" x14ac:dyDescent="0.25">
      <c r="A886" s="79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63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</row>
    <row r="887" spans="1:27" ht="15" x14ac:dyDescent="0.25">
      <c r="A887" s="79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63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</row>
    <row r="888" spans="1:27" ht="15" x14ac:dyDescent="0.25">
      <c r="A888" s="79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63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</row>
    <row r="889" spans="1:27" ht="15" x14ac:dyDescent="0.25">
      <c r="A889" s="79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63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</row>
    <row r="890" spans="1:27" ht="15" x14ac:dyDescent="0.25">
      <c r="A890" s="79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63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</row>
    <row r="891" spans="1:27" ht="15" x14ac:dyDescent="0.25">
      <c r="A891" s="79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63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</row>
    <row r="892" spans="1:27" ht="15" x14ac:dyDescent="0.25">
      <c r="A892" s="79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63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</row>
    <row r="893" spans="1:27" ht="15" x14ac:dyDescent="0.25">
      <c r="A893" s="79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63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</row>
    <row r="894" spans="1:27" ht="15" x14ac:dyDescent="0.25">
      <c r="A894" s="79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63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</row>
    <row r="895" spans="1:27" ht="15" x14ac:dyDescent="0.25">
      <c r="A895" s="79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63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</row>
    <row r="896" spans="1:27" ht="15" x14ac:dyDescent="0.25">
      <c r="A896" s="79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63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</row>
    <row r="897" spans="1:27" ht="15" x14ac:dyDescent="0.25">
      <c r="A897" s="79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63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</row>
    <row r="898" spans="1:27" ht="15" x14ac:dyDescent="0.25">
      <c r="A898" s="79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63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</row>
    <row r="899" spans="1:27" ht="15" x14ac:dyDescent="0.25">
      <c r="A899" s="79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63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</row>
    <row r="900" spans="1:27" ht="15" x14ac:dyDescent="0.25">
      <c r="A900" s="79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63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</row>
    <row r="901" spans="1:27" ht="15" x14ac:dyDescent="0.25">
      <c r="A901" s="79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63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</row>
    <row r="902" spans="1:27" ht="15" x14ac:dyDescent="0.25">
      <c r="A902" s="79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63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</row>
    <row r="903" spans="1:27" ht="15" x14ac:dyDescent="0.25">
      <c r="A903" s="79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63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</row>
    <row r="904" spans="1:27" ht="15" x14ac:dyDescent="0.25">
      <c r="A904" s="79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63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</row>
    <row r="905" spans="1:27" ht="15" x14ac:dyDescent="0.25">
      <c r="A905" s="79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63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</row>
    <row r="906" spans="1:27" ht="15" x14ac:dyDescent="0.25">
      <c r="A906" s="79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63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</row>
    <row r="907" spans="1:27" ht="15" x14ac:dyDescent="0.25">
      <c r="A907" s="79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63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</row>
    <row r="908" spans="1:27" ht="15" x14ac:dyDescent="0.25">
      <c r="A908" s="79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63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</row>
    <row r="909" spans="1:27" ht="15" x14ac:dyDescent="0.25">
      <c r="A909" s="79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63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</row>
    <row r="910" spans="1:27" ht="15" x14ac:dyDescent="0.25">
      <c r="A910" s="79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63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</row>
    <row r="911" spans="1:27" ht="15" x14ac:dyDescent="0.25">
      <c r="A911" s="79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63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</row>
    <row r="912" spans="1:27" ht="15" x14ac:dyDescent="0.25">
      <c r="A912" s="79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63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</row>
    <row r="913" spans="1:27" ht="15" x14ac:dyDescent="0.25">
      <c r="A913" s="79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63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</row>
    <row r="914" spans="1:27" ht="15" x14ac:dyDescent="0.25">
      <c r="A914" s="79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63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</row>
    <row r="915" spans="1:27" ht="15" x14ac:dyDescent="0.25">
      <c r="A915" s="79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63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</row>
    <row r="916" spans="1:27" ht="15" x14ac:dyDescent="0.25">
      <c r="A916" s="79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63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</row>
    <row r="917" spans="1:27" ht="15" x14ac:dyDescent="0.25">
      <c r="A917" s="79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63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</row>
    <row r="918" spans="1:27" ht="15" x14ac:dyDescent="0.25">
      <c r="A918" s="79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63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</row>
    <row r="919" spans="1:27" ht="15" x14ac:dyDescent="0.25">
      <c r="A919" s="79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63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</row>
    <row r="920" spans="1:27" ht="15" x14ac:dyDescent="0.25">
      <c r="A920" s="79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63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</row>
    <row r="921" spans="1:27" ht="15" x14ac:dyDescent="0.25">
      <c r="A921" s="79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63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</row>
    <row r="922" spans="1:27" ht="15" x14ac:dyDescent="0.25">
      <c r="A922" s="79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63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</row>
    <row r="923" spans="1:27" ht="15" x14ac:dyDescent="0.25">
      <c r="A923" s="79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63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</row>
    <row r="924" spans="1:27" ht="15" x14ac:dyDescent="0.25">
      <c r="A924" s="79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63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</row>
    <row r="925" spans="1:27" ht="15" x14ac:dyDescent="0.25">
      <c r="A925" s="79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63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</row>
    <row r="926" spans="1:27" ht="15" x14ac:dyDescent="0.25">
      <c r="A926" s="79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63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</row>
    <row r="927" spans="1:27" ht="15" x14ac:dyDescent="0.25">
      <c r="A927" s="79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63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</row>
    <row r="928" spans="1:27" ht="15" x14ac:dyDescent="0.25">
      <c r="A928" s="79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63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</row>
    <row r="929" spans="1:27" ht="15" x14ac:dyDescent="0.25">
      <c r="A929" s="79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63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</row>
    <row r="930" spans="1:27" ht="15" x14ac:dyDescent="0.25">
      <c r="A930" s="79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63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</row>
    <row r="931" spans="1:27" ht="15" x14ac:dyDescent="0.25">
      <c r="A931" s="79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63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</row>
    <row r="932" spans="1:27" ht="15" x14ac:dyDescent="0.25">
      <c r="A932" s="79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63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</row>
    <row r="933" spans="1:27" ht="15" x14ac:dyDescent="0.25">
      <c r="A933" s="79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63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</row>
    <row r="934" spans="1:27" ht="15" x14ac:dyDescent="0.25">
      <c r="A934" s="79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63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</row>
    <row r="935" spans="1:27" ht="15" x14ac:dyDescent="0.25">
      <c r="A935" s="79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63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</row>
    <row r="936" spans="1:27" ht="15" x14ac:dyDescent="0.25">
      <c r="A936" s="79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63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</row>
    <row r="937" spans="1:27" ht="15" x14ac:dyDescent="0.25">
      <c r="A937" s="79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63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</row>
    <row r="938" spans="1:27" ht="15" x14ac:dyDescent="0.25">
      <c r="A938" s="79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63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</row>
    <row r="939" spans="1:27" ht="15" x14ac:dyDescent="0.25">
      <c r="A939" s="79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63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</row>
    <row r="940" spans="1:27" ht="15" x14ac:dyDescent="0.25">
      <c r="A940" s="79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63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</row>
    <row r="941" spans="1:27" ht="15" x14ac:dyDescent="0.25">
      <c r="A941" s="79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63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</row>
    <row r="942" spans="1:27" ht="15" x14ac:dyDescent="0.25">
      <c r="A942" s="79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63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</row>
    <row r="943" spans="1:27" ht="15" x14ac:dyDescent="0.25">
      <c r="A943" s="79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63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</row>
    <row r="944" spans="1:27" ht="15" x14ac:dyDescent="0.25">
      <c r="A944" s="79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63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</row>
    <row r="945" spans="1:27" ht="15" x14ac:dyDescent="0.25">
      <c r="A945" s="79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63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</row>
    <row r="946" spans="1:27" ht="15" x14ac:dyDescent="0.25">
      <c r="A946" s="79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63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</row>
    <row r="947" spans="1:27" ht="15" x14ac:dyDescent="0.25">
      <c r="A947" s="79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63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</row>
    <row r="948" spans="1:27" ht="15" x14ac:dyDescent="0.25">
      <c r="A948" s="79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63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</row>
    <row r="949" spans="1:27" ht="15" x14ac:dyDescent="0.25">
      <c r="A949" s="79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63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</row>
    <row r="950" spans="1:27" ht="15" x14ac:dyDescent="0.25">
      <c r="A950" s="79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63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</row>
    <row r="951" spans="1:27" ht="15" x14ac:dyDescent="0.25">
      <c r="A951" s="79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63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</row>
    <row r="952" spans="1:27" ht="15" x14ac:dyDescent="0.25">
      <c r="A952" s="79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63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</row>
    <row r="953" spans="1:27" ht="15" x14ac:dyDescent="0.25">
      <c r="A953" s="79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63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</row>
    <row r="954" spans="1:27" ht="15" x14ac:dyDescent="0.25">
      <c r="A954" s="79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63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</row>
    <row r="955" spans="1:27" ht="15" x14ac:dyDescent="0.25">
      <c r="A955" s="79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63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</row>
    <row r="956" spans="1:27" ht="15" x14ac:dyDescent="0.25">
      <c r="A956" s="79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63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</row>
    <row r="957" spans="1:27" ht="15" x14ac:dyDescent="0.25">
      <c r="A957" s="79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63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</row>
    <row r="958" spans="1:27" ht="15" x14ac:dyDescent="0.25">
      <c r="A958" s="79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63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</row>
    <row r="959" spans="1:27" ht="15" x14ac:dyDescent="0.25">
      <c r="A959" s="79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63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</row>
    <row r="960" spans="1:27" ht="15" x14ac:dyDescent="0.25">
      <c r="A960" s="79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63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</row>
    <row r="961" spans="1:27" ht="15" x14ac:dyDescent="0.25">
      <c r="A961" s="79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63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</row>
    <row r="962" spans="1:27" ht="15" x14ac:dyDescent="0.25">
      <c r="A962" s="79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63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</row>
    <row r="963" spans="1:27" ht="15" x14ac:dyDescent="0.25">
      <c r="A963" s="79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63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</row>
    <row r="964" spans="1:27" ht="15" x14ac:dyDescent="0.25">
      <c r="A964" s="79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63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</row>
    <row r="965" spans="1:27" ht="15" x14ac:dyDescent="0.25">
      <c r="A965" s="79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63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</row>
    <row r="966" spans="1:27" ht="15" x14ac:dyDescent="0.25">
      <c r="A966" s="79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63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</row>
    <row r="967" spans="1:27" ht="15" x14ac:dyDescent="0.25">
      <c r="A967" s="79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63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</row>
    <row r="968" spans="1:27" ht="15" x14ac:dyDescent="0.25">
      <c r="A968" s="79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63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</row>
    <row r="969" spans="1:27" ht="15" x14ac:dyDescent="0.25">
      <c r="A969" s="79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63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</row>
    <row r="970" spans="1:27" ht="15" x14ac:dyDescent="0.25">
      <c r="A970" s="79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63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</row>
    <row r="971" spans="1:27" ht="15" x14ac:dyDescent="0.25">
      <c r="A971" s="79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63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</row>
    <row r="972" spans="1:27" ht="15" x14ac:dyDescent="0.25">
      <c r="A972" s="79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63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</row>
    <row r="973" spans="1:27" ht="15" x14ac:dyDescent="0.25">
      <c r="A973" s="79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63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</row>
    <row r="974" spans="1:27" ht="15" x14ac:dyDescent="0.25">
      <c r="A974" s="79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63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</row>
    <row r="975" spans="1:27" ht="15" x14ac:dyDescent="0.25">
      <c r="A975" s="79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63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</row>
    <row r="976" spans="1:27" ht="15" x14ac:dyDescent="0.25">
      <c r="A976" s="79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63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</row>
    <row r="977" spans="1:27" ht="15" x14ac:dyDescent="0.25">
      <c r="A977" s="79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63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</row>
    <row r="978" spans="1:27" ht="15" x14ac:dyDescent="0.25">
      <c r="A978" s="79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63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</row>
    <row r="979" spans="1:27" ht="15" x14ac:dyDescent="0.25">
      <c r="A979" s="79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63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</row>
    <row r="980" spans="1:27" ht="15" x14ac:dyDescent="0.25">
      <c r="A980" s="79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63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</row>
    <row r="981" spans="1:27" ht="15" x14ac:dyDescent="0.25">
      <c r="A981" s="79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63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</row>
    <row r="982" spans="1:27" ht="15" x14ac:dyDescent="0.25">
      <c r="A982" s="79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63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</row>
    <row r="983" spans="1:27" ht="15" x14ac:dyDescent="0.25">
      <c r="A983" s="79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63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</row>
    <row r="984" spans="1:27" ht="15" x14ac:dyDescent="0.25">
      <c r="A984" s="79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63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</row>
    <row r="985" spans="1:27" ht="15" x14ac:dyDescent="0.25">
      <c r="A985" s="79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63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</row>
    <row r="986" spans="1:27" ht="15" x14ac:dyDescent="0.25">
      <c r="A986" s="79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63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</row>
    <row r="987" spans="1:27" ht="15" x14ac:dyDescent="0.25">
      <c r="A987" s="79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63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</row>
    <row r="988" spans="1:27" ht="15" x14ac:dyDescent="0.25">
      <c r="A988" s="79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63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</row>
    <row r="989" spans="1:27" ht="15" x14ac:dyDescent="0.25">
      <c r="A989" s="79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63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</row>
    <row r="990" spans="1:27" ht="15" x14ac:dyDescent="0.25">
      <c r="A990" s="79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63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</row>
    <row r="991" spans="1:27" ht="15" x14ac:dyDescent="0.25">
      <c r="A991" s="79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63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</row>
    <row r="992" spans="1:27" ht="15" x14ac:dyDescent="0.25">
      <c r="A992" s="79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63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</row>
    <row r="993" spans="1:27" ht="15" x14ac:dyDescent="0.25">
      <c r="A993" s="79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63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</row>
    <row r="994" spans="1:27" ht="15" x14ac:dyDescent="0.25">
      <c r="A994" s="79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63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</row>
    <row r="995" spans="1:27" ht="15" x14ac:dyDescent="0.25">
      <c r="A995" s="79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63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</row>
    <row r="996" spans="1:27" ht="15" x14ac:dyDescent="0.25">
      <c r="A996" s="79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63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</row>
    <row r="997" spans="1:27" ht="15" x14ac:dyDescent="0.25">
      <c r="A997" s="79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63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</row>
    <row r="998" spans="1:27" ht="15" x14ac:dyDescent="0.25">
      <c r="A998" s="79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63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</row>
    <row r="999" spans="1:27" ht="15" x14ac:dyDescent="0.25">
      <c r="A999" s="79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63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</row>
    <row r="1000" spans="1:27" ht="15" x14ac:dyDescent="0.25">
      <c r="A1000" s="79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63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</row>
    <row r="1001" spans="1:27" ht="15" x14ac:dyDescent="0.25">
      <c r="A1001" s="79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63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</row>
    <row r="1002" spans="1:27" ht="15" x14ac:dyDescent="0.25">
      <c r="A1002" s="79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63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sheetData>
    <row r="1" spans="1:26" ht="15.75" customHeight="1" x14ac:dyDescent="0.25">
      <c r="A1" s="52" t="s">
        <v>2</v>
      </c>
      <c r="B1" s="52" t="s">
        <v>88</v>
      </c>
      <c r="C1" s="52" t="s">
        <v>90</v>
      </c>
      <c r="D1" s="52" t="s">
        <v>92</v>
      </c>
      <c r="E1" s="3" t="s">
        <v>95</v>
      </c>
      <c r="F1" s="52" t="s">
        <v>97</v>
      </c>
      <c r="G1" s="3" t="s">
        <v>99</v>
      </c>
      <c r="H1" s="3" t="s">
        <v>101</v>
      </c>
      <c r="I1" s="52" t="s">
        <v>103</v>
      </c>
      <c r="J1" s="52" t="s">
        <v>105</v>
      </c>
      <c r="K1" s="52"/>
      <c r="L1" s="52" t="s">
        <v>107</v>
      </c>
      <c r="M1" s="3" t="s">
        <v>104</v>
      </c>
      <c r="N1" s="52"/>
      <c r="O1" s="3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.75" customHeight="1" x14ac:dyDescent="0.25">
      <c r="A2" s="57" t="s">
        <v>14</v>
      </c>
      <c r="B2" s="58"/>
      <c r="C2" s="58" t="s">
        <v>53</v>
      </c>
      <c r="D2" s="58" t="s">
        <v>132</v>
      </c>
      <c r="E2" s="55"/>
      <c r="F2" s="58" t="s">
        <v>133</v>
      </c>
      <c r="G2" s="55" t="s">
        <v>71</v>
      </c>
      <c r="H2" s="55" t="s">
        <v>71</v>
      </c>
      <c r="I2" s="58" t="s">
        <v>66</v>
      </c>
      <c r="J2" s="58" t="s">
        <v>137</v>
      </c>
      <c r="K2" s="58"/>
      <c r="L2" s="58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75" customHeight="1" x14ac:dyDescent="0.25">
      <c r="A3" s="57" t="s">
        <v>143</v>
      </c>
      <c r="B3" s="60">
        <v>24</v>
      </c>
      <c r="C3" s="60">
        <v>21</v>
      </c>
      <c r="D3" s="60">
        <v>38</v>
      </c>
      <c r="E3" s="55">
        <v>53</v>
      </c>
      <c r="F3" s="60">
        <v>47</v>
      </c>
      <c r="G3" s="55">
        <v>52</v>
      </c>
      <c r="H3" s="55">
        <v>18</v>
      </c>
      <c r="I3" s="60">
        <v>20</v>
      </c>
      <c r="J3" s="60">
        <v>19</v>
      </c>
      <c r="K3" s="60"/>
      <c r="L3" s="62">
        <f>AVERAGE(B3:J3)</f>
        <v>32.444444444444443</v>
      </c>
      <c r="M3" s="55">
        <f>MEDIAN(B3:J3)</f>
        <v>24</v>
      </c>
      <c r="N3" s="60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5.75" customHeight="1" x14ac:dyDescent="0.25">
      <c r="A4" s="57" t="s">
        <v>148</v>
      </c>
      <c r="B4" s="58" t="s">
        <v>149</v>
      </c>
      <c r="C4" s="58" t="s">
        <v>149</v>
      </c>
      <c r="D4" s="58" t="s">
        <v>149</v>
      </c>
      <c r="E4" s="58" t="s">
        <v>149</v>
      </c>
      <c r="F4" s="58" t="s">
        <v>149</v>
      </c>
      <c r="G4" s="55" t="s">
        <v>149</v>
      </c>
      <c r="H4" s="58" t="s">
        <v>150</v>
      </c>
      <c r="I4" s="58" t="s">
        <v>150</v>
      </c>
      <c r="J4" s="58"/>
      <c r="K4" s="58"/>
      <c r="L4" s="62"/>
      <c r="M4" s="55"/>
      <c r="N4" s="58"/>
      <c r="O4" s="58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5.75" customHeight="1" x14ac:dyDescent="0.25">
      <c r="A5" s="57" t="s">
        <v>151</v>
      </c>
      <c r="B5" s="60">
        <v>65</v>
      </c>
      <c r="C5" s="60">
        <v>35</v>
      </c>
      <c r="D5" s="60">
        <v>0</v>
      </c>
      <c r="E5" s="55">
        <v>40</v>
      </c>
      <c r="F5" s="60" t="s">
        <v>152</v>
      </c>
      <c r="G5" s="55">
        <v>50</v>
      </c>
      <c r="H5" s="55">
        <v>80</v>
      </c>
      <c r="I5" s="60">
        <v>50</v>
      </c>
      <c r="J5" s="60">
        <v>55</v>
      </c>
      <c r="K5" s="60"/>
      <c r="L5" s="62">
        <f t="shared" ref="L5:L9" si="0">AVERAGE(B5:J5)</f>
        <v>46.875</v>
      </c>
      <c r="M5" s="55">
        <f t="shared" ref="M5:M9" si="1">MEDIAN(B5:J5)</f>
        <v>50</v>
      </c>
      <c r="N5" s="60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.75" customHeight="1" x14ac:dyDescent="0.25">
      <c r="A6" s="57" t="s">
        <v>153</v>
      </c>
      <c r="B6" s="60">
        <v>85</v>
      </c>
      <c r="C6" s="60">
        <v>110</v>
      </c>
      <c r="D6" s="60">
        <v>105</v>
      </c>
      <c r="E6" s="55">
        <v>70</v>
      </c>
      <c r="F6" s="60" t="s">
        <v>152</v>
      </c>
      <c r="G6" s="55">
        <v>80</v>
      </c>
      <c r="H6" s="55">
        <v>20</v>
      </c>
      <c r="I6" s="60">
        <v>30</v>
      </c>
      <c r="J6" s="60">
        <v>90</v>
      </c>
      <c r="K6" s="60"/>
      <c r="L6" s="62">
        <f t="shared" si="0"/>
        <v>73.75</v>
      </c>
      <c r="M6" s="55">
        <f t="shared" si="1"/>
        <v>82.5</v>
      </c>
      <c r="N6" s="60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75" customHeight="1" x14ac:dyDescent="0.25">
      <c r="A7" s="66" t="s">
        <v>154</v>
      </c>
      <c r="B7" s="67">
        <v>30</v>
      </c>
      <c r="C7" s="67">
        <v>80</v>
      </c>
      <c r="D7" s="67">
        <v>35</v>
      </c>
      <c r="E7" s="68">
        <v>45</v>
      </c>
      <c r="F7" s="67" t="s">
        <v>152</v>
      </c>
      <c r="G7" s="68">
        <v>75</v>
      </c>
      <c r="H7" s="68">
        <v>75</v>
      </c>
      <c r="I7" s="67">
        <v>90</v>
      </c>
      <c r="J7" s="60">
        <v>75</v>
      </c>
      <c r="K7" s="67"/>
      <c r="L7" s="62">
        <f t="shared" si="0"/>
        <v>63.125</v>
      </c>
      <c r="M7" s="68">
        <f t="shared" si="1"/>
        <v>75</v>
      </c>
      <c r="N7" s="67"/>
      <c r="O7" s="68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5.75" customHeight="1" x14ac:dyDescent="0.25">
      <c r="A8" s="57" t="s">
        <v>158</v>
      </c>
      <c r="B8" s="60">
        <v>40</v>
      </c>
      <c r="C8" s="60">
        <v>40</v>
      </c>
      <c r="D8" s="60">
        <v>40</v>
      </c>
      <c r="E8" s="55">
        <v>60</v>
      </c>
      <c r="F8" s="60" t="s">
        <v>152</v>
      </c>
      <c r="G8" s="55">
        <v>45</v>
      </c>
      <c r="H8" s="55">
        <v>65</v>
      </c>
      <c r="I8" s="60">
        <v>75</v>
      </c>
      <c r="J8" s="60">
        <v>60</v>
      </c>
      <c r="K8" s="60"/>
      <c r="L8" s="62">
        <f t="shared" si="0"/>
        <v>53.125</v>
      </c>
      <c r="M8" s="55">
        <f t="shared" si="1"/>
        <v>52.5</v>
      </c>
      <c r="N8" s="60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.75" customHeight="1" x14ac:dyDescent="0.25">
      <c r="A9" s="71"/>
      <c r="B9" s="55">
        <f t="shared" ref="B9:J9" si="2">SUM(B5:B8)</f>
        <v>220</v>
      </c>
      <c r="C9" s="55">
        <f t="shared" si="2"/>
        <v>265</v>
      </c>
      <c r="D9" s="55">
        <f t="shared" si="2"/>
        <v>180</v>
      </c>
      <c r="E9" s="55">
        <f t="shared" si="2"/>
        <v>215</v>
      </c>
      <c r="F9" s="55">
        <f t="shared" si="2"/>
        <v>0</v>
      </c>
      <c r="G9" s="55">
        <f t="shared" si="2"/>
        <v>250</v>
      </c>
      <c r="H9" s="55">
        <f t="shared" si="2"/>
        <v>240</v>
      </c>
      <c r="I9" s="55">
        <f t="shared" si="2"/>
        <v>245</v>
      </c>
      <c r="J9" s="55">
        <f t="shared" si="2"/>
        <v>280</v>
      </c>
      <c r="K9" s="55"/>
      <c r="L9" s="62">
        <f t="shared" si="0"/>
        <v>210.55555555555554</v>
      </c>
      <c r="M9" s="55">
        <f t="shared" si="1"/>
        <v>240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customHeight="1" x14ac:dyDescent="0.25">
      <c r="A10" s="71"/>
      <c r="B10" s="55">
        <f t="shared" ref="B10:J10" si="3">B3+1</f>
        <v>25</v>
      </c>
      <c r="C10" s="55">
        <f t="shared" si="3"/>
        <v>22</v>
      </c>
      <c r="D10" s="55">
        <f t="shared" si="3"/>
        <v>39</v>
      </c>
      <c r="E10" s="55">
        <f t="shared" si="3"/>
        <v>54</v>
      </c>
      <c r="F10" s="55">
        <f t="shared" si="3"/>
        <v>48</v>
      </c>
      <c r="G10" s="55">
        <f t="shared" si="3"/>
        <v>53</v>
      </c>
      <c r="H10" s="55">
        <f t="shared" si="3"/>
        <v>19</v>
      </c>
      <c r="I10" s="55">
        <f t="shared" si="3"/>
        <v>21</v>
      </c>
      <c r="J10" s="55">
        <f t="shared" si="3"/>
        <v>20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.75" customHeight="1" x14ac:dyDescent="0.25">
      <c r="A11" s="71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75" customHeight="1" x14ac:dyDescent="0.25">
      <c r="A12" s="71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 x14ac:dyDescent="0.25">
      <c r="A13" s="71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.75" customHeight="1" x14ac:dyDescent="0.25">
      <c r="A14" s="71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 x14ac:dyDescent="0.25">
      <c r="A15" s="71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 x14ac:dyDescent="0.25">
      <c r="A16" s="71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customHeight="1" x14ac:dyDescent="0.25">
      <c r="A17" s="71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 x14ac:dyDescent="0.25">
      <c r="A18" s="71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 x14ac:dyDescent="0.25">
      <c r="A19" s="71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 x14ac:dyDescent="0.25">
      <c r="A20" s="71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 x14ac:dyDescent="0.25">
      <c r="A21" s="71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71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71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71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 x14ac:dyDescent="0.25">
      <c r="A25" s="71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 x14ac:dyDescent="0.25">
      <c r="A26" s="71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 x14ac:dyDescent="0.25">
      <c r="A27" s="71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 x14ac:dyDescent="0.25">
      <c r="A28" s="71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 x14ac:dyDescent="0.25">
      <c r="A29" s="71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 x14ac:dyDescent="0.25">
      <c r="A30" s="71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 x14ac:dyDescent="0.25">
      <c r="A31" s="71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 x14ac:dyDescent="0.25">
      <c r="A32" s="71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 x14ac:dyDescent="0.25">
      <c r="A33" s="71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 x14ac:dyDescent="0.25">
      <c r="A34" s="71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 x14ac:dyDescent="0.25">
      <c r="A35" s="71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 x14ac:dyDescent="0.25">
      <c r="A36" s="71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 x14ac:dyDescent="0.25">
      <c r="A37" s="71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" x14ac:dyDescent="0.25">
      <c r="A38" s="71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" x14ac:dyDescent="0.25">
      <c r="A39" s="71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" x14ac:dyDescent="0.25">
      <c r="A40" s="71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" x14ac:dyDescent="0.25">
      <c r="A41" s="71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" x14ac:dyDescent="0.25">
      <c r="A42" s="71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" x14ac:dyDescent="0.25">
      <c r="A43" s="71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" x14ac:dyDescent="0.25">
      <c r="A44" s="71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" x14ac:dyDescent="0.25">
      <c r="A45" s="71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" x14ac:dyDescent="0.25">
      <c r="A46" s="71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" x14ac:dyDescent="0.25">
      <c r="A47" s="71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" x14ac:dyDescent="0.25">
      <c r="A48" s="71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" x14ac:dyDescent="0.25">
      <c r="A49" s="71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" x14ac:dyDescent="0.25">
      <c r="A50" s="71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" x14ac:dyDescent="0.25">
      <c r="A51" s="71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" x14ac:dyDescent="0.25">
      <c r="A52" s="71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" x14ac:dyDescent="0.25">
      <c r="A53" s="71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" x14ac:dyDescent="0.25">
      <c r="A54" s="71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" x14ac:dyDescent="0.25">
      <c r="A55" s="71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" x14ac:dyDescent="0.25">
      <c r="A56" s="71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" x14ac:dyDescent="0.25">
      <c r="A57" s="71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" x14ac:dyDescent="0.25">
      <c r="A58" s="71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" x14ac:dyDescent="0.25">
      <c r="A59" s="71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" x14ac:dyDescent="0.25">
      <c r="A60" s="71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" x14ac:dyDescent="0.25">
      <c r="A61" s="71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" x14ac:dyDescent="0.25">
      <c r="A62" s="71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" x14ac:dyDescent="0.25">
      <c r="A63" s="71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" x14ac:dyDescent="0.25">
      <c r="A64" s="71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" x14ac:dyDescent="0.25">
      <c r="A65" s="71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" x14ac:dyDescent="0.25">
      <c r="A66" s="71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" x14ac:dyDescent="0.25">
      <c r="A67" s="71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" x14ac:dyDescent="0.25">
      <c r="A68" s="71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" x14ac:dyDescent="0.25">
      <c r="A69" s="71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" x14ac:dyDescent="0.25">
      <c r="A70" s="71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" x14ac:dyDescent="0.25">
      <c r="A71" s="71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" x14ac:dyDescent="0.25">
      <c r="A72" s="71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" x14ac:dyDescent="0.25">
      <c r="A73" s="71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" x14ac:dyDescent="0.25">
      <c r="A74" s="71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" x14ac:dyDescent="0.25">
      <c r="A75" s="71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" x14ac:dyDescent="0.25">
      <c r="A76" s="71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" x14ac:dyDescent="0.25">
      <c r="A77" s="71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" x14ac:dyDescent="0.25">
      <c r="A78" s="71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" x14ac:dyDescent="0.25">
      <c r="A79" s="71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" x14ac:dyDescent="0.25">
      <c r="A80" s="71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" x14ac:dyDescent="0.25">
      <c r="A81" s="71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" x14ac:dyDescent="0.25">
      <c r="A82" s="71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" x14ac:dyDescent="0.25">
      <c r="A83" s="71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" x14ac:dyDescent="0.25">
      <c r="A84" s="71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" x14ac:dyDescent="0.25">
      <c r="A85" s="71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" x14ac:dyDescent="0.25">
      <c r="A86" s="71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" x14ac:dyDescent="0.25">
      <c r="A87" s="71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" x14ac:dyDescent="0.25">
      <c r="A88" s="71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" x14ac:dyDescent="0.25">
      <c r="A89" s="71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" x14ac:dyDescent="0.25">
      <c r="A90" s="71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" x14ac:dyDescent="0.25">
      <c r="A91" s="71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" x14ac:dyDescent="0.25">
      <c r="A92" s="71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" x14ac:dyDescent="0.25">
      <c r="A93" s="71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" x14ac:dyDescent="0.25">
      <c r="A94" s="71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" x14ac:dyDescent="0.25">
      <c r="A95" s="71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" x14ac:dyDescent="0.25">
      <c r="A96" s="71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" x14ac:dyDescent="0.25">
      <c r="A97" s="71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" x14ac:dyDescent="0.25">
      <c r="A98" s="71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" x14ac:dyDescent="0.25">
      <c r="A99" s="71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" x14ac:dyDescent="0.25">
      <c r="A100" s="71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" x14ac:dyDescent="0.25">
      <c r="A101" s="71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" x14ac:dyDescent="0.25">
      <c r="A102" s="71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" x14ac:dyDescent="0.25">
      <c r="A103" s="71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" x14ac:dyDescent="0.25">
      <c r="A104" s="71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" x14ac:dyDescent="0.25">
      <c r="A105" s="71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" x14ac:dyDescent="0.25">
      <c r="A106" s="71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" x14ac:dyDescent="0.25">
      <c r="A107" s="71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" x14ac:dyDescent="0.25">
      <c r="A108" s="71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" x14ac:dyDescent="0.25">
      <c r="A109" s="71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" x14ac:dyDescent="0.25">
      <c r="A110" s="71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" x14ac:dyDescent="0.25">
      <c r="A111" s="71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" x14ac:dyDescent="0.25">
      <c r="A112" s="71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" x14ac:dyDescent="0.25">
      <c r="A113" s="71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" x14ac:dyDescent="0.25">
      <c r="A114" s="71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" x14ac:dyDescent="0.25">
      <c r="A115" s="71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" x14ac:dyDescent="0.25">
      <c r="A116" s="71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" x14ac:dyDescent="0.25">
      <c r="A117" s="71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" x14ac:dyDescent="0.25">
      <c r="A118" s="71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" x14ac:dyDescent="0.25">
      <c r="A119" s="71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" x14ac:dyDescent="0.25">
      <c r="A120" s="71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" x14ac:dyDescent="0.25">
      <c r="A121" s="71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" x14ac:dyDescent="0.25">
      <c r="A122" s="71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" x14ac:dyDescent="0.25">
      <c r="A123" s="71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" x14ac:dyDescent="0.25">
      <c r="A124" s="71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" x14ac:dyDescent="0.25">
      <c r="A125" s="71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" x14ac:dyDescent="0.25">
      <c r="A126" s="71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" x14ac:dyDescent="0.25">
      <c r="A127" s="71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" x14ac:dyDescent="0.25">
      <c r="A128" s="71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" x14ac:dyDescent="0.25">
      <c r="A129" s="71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" x14ac:dyDescent="0.25">
      <c r="A130" s="71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" x14ac:dyDescent="0.25">
      <c r="A131" s="71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" x14ac:dyDescent="0.25">
      <c r="A132" s="71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" x14ac:dyDescent="0.25">
      <c r="A133" s="71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" x14ac:dyDescent="0.25">
      <c r="A134" s="71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" x14ac:dyDescent="0.25">
      <c r="A135" s="71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" x14ac:dyDescent="0.25">
      <c r="A136" s="71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" x14ac:dyDescent="0.25">
      <c r="A137" s="71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" x14ac:dyDescent="0.25">
      <c r="A138" s="71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" x14ac:dyDescent="0.25">
      <c r="A139" s="71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" x14ac:dyDescent="0.25">
      <c r="A140" s="71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" x14ac:dyDescent="0.25">
      <c r="A141" s="71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" x14ac:dyDescent="0.25">
      <c r="A142" s="71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" x14ac:dyDescent="0.25">
      <c r="A143" s="71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" x14ac:dyDescent="0.25">
      <c r="A144" s="71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" x14ac:dyDescent="0.25">
      <c r="A145" s="71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" x14ac:dyDescent="0.25">
      <c r="A146" s="71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" x14ac:dyDescent="0.25">
      <c r="A147" s="71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" x14ac:dyDescent="0.25">
      <c r="A148" s="71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" x14ac:dyDescent="0.25">
      <c r="A149" s="71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" x14ac:dyDescent="0.25">
      <c r="A150" s="71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" x14ac:dyDescent="0.25">
      <c r="A151" s="71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" x14ac:dyDescent="0.25">
      <c r="A152" s="71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" x14ac:dyDescent="0.25">
      <c r="A153" s="71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" x14ac:dyDescent="0.25">
      <c r="A154" s="71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" x14ac:dyDescent="0.25">
      <c r="A155" s="71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" x14ac:dyDescent="0.25">
      <c r="A156" s="71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" x14ac:dyDescent="0.25">
      <c r="A157" s="71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" x14ac:dyDescent="0.25">
      <c r="A158" s="71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" x14ac:dyDescent="0.25">
      <c r="A159" s="71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" x14ac:dyDescent="0.25">
      <c r="A160" s="71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" x14ac:dyDescent="0.25">
      <c r="A161" s="71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" x14ac:dyDescent="0.25">
      <c r="A162" s="71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" x14ac:dyDescent="0.25">
      <c r="A163" s="71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" x14ac:dyDescent="0.25">
      <c r="A164" s="71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" x14ac:dyDescent="0.25">
      <c r="A165" s="71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" x14ac:dyDescent="0.25">
      <c r="A166" s="71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" x14ac:dyDescent="0.25">
      <c r="A167" s="71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" x14ac:dyDescent="0.25">
      <c r="A168" s="71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" x14ac:dyDescent="0.25">
      <c r="A169" s="71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" x14ac:dyDescent="0.25">
      <c r="A170" s="71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" x14ac:dyDescent="0.25">
      <c r="A171" s="71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" x14ac:dyDescent="0.25">
      <c r="A172" s="71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" x14ac:dyDescent="0.25">
      <c r="A173" s="71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" x14ac:dyDescent="0.25">
      <c r="A174" s="71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" x14ac:dyDescent="0.25">
      <c r="A175" s="71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" x14ac:dyDescent="0.25">
      <c r="A176" s="71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" x14ac:dyDescent="0.25">
      <c r="A177" s="71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" x14ac:dyDescent="0.25">
      <c r="A178" s="71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" x14ac:dyDescent="0.25">
      <c r="A179" s="71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" x14ac:dyDescent="0.25">
      <c r="A180" s="71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" x14ac:dyDescent="0.25">
      <c r="A181" s="71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" x14ac:dyDescent="0.25">
      <c r="A182" s="71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" x14ac:dyDescent="0.25">
      <c r="A183" s="71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" x14ac:dyDescent="0.25">
      <c r="A184" s="71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" x14ac:dyDescent="0.25">
      <c r="A185" s="71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" x14ac:dyDescent="0.25">
      <c r="A186" s="71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" x14ac:dyDescent="0.25">
      <c r="A187" s="71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" x14ac:dyDescent="0.25">
      <c r="A188" s="71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" x14ac:dyDescent="0.25">
      <c r="A189" s="71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" x14ac:dyDescent="0.25">
      <c r="A190" s="71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" x14ac:dyDescent="0.25">
      <c r="A191" s="71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" x14ac:dyDescent="0.25">
      <c r="A192" s="71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" x14ac:dyDescent="0.25">
      <c r="A193" s="71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" x14ac:dyDescent="0.25">
      <c r="A194" s="71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" x14ac:dyDescent="0.25">
      <c r="A195" s="71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" x14ac:dyDescent="0.25">
      <c r="A196" s="71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" x14ac:dyDescent="0.25">
      <c r="A197" s="71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" x14ac:dyDescent="0.25">
      <c r="A198" s="71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" x14ac:dyDescent="0.25">
      <c r="A199" s="71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" x14ac:dyDescent="0.25">
      <c r="A200" s="71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" x14ac:dyDescent="0.25">
      <c r="A201" s="71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" x14ac:dyDescent="0.25">
      <c r="A202" s="71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" x14ac:dyDescent="0.25">
      <c r="A203" s="71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" x14ac:dyDescent="0.25">
      <c r="A204" s="71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" x14ac:dyDescent="0.25">
      <c r="A205" s="71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" x14ac:dyDescent="0.25">
      <c r="A206" s="71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" x14ac:dyDescent="0.25">
      <c r="A207" s="71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" x14ac:dyDescent="0.25">
      <c r="A208" s="71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" x14ac:dyDescent="0.25">
      <c r="A209" s="71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" x14ac:dyDescent="0.25">
      <c r="A210" s="71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" x14ac:dyDescent="0.25">
      <c r="A211" s="71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" x14ac:dyDescent="0.25">
      <c r="A212" s="71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" x14ac:dyDescent="0.25">
      <c r="A213" s="71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" x14ac:dyDescent="0.25">
      <c r="A214" s="71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" x14ac:dyDescent="0.25">
      <c r="A215" s="71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" x14ac:dyDescent="0.25">
      <c r="A216" s="71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" x14ac:dyDescent="0.25">
      <c r="A217" s="71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" x14ac:dyDescent="0.25">
      <c r="A218" s="71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" x14ac:dyDescent="0.25">
      <c r="A219" s="71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" x14ac:dyDescent="0.25">
      <c r="A220" s="71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" x14ac:dyDescent="0.25">
      <c r="A221" s="71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" x14ac:dyDescent="0.25">
      <c r="A222" s="71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" x14ac:dyDescent="0.25">
      <c r="A223" s="71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" x14ac:dyDescent="0.25">
      <c r="A224" s="71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" x14ac:dyDescent="0.25">
      <c r="A225" s="71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" x14ac:dyDescent="0.25">
      <c r="A226" s="71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" x14ac:dyDescent="0.25">
      <c r="A227" s="71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" x14ac:dyDescent="0.25">
      <c r="A228" s="71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" x14ac:dyDescent="0.25">
      <c r="A229" s="71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" x14ac:dyDescent="0.25">
      <c r="A230" s="71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" x14ac:dyDescent="0.25">
      <c r="A231" s="71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" x14ac:dyDescent="0.25">
      <c r="A232" s="71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" x14ac:dyDescent="0.25">
      <c r="A233" s="71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" x14ac:dyDescent="0.25">
      <c r="A234" s="71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" x14ac:dyDescent="0.25">
      <c r="A235" s="71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" x14ac:dyDescent="0.25">
      <c r="A236" s="71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" x14ac:dyDescent="0.25">
      <c r="A237" s="71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" x14ac:dyDescent="0.25">
      <c r="A238" s="71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" x14ac:dyDescent="0.25">
      <c r="A239" s="71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" x14ac:dyDescent="0.25">
      <c r="A240" s="71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" x14ac:dyDescent="0.25">
      <c r="A241" s="71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" x14ac:dyDescent="0.25">
      <c r="A242" s="71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" x14ac:dyDescent="0.25">
      <c r="A243" s="71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" x14ac:dyDescent="0.25">
      <c r="A244" s="71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" x14ac:dyDescent="0.25">
      <c r="A245" s="71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" x14ac:dyDescent="0.25">
      <c r="A246" s="71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" x14ac:dyDescent="0.25">
      <c r="A247" s="71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" x14ac:dyDescent="0.25">
      <c r="A248" s="71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" x14ac:dyDescent="0.25">
      <c r="A249" s="71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" x14ac:dyDescent="0.25">
      <c r="A250" s="71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" x14ac:dyDescent="0.25">
      <c r="A251" s="71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" x14ac:dyDescent="0.25">
      <c r="A252" s="71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" x14ac:dyDescent="0.25">
      <c r="A253" s="71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" x14ac:dyDescent="0.25">
      <c r="A254" s="71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" x14ac:dyDescent="0.25">
      <c r="A255" s="71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" x14ac:dyDescent="0.25">
      <c r="A256" s="71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" x14ac:dyDescent="0.25">
      <c r="A257" s="71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" x14ac:dyDescent="0.25">
      <c r="A258" s="71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" x14ac:dyDescent="0.25">
      <c r="A259" s="71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" x14ac:dyDescent="0.25">
      <c r="A260" s="71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" x14ac:dyDescent="0.25">
      <c r="A261" s="71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" x14ac:dyDescent="0.25">
      <c r="A262" s="71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" x14ac:dyDescent="0.25">
      <c r="A263" s="71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" x14ac:dyDescent="0.25">
      <c r="A264" s="71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" x14ac:dyDescent="0.25">
      <c r="A265" s="71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" x14ac:dyDescent="0.25">
      <c r="A266" s="71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" x14ac:dyDescent="0.25">
      <c r="A267" s="71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" x14ac:dyDescent="0.25">
      <c r="A268" s="71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" x14ac:dyDescent="0.25">
      <c r="A269" s="71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" x14ac:dyDescent="0.25">
      <c r="A270" s="71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" x14ac:dyDescent="0.25">
      <c r="A271" s="71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" x14ac:dyDescent="0.25">
      <c r="A272" s="71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" x14ac:dyDescent="0.25">
      <c r="A273" s="71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" x14ac:dyDescent="0.25">
      <c r="A274" s="71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" x14ac:dyDescent="0.25">
      <c r="A275" s="71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" x14ac:dyDescent="0.25">
      <c r="A276" s="71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" x14ac:dyDescent="0.25">
      <c r="A277" s="71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" x14ac:dyDescent="0.25">
      <c r="A278" s="71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" x14ac:dyDescent="0.25">
      <c r="A279" s="71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" x14ac:dyDescent="0.25">
      <c r="A280" s="71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" x14ac:dyDescent="0.25">
      <c r="A281" s="71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" x14ac:dyDescent="0.25">
      <c r="A282" s="71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" x14ac:dyDescent="0.25">
      <c r="A283" s="71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" x14ac:dyDescent="0.25">
      <c r="A284" s="71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" x14ac:dyDescent="0.25">
      <c r="A285" s="71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" x14ac:dyDescent="0.25">
      <c r="A286" s="71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" x14ac:dyDescent="0.25">
      <c r="A287" s="71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" x14ac:dyDescent="0.25">
      <c r="A288" s="71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" x14ac:dyDescent="0.25">
      <c r="A289" s="71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" x14ac:dyDescent="0.25">
      <c r="A290" s="71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" x14ac:dyDescent="0.25">
      <c r="A291" s="71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" x14ac:dyDescent="0.25">
      <c r="A292" s="71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" x14ac:dyDescent="0.25">
      <c r="A293" s="71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" x14ac:dyDescent="0.25">
      <c r="A294" s="71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" x14ac:dyDescent="0.25">
      <c r="A295" s="71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" x14ac:dyDescent="0.25">
      <c r="A296" s="71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" x14ac:dyDescent="0.25">
      <c r="A297" s="71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" x14ac:dyDescent="0.25">
      <c r="A298" s="71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" x14ac:dyDescent="0.25">
      <c r="A299" s="71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" x14ac:dyDescent="0.25">
      <c r="A300" s="71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" x14ac:dyDescent="0.25">
      <c r="A301" s="71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" x14ac:dyDescent="0.25">
      <c r="A302" s="71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" x14ac:dyDescent="0.25">
      <c r="A303" s="71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" x14ac:dyDescent="0.25">
      <c r="A304" s="71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" x14ac:dyDescent="0.25">
      <c r="A305" s="71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" x14ac:dyDescent="0.25">
      <c r="A306" s="71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" x14ac:dyDescent="0.25">
      <c r="A307" s="71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" x14ac:dyDescent="0.25">
      <c r="A308" s="71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" x14ac:dyDescent="0.25">
      <c r="A309" s="71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" x14ac:dyDescent="0.25">
      <c r="A310" s="71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" x14ac:dyDescent="0.25">
      <c r="A311" s="71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" x14ac:dyDescent="0.25">
      <c r="A312" s="71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" x14ac:dyDescent="0.25">
      <c r="A313" s="71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" x14ac:dyDescent="0.25">
      <c r="A314" s="71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" x14ac:dyDescent="0.25">
      <c r="A315" s="71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" x14ac:dyDescent="0.25">
      <c r="A316" s="71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" x14ac:dyDescent="0.25">
      <c r="A317" s="71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" x14ac:dyDescent="0.25">
      <c r="A318" s="71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" x14ac:dyDescent="0.25">
      <c r="A319" s="71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" x14ac:dyDescent="0.25">
      <c r="A320" s="71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" x14ac:dyDescent="0.25">
      <c r="A321" s="71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" x14ac:dyDescent="0.25">
      <c r="A322" s="71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" x14ac:dyDescent="0.25">
      <c r="A323" s="71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" x14ac:dyDescent="0.25">
      <c r="A324" s="71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" x14ac:dyDescent="0.25">
      <c r="A325" s="71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" x14ac:dyDescent="0.25">
      <c r="A326" s="71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" x14ac:dyDescent="0.25">
      <c r="A327" s="71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" x14ac:dyDescent="0.25">
      <c r="A328" s="71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" x14ac:dyDescent="0.25">
      <c r="A329" s="71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" x14ac:dyDescent="0.25">
      <c r="A330" s="71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" x14ac:dyDescent="0.25">
      <c r="A331" s="71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" x14ac:dyDescent="0.25">
      <c r="A332" s="71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" x14ac:dyDescent="0.25">
      <c r="A333" s="71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" x14ac:dyDescent="0.25">
      <c r="A334" s="71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" x14ac:dyDescent="0.25">
      <c r="A335" s="71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" x14ac:dyDescent="0.25">
      <c r="A336" s="71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" x14ac:dyDescent="0.25">
      <c r="A337" s="71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" x14ac:dyDescent="0.25">
      <c r="A338" s="71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" x14ac:dyDescent="0.25">
      <c r="A339" s="71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" x14ac:dyDescent="0.25">
      <c r="A340" s="71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" x14ac:dyDescent="0.25">
      <c r="A341" s="71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" x14ac:dyDescent="0.25">
      <c r="A342" s="71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" x14ac:dyDescent="0.25">
      <c r="A343" s="71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" x14ac:dyDescent="0.25">
      <c r="A344" s="71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" x14ac:dyDescent="0.25">
      <c r="A345" s="71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" x14ac:dyDescent="0.25">
      <c r="A346" s="71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" x14ac:dyDescent="0.25">
      <c r="A347" s="71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" x14ac:dyDescent="0.25">
      <c r="A348" s="71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" x14ac:dyDescent="0.25">
      <c r="A349" s="71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" x14ac:dyDescent="0.25">
      <c r="A350" s="71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" x14ac:dyDescent="0.25">
      <c r="A351" s="71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" x14ac:dyDescent="0.25">
      <c r="A352" s="71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" x14ac:dyDescent="0.25">
      <c r="A353" s="71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" x14ac:dyDescent="0.25">
      <c r="A354" s="71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" x14ac:dyDescent="0.25">
      <c r="A355" s="71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" x14ac:dyDescent="0.25">
      <c r="A356" s="71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" x14ac:dyDescent="0.25">
      <c r="A357" s="71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" x14ac:dyDescent="0.25">
      <c r="A358" s="71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" x14ac:dyDescent="0.25">
      <c r="A359" s="71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" x14ac:dyDescent="0.25">
      <c r="A360" s="71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" x14ac:dyDescent="0.25">
      <c r="A361" s="71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" x14ac:dyDescent="0.25">
      <c r="A362" s="71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" x14ac:dyDescent="0.25">
      <c r="A363" s="71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" x14ac:dyDescent="0.25">
      <c r="A364" s="71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" x14ac:dyDescent="0.25">
      <c r="A365" s="71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" x14ac:dyDescent="0.25">
      <c r="A366" s="71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" x14ac:dyDescent="0.25">
      <c r="A367" s="71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" x14ac:dyDescent="0.25">
      <c r="A368" s="71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" x14ac:dyDescent="0.25">
      <c r="A369" s="71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" x14ac:dyDescent="0.25">
      <c r="A370" s="71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" x14ac:dyDescent="0.25">
      <c r="A371" s="71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" x14ac:dyDescent="0.25">
      <c r="A372" s="71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" x14ac:dyDescent="0.25">
      <c r="A373" s="71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" x14ac:dyDescent="0.25">
      <c r="A374" s="71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" x14ac:dyDescent="0.25">
      <c r="A375" s="71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" x14ac:dyDescent="0.25">
      <c r="A376" s="71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" x14ac:dyDescent="0.25">
      <c r="A377" s="71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" x14ac:dyDescent="0.25">
      <c r="A378" s="71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" x14ac:dyDescent="0.25">
      <c r="A379" s="71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" x14ac:dyDescent="0.25">
      <c r="A380" s="71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" x14ac:dyDescent="0.25">
      <c r="A381" s="71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" x14ac:dyDescent="0.25">
      <c r="A382" s="71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" x14ac:dyDescent="0.25">
      <c r="A383" s="71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" x14ac:dyDescent="0.25">
      <c r="A384" s="71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" x14ac:dyDescent="0.25">
      <c r="A385" s="71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" x14ac:dyDescent="0.25">
      <c r="A386" s="71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" x14ac:dyDescent="0.25">
      <c r="A387" s="71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" x14ac:dyDescent="0.25">
      <c r="A388" s="71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" x14ac:dyDescent="0.25">
      <c r="A389" s="71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" x14ac:dyDescent="0.25">
      <c r="A390" s="71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" x14ac:dyDescent="0.25">
      <c r="A391" s="71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" x14ac:dyDescent="0.25">
      <c r="A392" s="71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" x14ac:dyDescent="0.25">
      <c r="A393" s="71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" x14ac:dyDescent="0.25">
      <c r="A394" s="71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" x14ac:dyDescent="0.25">
      <c r="A395" s="71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" x14ac:dyDescent="0.25">
      <c r="A396" s="71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" x14ac:dyDescent="0.25">
      <c r="A397" s="71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" x14ac:dyDescent="0.25">
      <c r="A398" s="71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" x14ac:dyDescent="0.25">
      <c r="A399" s="71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" x14ac:dyDescent="0.25">
      <c r="A400" s="71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" x14ac:dyDescent="0.25">
      <c r="A401" s="71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" x14ac:dyDescent="0.25">
      <c r="A402" s="71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" x14ac:dyDescent="0.25">
      <c r="A403" s="71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" x14ac:dyDescent="0.25">
      <c r="A404" s="71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" x14ac:dyDescent="0.25">
      <c r="A405" s="71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" x14ac:dyDescent="0.25">
      <c r="A406" s="71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" x14ac:dyDescent="0.25">
      <c r="A407" s="71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" x14ac:dyDescent="0.25">
      <c r="A408" s="71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" x14ac:dyDescent="0.25">
      <c r="A409" s="71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" x14ac:dyDescent="0.25">
      <c r="A410" s="71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" x14ac:dyDescent="0.25">
      <c r="A411" s="71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" x14ac:dyDescent="0.25">
      <c r="A412" s="71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" x14ac:dyDescent="0.25">
      <c r="A413" s="71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" x14ac:dyDescent="0.25">
      <c r="A414" s="71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" x14ac:dyDescent="0.25">
      <c r="A415" s="71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" x14ac:dyDescent="0.25">
      <c r="A416" s="71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" x14ac:dyDescent="0.25">
      <c r="A417" s="71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" x14ac:dyDescent="0.25">
      <c r="A418" s="71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" x14ac:dyDescent="0.25">
      <c r="A419" s="71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" x14ac:dyDescent="0.25">
      <c r="A420" s="71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" x14ac:dyDescent="0.25">
      <c r="A421" s="71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" x14ac:dyDescent="0.25">
      <c r="A422" s="71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" x14ac:dyDescent="0.25">
      <c r="A423" s="71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" x14ac:dyDescent="0.25">
      <c r="A424" s="71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" x14ac:dyDescent="0.25">
      <c r="A425" s="71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" x14ac:dyDescent="0.25">
      <c r="A426" s="71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" x14ac:dyDescent="0.25">
      <c r="A427" s="71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" x14ac:dyDescent="0.25">
      <c r="A428" s="71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" x14ac:dyDescent="0.25">
      <c r="A429" s="71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" x14ac:dyDescent="0.25">
      <c r="A430" s="71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" x14ac:dyDescent="0.25">
      <c r="A431" s="71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" x14ac:dyDescent="0.25">
      <c r="A432" s="71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" x14ac:dyDescent="0.25">
      <c r="A433" s="71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" x14ac:dyDescent="0.25">
      <c r="A434" s="71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" x14ac:dyDescent="0.25">
      <c r="A435" s="71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" x14ac:dyDescent="0.25">
      <c r="A436" s="71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" x14ac:dyDescent="0.25">
      <c r="A437" s="71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" x14ac:dyDescent="0.25">
      <c r="A438" s="71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" x14ac:dyDescent="0.25">
      <c r="A439" s="71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" x14ac:dyDescent="0.25">
      <c r="A440" s="71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" x14ac:dyDescent="0.25">
      <c r="A441" s="71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" x14ac:dyDescent="0.25">
      <c r="A442" s="71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" x14ac:dyDescent="0.25">
      <c r="A443" s="71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" x14ac:dyDescent="0.25">
      <c r="A444" s="71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" x14ac:dyDescent="0.25">
      <c r="A445" s="71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" x14ac:dyDescent="0.25">
      <c r="A446" s="71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" x14ac:dyDescent="0.25">
      <c r="A447" s="71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" x14ac:dyDescent="0.25">
      <c r="A448" s="71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" x14ac:dyDescent="0.25">
      <c r="A449" s="71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" x14ac:dyDescent="0.25">
      <c r="A450" s="71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" x14ac:dyDescent="0.25">
      <c r="A451" s="71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" x14ac:dyDescent="0.25">
      <c r="A452" s="71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" x14ac:dyDescent="0.25">
      <c r="A453" s="71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" x14ac:dyDescent="0.25">
      <c r="A454" s="71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" x14ac:dyDescent="0.25">
      <c r="A455" s="71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" x14ac:dyDescent="0.25">
      <c r="A456" s="71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" x14ac:dyDescent="0.25">
      <c r="A457" s="71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" x14ac:dyDescent="0.25">
      <c r="A458" s="71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" x14ac:dyDescent="0.25">
      <c r="A459" s="71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" x14ac:dyDescent="0.25">
      <c r="A460" s="71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" x14ac:dyDescent="0.25">
      <c r="A461" s="71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" x14ac:dyDescent="0.25">
      <c r="A462" s="71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" x14ac:dyDescent="0.25">
      <c r="A463" s="71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" x14ac:dyDescent="0.25">
      <c r="A464" s="71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" x14ac:dyDescent="0.25">
      <c r="A465" s="71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" x14ac:dyDescent="0.25">
      <c r="A466" s="71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" x14ac:dyDescent="0.25">
      <c r="A467" s="71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" x14ac:dyDescent="0.25">
      <c r="A468" s="71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" x14ac:dyDescent="0.25">
      <c r="A469" s="71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" x14ac:dyDescent="0.25">
      <c r="A470" s="71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" x14ac:dyDescent="0.25">
      <c r="A471" s="71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" x14ac:dyDescent="0.25">
      <c r="A472" s="71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" x14ac:dyDescent="0.25">
      <c r="A473" s="71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" x14ac:dyDescent="0.25">
      <c r="A474" s="71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" x14ac:dyDescent="0.25">
      <c r="A475" s="71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" x14ac:dyDescent="0.25">
      <c r="A476" s="71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" x14ac:dyDescent="0.25">
      <c r="A477" s="71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" x14ac:dyDescent="0.25">
      <c r="A478" s="71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" x14ac:dyDescent="0.25">
      <c r="A479" s="71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" x14ac:dyDescent="0.25">
      <c r="A480" s="71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" x14ac:dyDescent="0.25">
      <c r="A481" s="71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" x14ac:dyDescent="0.25">
      <c r="A482" s="71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" x14ac:dyDescent="0.25">
      <c r="A483" s="71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" x14ac:dyDescent="0.25">
      <c r="A484" s="71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" x14ac:dyDescent="0.25">
      <c r="A485" s="71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" x14ac:dyDescent="0.25">
      <c r="A486" s="71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" x14ac:dyDescent="0.25">
      <c r="A487" s="71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" x14ac:dyDescent="0.25">
      <c r="A488" s="71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" x14ac:dyDescent="0.25">
      <c r="A489" s="71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" x14ac:dyDescent="0.25">
      <c r="A490" s="71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" x14ac:dyDescent="0.25">
      <c r="A491" s="71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" x14ac:dyDescent="0.25">
      <c r="A492" s="71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" x14ac:dyDescent="0.25">
      <c r="A493" s="71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" x14ac:dyDescent="0.25">
      <c r="A494" s="71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" x14ac:dyDescent="0.25">
      <c r="A495" s="71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" x14ac:dyDescent="0.25">
      <c r="A496" s="71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" x14ac:dyDescent="0.25">
      <c r="A497" s="71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" x14ac:dyDescent="0.25">
      <c r="A498" s="71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" x14ac:dyDescent="0.25">
      <c r="A499" s="71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" x14ac:dyDescent="0.25">
      <c r="A500" s="71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" x14ac:dyDescent="0.25">
      <c r="A501" s="71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" x14ac:dyDescent="0.25">
      <c r="A502" s="71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" x14ac:dyDescent="0.25">
      <c r="A503" s="71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" x14ac:dyDescent="0.25">
      <c r="A504" s="71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" x14ac:dyDescent="0.25">
      <c r="A505" s="71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" x14ac:dyDescent="0.25">
      <c r="A506" s="71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" x14ac:dyDescent="0.25">
      <c r="A507" s="71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" x14ac:dyDescent="0.25">
      <c r="A508" s="71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" x14ac:dyDescent="0.25">
      <c r="A509" s="71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" x14ac:dyDescent="0.25">
      <c r="A510" s="71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" x14ac:dyDescent="0.25">
      <c r="A511" s="71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" x14ac:dyDescent="0.25">
      <c r="A512" s="71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" x14ac:dyDescent="0.25">
      <c r="A513" s="71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" x14ac:dyDescent="0.25">
      <c r="A514" s="71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" x14ac:dyDescent="0.25">
      <c r="A515" s="71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" x14ac:dyDescent="0.25">
      <c r="A516" s="71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" x14ac:dyDescent="0.25">
      <c r="A517" s="71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" x14ac:dyDescent="0.25">
      <c r="A518" s="71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" x14ac:dyDescent="0.25">
      <c r="A519" s="71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" x14ac:dyDescent="0.25">
      <c r="A520" s="71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" x14ac:dyDescent="0.25">
      <c r="A521" s="71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" x14ac:dyDescent="0.25">
      <c r="A522" s="71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" x14ac:dyDescent="0.25">
      <c r="A523" s="71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" x14ac:dyDescent="0.25">
      <c r="A524" s="71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" x14ac:dyDescent="0.25">
      <c r="A525" s="71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" x14ac:dyDescent="0.25">
      <c r="A526" s="71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" x14ac:dyDescent="0.25">
      <c r="A527" s="71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" x14ac:dyDescent="0.25">
      <c r="A528" s="71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" x14ac:dyDescent="0.25">
      <c r="A529" s="71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" x14ac:dyDescent="0.25">
      <c r="A530" s="71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" x14ac:dyDescent="0.25">
      <c r="A531" s="71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" x14ac:dyDescent="0.25">
      <c r="A532" s="71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" x14ac:dyDescent="0.25">
      <c r="A533" s="71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" x14ac:dyDescent="0.25">
      <c r="A534" s="71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" x14ac:dyDescent="0.25">
      <c r="A535" s="71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" x14ac:dyDescent="0.25">
      <c r="A536" s="71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" x14ac:dyDescent="0.25">
      <c r="A537" s="71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" x14ac:dyDescent="0.25">
      <c r="A538" s="71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" x14ac:dyDescent="0.25">
      <c r="A539" s="71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" x14ac:dyDescent="0.25">
      <c r="A540" s="71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" x14ac:dyDescent="0.25">
      <c r="A541" s="71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" x14ac:dyDescent="0.25">
      <c r="A542" s="71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" x14ac:dyDescent="0.25">
      <c r="A543" s="71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" x14ac:dyDescent="0.25">
      <c r="A544" s="71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" x14ac:dyDescent="0.25">
      <c r="A545" s="71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" x14ac:dyDescent="0.25">
      <c r="A546" s="71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" x14ac:dyDescent="0.25">
      <c r="A547" s="71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" x14ac:dyDescent="0.25">
      <c r="A548" s="71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" x14ac:dyDescent="0.25">
      <c r="A549" s="71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" x14ac:dyDescent="0.25">
      <c r="A550" s="71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" x14ac:dyDescent="0.25">
      <c r="A551" s="71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" x14ac:dyDescent="0.25">
      <c r="A552" s="71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" x14ac:dyDescent="0.25">
      <c r="A553" s="71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" x14ac:dyDescent="0.25">
      <c r="A554" s="71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" x14ac:dyDescent="0.25">
      <c r="A555" s="71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" x14ac:dyDescent="0.25">
      <c r="A556" s="71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" x14ac:dyDescent="0.25">
      <c r="A557" s="71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" x14ac:dyDescent="0.25">
      <c r="A558" s="71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" x14ac:dyDescent="0.25">
      <c r="A559" s="71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" x14ac:dyDescent="0.25">
      <c r="A560" s="71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" x14ac:dyDescent="0.25">
      <c r="A561" s="71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" x14ac:dyDescent="0.25">
      <c r="A562" s="71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" x14ac:dyDescent="0.25">
      <c r="A563" s="71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" x14ac:dyDescent="0.25">
      <c r="A564" s="71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" x14ac:dyDescent="0.25">
      <c r="A565" s="71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" x14ac:dyDescent="0.25">
      <c r="A566" s="71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" x14ac:dyDescent="0.25">
      <c r="A567" s="71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" x14ac:dyDescent="0.25">
      <c r="A568" s="71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" x14ac:dyDescent="0.25">
      <c r="A569" s="71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" x14ac:dyDescent="0.25">
      <c r="A570" s="71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" x14ac:dyDescent="0.25">
      <c r="A571" s="71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" x14ac:dyDescent="0.25">
      <c r="A572" s="71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" x14ac:dyDescent="0.25">
      <c r="A573" s="71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" x14ac:dyDescent="0.25">
      <c r="A574" s="71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" x14ac:dyDescent="0.25">
      <c r="A575" s="71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" x14ac:dyDescent="0.25">
      <c r="A576" s="71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" x14ac:dyDescent="0.25">
      <c r="A577" s="71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" x14ac:dyDescent="0.25">
      <c r="A578" s="71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" x14ac:dyDescent="0.25">
      <c r="A579" s="71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" x14ac:dyDescent="0.25">
      <c r="A580" s="71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" x14ac:dyDescent="0.25">
      <c r="A581" s="71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" x14ac:dyDescent="0.25">
      <c r="A582" s="71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" x14ac:dyDescent="0.25">
      <c r="A583" s="71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" x14ac:dyDescent="0.25">
      <c r="A584" s="71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" x14ac:dyDescent="0.25">
      <c r="A585" s="71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" x14ac:dyDescent="0.25">
      <c r="A586" s="71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" x14ac:dyDescent="0.25">
      <c r="A587" s="71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" x14ac:dyDescent="0.25">
      <c r="A588" s="71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" x14ac:dyDescent="0.25">
      <c r="A589" s="71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" x14ac:dyDescent="0.25">
      <c r="A590" s="71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" x14ac:dyDescent="0.25">
      <c r="A591" s="71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" x14ac:dyDescent="0.25">
      <c r="A592" s="71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" x14ac:dyDescent="0.25">
      <c r="A593" s="71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" x14ac:dyDescent="0.25">
      <c r="A594" s="71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" x14ac:dyDescent="0.25">
      <c r="A595" s="71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" x14ac:dyDescent="0.25">
      <c r="A596" s="71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" x14ac:dyDescent="0.25">
      <c r="A597" s="71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" x14ac:dyDescent="0.25">
      <c r="A598" s="71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" x14ac:dyDescent="0.25">
      <c r="A599" s="71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" x14ac:dyDescent="0.25">
      <c r="A600" s="71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" x14ac:dyDescent="0.25">
      <c r="A601" s="71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" x14ac:dyDescent="0.25">
      <c r="A602" s="71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" x14ac:dyDescent="0.25">
      <c r="A603" s="71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" x14ac:dyDescent="0.25">
      <c r="A604" s="71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" x14ac:dyDescent="0.25">
      <c r="A605" s="71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" x14ac:dyDescent="0.25">
      <c r="A606" s="71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" x14ac:dyDescent="0.25">
      <c r="A607" s="71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" x14ac:dyDescent="0.25">
      <c r="A608" s="71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" x14ac:dyDescent="0.25">
      <c r="A609" s="71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" x14ac:dyDescent="0.25">
      <c r="A610" s="71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" x14ac:dyDescent="0.25">
      <c r="A611" s="71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" x14ac:dyDescent="0.25">
      <c r="A612" s="71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" x14ac:dyDescent="0.25">
      <c r="A613" s="71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" x14ac:dyDescent="0.25">
      <c r="A614" s="71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" x14ac:dyDescent="0.25">
      <c r="A615" s="71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" x14ac:dyDescent="0.25">
      <c r="A616" s="71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" x14ac:dyDescent="0.25">
      <c r="A617" s="71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" x14ac:dyDescent="0.25">
      <c r="A618" s="71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" x14ac:dyDescent="0.25">
      <c r="A619" s="71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" x14ac:dyDescent="0.25">
      <c r="A620" s="71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" x14ac:dyDescent="0.25">
      <c r="A621" s="71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" x14ac:dyDescent="0.25">
      <c r="A622" s="71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" x14ac:dyDescent="0.25">
      <c r="A623" s="71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" x14ac:dyDescent="0.25">
      <c r="A624" s="71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" x14ac:dyDescent="0.25">
      <c r="A625" s="71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" x14ac:dyDescent="0.25">
      <c r="A626" s="71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" x14ac:dyDescent="0.25">
      <c r="A627" s="71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" x14ac:dyDescent="0.25">
      <c r="A628" s="71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" x14ac:dyDescent="0.25">
      <c r="A629" s="71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" x14ac:dyDescent="0.25">
      <c r="A630" s="71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" x14ac:dyDescent="0.25">
      <c r="A631" s="71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" x14ac:dyDescent="0.25">
      <c r="A632" s="71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" x14ac:dyDescent="0.25">
      <c r="A633" s="71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" x14ac:dyDescent="0.25">
      <c r="A634" s="71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" x14ac:dyDescent="0.25">
      <c r="A635" s="71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" x14ac:dyDescent="0.25">
      <c r="A636" s="71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" x14ac:dyDescent="0.25">
      <c r="A637" s="71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" x14ac:dyDescent="0.25">
      <c r="A638" s="71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" x14ac:dyDescent="0.25">
      <c r="A639" s="71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" x14ac:dyDescent="0.25">
      <c r="A640" s="71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" x14ac:dyDescent="0.25">
      <c r="A641" s="71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" x14ac:dyDescent="0.25">
      <c r="A642" s="71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" x14ac:dyDescent="0.25">
      <c r="A643" s="71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" x14ac:dyDescent="0.25">
      <c r="A644" s="71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" x14ac:dyDescent="0.25">
      <c r="A645" s="71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" x14ac:dyDescent="0.25">
      <c r="A646" s="71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" x14ac:dyDescent="0.25">
      <c r="A647" s="71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" x14ac:dyDescent="0.25">
      <c r="A648" s="71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" x14ac:dyDescent="0.25">
      <c r="A649" s="71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" x14ac:dyDescent="0.25">
      <c r="A650" s="71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" x14ac:dyDescent="0.25">
      <c r="A651" s="71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" x14ac:dyDescent="0.25">
      <c r="A652" s="71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" x14ac:dyDescent="0.25">
      <c r="A653" s="71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" x14ac:dyDescent="0.25">
      <c r="A654" s="71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" x14ac:dyDescent="0.25">
      <c r="A655" s="71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" x14ac:dyDescent="0.25">
      <c r="A656" s="71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" x14ac:dyDescent="0.25">
      <c r="A657" s="71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" x14ac:dyDescent="0.25">
      <c r="A658" s="71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" x14ac:dyDescent="0.25">
      <c r="A659" s="71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" x14ac:dyDescent="0.25">
      <c r="A660" s="71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" x14ac:dyDescent="0.25">
      <c r="A661" s="71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" x14ac:dyDescent="0.25">
      <c r="A662" s="71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" x14ac:dyDescent="0.25">
      <c r="A663" s="71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" x14ac:dyDescent="0.25">
      <c r="A664" s="71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" x14ac:dyDescent="0.25">
      <c r="A665" s="71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" x14ac:dyDescent="0.25">
      <c r="A666" s="71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" x14ac:dyDescent="0.25">
      <c r="A667" s="71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" x14ac:dyDescent="0.25">
      <c r="A668" s="71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" x14ac:dyDescent="0.25">
      <c r="A669" s="71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" x14ac:dyDescent="0.25">
      <c r="A670" s="71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" x14ac:dyDescent="0.25">
      <c r="A671" s="71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" x14ac:dyDescent="0.25">
      <c r="A672" s="71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" x14ac:dyDescent="0.25">
      <c r="A673" s="71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" x14ac:dyDescent="0.25">
      <c r="A674" s="71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" x14ac:dyDescent="0.25">
      <c r="A675" s="71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" x14ac:dyDescent="0.25">
      <c r="A676" s="71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" x14ac:dyDescent="0.25">
      <c r="A677" s="71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" x14ac:dyDescent="0.25">
      <c r="A678" s="71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" x14ac:dyDescent="0.25">
      <c r="A679" s="71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" x14ac:dyDescent="0.25">
      <c r="A680" s="71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" x14ac:dyDescent="0.25">
      <c r="A681" s="71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" x14ac:dyDescent="0.25">
      <c r="A682" s="71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" x14ac:dyDescent="0.25">
      <c r="A683" s="71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" x14ac:dyDescent="0.25">
      <c r="A684" s="71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" x14ac:dyDescent="0.25">
      <c r="A685" s="71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" x14ac:dyDescent="0.25">
      <c r="A686" s="71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" x14ac:dyDescent="0.25">
      <c r="A687" s="71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" x14ac:dyDescent="0.25">
      <c r="A688" s="71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" x14ac:dyDescent="0.25">
      <c r="A689" s="71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" x14ac:dyDescent="0.25">
      <c r="A690" s="71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" x14ac:dyDescent="0.25">
      <c r="A691" s="71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" x14ac:dyDescent="0.25">
      <c r="A692" s="71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" x14ac:dyDescent="0.25">
      <c r="A693" s="71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" x14ac:dyDescent="0.25">
      <c r="A694" s="71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" x14ac:dyDescent="0.25">
      <c r="A695" s="71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" x14ac:dyDescent="0.25">
      <c r="A696" s="71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" x14ac:dyDescent="0.25">
      <c r="A697" s="71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" x14ac:dyDescent="0.25">
      <c r="A698" s="71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" x14ac:dyDescent="0.25">
      <c r="A699" s="71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" x14ac:dyDescent="0.25">
      <c r="A700" s="71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" x14ac:dyDescent="0.25">
      <c r="A701" s="71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" x14ac:dyDescent="0.25">
      <c r="A702" s="71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" x14ac:dyDescent="0.25">
      <c r="A703" s="71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" x14ac:dyDescent="0.25">
      <c r="A704" s="71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" x14ac:dyDescent="0.25">
      <c r="A705" s="71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" x14ac:dyDescent="0.25">
      <c r="A706" s="71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" x14ac:dyDescent="0.25">
      <c r="A707" s="71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" x14ac:dyDescent="0.25">
      <c r="A708" s="71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" x14ac:dyDescent="0.25">
      <c r="A709" s="71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" x14ac:dyDescent="0.25">
      <c r="A710" s="71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" x14ac:dyDescent="0.25">
      <c r="A711" s="71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" x14ac:dyDescent="0.25">
      <c r="A712" s="71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" x14ac:dyDescent="0.25">
      <c r="A713" s="71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" x14ac:dyDescent="0.25">
      <c r="A714" s="71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" x14ac:dyDescent="0.25">
      <c r="A715" s="71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" x14ac:dyDescent="0.25">
      <c r="A716" s="71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" x14ac:dyDescent="0.25">
      <c r="A717" s="71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" x14ac:dyDescent="0.25">
      <c r="A718" s="71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" x14ac:dyDescent="0.25">
      <c r="A719" s="71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" x14ac:dyDescent="0.25">
      <c r="A720" s="71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" x14ac:dyDescent="0.25">
      <c r="A721" s="71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" x14ac:dyDescent="0.25">
      <c r="A722" s="71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" x14ac:dyDescent="0.25">
      <c r="A723" s="71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" x14ac:dyDescent="0.25">
      <c r="A724" s="71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" x14ac:dyDescent="0.25">
      <c r="A725" s="71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" x14ac:dyDescent="0.25">
      <c r="A726" s="71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" x14ac:dyDescent="0.25">
      <c r="A727" s="71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" x14ac:dyDescent="0.25">
      <c r="A728" s="71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" x14ac:dyDescent="0.25">
      <c r="A729" s="71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" x14ac:dyDescent="0.25">
      <c r="A730" s="71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" x14ac:dyDescent="0.25">
      <c r="A731" s="71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" x14ac:dyDescent="0.25">
      <c r="A732" s="71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" x14ac:dyDescent="0.25">
      <c r="A733" s="71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" x14ac:dyDescent="0.25">
      <c r="A734" s="71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" x14ac:dyDescent="0.25">
      <c r="A735" s="71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" x14ac:dyDescent="0.25">
      <c r="A736" s="71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" x14ac:dyDescent="0.25">
      <c r="A737" s="71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" x14ac:dyDescent="0.25">
      <c r="A738" s="71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" x14ac:dyDescent="0.25">
      <c r="A739" s="71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" x14ac:dyDescent="0.25">
      <c r="A740" s="71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" x14ac:dyDescent="0.25">
      <c r="A741" s="71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" x14ac:dyDescent="0.25">
      <c r="A742" s="71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" x14ac:dyDescent="0.25">
      <c r="A743" s="71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" x14ac:dyDescent="0.25">
      <c r="A744" s="71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" x14ac:dyDescent="0.25">
      <c r="A745" s="71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" x14ac:dyDescent="0.25">
      <c r="A746" s="71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" x14ac:dyDescent="0.25">
      <c r="A747" s="71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" x14ac:dyDescent="0.25">
      <c r="A748" s="71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" x14ac:dyDescent="0.25">
      <c r="A749" s="71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" x14ac:dyDescent="0.25">
      <c r="A750" s="71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" x14ac:dyDescent="0.25">
      <c r="A751" s="71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" x14ac:dyDescent="0.25">
      <c r="A752" s="71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" x14ac:dyDescent="0.25">
      <c r="A753" s="71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" x14ac:dyDescent="0.25">
      <c r="A754" s="71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" x14ac:dyDescent="0.25">
      <c r="A755" s="71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" x14ac:dyDescent="0.25">
      <c r="A756" s="71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" x14ac:dyDescent="0.25">
      <c r="A757" s="71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" x14ac:dyDescent="0.25">
      <c r="A758" s="71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" x14ac:dyDescent="0.25">
      <c r="A759" s="71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" x14ac:dyDescent="0.25">
      <c r="A760" s="71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" x14ac:dyDescent="0.25">
      <c r="A761" s="71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" x14ac:dyDescent="0.25">
      <c r="A762" s="71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" x14ac:dyDescent="0.25">
      <c r="A763" s="71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" x14ac:dyDescent="0.25">
      <c r="A764" s="71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" x14ac:dyDescent="0.25">
      <c r="A765" s="71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" x14ac:dyDescent="0.25">
      <c r="A766" s="71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" x14ac:dyDescent="0.25">
      <c r="A767" s="71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" x14ac:dyDescent="0.25">
      <c r="A768" s="71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" x14ac:dyDescent="0.25">
      <c r="A769" s="71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" x14ac:dyDescent="0.25">
      <c r="A770" s="71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" x14ac:dyDescent="0.25">
      <c r="A771" s="71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" x14ac:dyDescent="0.25">
      <c r="A772" s="71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" x14ac:dyDescent="0.25">
      <c r="A773" s="71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" x14ac:dyDescent="0.25">
      <c r="A774" s="71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" x14ac:dyDescent="0.25">
      <c r="A775" s="71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" x14ac:dyDescent="0.25">
      <c r="A776" s="71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" x14ac:dyDescent="0.25">
      <c r="A777" s="71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" x14ac:dyDescent="0.25">
      <c r="A778" s="71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" x14ac:dyDescent="0.25">
      <c r="A779" s="71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" x14ac:dyDescent="0.25">
      <c r="A780" s="71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" x14ac:dyDescent="0.25">
      <c r="A781" s="71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" x14ac:dyDescent="0.25">
      <c r="A782" s="71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" x14ac:dyDescent="0.25">
      <c r="A783" s="71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" x14ac:dyDescent="0.25">
      <c r="A784" s="71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" x14ac:dyDescent="0.25">
      <c r="A785" s="71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" x14ac:dyDescent="0.25">
      <c r="A786" s="71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" x14ac:dyDescent="0.25">
      <c r="A787" s="71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" x14ac:dyDescent="0.25">
      <c r="A788" s="71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" x14ac:dyDescent="0.25">
      <c r="A789" s="71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" x14ac:dyDescent="0.25">
      <c r="A790" s="71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" x14ac:dyDescent="0.25">
      <c r="A791" s="71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" x14ac:dyDescent="0.25">
      <c r="A792" s="71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" x14ac:dyDescent="0.25">
      <c r="A793" s="71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" x14ac:dyDescent="0.25">
      <c r="A794" s="71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" x14ac:dyDescent="0.25">
      <c r="A795" s="71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" x14ac:dyDescent="0.25">
      <c r="A796" s="71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" x14ac:dyDescent="0.25">
      <c r="A797" s="71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" x14ac:dyDescent="0.25">
      <c r="A798" s="71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" x14ac:dyDescent="0.25">
      <c r="A799" s="71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" x14ac:dyDescent="0.25">
      <c r="A800" s="71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" x14ac:dyDescent="0.25">
      <c r="A801" s="71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" x14ac:dyDescent="0.25">
      <c r="A802" s="71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" x14ac:dyDescent="0.25">
      <c r="A803" s="71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" x14ac:dyDescent="0.25">
      <c r="A804" s="71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" x14ac:dyDescent="0.25">
      <c r="A805" s="71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" x14ac:dyDescent="0.25">
      <c r="A806" s="71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" x14ac:dyDescent="0.25">
      <c r="A807" s="71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" x14ac:dyDescent="0.25">
      <c r="A808" s="71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" x14ac:dyDescent="0.25">
      <c r="A809" s="71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" x14ac:dyDescent="0.25">
      <c r="A810" s="71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" x14ac:dyDescent="0.25">
      <c r="A811" s="71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" x14ac:dyDescent="0.25">
      <c r="A812" s="71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" x14ac:dyDescent="0.25">
      <c r="A813" s="71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" x14ac:dyDescent="0.25">
      <c r="A814" s="71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" x14ac:dyDescent="0.25">
      <c r="A815" s="71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" x14ac:dyDescent="0.25">
      <c r="A816" s="71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" x14ac:dyDescent="0.25">
      <c r="A817" s="71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" x14ac:dyDescent="0.25">
      <c r="A818" s="71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" x14ac:dyDescent="0.25">
      <c r="A819" s="71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" x14ac:dyDescent="0.25">
      <c r="A820" s="71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" x14ac:dyDescent="0.25">
      <c r="A821" s="71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" x14ac:dyDescent="0.25">
      <c r="A822" s="71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" x14ac:dyDescent="0.25">
      <c r="A823" s="71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" x14ac:dyDescent="0.25">
      <c r="A824" s="71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" x14ac:dyDescent="0.25">
      <c r="A825" s="71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" x14ac:dyDescent="0.25">
      <c r="A826" s="71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" x14ac:dyDescent="0.25">
      <c r="A827" s="71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" x14ac:dyDescent="0.25">
      <c r="A828" s="71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" x14ac:dyDescent="0.25">
      <c r="A829" s="71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" x14ac:dyDescent="0.25">
      <c r="A830" s="71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" x14ac:dyDescent="0.25">
      <c r="A831" s="71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" x14ac:dyDescent="0.25">
      <c r="A832" s="71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" x14ac:dyDescent="0.25">
      <c r="A833" s="71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" x14ac:dyDescent="0.25">
      <c r="A834" s="71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" x14ac:dyDescent="0.25">
      <c r="A835" s="71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" x14ac:dyDescent="0.25">
      <c r="A836" s="71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" x14ac:dyDescent="0.25">
      <c r="A837" s="71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" x14ac:dyDescent="0.25">
      <c r="A838" s="71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" x14ac:dyDescent="0.25">
      <c r="A839" s="71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" x14ac:dyDescent="0.25">
      <c r="A840" s="71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" x14ac:dyDescent="0.25">
      <c r="A841" s="71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" x14ac:dyDescent="0.25">
      <c r="A842" s="71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" x14ac:dyDescent="0.25">
      <c r="A843" s="71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" x14ac:dyDescent="0.25">
      <c r="A844" s="71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" x14ac:dyDescent="0.25">
      <c r="A845" s="71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" x14ac:dyDescent="0.25">
      <c r="A846" s="71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" x14ac:dyDescent="0.25">
      <c r="A847" s="71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" x14ac:dyDescent="0.25">
      <c r="A848" s="71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" x14ac:dyDescent="0.25">
      <c r="A849" s="71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" x14ac:dyDescent="0.25">
      <c r="A850" s="71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" x14ac:dyDescent="0.25">
      <c r="A851" s="71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" x14ac:dyDescent="0.25">
      <c r="A852" s="71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" x14ac:dyDescent="0.25">
      <c r="A853" s="71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" x14ac:dyDescent="0.25">
      <c r="A854" s="71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" x14ac:dyDescent="0.25">
      <c r="A855" s="71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" x14ac:dyDescent="0.25">
      <c r="A856" s="71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" x14ac:dyDescent="0.25">
      <c r="A857" s="71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" x14ac:dyDescent="0.25">
      <c r="A858" s="71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" x14ac:dyDescent="0.25">
      <c r="A859" s="71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" x14ac:dyDescent="0.25">
      <c r="A860" s="71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" x14ac:dyDescent="0.25">
      <c r="A861" s="71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" x14ac:dyDescent="0.25">
      <c r="A862" s="71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" x14ac:dyDescent="0.25">
      <c r="A863" s="71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" x14ac:dyDescent="0.25">
      <c r="A864" s="71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" x14ac:dyDescent="0.25">
      <c r="A865" s="71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" x14ac:dyDescent="0.25">
      <c r="A866" s="71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" x14ac:dyDescent="0.25">
      <c r="A867" s="71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" x14ac:dyDescent="0.25">
      <c r="A868" s="71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" x14ac:dyDescent="0.25">
      <c r="A869" s="71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" x14ac:dyDescent="0.25">
      <c r="A870" s="71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" x14ac:dyDescent="0.25">
      <c r="A871" s="71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" x14ac:dyDescent="0.25">
      <c r="A872" s="71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" x14ac:dyDescent="0.25">
      <c r="A873" s="71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" x14ac:dyDescent="0.25">
      <c r="A874" s="71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" x14ac:dyDescent="0.25">
      <c r="A875" s="71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" x14ac:dyDescent="0.25">
      <c r="A876" s="71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" x14ac:dyDescent="0.25">
      <c r="A877" s="71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" x14ac:dyDescent="0.25">
      <c r="A878" s="71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" x14ac:dyDescent="0.25">
      <c r="A879" s="71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" x14ac:dyDescent="0.25">
      <c r="A880" s="71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" x14ac:dyDescent="0.25">
      <c r="A881" s="71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" x14ac:dyDescent="0.25">
      <c r="A882" s="71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" x14ac:dyDescent="0.25">
      <c r="A883" s="71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" x14ac:dyDescent="0.25">
      <c r="A884" s="71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" x14ac:dyDescent="0.25">
      <c r="A885" s="71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" x14ac:dyDescent="0.25">
      <c r="A886" s="71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" x14ac:dyDescent="0.25">
      <c r="A887" s="71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" x14ac:dyDescent="0.25">
      <c r="A888" s="71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" x14ac:dyDescent="0.25">
      <c r="A889" s="71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" x14ac:dyDescent="0.25">
      <c r="A890" s="71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" x14ac:dyDescent="0.25">
      <c r="A891" s="71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" x14ac:dyDescent="0.25">
      <c r="A892" s="71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" x14ac:dyDescent="0.25">
      <c r="A893" s="71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" x14ac:dyDescent="0.25">
      <c r="A894" s="71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" x14ac:dyDescent="0.25">
      <c r="A895" s="71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" x14ac:dyDescent="0.25">
      <c r="A896" s="71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" x14ac:dyDescent="0.25">
      <c r="A897" s="71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" x14ac:dyDescent="0.25">
      <c r="A898" s="71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" x14ac:dyDescent="0.25">
      <c r="A899" s="71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" x14ac:dyDescent="0.25">
      <c r="A900" s="71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" x14ac:dyDescent="0.25">
      <c r="A901" s="71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" x14ac:dyDescent="0.25">
      <c r="A902" s="71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" x14ac:dyDescent="0.25">
      <c r="A903" s="71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" x14ac:dyDescent="0.25">
      <c r="A904" s="71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" x14ac:dyDescent="0.25">
      <c r="A905" s="71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" x14ac:dyDescent="0.25">
      <c r="A906" s="71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" x14ac:dyDescent="0.25">
      <c r="A907" s="71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" x14ac:dyDescent="0.25">
      <c r="A908" s="71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" x14ac:dyDescent="0.25">
      <c r="A909" s="71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" x14ac:dyDescent="0.25">
      <c r="A910" s="71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" x14ac:dyDescent="0.25">
      <c r="A911" s="71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" x14ac:dyDescent="0.25">
      <c r="A912" s="71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" x14ac:dyDescent="0.25">
      <c r="A913" s="71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" x14ac:dyDescent="0.25">
      <c r="A914" s="71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" x14ac:dyDescent="0.25">
      <c r="A915" s="71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" x14ac:dyDescent="0.25">
      <c r="A916" s="71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" x14ac:dyDescent="0.25">
      <c r="A917" s="71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" x14ac:dyDescent="0.25">
      <c r="A918" s="71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" x14ac:dyDescent="0.25">
      <c r="A919" s="71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" x14ac:dyDescent="0.25">
      <c r="A920" s="71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" x14ac:dyDescent="0.25">
      <c r="A921" s="71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" x14ac:dyDescent="0.25">
      <c r="A922" s="71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" x14ac:dyDescent="0.25">
      <c r="A923" s="71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" x14ac:dyDescent="0.25">
      <c r="A924" s="71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" x14ac:dyDescent="0.25">
      <c r="A925" s="71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" x14ac:dyDescent="0.25">
      <c r="A926" s="71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" x14ac:dyDescent="0.25">
      <c r="A927" s="71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" x14ac:dyDescent="0.25">
      <c r="A928" s="71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" x14ac:dyDescent="0.25">
      <c r="A929" s="71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" x14ac:dyDescent="0.25">
      <c r="A930" s="71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" x14ac:dyDescent="0.25">
      <c r="A931" s="71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" x14ac:dyDescent="0.25">
      <c r="A932" s="71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" x14ac:dyDescent="0.25">
      <c r="A933" s="71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" x14ac:dyDescent="0.25">
      <c r="A934" s="71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" x14ac:dyDescent="0.25">
      <c r="A935" s="71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" x14ac:dyDescent="0.25">
      <c r="A936" s="71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" x14ac:dyDescent="0.25">
      <c r="A937" s="71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" x14ac:dyDescent="0.25">
      <c r="A938" s="71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" x14ac:dyDescent="0.25">
      <c r="A939" s="71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" x14ac:dyDescent="0.25">
      <c r="A940" s="71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" x14ac:dyDescent="0.25">
      <c r="A941" s="71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" x14ac:dyDescent="0.25">
      <c r="A942" s="71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" x14ac:dyDescent="0.25">
      <c r="A943" s="71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" x14ac:dyDescent="0.25">
      <c r="A944" s="71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" x14ac:dyDescent="0.25">
      <c r="A945" s="71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" x14ac:dyDescent="0.25">
      <c r="A946" s="71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" x14ac:dyDescent="0.25">
      <c r="A947" s="71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" x14ac:dyDescent="0.25">
      <c r="A948" s="71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" x14ac:dyDescent="0.25">
      <c r="A949" s="71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" x14ac:dyDescent="0.25">
      <c r="A950" s="71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" x14ac:dyDescent="0.25">
      <c r="A951" s="71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" x14ac:dyDescent="0.25">
      <c r="A952" s="71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" x14ac:dyDescent="0.25">
      <c r="A953" s="71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" x14ac:dyDescent="0.25">
      <c r="A954" s="71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" x14ac:dyDescent="0.25">
      <c r="A955" s="71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" x14ac:dyDescent="0.25">
      <c r="A956" s="71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" x14ac:dyDescent="0.25">
      <c r="A957" s="71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" x14ac:dyDescent="0.25">
      <c r="A958" s="71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" x14ac:dyDescent="0.25">
      <c r="A959" s="71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" x14ac:dyDescent="0.25">
      <c r="A960" s="71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" x14ac:dyDescent="0.25">
      <c r="A961" s="71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" x14ac:dyDescent="0.25">
      <c r="A962" s="71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5" x14ac:dyDescent="0.25">
      <c r="A963" s="71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5" x14ac:dyDescent="0.25">
      <c r="A964" s="71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5" x14ac:dyDescent="0.25">
      <c r="A965" s="71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5" x14ac:dyDescent="0.25">
      <c r="A966" s="71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5" x14ac:dyDescent="0.25">
      <c r="A967" s="71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5" x14ac:dyDescent="0.25">
      <c r="A968" s="71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5" x14ac:dyDescent="0.25">
      <c r="A969" s="71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5" x14ac:dyDescent="0.25">
      <c r="A970" s="71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5" x14ac:dyDescent="0.25">
      <c r="A971" s="71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5" x14ac:dyDescent="0.25">
      <c r="A972" s="71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5" x14ac:dyDescent="0.25">
      <c r="A973" s="71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5" x14ac:dyDescent="0.25">
      <c r="A974" s="71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5" x14ac:dyDescent="0.25">
      <c r="A975" s="71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5" x14ac:dyDescent="0.25">
      <c r="A976" s="71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5" x14ac:dyDescent="0.25">
      <c r="A977" s="71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5" x14ac:dyDescent="0.25">
      <c r="A978" s="71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5" x14ac:dyDescent="0.25">
      <c r="A979" s="71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5" x14ac:dyDescent="0.25">
      <c r="A980" s="71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5" x14ac:dyDescent="0.25">
      <c r="A981" s="71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5" x14ac:dyDescent="0.25">
      <c r="A982" s="71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5" x14ac:dyDescent="0.25">
      <c r="A983" s="71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5" x14ac:dyDescent="0.25">
      <c r="A984" s="71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5" x14ac:dyDescent="0.25">
      <c r="A985" s="71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5" x14ac:dyDescent="0.25">
      <c r="A986" s="71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5" x14ac:dyDescent="0.25">
      <c r="A987" s="71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5" x14ac:dyDescent="0.25">
      <c r="A988" s="71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5" x14ac:dyDescent="0.25">
      <c r="A989" s="71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5" x14ac:dyDescent="0.25">
      <c r="A990" s="71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5" x14ac:dyDescent="0.25">
      <c r="A991" s="71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5" x14ac:dyDescent="0.25">
      <c r="A992" s="71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5" x14ac:dyDescent="0.25">
      <c r="A993" s="71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5" x14ac:dyDescent="0.25">
      <c r="A994" s="71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5" x14ac:dyDescent="0.25">
      <c r="A995" s="71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5" x14ac:dyDescent="0.25">
      <c r="A996" s="71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5" x14ac:dyDescent="0.25">
      <c r="A997" s="71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5" x14ac:dyDescent="0.25">
      <c r="A998" s="71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workbookViewId="0"/>
  </sheetViews>
  <sheetFormatPr defaultColWidth="12.5703125" defaultRowHeight="15.75" customHeight="1" x14ac:dyDescent="0.2"/>
  <cols>
    <col min="1" max="28" width="15.28515625" customWidth="1"/>
  </cols>
  <sheetData>
    <row r="1" spans="1:28" ht="15.75" customHeight="1" x14ac:dyDescent="0.25">
      <c r="A1" s="55" t="s">
        <v>44</v>
      </c>
      <c r="B1" s="55">
        <v>0</v>
      </c>
      <c r="C1" s="65">
        <v>0</v>
      </c>
      <c r="D1" s="65">
        <f t="shared" ref="D1:D7" si="0">C1-F1</f>
        <v>0</v>
      </c>
      <c r="E1" s="65">
        <f>(Provinces!C2*0.005)-F1</f>
        <v>30993.535</v>
      </c>
      <c r="F1" s="55">
        <f t="shared" ref="F1:F7" si="1">SUM(G1:I1)</f>
        <v>0</v>
      </c>
      <c r="G1" s="55"/>
      <c r="H1" s="55"/>
      <c r="I1" s="55">
        <f t="shared" ref="I1:I7" si="2">(C1*0.02)*J1</f>
        <v>0</v>
      </c>
      <c r="J1" s="55"/>
      <c r="K1" s="55">
        <f>IF(AND('The Crown'!B2&lt;0,C1&gt;0),1,0)</f>
        <v>0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15.75" customHeight="1" x14ac:dyDescent="0.25">
      <c r="A2" s="55" t="s">
        <v>50</v>
      </c>
      <c r="B2" s="55">
        <v>0.25</v>
      </c>
      <c r="C2" s="65">
        <v>55000</v>
      </c>
      <c r="D2" s="65">
        <f t="shared" si="0"/>
        <v>45561</v>
      </c>
      <c r="E2" s="65">
        <f>(Provinces!C3*0.005)-F2</f>
        <v>55800.15</v>
      </c>
      <c r="F2" s="55">
        <f t="shared" si="1"/>
        <v>9439</v>
      </c>
      <c r="G2" s="55">
        <v>1034</v>
      </c>
      <c r="H2" s="55">
        <v>4005</v>
      </c>
      <c r="I2" s="55">
        <f t="shared" si="2"/>
        <v>4400</v>
      </c>
      <c r="J2" s="55">
        <v>4</v>
      </c>
      <c r="K2" s="55">
        <f>IF(AND(Provinces!B3&lt;0,C2&gt;0),1,0)</f>
        <v>1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spans="1:28" ht="15.75" customHeight="1" x14ac:dyDescent="0.25">
      <c r="A3" s="55" t="s">
        <v>54</v>
      </c>
      <c r="B3" s="55">
        <v>0</v>
      </c>
      <c r="C3" s="65">
        <v>18000</v>
      </c>
      <c r="D3" s="65">
        <f t="shared" si="0"/>
        <v>18000</v>
      </c>
      <c r="E3" s="65">
        <f>(Provinces!C4*0.005)-F3</f>
        <v>18696.055</v>
      </c>
      <c r="F3" s="55">
        <f t="shared" si="1"/>
        <v>0</v>
      </c>
      <c r="G3" s="55"/>
      <c r="H3" s="55"/>
      <c r="I3" s="55">
        <f t="shared" si="2"/>
        <v>0</v>
      </c>
      <c r="J3" s="55"/>
      <c r="K3" s="55">
        <f>IF(AND(Provinces!B4&lt;0,C3&gt;0),1,0)</f>
        <v>0</v>
      </c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1:28" ht="15.75" customHeight="1" x14ac:dyDescent="0.25">
      <c r="A4" s="55" t="s">
        <v>162</v>
      </c>
      <c r="B4" s="55">
        <v>0.25</v>
      </c>
      <c r="C4" s="65">
        <v>0</v>
      </c>
      <c r="D4" s="65">
        <f t="shared" si="0"/>
        <v>0</v>
      </c>
      <c r="E4" s="65">
        <f>(Provinces!C5*0.005)-F4</f>
        <v>15912.62</v>
      </c>
      <c r="F4" s="55">
        <f t="shared" si="1"/>
        <v>0</v>
      </c>
      <c r="G4" s="55"/>
      <c r="H4" s="55"/>
      <c r="I4" s="55">
        <f t="shared" si="2"/>
        <v>0</v>
      </c>
      <c r="J4" s="55"/>
      <c r="K4" s="55">
        <f>IF(AND(Provinces!B5&lt;0,C4&gt;0),1,0)</f>
        <v>0</v>
      </c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28" ht="15.75" customHeight="1" x14ac:dyDescent="0.25">
      <c r="A5" s="55" t="s">
        <v>58</v>
      </c>
      <c r="B5" s="55">
        <v>0.25</v>
      </c>
      <c r="C5" s="65">
        <v>0</v>
      </c>
      <c r="D5" s="65">
        <f t="shared" si="0"/>
        <v>0</v>
      </c>
      <c r="E5" s="65">
        <f>(Provinces!C6*0.005)-F5</f>
        <v>38470.654999999999</v>
      </c>
      <c r="F5" s="55">
        <f t="shared" si="1"/>
        <v>0</v>
      </c>
      <c r="G5" s="55"/>
      <c r="H5" s="55"/>
      <c r="I5" s="55">
        <f t="shared" si="2"/>
        <v>0</v>
      </c>
      <c r="J5" s="55"/>
      <c r="K5" s="55">
        <f>IF(AND(Provinces!B6&lt;0,C5&gt;0),1,0)</f>
        <v>0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1:28" ht="15.75" customHeight="1" x14ac:dyDescent="0.25">
      <c r="A6" s="55" t="s">
        <v>61</v>
      </c>
      <c r="B6" s="55">
        <v>0.25</v>
      </c>
      <c r="C6" s="65">
        <v>26500</v>
      </c>
      <c r="D6" s="65">
        <f t="shared" si="0"/>
        <v>16275</v>
      </c>
      <c r="E6" s="65">
        <f>(Provinces!C7*0.005)-F6</f>
        <v>69979.680000000008</v>
      </c>
      <c r="F6" s="55">
        <f t="shared" si="1"/>
        <v>10225</v>
      </c>
      <c r="G6" s="55">
        <v>4000</v>
      </c>
      <c r="H6" s="55">
        <v>4105</v>
      </c>
      <c r="I6" s="55">
        <f t="shared" si="2"/>
        <v>2120</v>
      </c>
      <c r="J6" s="55">
        <v>4</v>
      </c>
      <c r="K6" s="55">
        <f>IF(AND(Provinces!B7&lt;0,C6&gt;0),1,0)</f>
        <v>1</v>
      </c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 spans="1:28" ht="15.75" customHeight="1" x14ac:dyDescent="0.25">
      <c r="A7" s="55" t="s">
        <v>64</v>
      </c>
      <c r="B7" s="55">
        <v>0.25</v>
      </c>
      <c r="C7" s="65">
        <v>3000</v>
      </c>
      <c r="D7" s="65">
        <f t="shared" si="0"/>
        <v>1111</v>
      </c>
      <c r="E7" s="65">
        <f>(Provinces!C8*0.005)-F7</f>
        <v>83146.180000000008</v>
      </c>
      <c r="F7" s="55">
        <f t="shared" si="1"/>
        <v>1889</v>
      </c>
      <c r="G7" s="55">
        <v>1035</v>
      </c>
      <c r="H7" s="55">
        <v>854</v>
      </c>
      <c r="I7" s="55">
        <f t="shared" si="2"/>
        <v>0</v>
      </c>
      <c r="J7" s="55"/>
      <c r="K7" s="55">
        <f>IF(AND(Provinces!B8&lt;0,C7&gt;0),1,0)</f>
        <v>0</v>
      </c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 spans="1:28" ht="15.75" customHeight="1" x14ac:dyDescent="0.25">
      <c r="A8" s="55"/>
      <c r="B8" s="55" t="s">
        <v>163</v>
      </c>
      <c r="C8" s="55" t="s">
        <v>25</v>
      </c>
      <c r="D8" s="55" t="s">
        <v>164</v>
      </c>
      <c r="E8" s="55" t="s">
        <v>165</v>
      </c>
      <c r="F8" s="55" t="s">
        <v>166</v>
      </c>
      <c r="G8" s="55" t="s">
        <v>167</v>
      </c>
      <c r="H8" s="55" t="s">
        <v>49</v>
      </c>
      <c r="I8" s="55" t="s">
        <v>168</v>
      </c>
      <c r="J8" s="55" t="s">
        <v>169</v>
      </c>
      <c r="K8" s="55" t="s">
        <v>170</v>
      </c>
      <c r="L8" s="55" t="s">
        <v>171</v>
      </c>
      <c r="M8" s="55" t="s">
        <v>172</v>
      </c>
      <c r="N8" s="55" t="s">
        <v>173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 spans="1:28" ht="15.75" customHeight="1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 spans="1:28" ht="15.75" customHeight="1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</row>
    <row r="11" spans="1:28" ht="15.75" customHeight="1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</row>
    <row r="12" spans="1:28" ht="15.75" customHeight="1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</row>
    <row r="13" spans="1:28" ht="15.75" customHeight="1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</row>
    <row r="14" spans="1:28" ht="15.75" customHeight="1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 spans="1:28" ht="15.75" customHeight="1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 spans="1:28" ht="1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 spans="1:28" ht="15.75" customHeight="1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 spans="1:28" ht="15.7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 spans="1:28" ht="15.75" customHeight="1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 spans="1:28" ht="15.75" customHeight="1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 spans="1:28" ht="15.75" customHeight="1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 spans="1:28" ht="15.75" customHeight="1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 spans="1:28" ht="15.75" customHeight="1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 spans="1:28" ht="15.75" customHeight="1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 spans="1:28" ht="15.75" customHeight="1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 spans="1:28" ht="15.7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spans="1:28" ht="15.75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pans="1:28" ht="15.7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pans="1:28" ht="15.7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pans="1:28" ht="15.7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pans="1:28" ht="15.7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pans="1:28" ht="15.7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pans="1:28" ht="15.7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pans="1:28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pans="1:28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pans="1:28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pans="1:28" ht="15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pans="1:28" ht="15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pans="1:28" ht="15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pans="1:28" ht="15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pans="1:28" ht="15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pans="1:28" ht="15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pans="1:28" ht="15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pans="1:28" ht="15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pans="1:28" ht="15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pans="1:28" ht="15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pans="1:28" ht="15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pans="1:28" ht="15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pans="1:28" ht="15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pans="1:28" ht="15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pans="1:28" ht="15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pans="1:28" ht="15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pans="1:28" ht="15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pans="1:28" ht="15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pans="1:28" ht="15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pans="1:28" ht="15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pans="1:28" ht="15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pans="1:28" ht="15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pans="1:28" ht="15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pans="1:28" ht="15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pans="1:28" ht="15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pans="1:28" ht="15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pans="1:28" ht="15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pans="1:28" ht="15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pans="1:28" ht="15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pans="1:28" ht="15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pans="1:28" ht="15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pans="1:28" ht="15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pans="1:28" ht="15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pans="1:28" ht="15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pans="1:28" ht="15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pans="1:28" ht="15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pans="1:28" ht="15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pans="1:28" ht="15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pans="1:28" ht="15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pans="1:28" ht="15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pans="1:28" ht="15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pans="1:28" ht="15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pans="1:28" ht="15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pans="1:28" ht="15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pans="1:28" ht="15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pans="1:28" ht="15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pans="1:28" ht="15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pans="1:28" ht="15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pans="1:28" ht="15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pans="1:28" ht="15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spans="1:28" ht="15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 spans="1:28" ht="15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 spans="1:28" ht="15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 spans="1:28" ht="15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 spans="1:28" ht="15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 spans="1:28" ht="15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 spans="1:28" ht="15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 spans="1:28" ht="15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</row>
    <row r="95" spans="1:28" ht="15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</row>
    <row r="96" spans="1:28" ht="15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</row>
    <row r="97" spans="1:28" ht="15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</row>
    <row r="98" spans="1:28" ht="15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</row>
    <row r="99" spans="1:28" ht="15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</row>
    <row r="100" spans="1:28" ht="15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</row>
    <row r="101" spans="1:28" ht="15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</row>
    <row r="102" spans="1:28" ht="15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</row>
    <row r="103" spans="1:28" ht="15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</row>
    <row r="104" spans="1:28" ht="15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</row>
    <row r="105" spans="1:28" ht="15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</row>
    <row r="106" spans="1:28" ht="15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</row>
    <row r="107" spans="1:28" ht="15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</row>
    <row r="108" spans="1:28" ht="15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</row>
    <row r="109" spans="1:28" ht="15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</row>
    <row r="110" spans="1:28" ht="15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</row>
    <row r="111" spans="1:28" ht="15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</row>
    <row r="112" spans="1:28" ht="15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</row>
    <row r="113" spans="1:28" ht="15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</row>
    <row r="114" spans="1:28" ht="15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</row>
    <row r="115" spans="1:28" ht="15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</row>
    <row r="116" spans="1:28" ht="15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</row>
    <row r="117" spans="1:28" ht="15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</row>
    <row r="118" spans="1:28" ht="15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</row>
    <row r="119" spans="1:28" ht="15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</row>
    <row r="120" spans="1:28" ht="15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</row>
    <row r="121" spans="1:28" ht="15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</row>
    <row r="122" spans="1:28" ht="15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</row>
    <row r="123" spans="1:28" ht="15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</row>
    <row r="124" spans="1:28" ht="15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</row>
    <row r="125" spans="1:28" ht="15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</row>
    <row r="126" spans="1:28" ht="15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</row>
    <row r="127" spans="1:28" ht="15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</row>
    <row r="128" spans="1:28" ht="15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</row>
    <row r="129" spans="1:28" ht="15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</row>
    <row r="130" spans="1:28" ht="15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</row>
    <row r="131" spans="1:28" ht="15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</row>
    <row r="132" spans="1:28" ht="15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</row>
    <row r="133" spans="1:28" ht="15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</row>
    <row r="134" spans="1:28" ht="15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</row>
    <row r="135" spans="1:28" ht="15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</row>
    <row r="136" spans="1:28" ht="15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</row>
    <row r="137" spans="1:28" ht="15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</row>
    <row r="138" spans="1:28" ht="15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</row>
    <row r="139" spans="1:28" ht="15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</row>
    <row r="140" spans="1:28" ht="15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</row>
    <row r="141" spans="1:28" ht="15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</row>
    <row r="142" spans="1:28" ht="15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</row>
    <row r="143" spans="1:28" ht="15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</row>
    <row r="144" spans="1:28" ht="15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</row>
    <row r="145" spans="1:28" ht="15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</row>
    <row r="146" spans="1:28" ht="15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</row>
    <row r="147" spans="1:28" ht="15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</row>
    <row r="148" spans="1:28" ht="15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</row>
    <row r="149" spans="1:28" ht="15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</row>
    <row r="150" spans="1:28" ht="15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</row>
    <row r="151" spans="1:28" ht="15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</row>
    <row r="152" spans="1:28" ht="15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</row>
    <row r="153" spans="1:28" ht="15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</row>
    <row r="154" spans="1:28" ht="15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</row>
    <row r="155" spans="1:28" ht="15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</row>
    <row r="156" spans="1:28" ht="15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</row>
    <row r="157" spans="1:28" ht="15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</row>
    <row r="158" spans="1:28" ht="15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</row>
    <row r="159" spans="1:28" ht="15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</row>
    <row r="160" spans="1:28" ht="15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</row>
    <row r="161" spans="1:28" ht="15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</row>
    <row r="162" spans="1:28" ht="15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</row>
    <row r="163" spans="1:28" ht="15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</row>
    <row r="164" spans="1:28" ht="15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</row>
    <row r="165" spans="1:28" ht="15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</row>
    <row r="166" spans="1:28" ht="15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</row>
    <row r="167" spans="1:28" ht="15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</row>
    <row r="168" spans="1:28" ht="15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</row>
    <row r="169" spans="1:28" ht="15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</row>
    <row r="170" spans="1:28" ht="15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</row>
    <row r="171" spans="1:28" ht="15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</row>
    <row r="172" spans="1:28" ht="15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</row>
    <row r="173" spans="1:28" ht="15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</row>
    <row r="174" spans="1:28" ht="15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</row>
    <row r="175" spans="1:28" ht="15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</row>
    <row r="176" spans="1:28" ht="15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</row>
    <row r="177" spans="1:28" ht="15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</row>
    <row r="178" spans="1:28" ht="15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</row>
    <row r="179" spans="1:28" ht="15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</row>
    <row r="180" spans="1:28" ht="15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</row>
    <row r="181" spans="1:28" ht="15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</row>
    <row r="182" spans="1:28" ht="15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</row>
    <row r="183" spans="1:28" ht="15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</row>
    <row r="184" spans="1:28" ht="15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</row>
    <row r="185" spans="1:28" ht="15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</row>
    <row r="186" spans="1:28" ht="15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</row>
    <row r="187" spans="1:28" ht="15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</row>
    <row r="188" spans="1:28" ht="15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</row>
    <row r="189" spans="1:28" ht="15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</row>
    <row r="190" spans="1:28" ht="15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</row>
    <row r="191" spans="1:28" ht="15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</row>
    <row r="192" spans="1:28" ht="15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</row>
    <row r="193" spans="1:28" ht="15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</row>
    <row r="194" spans="1:28" ht="15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</row>
    <row r="195" spans="1:28" ht="15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</row>
    <row r="196" spans="1:28" ht="15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</row>
    <row r="197" spans="1:28" ht="15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</row>
    <row r="198" spans="1:28" ht="15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</row>
    <row r="199" spans="1:28" ht="15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</row>
    <row r="200" spans="1:28" ht="15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</row>
    <row r="201" spans="1:28" ht="15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</row>
    <row r="202" spans="1:28" ht="15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</row>
    <row r="203" spans="1:28" ht="15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</row>
    <row r="204" spans="1:28" ht="15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</row>
    <row r="205" spans="1:28" ht="15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</row>
    <row r="206" spans="1:28" ht="15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</row>
    <row r="207" spans="1:28" ht="15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</row>
    <row r="208" spans="1:28" ht="15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</row>
    <row r="209" spans="1:28" ht="15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</row>
    <row r="210" spans="1:28" ht="15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</row>
    <row r="211" spans="1:28" ht="15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</row>
    <row r="212" spans="1:28" ht="15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</row>
    <row r="213" spans="1:28" ht="15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</row>
    <row r="214" spans="1:28" ht="15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</row>
    <row r="215" spans="1:28" ht="15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</row>
    <row r="216" spans="1:28" ht="15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</row>
    <row r="217" spans="1:28" ht="15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</row>
    <row r="218" spans="1:28" ht="15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</row>
    <row r="219" spans="1:28" ht="15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</row>
    <row r="220" spans="1:28" ht="15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</row>
    <row r="221" spans="1:28" ht="15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</row>
    <row r="222" spans="1:28" ht="15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</row>
    <row r="223" spans="1:28" ht="15" x14ac:dyDescent="0.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</row>
    <row r="224" spans="1:28" ht="15" x14ac:dyDescent="0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</row>
    <row r="225" spans="1:28" ht="15" x14ac:dyDescent="0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</row>
    <row r="226" spans="1:28" ht="15" x14ac:dyDescent="0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</row>
    <row r="227" spans="1:28" ht="15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</row>
    <row r="228" spans="1:28" ht="15" x14ac:dyDescent="0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</row>
    <row r="229" spans="1:28" ht="15" x14ac:dyDescent="0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</row>
    <row r="230" spans="1:28" ht="15" x14ac:dyDescent="0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</row>
    <row r="231" spans="1:28" ht="15" x14ac:dyDescent="0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</row>
    <row r="232" spans="1:28" ht="15" x14ac:dyDescent="0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</row>
    <row r="233" spans="1:28" ht="15" x14ac:dyDescent="0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</row>
    <row r="234" spans="1:28" ht="15" x14ac:dyDescent="0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</row>
    <row r="235" spans="1:28" ht="15" x14ac:dyDescent="0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</row>
    <row r="236" spans="1:28" ht="15" x14ac:dyDescent="0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</row>
    <row r="237" spans="1:28" ht="15" x14ac:dyDescent="0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</row>
    <row r="238" spans="1:28" ht="15" x14ac:dyDescent="0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</row>
    <row r="239" spans="1:28" ht="15" x14ac:dyDescent="0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</row>
    <row r="240" spans="1:28" ht="15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</row>
    <row r="241" spans="1:28" ht="15" x14ac:dyDescent="0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</row>
    <row r="242" spans="1:28" ht="15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</row>
    <row r="243" spans="1:28" ht="15" x14ac:dyDescent="0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</row>
    <row r="244" spans="1:28" ht="15" x14ac:dyDescent="0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</row>
    <row r="245" spans="1:28" ht="15" x14ac:dyDescent="0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</row>
    <row r="246" spans="1:28" ht="15" x14ac:dyDescent="0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</row>
    <row r="247" spans="1:28" ht="15" x14ac:dyDescent="0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</row>
    <row r="248" spans="1:28" ht="15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</row>
    <row r="249" spans="1:28" ht="15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</row>
    <row r="250" spans="1:28" ht="15" x14ac:dyDescent="0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</row>
    <row r="251" spans="1:28" ht="15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</row>
    <row r="252" spans="1:28" ht="15" x14ac:dyDescent="0.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</row>
    <row r="253" spans="1:28" ht="15" x14ac:dyDescent="0.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 spans="1:28" ht="15" x14ac:dyDescent="0.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 spans="1:28" ht="15" x14ac:dyDescent="0.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 spans="1:28" ht="15" x14ac:dyDescent="0.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 spans="1:28" ht="15" x14ac:dyDescent="0.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 spans="1:28" ht="15" x14ac:dyDescent="0.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 spans="1:28" ht="15" x14ac:dyDescent="0.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 spans="1:28" ht="15" x14ac:dyDescent="0.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 spans="1:28" ht="15" x14ac:dyDescent="0.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 spans="1:28" ht="15" x14ac:dyDescent="0.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 spans="1:28" ht="15" x14ac:dyDescent="0.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 spans="1:28" ht="15" x14ac:dyDescent="0.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 spans="1:28" ht="15" x14ac:dyDescent="0.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 spans="1:28" ht="15" x14ac:dyDescent="0.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 spans="1:28" ht="15" x14ac:dyDescent="0.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 spans="1:28" ht="15" x14ac:dyDescent="0.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 spans="1:28" ht="15" x14ac:dyDescent="0.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 spans="1:28" ht="15" x14ac:dyDescent="0.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 spans="1:28" ht="15" x14ac:dyDescent="0.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 spans="1:28" ht="15" x14ac:dyDescent="0.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 spans="1:28" ht="15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 spans="1:28" ht="15" x14ac:dyDescent="0.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 spans="1:28" ht="15" x14ac:dyDescent="0.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 spans="1:28" ht="15" x14ac:dyDescent="0.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 spans="1:28" ht="15" x14ac:dyDescent="0.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 spans="1:28" ht="15" x14ac:dyDescent="0.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 spans="1:28" ht="15" x14ac:dyDescent="0.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 spans="1:28" ht="15" x14ac:dyDescent="0.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 spans="1:28" ht="15" x14ac:dyDescent="0.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 spans="1:28" ht="15" x14ac:dyDescent="0.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 spans="1:28" ht="15" x14ac:dyDescent="0.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 spans="1:28" ht="15" x14ac:dyDescent="0.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 spans="1:28" ht="15" x14ac:dyDescent="0.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 spans="1:28" ht="15" x14ac:dyDescent="0.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 spans="1:28" ht="15" x14ac:dyDescent="0.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 spans="1:28" ht="15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 spans="1:28" ht="15" x14ac:dyDescent="0.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 spans="1:28" ht="15" x14ac:dyDescent="0.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 spans="1:28" ht="15" x14ac:dyDescent="0.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 spans="1:28" ht="15" x14ac:dyDescent="0.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 spans="1:28" ht="15" x14ac:dyDescent="0.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 spans="1:28" ht="15" x14ac:dyDescent="0.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 spans="1:28" ht="15" x14ac:dyDescent="0.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 spans="1:28" ht="15" x14ac:dyDescent="0.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 spans="1:28" ht="15" x14ac:dyDescent="0.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 spans="1:28" ht="15" x14ac:dyDescent="0.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 spans="1:28" ht="15" x14ac:dyDescent="0.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 spans="1:28" ht="15" x14ac:dyDescent="0.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 spans="1:28" ht="15" x14ac:dyDescent="0.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 spans="1:28" ht="15" x14ac:dyDescent="0.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 spans="1:28" ht="15" x14ac:dyDescent="0.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 spans="1:28" ht="15" x14ac:dyDescent="0.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 spans="1:28" ht="15" x14ac:dyDescent="0.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 spans="1:28" ht="15" x14ac:dyDescent="0.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 spans="1:28" ht="15" x14ac:dyDescent="0.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 spans="1:28" ht="15" x14ac:dyDescent="0.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 spans="1:28" ht="15" x14ac:dyDescent="0.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 spans="1:28" ht="15" x14ac:dyDescent="0.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 spans="1:28" ht="15" x14ac:dyDescent="0.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 spans="1:28" ht="15" x14ac:dyDescent="0.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 spans="1:28" ht="15" x14ac:dyDescent="0.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 spans="1:28" ht="15" x14ac:dyDescent="0.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 spans="1:28" ht="15" x14ac:dyDescent="0.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 spans="1:28" ht="15" x14ac:dyDescent="0.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 spans="1:28" ht="15" x14ac:dyDescent="0.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 spans="1:28" ht="15" x14ac:dyDescent="0.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 spans="1:28" ht="15" x14ac:dyDescent="0.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 spans="1:28" ht="15" x14ac:dyDescent="0.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 spans="1:28" ht="15" x14ac:dyDescent="0.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 spans="1:28" ht="15" x14ac:dyDescent="0.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 spans="1:28" ht="15" x14ac:dyDescent="0.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 spans="1:28" ht="15" x14ac:dyDescent="0.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 spans="1:28" ht="15" x14ac:dyDescent="0.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 spans="1:28" ht="15" x14ac:dyDescent="0.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 spans="1:28" ht="15" x14ac:dyDescent="0.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 spans="1:28" ht="15" x14ac:dyDescent="0.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 spans="1:28" ht="15" x14ac:dyDescent="0.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 spans="1:28" ht="15" x14ac:dyDescent="0.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 spans="1:28" ht="15" x14ac:dyDescent="0.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 spans="1:28" ht="15" x14ac:dyDescent="0.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 spans="1:28" ht="15" x14ac:dyDescent="0.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 spans="1:28" ht="15" x14ac:dyDescent="0.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 spans="1:28" ht="15" x14ac:dyDescent="0.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 spans="1:28" ht="15" x14ac:dyDescent="0.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 spans="1:28" ht="15" x14ac:dyDescent="0.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 spans="1:28" ht="15" x14ac:dyDescent="0.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 spans="1:28" ht="15" x14ac:dyDescent="0.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 spans="1:28" ht="15" x14ac:dyDescent="0.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 spans="1:28" ht="15" x14ac:dyDescent="0.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 spans="1:28" ht="15" x14ac:dyDescent="0.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 spans="1:28" ht="15" x14ac:dyDescent="0.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 spans="1:28" ht="15" x14ac:dyDescent="0.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 spans="1:28" ht="15" x14ac:dyDescent="0.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 spans="1:28" ht="15" x14ac:dyDescent="0.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 spans="1:28" ht="15" x14ac:dyDescent="0.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 spans="1:28" ht="15" x14ac:dyDescent="0.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 spans="1:28" ht="15" x14ac:dyDescent="0.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 spans="1:28" ht="15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 spans="1:28" ht="15" x14ac:dyDescent="0.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 spans="1:28" ht="15" x14ac:dyDescent="0.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 spans="1:28" ht="15" x14ac:dyDescent="0.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 spans="1:28" ht="15" x14ac:dyDescent="0.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 spans="1:28" ht="15" x14ac:dyDescent="0.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 spans="1:28" ht="15" x14ac:dyDescent="0.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 spans="1:28" ht="15" x14ac:dyDescent="0.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 spans="1:28" ht="15" x14ac:dyDescent="0.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 spans="1:28" ht="15" x14ac:dyDescent="0.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 spans="1:28" ht="15" x14ac:dyDescent="0.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 spans="1:28" ht="15" x14ac:dyDescent="0.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 spans="1:28" ht="15" x14ac:dyDescent="0.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 spans="1:28" ht="15" x14ac:dyDescent="0.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 spans="1:28" ht="15" x14ac:dyDescent="0.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 spans="1:28" ht="15" x14ac:dyDescent="0.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 spans="1:28" ht="15" x14ac:dyDescent="0.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 spans="1:28" ht="15" x14ac:dyDescent="0.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 spans="1:28" ht="15" x14ac:dyDescent="0.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 spans="1:28" ht="15" x14ac:dyDescent="0.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 spans="1:28" ht="15" x14ac:dyDescent="0.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 spans="1:28" ht="15" x14ac:dyDescent="0.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 spans="1:28" ht="15" x14ac:dyDescent="0.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 spans="1:28" ht="15" x14ac:dyDescent="0.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 spans="1:28" ht="15" x14ac:dyDescent="0.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 spans="1:28" ht="15" x14ac:dyDescent="0.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 spans="1:28" ht="15" x14ac:dyDescent="0.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 spans="1:28" ht="15" x14ac:dyDescent="0.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 spans="1:28" ht="15" x14ac:dyDescent="0.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 spans="1:28" ht="15" x14ac:dyDescent="0.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 spans="1:28" ht="15" x14ac:dyDescent="0.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 spans="1:28" ht="15" x14ac:dyDescent="0.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 spans="1:28" ht="15" x14ac:dyDescent="0.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 spans="1:28" ht="15" x14ac:dyDescent="0.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 spans="1:28" ht="15" x14ac:dyDescent="0.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 spans="1:28" ht="15" x14ac:dyDescent="0.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 spans="1:28" ht="15" x14ac:dyDescent="0.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 spans="1:28" ht="15" x14ac:dyDescent="0.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 spans="1:28" ht="15" x14ac:dyDescent="0.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 spans="1:28" ht="15" x14ac:dyDescent="0.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 spans="1:28" ht="15" x14ac:dyDescent="0.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 spans="1:28" ht="15" x14ac:dyDescent="0.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 spans="1:28" ht="15" x14ac:dyDescent="0.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 spans="1:28" ht="15" x14ac:dyDescent="0.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 spans="1:28" ht="15" x14ac:dyDescent="0.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 spans="1:28" ht="15" x14ac:dyDescent="0.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 spans="1:28" ht="15" x14ac:dyDescent="0.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 spans="1:28" ht="15" x14ac:dyDescent="0.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 spans="1:28" ht="15" x14ac:dyDescent="0.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 spans="1:28" ht="15" x14ac:dyDescent="0.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 spans="1:28" ht="15" x14ac:dyDescent="0.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 spans="1:28" ht="15" x14ac:dyDescent="0.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 spans="1:28" ht="15" x14ac:dyDescent="0.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 spans="1:28" ht="15" x14ac:dyDescent="0.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 spans="1:28" ht="15" x14ac:dyDescent="0.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 spans="1:28" ht="15" x14ac:dyDescent="0.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 spans="1:28" ht="15" x14ac:dyDescent="0.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 spans="1:28" ht="15" x14ac:dyDescent="0.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 spans="1:28" ht="15" x14ac:dyDescent="0.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 spans="1:28" ht="15" x14ac:dyDescent="0.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 spans="1:28" ht="15" x14ac:dyDescent="0.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 spans="1:28" ht="15" x14ac:dyDescent="0.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 spans="1:28" ht="15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 spans="1:28" ht="15" x14ac:dyDescent="0.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 spans="1:28" ht="15" x14ac:dyDescent="0.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 spans="1:28" ht="15" x14ac:dyDescent="0.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 spans="1:28" ht="15" x14ac:dyDescent="0.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 spans="1:28" ht="15" x14ac:dyDescent="0.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 spans="1:28" ht="15" x14ac:dyDescent="0.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 spans="1:28" ht="15" x14ac:dyDescent="0.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 spans="1:28" ht="15" x14ac:dyDescent="0.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 spans="1:28" ht="15" x14ac:dyDescent="0.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 spans="1:28" ht="15" x14ac:dyDescent="0.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 spans="1:28" ht="15" x14ac:dyDescent="0.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 spans="1:28" ht="15" x14ac:dyDescent="0.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 spans="1:28" ht="15" x14ac:dyDescent="0.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 spans="1:28" ht="15" x14ac:dyDescent="0.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 spans="1:28" ht="15" x14ac:dyDescent="0.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 spans="1:28" ht="15" x14ac:dyDescent="0.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 spans="1:28" ht="15" x14ac:dyDescent="0.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 spans="1:28" ht="15" x14ac:dyDescent="0.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 spans="1:28" ht="15" x14ac:dyDescent="0.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 spans="1:28" ht="15" x14ac:dyDescent="0.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 spans="1:28" ht="15" x14ac:dyDescent="0.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 spans="1:28" ht="15" x14ac:dyDescent="0.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 spans="1:28" ht="15" x14ac:dyDescent="0.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 spans="1:28" ht="15" x14ac:dyDescent="0.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 spans="1:28" ht="15" x14ac:dyDescent="0.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 spans="1:28" ht="15" x14ac:dyDescent="0.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 spans="1:28" ht="15" x14ac:dyDescent="0.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 spans="1:28" ht="15" x14ac:dyDescent="0.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 spans="1:28" ht="15" x14ac:dyDescent="0.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 spans="1:28" ht="15" x14ac:dyDescent="0.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 spans="1:28" ht="15" x14ac:dyDescent="0.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 spans="1:28" ht="15" x14ac:dyDescent="0.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 spans="1:28" ht="15" x14ac:dyDescent="0.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 spans="1:28" ht="15" x14ac:dyDescent="0.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 spans="1:28" ht="15" x14ac:dyDescent="0.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 spans="1:28" ht="15" x14ac:dyDescent="0.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 spans="1:28" ht="15" x14ac:dyDescent="0.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 spans="1:28" ht="15" x14ac:dyDescent="0.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 spans="1:28" ht="15" x14ac:dyDescent="0.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 spans="1:28" ht="15" x14ac:dyDescent="0.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 spans="1:28" ht="15" x14ac:dyDescent="0.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 spans="1:28" ht="15" x14ac:dyDescent="0.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 spans="1:28" ht="15" x14ac:dyDescent="0.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 spans="1:28" ht="15" x14ac:dyDescent="0.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 spans="1:28" ht="15" x14ac:dyDescent="0.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 spans="1:28" ht="15" x14ac:dyDescent="0.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 spans="1:28" ht="15" x14ac:dyDescent="0.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 spans="1:28" ht="15" x14ac:dyDescent="0.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 spans="1:28" ht="15" x14ac:dyDescent="0.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 spans="1:28" ht="15" x14ac:dyDescent="0.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 spans="1:28" ht="15" x14ac:dyDescent="0.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 spans="1:28" ht="15" x14ac:dyDescent="0.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 spans="1:28" ht="15" x14ac:dyDescent="0.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 spans="1:28" ht="15" x14ac:dyDescent="0.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 spans="1:28" ht="15" x14ac:dyDescent="0.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 spans="1:28" ht="15" x14ac:dyDescent="0.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 spans="1:28" ht="15" x14ac:dyDescent="0.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 spans="1:28" ht="15" x14ac:dyDescent="0.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 spans="1:28" ht="15" x14ac:dyDescent="0.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 spans="1:28" ht="15" x14ac:dyDescent="0.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 spans="1:28" ht="15" x14ac:dyDescent="0.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 spans="1:28" ht="15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 spans="1:28" ht="15" x14ac:dyDescent="0.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 spans="1:28" ht="15" x14ac:dyDescent="0.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 spans="1:28" ht="15" x14ac:dyDescent="0.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 spans="1:28" ht="15" x14ac:dyDescent="0.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 spans="1:28" ht="15" x14ac:dyDescent="0.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 spans="1:28" ht="15" x14ac:dyDescent="0.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 spans="1:28" ht="15" x14ac:dyDescent="0.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 spans="1:28" ht="15" x14ac:dyDescent="0.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 spans="1:28" ht="15" x14ac:dyDescent="0.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 spans="1:28" ht="15" x14ac:dyDescent="0.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 spans="1:28" ht="15" x14ac:dyDescent="0.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 spans="1:28" ht="15" x14ac:dyDescent="0.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 spans="1:28" ht="15" x14ac:dyDescent="0.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 spans="1:28" ht="15" x14ac:dyDescent="0.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 spans="1:28" ht="15" x14ac:dyDescent="0.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 spans="1:28" ht="15" x14ac:dyDescent="0.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 spans="1:28" ht="15" x14ac:dyDescent="0.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 spans="1:28" ht="15" x14ac:dyDescent="0.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 spans="1:28" ht="15" x14ac:dyDescent="0.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 spans="1:28" ht="15" x14ac:dyDescent="0.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 spans="1:28" ht="15" x14ac:dyDescent="0.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 spans="1:28" ht="15" x14ac:dyDescent="0.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 spans="1:28" ht="15" x14ac:dyDescent="0.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 spans="1:28" ht="15" x14ac:dyDescent="0.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 spans="1:28" ht="15" x14ac:dyDescent="0.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 spans="1:28" ht="15" x14ac:dyDescent="0.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 spans="1:28" ht="15" x14ac:dyDescent="0.2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 spans="1:28" ht="15" x14ac:dyDescent="0.2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 spans="1:28" ht="15" x14ac:dyDescent="0.2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 spans="1:28" ht="15" x14ac:dyDescent="0.2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 spans="1:28" ht="15" x14ac:dyDescent="0.2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 spans="1:28" ht="15" x14ac:dyDescent="0.2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 spans="1:28" ht="15" x14ac:dyDescent="0.2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 spans="1:28" ht="15" x14ac:dyDescent="0.2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 spans="1:28" ht="15" x14ac:dyDescent="0.2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 spans="1:28" ht="15" x14ac:dyDescent="0.2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 spans="1:28" ht="15" x14ac:dyDescent="0.2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 spans="1:28" ht="15" x14ac:dyDescent="0.2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 spans="1:28" ht="15" x14ac:dyDescent="0.2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 spans="1:28" ht="15" x14ac:dyDescent="0.2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 spans="1:28" ht="15" x14ac:dyDescent="0.2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 spans="1:28" ht="15" x14ac:dyDescent="0.2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 spans="1:28" ht="15" x14ac:dyDescent="0.2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 spans="1:28" ht="15" x14ac:dyDescent="0.2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 spans="1:28" ht="15" x14ac:dyDescent="0.2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 spans="1:28" ht="15" x14ac:dyDescent="0.2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 spans="1:28" ht="15" x14ac:dyDescent="0.2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 spans="1:28" ht="15" x14ac:dyDescent="0.2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 spans="1:28" ht="15" x14ac:dyDescent="0.2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 spans="1:28" ht="15" x14ac:dyDescent="0.2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 spans="1:28" ht="15" x14ac:dyDescent="0.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 spans="1:28" ht="15" x14ac:dyDescent="0.2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 spans="1:28" ht="15" x14ac:dyDescent="0.2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 spans="1:28" ht="15" x14ac:dyDescent="0.2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 spans="1:28" ht="15" x14ac:dyDescent="0.2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 spans="1:28" ht="15" x14ac:dyDescent="0.2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 spans="1:28" ht="15" x14ac:dyDescent="0.2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 spans="1:28" ht="15" x14ac:dyDescent="0.2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 spans="1:28" ht="15" x14ac:dyDescent="0.2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 spans="1:28" ht="15" x14ac:dyDescent="0.2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 spans="1:28" ht="15" x14ac:dyDescent="0.2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 spans="1:28" ht="15" x14ac:dyDescent="0.2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 spans="1:28" ht="15" x14ac:dyDescent="0.2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 spans="1:28" ht="15" x14ac:dyDescent="0.2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 spans="1:28" ht="15" x14ac:dyDescent="0.2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 spans="1:28" ht="15" x14ac:dyDescent="0.2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 spans="1:28" ht="15" x14ac:dyDescent="0.2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 spans="1:28" ht="15" x14ac:dyDescent="0.2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 spans="1:28" ht="15" x14ac:dyDescent="0.2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 spans="1:28" ht="15" x14ac:dyDescent="0.2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 spans="1:28" ht="15" x14ac:dyDescent="0.2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 spans="1:28" ht="15" x14ac:dyDescent="0.2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 spans="1:28" ht="15" x14ac:dyDescent="0.2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 spans="1:28" ht="15" x14ac:dyDescent="0.2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 spans="1:28" ht="15" x14ac:dyDescent="0.2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 spans="1:28" ht="15" x14ac:dyDescent="0.2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 spans="1:28" ht="15" x14ac:dyDescent="0.2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 spans="1:28" ht="15" x14ac:dyDescent="0.2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 spans="1:28" ht="15" x14ac:dyDescent="0.2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 spans="1:28" ht="15" x14ac:dyDescent="0.2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 spans="1:28" ht="15" x14ac:dyDescent="0.2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 spans="1:28" ht="15" x14ac:dyDescent="0.2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 spans="1:28" ht="15" x14ac:dyDescent="0.2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 spans="1:28" ht="15" x14ac:dyDescent="0.2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 spans="1:28" ht="15" x14ac:dyDescent="0.2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 spans="1:28" ht="15" x14ac:dyDescent="0.2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 spans="1:28" ht="15" x14ac:dyDescent="0.2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 spans="1:28" ht="15" x14ac:dyDescent="0.2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 spans="1:28" ht="15" x14ac:dyDescent="0.2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 spans="1:28" ht="15" x14ac:dyDescent="0.2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 spans="1:28" ht="15" x14ac:dyDescent="0.2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 spans="1:28" ht="15" x14ac:dyDescent="0.2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 spans="1:28" ht="15" x14ac:dyDescent="0.2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 spans="1:28" ht="15" x14ac:dyDescent="0.2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 spans="1:28" ht="15" x14ac:dyDescent="0.2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 spans="1:28" ht="15" x14ac:dyDescent="0.2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 spans="1:28" ht="15" x14ac:dyDescent="0.2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 spans="1:28" ht="15" x14ac:dyDescent="0.2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 spans="1:28" ht="15" x14ac:dyDescent="0.2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 spans="1:28" ht="15" x14ac:dyDescent="0.2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 spans="1:28" ht="15" x14ac:dyDescent="0.2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 spans="1:28" ht="15" x14ac:dyDescent="0.2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 spans="1:28" ht="15" x14ac:dyDescent="0.2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 spans="1:28" ht="15" x14ac:dyDescent="0.2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 spans="1:28" ht="15" x14ac:dyDescent="0.2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 spans="1:28" ht="15" x14ac:dyDescent="0.2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 spans="1:28" ht="15" x14ac:dyDescent="0.2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 spans="1:28" ht="15" x14ac:dyDescent="0.2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 spans="1:28" ht="15" x14ac:dyDescent="0.2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 spans="1:28" ht="15" x14ac:dyDescent="0.2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 spans="1:28" ht="15" x14ac:dyDescent="0.2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 spans="1:28" ht="15" x14ac:dyDescent="0.2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 spans="1:28" ht="15" x14ac:dyDescent="0.2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 spans="1:28" ht="15" x14ac:dyDescent="0.2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 spans="1:28" ht="15" x14ac:dyDescent="0.2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 spans="1:28" ht="15" x14ac:dyDescent="0.2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 spans="1:28" ht="15" x14ac:dyDescent="0.2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 spans="1:28" ht="15" x14ac:dyDescent="0.2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 spans="1:28" ht="15" x14ac:dyDescent="0.2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 spans="1:28" ht="15" x14ac:dyDescent="0.2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 spans="1:28" ht="15" x14ac:dyDescent="0.2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 spans="1:28" ht="15" x14ac:dyDescent="0.2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 spans="1:28" ht="15" x14ac:dyDescent="0.2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 spans="1:28" ht="15" x14ac:dyDescent="0.2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 spans="1:28" ht="15" x14ac:dyDescent="0.2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 spans="1:28" ht="15" x14ac:dyDescent="0.2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 spans="1:28" ht="15" x14ac:dyDescent="0.2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 spans="1:28" ht="15" x14ac:dyDescent="0.2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 spans="1:28" ht="15" x14ac:dyDescent="0.2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 spans="1:28" ht="15" x14ac:dyDescent="0.2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 spans="1:28" ht="15" x14ac:dyDescent="0.2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 spans="1:28" ht="15" x14ac:dyDescent="0.2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 spans="1:28" ht="15" x14ac:dyDescent="0.2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 spans="1:28" ht="15" x14ac:dyDescent="0.2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 spans="1:28" ht="15" x14ac:dyDescent="0.2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 spans="1:28" ht="15" x14ac:dyDescent="0.2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 spans="1:28" ht="15" x14ac:dyDescent="0.2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 spans="1:28" ht="15" x14ac:dyDescent="0.2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 spans="1:28" ht="15" x14ac:dyDescent="0.2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 spans="1:28" ht="15" x14ac:dyDescent="0.2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 spans="1:28" ht="15" x14ac:dyDescent="0.2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 spans="1:28" ht="15" x14ac:dyDescent="0.2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 spans="1:28" ht="15" x14ac:dyDescent="0.2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 spans="1:28" ht="15" x14ac:dyDescent="0.2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 spans="1:28" ht="15" x14ac:dyDescent="0.2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 spans="1:28" ht="15" x14ac:dyDescent="0.2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 spans="1:28" ht="15" x14ac:dyDescent="0.2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 spans="1:28" ht="15" x14ac:dyDescent="0.2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 spans="1:28" ht="15" x14ac:dyDescent="0.2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 spans="1:28" ht="15" x14ac:dyDescent="0.2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 spans="1:28" ht="15" x14ac:dyDescent="0.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 spans="1:28" ht="15" x14ac:dyDescent="0.2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 spans="1:28" ht="15" x14ac:dyDescent="0.2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 spans="1:28" ht="15" x14ac:dyDescent="0.2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 spans="1:28" ht="15" x14ac:dyDescent="0.2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 spans="1:28" ht="15" x14ac:dyDescent="0.2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 spans="1:28" ht="15" x14ac:dyDescent="0.2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 spans="1:28" ht="15" x14ac:dyDescent="0.2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 spans="1:28" ht="15" x14ac:dyDescent="0.2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 spans="1:28" ht="15" x14ac:dyDescent="0.2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 spans="1:28" ht="15" x14ac:dyDescent="0.2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 spans="1:28" ht="15" x14ac:dyDescent="0.2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 spans="1:28" ht="15" x14ac:dyDescent="0.2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 spans="1:28" ht="15" x14ac:dyDescent="0.2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 spans="1:28" ht="15" x14ac:dyDescent="0.2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 spans="1:28" ht="15" x14ac:dyDescent="0.2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 spans="1:28" ht="15" x14ac:dyDescent="0.2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 spans="1:28" ht="15" x14ac:dyDescent="0.2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 spans="1:28" ht="15" x14ac:dyDescent="0.2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 spans="1:28" ht="15" x14ac:dyDescent="0.2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 spans="1:28" ht="15" x14ac:dyDescent="0.2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 spans="1:28" ht="15" x14ac:dyDescent="0.2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 spans="1:28" ht="15" x14ac:dyDescent="0.2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 spans="1:28" ht="15" x14ac:dyDescent="0.2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 spans="1:28" ht="15" x14ac:dyDescent="0.2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 spans="1:28" ht="15" x14ac:dyDescent="0.2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 spans="1:28" ht="15" x14ac:dyDescent="0.2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 spans="1:28" ht="15" x14ac:dyDescent="0.2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 spans="1:28" ht="15" x14ac:dyDescent="0.2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 spans="1:28" ht="15" x14ac:dyDescent="0.2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 spans="1:28" ht="15" x14ac:dyDescent="0.2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 spans="1:28" ht="15" x14ac:dyDescent="0.2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 spans="1:28" ht="15" x14ac:dyDescent="0.2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 spans="1:28" ht="15" x14ac:dyDescent="0.2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 spans="1:28" ht="15" x14ac:dyDescent="0.2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 spans="1:28" ht="15" x14ac:dyDescent="0.2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 spans="1:28" ht="15" x14ac:dyDescent="0.2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 spans="1:28" ht="15" x14ac:dyDescent="0.2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 spans="1:28" ht="15" x14ac:dyDescent="0.2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 spans="1:28" ht="15" x14ac:dyDescent="0.2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 spans="1:28" ht="15" x14ac:dyDescent="0.2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 spans="1:28" ht="15" x14ac:dyDescent="0.2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 spans="1:28" ht="15" x14ac:dyDescent="0.2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 spans="1:28" ht="15" x14ac:dyDescent="0.2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 spans="1:28" ht="15" x14ac:dyDescent="0.2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 spans="1:28" ht="15" x14ac:dyDescent="0.2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 spans="1:28" ht="15" x14ac:dyDescent="0.2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 spans="1:28" ht="15" x14ac:dyDescent="0.2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 spans="1:28" ht="15" x14ac:dyDescent="0.2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 spans="1:28" ht="15" x14ac:dyDescent="0.2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 spans="1:28" ht="15" x14ac:dyDescent="0.2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 spans="1:28" ht="15" x14ac:dyDescent="0.2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 spans="1:28" ht="15" x14ac:dyDescent="0.2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 spans="1:28" ht="15" x14ac:dyDescent="0.2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 spans="1:28" ht="15" x14ac:dyDescent="0.2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 spans="1:28" ht="15" x14ac:dyDescent="0.2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 spans="1:28" ht="15" x14ac:dyDescent="0.2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 spans="1:28" ht="15" x14ac:dyDescent="0.2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 spans="1:28" ht="15" x14ac:dyDescent="0.2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 spans="1:28" ht="15" x14ac:dyDescent="0.2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 spans="1:28" ht="15" x14ac:dyDescent="0.2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 spans="1:28" ht="15" x14ac:dyDescent="0.2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 spans="1:28" ht="15" x14ac:dyDescent="0.2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 spans="1:28" ht="15" x14ac:dyDescent="0.2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 spans="1:28" ht="15" x14ac:dyDescent="0.2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 spans="1:28" ht="15" x14ac:dyDescent="0.2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 spans="1:28" ht="15" x14ac:dyDescent="0.2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 spans="1:28" ht="15" x14ac:dyDescent="0.2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 spans="1:28" ht="15" x14ac:dyDescent="0.2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 spans="1:28" ht="15" x14ac:dyDescent="0.2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 spans="1:28" ht="15" x14ac:dyDescent="0.2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 spans="1:28" ht="15" x14ac:dyDescent="0.2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 spans="1:28" ht="15" x14ac:dyDescent="0.2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 spans="1:28" ht="15" x14ac:dyDescent="0.2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 spans="1:28" ht="15" x14ac:dyDescent="0.2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 spans="1:28" ht="15" x14ac:dyDescent="0.2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 spans="1:28" ht="15" x14ac:dyDescent="0.2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 spans="1:28" ht="15" x14ac:dyDescent="0.2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 spans="1:28" ht="15" x14ac:dyDescent="0.2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 spans="1:28" ht="15" x14ac:dyDescent="0.2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 spans="1:28" ht="15" x14ac:dyDescent="0.2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 spans="1:28" ht="15" x14ac:dyDescent="0.2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 spans="1:28" ht="15" x14ac:dyDescent="0.2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 spans="1:28" ht="15" x14ac:dyDescent="0.2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 spans="1:28" ht="15" x14ac:dyDescent="0.2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 spans="1:28" ht="15" x14ac:dyDescent="0.2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 spans="1:28" ht="15" x14ac:dyDescent="0.2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 spans="1:28" ht="15" x14ac:dyDescent="0.2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 spans="1:28" ht="15" x14ac:dyDescent="0.2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 spans="1:28" ht="15" x14ac:dyDescent="0.2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 spans="1:28" ht="15" x14ac:dyDescent="0.2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 spans="1:28" ht="15" x14ac:dyDescent="0.2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 spans="1:28" ht="15" x14ac:dyDescent="0.2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 spans="1:28" ht="15" x14ac:dyDescent="0.2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 spans="1:28" ht="15" x14ac:dyDescent="0.2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 spans="1:28" ht="15" x14ac:dyDescent="0.2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 spans="1:28" ht="15" x14ac:dyDescent="0.2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 spans="1:28" ht="15" x14ac:dyDescent="0.2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 spans="1:28" ht="15" x14ac:dyDescent="0.2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 spans="1:28" ht="15" x14ac:dyDescent="0.2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 spans="1:28" ht="15" x14ac:dyDescent="0.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 spans="1:28" ht="15" x14ac:dyDescent="0.2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 spans="1:28" ht="15" x14ac:dyDescent="0.2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 spans="1:28" ht="15" x14ac:dyDescent="0.2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 spans="1:28" ht="15" x14ac:dyDescent="0.2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 spans="1:28" ht="15" x14ac:dyDescent="0.2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 spans="1:28" ht="15" x14ac:dyDescent="0.2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 spans="1:28" ht="15" x14ac:dyDescent="0.2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 spans="1:28" ht="15" x14ac:dyDescent="0.2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 spans="1:28" ht="15" x14ac:dyDescent="0.2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 spans="1:28" ht="15" x14ac:dyDescent="0.2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 spans="1:28" ht="15" x14ac:dyDescent="0.2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 spans="1:28" ht="15" x14ac:dyDescent="0.2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 spans="1:28" ht="15" x14ac:dyDescent="0.2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 spans="1:28" ht="15" x14ac:dyDescent="0.2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 spans="1:28" ht="15" x14ac:dyDescent="0.2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 spans="1:28" ht="15" x14ac:dyDescent="0.2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 spans="1:28" ht="15" x14ac:dyDescent="0.2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 spans="1:28" ht="15" x14ac:dyDescent="0.2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 spans="1:28" ht="15" x14ac:dyDescent="0.2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 spans="1:28" ht="15" x14ac:dyDescent="0.2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 spans="1:28" ht="15" x14ac:dyDescent="0.2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 spans="1:28" ht="15" x14ac:dyDescent="0.2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 spans="1:28" ht="15" x14ac:dyDescent="0.2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 spans="1:28" ht="15" x14ac:dyDescent="0.2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 spans="1:28" ht="15" x14ac:dyDescent="0.2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 spans="1:28" ht="15" x14ac:dyDescent="0.2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 spans="1:28" ht="15" x14ac:dyDescent="0.2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 spans="1:28" ht="15" x14ac:dyDescent="0.2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 spans="1:28" ht="15" x14ac:dyDescent="0.2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 spans="1:28" ht="15" x14ac:dyDescent="0.2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 spans="1:28" ht="15" x14ac:dyDescent="0.2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 spans="1:28" ht="15" x14ac:dyDescent="0.2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 spans="1:28" ht="15" x14ac:dyDescent="0.2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 spans="1:28" ht="15" x14ac:dyDescent="0.2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 spans="1:28" ht="15" x14ac:dyDescent="0.2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 spans="1:28" ht="15" x14ac:dyDescent="0.2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 spans="1:28" ht="15" x14ac:dyDescent="0.2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 spans="1:28" ht="15" x14ac:dyDescent="0.2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 spans="1:28" ht="15" x14ac:dyDescent="0.2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 spans="1:28" ht="15" x14ac:dyDescent="0.2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 spans="1:28" ht="15" x14ac:dyDescent="0.2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 spans="1:28" ht="15" x14ac:dyDescent="0.2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 spans="1:28" ht="15" x14ac:dyDescent="0.2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 spans="1:28" ht="15" x14ac:dyDescent="0.2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 spans="1:28" ht="15" x14ac:dyDescent="0.2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 spans="1:28" ht="15" x14ac:dyDescent="0.2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 spans="1:28" ht="15" x14ac:dyDescent="0.2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 spans="1:28" ht="15" x14ac:dyDescent="0.2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 spans="1:28" ht="15" x14ac:dyDescent="0.2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 spans="1:28" ht="15" x14ac:dyDescent="0.2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 spans="1:28" ht="15" x14ac:dyDescent="0.2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 spans="1:28" ht="15" x14ac:dyDescent="0.2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 spans="1:28" ht="15" x14ac:dyDescent="0.2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 spans="1:28" ht="15" x14ac:dyDescent="0.2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 spans="1:28" ht="15" x14ac:dyDescent="0.2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 spans="1:28" ht="15" x14ac:dyDescent="0.2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 spans="1:28" ht="15" x14ac:dyDescent="0.2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 spans="1:28" ht="15" x14ac:dyDescent="0.2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 spans="1:28" ht="15" x14ac:dyDescent="0.2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 spans="1:28" ht="15" x14ac:dyDescent="0.2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 spans="1:28" ht="15" x14ac:dyDescent="0.2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 spans="1:28" ht="15" x14ac:dyDescent="0.2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 spans="1:28" ht="15" x14ac:dyDescent="0.2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 spans="1:28" ht="15" x14ac:dyDescent="0.2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 spans="1:28" ht="15" x14ac:dyDescent="0.2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 spans="1:28" ht="15" x14ac:dyDescent="0.2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 spans="1:28" ht="15" x14ac:dyDescent="0.2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 spans="1:28" ht="15" x14ac:dyDescent="0.2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 spans="1:28" ht="15" x14ac:dyDescent="0.2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 spans="1:28" ht="15" x14ac:dyDescent="0.2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 spans="1:28" ht="15" x14ac:dyDescent="0.2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 spans="1:28" ht="15" x14ac:dyDescent="0.2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 spans="1:28" ht="15" x14ac:dyDescent="0.2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 spans="1:28" ht="15" x14ac:dyDescent="0.2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 spans="1:28" ht="15" x14ac:dyDescent="0.2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 spans="1:28" ht="15" x14ac:dyDescent="0.2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 spans="1:28" ht="15" x14ac:dyDescent="0.2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 spans="1:28" ht="15" x14ac:dyDescent="0.2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 spans="1:28" ht="15" x14ac:dyDescent="0.2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 spans="1:28" ht="15" x14ac:dyDescent="0.2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 spans="1:28" ht="15" x14ac:dyDescent="0.2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 spans="1:28" ht="15" x14ac:dyDescent="0.2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 spans="1:28" ht="15" x14ac:dyDescent="0.2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 spans="1:28" ht="15" x14ac:dyDescent="0.2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 spans="1:28" ht="15" x14ac:dyDescent="0.2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 spans="1:28" ht="15" x14ac:dyDescent="0.2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 spans="1:28" ht="15" x14ac:dyDescent="0.2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 spans="1:28" ht="15" x14ac:dyDescent="0.2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 spans="1:28" ht="15" x14ac:dyDescent="0.2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 spans="1:28" ht="15" x14ac:dyDescent="0.2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 spans="1:28" ht="15" x14ac:dyDescent="0.2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 spans="1:28" ht="15" x14ac:dyDescent="0.2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 spans="1:28" ht="15" x14ac:dyDescent="0.2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 spans="1:28" ht="15" x14ac:dyDescent="0.2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 spans="1:28" ht="15" x14ac:dyDescent="0.2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 spans="1:28" ht="15" x14ac:dyDescent="0.2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 spans="1:28" ht="15" x14ac:dyDescent="0.2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 spans="1:28" ht="15" x14ac:dyDescent="0.2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 spans="1:28" ht="15" x14ac:dyDescent="0.2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 spans="1:28" ht="15" x14ac:dyDescent="0.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 spans="1:28" ht="15" x14ac:dyDescent="0.2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 spans="1:28" ht="15" x14ac:dyDescent="0.2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 spans="1:28" ht="15" x14ac:dyDescent="0.2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 spans="1:28" ht="15" x14ac:dyDescent="0.2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 spans="1:28" ht="15" x14ac:dyDescent="0.2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 spans="1:28" ht="15" x14ac:dyDescent="0.2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 spans="1:28" ht="15" x14ac:dyDescent="0.2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 spans="1:28" ht="15" x14ac:dyDescent="0.2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 spans="1:28" ht="15" x14ac:dyDescent="0.2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 spans="1:28" ht="15" x14ac:dyDescent="0.2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 spans="1:28" ht="15" x14ac:dyDescent="0.2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 spans="1:28" ht="15" x14ac:dyDescent="0.2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 spans="1:28" ht="15" x14ac:dyDescent="0.2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 spans="1:28" ht="15" x14ac:dyDescent="0.2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 spans="1:28" ht="15" x14ac:dyDescent="0.2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 spans="1:28" ht="15" x14ac:dyDescent="0.2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 spans="1:28" ht="15" x14ac:dyDescent="0.2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 spans="1:28" ht="15" x14ac:dyDescent="0.2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 spans="1:28" ht="15" x14ac:dyDescent="0.2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 spans="1:28" ht="15" x14ac:dyDescent="0.2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 spans="1:28" ht="15" x14ac:dyDescent="0.2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 spans="1:28" ht="15" x14ac:dyDescent="0.2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 spans="1:28" ht="15" x14ac:dyDescent="0.2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 spans="1:28" ht="15" x14ac:dyDescent="0.2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 spans="1:28" ht="15" x14ac:dyDescent="0.2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 spans="1:28" ht="15" x14ac:dyDescent="0.2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 spans="1:28" ht="15" x14ac:dyDescent="0.2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 spans="1:28" ht="15" x14ac:dyDescent="0.2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 spans="1:28" ht="15" x14ac:dyDescent="0.2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 spans="1:28" ht="15" x14ac:dyDescent="0.2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 spans="1:28" ht="15" x14ac:dyDescent="0.2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 spans="1:28" ht="15" x14ac:dyDescent="0.2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 spans="1:28" ht="15" x14ac:dyDescent="0.2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 spans="1:28" ht="15" x14ac:dyDescent="0.2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 spans="1:28" ht="15" x14ac:dyDescent="0.2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 spans="1:28" ht="15" x14ac:dyDescent="0.2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 spans="1:28" ht="15" x14ac:dyDescent="0.2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 spans="1:28" ht="15" x14ac:dyDescent="0.2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 spans="1:28" ht="15" x14ac:dyDescent="0.2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 spans="1:28" ht="15" x14ac:dyDescent="0.2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 spans="1:28" ht="15" x14ac:dyDescent="0.2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 spans="1:28" ht="15" x14ac:dyDescent="0.2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 spans="1:28" ht="15" x14ac:dyDescent="0.2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 spans="1:28" ht="15" x14ac:dyDescent="0.2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 spans="1:28" ht="15" x14ac:dyDescent="0.2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 spans="1:28" ht="15" x14ac:dyDescent="0.2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 spans="1:28" ht="15" x14ac:dyDescent="0.2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 spans="1:28" ht="15" x14ac:dyDescent="0.2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 spans="1:28" ht="15" x14ac:dyDescent="0.2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 spans="1:28" ht="15" x14ac:dyDescent="0.2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 spans="1:28" ht="15" x14ac:dyDescent="0.2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 spans="1:28" ht="15" x14ac:dyDescent="0.2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 spans="1:28" ht="15" x14ac:dyDescent="0.2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 spans="1:28" ht="15" x14ac:dyDescent="0.2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 spans="1:28" ht="15" x14ac:dyDescent="0.2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 spans="1:28" ht="15" x14ac:dyDescent="0.2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 spans="1:28" ht="15" x14ac:dyDescent="0.2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 spans="1:28" ht="15" x14ac:dyDescent="0.2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 spans="1:28" ht="15" x14ac:dyDescent="0.2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 spans="1:28" ht="15" x14ac:dyDescent="0.2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 spans="1:28" ht="15" x14ac:dyDescent="0.2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 spans="1:28" ht="15" x14ac:dyDescent="0.2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 spans="1:28" ht="15" x14ac:dyDescent="0.2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 spans="1:28" ht="15" x14ac:dyDescent="0.2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 spans="1:28" ht="15" x14ac:dyDescent="0.2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 spans="1:28" ht="15" x14ac:dyDescent="0.2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 spans="1:28" ht="15" x14ac:dyDescent="0.2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 spans="1:28" ht="15" x14ac:dyDescent="0.2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 spans="1:28" ht="15" x14ac:dyDescent="0.2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 spans="1:28" ht="15" x14ac:dyDescent="0.2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 spans="1:28" ht="15" x14ac:dyDescent="0.2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 spans="1:28" ht="15" x14ac:dyDescent="0.2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 spans="1:28" ht="15" x14ac:dyDescent="0.2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 spans="1:28" ht="15" x14ac:dyDescent="0.2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 spans="1:28" ht="15" x14ac:dyDescent="0.2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 spans="1:28" ht="15" x14ac:dyDescent="0.2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 spans="1:28" ht="15" x14ac:dyDescent="0.2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 spans="1:28" ht="15" x14ac:dyDescent="0.2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 spans="1:28" ht="15" x14ac:dyDescent="0.2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 spans="1:28" ht="15" x14ac:dyDescent="0.2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 spans="1:28" ht="15" x14ac:dyDescent="0.2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 spans="1:28" ht="15" x14ac:dyDescent="0.2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 spans="1:28" ht="15" x14ac:dyDescent="0.2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 spans="1:28" ht="15" x14ac:dyDescent="0.2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 spans="1:28" ht="15" x14ac:dyDescent="0.2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 spans="1:28" ht="15" x14ac:dyDescent="0.2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 spans="1:28" ht="15" x14ac:dyDescent="0.2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 spans="1:28" ht="15" x14ac:dyDescent="0.2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 spans="1:28" ht="15" x14ac:dyDescent="0.2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 spans="1:28" ht="15" x14ac:dyDescent="0.2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 spans="1:28" ht="15" x14ac:dyDescent="0.2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 spans="1:28" ht="15" x14ac:dyDescent="0.2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 spans="1:28" ht="15" x14ac:dyDescent="0.2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 spans="1:28" ht="15" x14ac:dyDescent="0.2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 spans="1:28" ht="15" x14ac:dyDescent="0.2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 spans="1:28" ht="15" x14ac:dyDescent="0.2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 spans="1:28" ht="15" x14ac:dyDescent="0.2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 spans="1:28" ht="15" x14ac:dyDescent="0.2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 spans="1:28" ht="15" x14ac:dyDescent="0.2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 spans="1:28" ht="15" x14ac:dyDescent="0.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 spans="1:28" ht="15" x14ac:dyDescent="0.2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 spans="1:28" ht="15" x14ac:dyDescent="0.2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 spans="1:28" ht="15" x14ac:dyDescent="0.2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 spans="1:28" ht="15" x14ac:dyDescent="0.2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 spans="1:28" ht="15" x14ac:dyDescent="0.2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 spans="1:28" ht="15" x14ac:dyDescent="0.2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 spans="1:28" ht="15" x14ac:dyDescent="0.2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 spans="1:28" ht="15" x14ac:dyDescent="0.2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 spans="1:28" ht="15" x14ac:dyDescent="0.2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 spans="1:28" ht="15" x14ac:dyDescent="0.2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 spans="1:28" ht="15" x14ac:dyDescent="0.2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 spans="1:28" ht="15" x14ac:dyDescent="0.2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 spans="1:28" ht="15" x14ac:dyDescent="0.2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 spans="1:28" ht="15" x14ac:dyDescent="0.2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 spans="1:28" ht="15" x14ac:dyDescent="0.2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 spans="1:28" ht="15" x14ac:dyDescent="0.2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 spans="1:28" ht="15" x14ac:dyDescent="0.2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 spans="1:28" ht="15" x14ac:dyDescent="0.2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 spans="1:28" ht="15" x14ac:dyDescent="0.2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 spans="1:28" ht="15" x14ac:dyDescent="0.2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 spans="1:28" ht="15" x14ac:dyDescent="0.2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 spans="1:28" ht="15" x14ac:dyDescent="0.2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 spans="1:28" ht="15" x14ac:dyDescent="0.2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 spans="1:28" ht="15" x14ac:dyDescent="0.2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 spans="1:28" ht="15" x14ac:dyDescent="0.2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 spans="1:28" ht="15" x14ac:dyDescent="0.2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 spans="1:28" ht="15" x14ac:dyDescent="0.2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 spans="1:28" ht="15" x14ac:dyDescent="0.2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 spans="1:28" ht="15" x14ac:dyDescent="0.2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 spans="1:28" ht="15" x14ac:dyDescent="0.2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 spans="1:28" ht="15" x14ac:dyDescent="0.2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 spans="1:28" ht="15" x14ac:dyDescent="0.2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 spans="1:28" ht="15" x14ac:dyDescent="0.2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 spans="1:28" ht="15" x14ac:dyDescent="0.2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 spans="1:28" ht="15" x14ac:dyDescent="0.2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 spans="1:28" ht="15" x14ac:dyDescent="0.2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 spans="1:28" ht="15" x14ac:dyDescent="0.2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 spans="1:28" ht="15" x14ac:dyDescent="0.2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 spans="1:28" ht="15" x14ac:dyDescent="0.2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 spans="1:28" ht="15" x14ac:dyDescent="0.2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 spans="1:28" ht="15" x14ac:dyDescent="0.2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 spans="1:28" ht="15" x14ac:dyDescent="0.2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 spans="1:28" ht="15" x14ac:dyDescent="0.2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 spans="1:28" ht="15" x14ac:dyDescent="0.2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 spans="1:28" ht="15" x14ac:dyDescent="0.2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 spans="1:28" ht="15" x14ac:dyDescent="0.2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 spans="1:28" ht="15" x14ac:dyDescent="0.2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 spans="1:28" ht="15" x14ac:dyDescent="0.2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 spans="1:28" ht="15" x14ac:dyDescent="0.2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 spans="1:28" ht="15" x14ac:dyDescent="0.2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 spans="1:28" ht="15" x14ac:dyDescent="0.2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 spans="1:28" ht="15" x14ac:dyDescent="0.2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 spans="1:28" ht="15" x14ac:dyDescent="0.2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 spans="1:28" ht="15" x14ac:dyDescent="0.2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 spans="1:28" ht="15" x14ac:dyDescent="0.2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 spans="1:28" ht="15" x14ac:dyDescent="0.2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 spans="1:28" ht="15" x14ac:dyDescent="0.2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 spans="1:28" ht="15" x14ac:dyDescent="0.2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 spans="1:28" ht="15" x14ac:dyDescent="0.2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 spans="1:28" ht="15" x14ac:dyDescent="0.2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 spans="1:28" ht="15" x14ac:dyDescent="0.2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 spans="1:28" ht="15" x14ac:dyDescent="0.2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 spans="1:28" ht="15" x14ac:dyDescent="0.2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 spans="1:28" ht="15" x14ac:dyDescent="0.2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 spans="1:28" ht="15" x14ac:dyDescent="0.2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 spans="1:28" ht="15" x14ac:dyDescent="0.2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 spans="1:28" ht="15" x14ac:dyDescent="0.2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 spans="1:28" ht="15" x14ac:dyDescent="0.2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 spans="1:28" ht="15" x14ac:dyDescent="0.2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 spans="1:28" ht="15" x14ac:dyDescent="0.2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 spans="1:28" ht="15" x14ac:dyDescent="0.2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 spans="1:28" ht="15" x14ac:dyDescent="0.2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 spans="1:28" ht="15" x14ac:dyDescent="0.2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  <row r="999" spans="1:28" ht="15" x14ac:dyDescent="0.25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</row>
    <row r="1000" spans="1:28" ht="15" x14ac:dyDescent="0.25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 x14ac:dyDescent="0.2"/>
  <sheetData>
    <row r="1" spans="1:27" x14ac:dyDescent="0.2">
      <c r="A1" s="1"/>
      <c r="B1" s="3" t="s">
        <v>1</v>
      </c>
      <c r="C1" s="3" t="s">
        <v>4</v>
      </c>
      <c r="D1" s="3" t="s">
        <v>5</v>
      </c>
      <c r="E1" s="3" t="s">
        <v>7</v>
      </c>
      <c r="F1" s="3" t="s">
        <v>9</v>
      </c>
      <c r="G1" s="3" t="s">
        <v>10</v>
      </c>
      <c r="H1" s="3" t="s">
        <v>13</v>
      </c>
      <c r="I1" s="3" t="s">
        <v>15</v>
      </c>
      <c r="J1" s="3" t="s">
        <v>174</v>
      </c>
      <c r="K1" s="3" t="s">
        <v>16</v>
      </c>
      <c r="L1" s="3" t="s">
        <v>18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1" t="s">
        <v>175</v>
      </c>
      <c r="B2" s="17">
        <v>-1889.4380266666662</v>
      </c>
      <c r="C2" s="26">
        <f ca="1">D2+E2</f>
        <v>468927</v>
      </c>
      <c r="D2" s="26">
        <f ca="1">Cities!E102</f>
        <v>19353</v>
      </c>
      <c r="E2" s="26">
        <v>449574</v>
      </c>
      <c r="F2" s="17">
        <f ca="1">Economics!B9-Economics!C9</f>
        <v>749.27992000000017</v>
      </c>
      <c r="G2" s="30">
        <f>'Retinue Breakdown'!R10</f>
        <v>50</v>
      </c>
      <c r="H2" s="30"/>
      <c r="I2" s="36">
        <f ca="1">C2*0.005</f>
        <v>2344.6350000000002</v>
      </c>
      <c r="J2" s="17">
        <f t="shared" ref="J2:J8" ca="1" si="0">B2+F2</f>
        <v>-1140.1581066666661</v>
      </c>
      <c r="K2" s="38">
        <f t="shared" ref="K2:K8" ca="1" si="1">D2/C2</f>
        <v>4.1270816139825604E-2</v>
      </c>
      <c r="L2" s="38">
        <f t="shared" ref="L2:L8" ca="1" si="2">E2/C2</f>
        <v>0.95872918386017436</v>
      </c>
      <c r="M2" s="39">
        <f t="shared" ref="M2:M10" ca="1" si="3">B2+F2</f>
        <v>-1140.1581066666661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x14ac:dyDescent="0.2">
      <c r="A3" s="1"/>
      <c r="B3" s="39">
        <v>0</v>
      </c>
      <c r="C3" s="26"/>
      <c r="D3" s="26"/>
      <c r="E3" s="26"/>
      <c r="F3" s="30"/>
      <c r="G3" s="30"/>
      <c r="H3" s="30"/>
      <c r="I3" s="36"/>
      <c r="J3" s="39">
        <f t="shared" si="0"/>
        <v>0</v>
      </c>
      <c r="K3" s="38" t="e">
        <f t="shared" si="1"/>
        <v>#DIV/0!</v>
      </c>
      <c r="L3" s="38" t="e">
        <f t="shared" si="2"/>
        <v>#DIV/0!</v>
      </c>
      <c r="M3" s="39">
        <f t="shared" si="3"/>
        <v>0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x14ac:dyDescent="0.2">
      <c r="A4" s="1"/>
      <c r="B4" s="39">
        <v>0</v>
      </c>
      <c r="C4" s="26"/>
      <c r="D4" s="26"/>
      <c r="E4" s="26"/>
      <c r="F4" s="30"/>
      <c r="G4" s="30"/>
      <c r="H4" s="30"/>
      <c r="I4" s="36"/>
      <c r="J4" s="39">
        <f t="shared" si="0"/>
        <v>0</v>
      </c>
      <c r="K4" s="38" t="e">
        <f t="shared" si="1"/>
        <v>#DIV/0!</v>
      </c>
      <c r="L4" s="38" t="e">
        <f t="shared" si="2"/>
        <v>#DIV/0!</v>
      </c>
      <c r="M4" s="39">
        <f t="shared" si="3"/>
        <v>0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x14ac:dyDescent="0.2">
      <c r="A5" s="1"/>
      <c r="B5" s="39">
        <v>0</v>
      </c>
      <c r="C5" s="26"/>
      <c r="D5" s="28"/>
      <c r="E5" s="26"/>
      <c r="F5" s="30"/>
      <c r="G5" s="30"/>
      <c r="H5" s="30"/>
      <c r="I5" s="36"/>
      <c r="J5" s="39">
        <f t="shared" si="0"/>
        <v>0</v>
      </c>
      <c r="K5" s="38" t="e">
        <f t="shared" si="1"/>
        <v>#DIV/0!</v>
      </c>
      <c r="L5" s="38" t="e">
        <f t="shared" si="2"/>
        <v>#DIV/0!</v>
      </c>
      <c r="M5" s="39">
        <f t="shared" si="3"/>
        <v>0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x14ac:dyDescent="0.2">
      <c r="A6" s="1"/>
      <c r="B6" s="39">
        <v>0</v>
      </c>
      <c r="C6" s="26"/>
      <c r="D6" s="26"/>
      <c r="E6" s="26"/>
      <c r="F6" s="30"/>
      <c r="G6" s="30"/>
      <c r="H6" s="30"/>
      <c r="I6" s="36"/>
      <c r="J6" s="39">
        <f t="shared" si="0"/>
        <v>0</v>
      </c>
      <c r="K6" s="38" t="e">
        <f t="shared" si="1"/>
        <v>#DIV/0!</v>
      </c>
      <c r="L6" s="38" t="e">
        <f t="shared" si="2"/>
        <v>#DIV/0!</v>
      </c>
      <c r="M6" s="39">
        <f t="shared" si="3"/>
        <v>0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x14ac:dyDescent="0.2">
      <c r="A7" s="1"/>
      <c r="B7" s="39">
        <v>0</v>
      </c>
      <c r="C7" s="26"/>
      <c r="D7" s="26"/>
      <c r="E7" s="26"/>
      <c r="F7" s="30"/>
      <c r="G7" s="30"/>
      <c r="H7" s="30"/>
      <c r="I7" s="36"/>
      <c r="J7" s="39">
        <f t="shared" si="0"/>
        <v>0</v>
      </c>
      <c r="K7" s="38" t="e">
        <f t="shared" si="1"/>
        <v>#DIV/0!</v>
      </c>
      <c r="L7" s="38" t="e">
        <f t="shared" si="2"/>
        <v>#DIV/0!</v>
      </c>
      <c r="M7" s="39">
        <f t="shared" si="3"/>
        <v>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x14ac:dyDescent="0.2">
      <c r="A8" s="1"/>
      <c r="B8" s="39">
        <v>0</v>
      </c>
      <c r="C8" s="26"/>
      <c r="D8" s="26"/>
      <c r="E8" s="26"/>
      <c r="F8" s="30"/>
      <c r="G8" s="30"/>
      <c r="H8" s="30"/>
      <c r="I8" s="36"/>
      <c r="J8" s="39">
        <f t="shared" si="0"/>
        <v>0</v>
      </c>
      <c r="K8" s="38" t="e">
        <f t="shared" si="1"/>
        <v>#DIV/0!</v>
      </c>
      <c r="L8" s="38" t="e">
        <f t="shared" si="2"/>
        <v>#DIV/0!</v>
      </c>
      <c r="M8" s="39">
        <f t="shared" si="3"/>
        <v>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x14ac:dyDescent="0.2">
      <c r="A9" s="94" t="s">
        <v>81</v>
      </c>
      <c r="B9" s="95">
        <f t="shared" ref="B9:G9" si="4">AVERAGE(B2:B8)</f>
        <v>-269.91971809523801</v>
      </c>
      <c r="C9" s="49">
        <f t="shared" ca="1" si="4"/>
        <v>468927</v>
      </c>
      <c r="D9" s="49">
        <f t="shared" ca="1" si="4"/>
        <v>19353</v>
      </c>
      <c r="E9" s="49">
        <f t="shared" si="4"/>
        <v>449574</v>
      </c>
      <c r="F9" s="95">
        <f t="shared" ca="1" si="4"/>
        <v>749.27992000000017</v>
      </c>
      <c r="G9" s="95">
        <f t="shared" si="4"/>
        <v>50</v>
      </c>
      <c r="H9" s="96"/>
      <c r="I9" s="49">
        <f>AVERAGE('Secret Sheet'!E1:E7)</f>
        <v>44714.125</v>
      </c>
      <c r="J9" s="95">
        <f t="shared" ref="J9:L9" ca="1" si="5">AVERAGE(J2:J8)</f>
        <v>-162.87972952380943</v>
      </c>
      <c r="K9" s="50" t="e">
        <f t="shared" ca="1" si="5"/>
        <v>#DIV/0!</v>
      </c>
      <c r="L9" s="50" t="e">
        <f t="shared" ca="1" si="5"/>
        <v>#DIV/0!</v>
      </c>
      <c r="M9" s="95">
        <f t="shared" ca="1" si="3"/>
        <v>479.36020190476216</v>
      </c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</row>
    <row r="10" spans="1:27" x14ac:dyDescent="0.2">
      <c r="A10" s="1" t="s">
        <v>75</v>
      </c>
      <c r="B10" s="39">
        <f t="shared" ref="B10:G10" si="6">SUM(B2:B8)</f>
        <v>-1889.4380266666662</v>
      </c>
      <c r="C10" s="26">
        <f t="shared" ca="1" si="6"/>
        <v>468927</v>
      </c>
      <c r="D10" s="26">
        <f t="shared" ca="1" si="6"/>
        <v>19353</v>
      </c>
      <c r="E10" s="26">
        <f t="shared" si="6"/>
        <v>449574</v>
      </c>
      <c r="F10" s="39">
        <f t="shared" ca="1" si="6"/>
        <v>749.27992000000017</v>
      </c>
      <c r="G10" s="30">
        <f t="shared" si="6"/>
        <v>50</v>
      </c>
      <c r="H10" s="30"/>
      <c r="I10" s="26">
        <f>SUM('Secret Sheet'!E1:E7)</f>
        <v>312998.875</v>
      </c>
      <c r="J10" s="39">
        <f ca="1">SUM(J2:J8)</f>
        <v>-1140.1581066666661</v>
      </c>
      <c r="K10" s="38"/>
      <c r="L10" s="38"/>
      <c r="M10" s="39">
        <f t="shared" ca="1" si="3"/>
        <v>-1140.1581066666661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x14ac:dyDescent="0.2">
      <c r="A11" s="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x14ac:dyDescent="0.2">
      <c r="A12" s="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x14ac:dyDescent="0.2">
      <c r="A13" s="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x14ac:dyDescent="0.2">
      <c r="A14" s="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x14ac:dyDescent="0.2">
      <c r="A15" s="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x14ac:dyDescent="0.2">
      <c r="A16" s="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x14ac:dyDescent="0.2">
      <c r="A17" s="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x14ac:dyDescent="0.2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x14ac:dyDescent="0.2">
      <c r="A19" s="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x14ac:dyDescent="0.2">
      <c r="A20" s="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x14ac:dyDescent="0.2">
      <c r="A21" s="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x14ac:dyDescent="0.2">
      <c r="A22" s="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x14ac:dyDescent="0.2">
      <c r="A23" s="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x14ac:dyDescent="0.2">
      <c r="A24" s="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">
      <c r="A25" s="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">
      <c r="A26" s="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x14ac:dyDescent="0.2">
      <c r="A27" s="1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x14ac:dyDescent="0.2">
      <c r="A28" s="1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ht="15.75" customHeight="1" x14ac:dyDescent="0.25">
      <c r="A29" s="97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27" ht="15.75" customHeight="1" x14ac:dyDescent="0.25">
      <c r="A30" s="97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27" ht="15.75" customHeight="1" x14ac:dyDescent="0.25">
      <c r="A31" s="97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ht="15.75" customHeight="1" x14ac:dyDescent="0.25">
      <c r="A32" s="97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 ht="15.75" customHeight="1" x14ac:dyDescent="0.25">
      <c r="A33" s="97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spans="1:27" ht="15.75" customHeight="1" x14ac:dyDescent="0.25">
      <c r="A34" s="97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spans="1:27" ht="15.75" customHeight="1" x14ac:dyDescent="0.25">
      <c r="A35" s="97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spans="1:27" ht="15.75" customHeight="1" x14ac:dyDescent="0.25">
      <c r="A36" s="97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spans="1:27" ht="15" x14ac:dyDescent="0.25">
      <c r="A37" s="97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spans="1:27" ht="15" x14ac:dyDescent="0.25">
      <c r="A38" s="97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spans="1:27" ht="15" x14ac:dyDescent="0.25">
      <c r="A39" s="97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spans="1:27" ht="15" x14ac:dyDescent="0.25">
      <c r="A40" s="97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spans="1:27" ht="15" x14ac:dyDescent="0.25">
      <c r="A41" s="97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spans="1:27" ht="15" x14ac:dyDescent="0.25">
      <c r="A42" s="97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spans="1:27" ht="15" x14ac:dyDescent="0.25">
      <c r="A43" s="97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spans="1:27" ht="15" x14ac:dyDescent="0.25">
      <c r="A44" s="97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spans="1:27" ht="15" x14ac:dyDescent="0.25">
      <c r="A45" s="97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spans="1:27" ht="15" x14ac:dyDescent="0.25">
      <c r="A46" s="97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spans="1:27" ht="15" x14ac:dyDescent="0.25">
      <c r="A47" s="97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spans="1:27" ht="15" x14ac:dyDescent="0.25">
      <c r="A48" s="97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spans="1:27" ht="15" x14ac:dyDescent="0.25">
      <c r="A49" s="97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spans="1:27" ht="15" x14ac:dyDescent="0.25">
      <c r="A50" s="97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spans="1:27" ht="15" x14ac:dyDescent="0.25">
      <c r="A51" s="97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spans="1:27" ht="15" x14ac:dyDescent="0.25">
      <c r="A52" s="97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spans="1:27" ht="15" x14ac:dyDescent="0.25">
      <c r="A53" s="97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spans="1:27" ht="15" x14ac:dyDescent="0.25">
      <c r="A54" s="97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spans="1:27" ht="15" x14ac:dyDescent="0.25">
      <c r="A55" s="97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1:27" ht="15" x14ac:dyDescent="0.25">
      <c r="A56" s="97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spans="1:27" ht="15" x14ac:dyDescent="0.25">
      <c r="A57" s="97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spans="1:27" ht="15" x14ac:dyDescent="0.25">
      <c r="A58" s="97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spans="1:27" ht="15" x14ac:dyDescent="0.25">
      <c r="A59" s="97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spans="1:27" ht="15" x14ac:dyDescent="0.25">
      <c r="A60" s="97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spans="1:27" ht="15" x14ac:dyDescent="0.25">
      <c r="A61" s="97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spans="1:27" ht="15" x14ac:dyDescent="0.25">
      <c r="A62" s="97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spans="1:27" ht="15" x14ac:dyDescent="0.25">
      <c r="A63" s="97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spans="1:27" ht="15" x14ac:dyDescent="0.25">
      <c r="A64" s="97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spans="1:27" ht="15" x14ac:dyDescent="0.25">
      <c r="A65" s="97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spans="1:27" ht="15" x14ac:dyDescent="0.25">
      <c r="A66" s="97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spans="1:27" ht="15" x14ac:dyDescent="0.25">
      <c r="A67" s="97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spans="1:27" ht="15" x14ac:dyDescent="0.25">
      <c r="A68" s="97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spans="1:27" ht="15" x14ac:dyDescent="0.25">
      <c r="A69" s="97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spans="1:27" ht="15" x14ac:dyDescent="0.25">
      <c r="A70" s="97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spans="1:27" ht="15" x14ac:dyDescent="0.25">
      <c r="A71" s="97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spans="1:27" ht="15" x14ac:dyDescent="0.25">
      <c r="A72" s="97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spans="1:27" ht="15" x14ac:dyDescent="0.25">
      <c r="A73" s="97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spans="1:27" ht="15" x14ac:dyDescent="0.25">
      <c r="A74" s="97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spans="1:27" ht="15" x14ac:dyDescent="0.25">
      <c r="A75" s="97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spans="1:27" ht="15" x14ac:dyDescent="0.25">
      <c r="A76" s="97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spans="1:27" ht="15" x14ac:dyDescent="0.25">
      <c r="A77" s="97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spans="1:27" ht="15" x14ac:dyDescent="0.25">
      <c r="A78" s="97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spans="1:27" ht="15" x14ac:dyDescent="0.25">
      <c r="A79" s="97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spans="1:27" ht="15" x14ac:dyDescent="0.25">
      <c r="A80" s="97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spans="1:27" ht="15" x14ac:dyDescent="0.25">
      <c r="A81" s="97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spans="1:27" ht="15" x14ac:dyDescent="0.25">
      <c r="A82" s="97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spans="1:27" ht="15" x14ac:dyDescent="0.25">
      <c r="A83" s="97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spans="1:27" ht="15" x14ac:dyDescent="0.25">
      <c r="A84" s="97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spans="1:27" ht="15" x14ac:dyDescent="0.25">
      <c r="A85" s="97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spans="1:27" ht="15" x14ac:dyDescent="0.25">
      <c r="A86" s="97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spans="1:27" ht="15" x14ac:dyDescent="0.25">
      <c r="A87" s="97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spans="1:27" ht="15" x14ac:dyDescent="0.25">
      <c r="A88" s="97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spans="1:27" ht="15" x14ac:dyDescent="0.25">
      <c r="A89" s="97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spans="1:27" ht="15" x14ac:dyDescent="0.25">
      <c r="A90" s="97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spans="1:27" ht="15" x14ac:dyDescent="0.25">
      <c r="A91" s="97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spans="1:27" ht="15" x14ac:dyDescent="0.25">
      <c r="A92" s="97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spans="1:27" ht="15" x14ac:dyDescent="0.25">
      <c r="A93" s="97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spans="1:27" ht="15" x14ac:dyDescent="0.25">
      <c r="A94" s="97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spans="1:27" ht="15" x14ac:dyDescent="0.25">
      <c r="A95" s="97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spans="1:27" ht="15" x14ac:dyDescent="0.25">
      <c r="A96" s="97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spans="1:27" ht="15" x14ac:dyDescent="0.25">
      <c r="A97" s="97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spans="1:27" ht="15" x14ac:dyDescent="0.25">
      <c r="A98" s="97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spans="1:27" ht="15" x14ac:dyDescent="0.25">
      <c r="A99" s="97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spans="1:27" ht="15" x14ac:dyDescent="0.25">
      <c r="A100" s="97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spans="1:27" ht="15" x14ac:dyDescent="0.25">
      <c r="A101" s="97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spans="1:27" ht="15" x14ac:dyDescent="0.25">
      <c r="A102" s="97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spans="1:27" ht="15" x14ac:dyDescent="0.25">
      <c r="A103" s="97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spans="1:27" ht="15" x14ac:dyDescent="0.25">
      <c r="A104" s="97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spans="1:27" ht="15" x14ac:dyDescent="0.25">
      <c r="A105" s="97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spans="1:27" ht="15" x14ac:dyDescent="0.25">
      <c r="A106" s="97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spans="1:27" ht="15" x14ac:dyDescent="0.25">
      <c r="A107" s="97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 spans="1:27" ht="15" x14ac:dyDescent="0.25">
      <c r="A108" s="97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spans="1:27" ht="15" x14ac:dyDescent="0.25">
      <c r="A109" s="97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spans="1:27" ht="15" x14ac:dyDescent="0.25">
      <c r="A110" s="97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spans="1:27" ht="15" x14ac:dyDescent="0.25">
      <c r="A111" s="97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spans="1:27" ht="15" x14ac:dyDescent="0.25">
      <c r="A112" s="97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spans="1:27" ht="15" x14ac:dyDescent="0.25">
      <c r="A113" s="97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spans="1:27" ht="15" x14ac:dyDescent="0.25">
      <c r="A114" s="97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spans="1:27" ht="15" x14ac:dyDescent="0.25">
      <c r="A115" s="97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spans="1:27" ht="15" x14ac:dyDescent="0.25">
      <c r="A116" s="97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spans="1:27" ht="15" x14ac:dyDescent="0.25">
      <c r="A117" s="97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spans="1:27" ht="15" x14ac:dyDescent="0.25">
      <c r="A118" s="97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spans="1:27" ht="15" x14ac:dyDescent="0.25">
      <c r="A119" s="97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spans="1:27" ht="15" x14ac:dyDescent="0.25">
      <c r="A120" s="97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spans="1:27" ht="15" x14ac:dyDescent="0.25">
      <c r="A121" s="97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spans="1:27" ht="15" x14ac:dyDescent="0.25">
      <c r="A122" s="97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spans="1:27" ht="15" x14ac:dyDescent="0.25">
      <c r="A123" s="97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spans="1:27" ht="15" x14ac:dyDescent="0.25">
      <c r="A124" s="97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spans="1:27" ht="15" x14ac:dyDescent="0.25">
      <c r="A125" s="97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spans="1:27" ht="15" x14ac:dyDescent="0.25">
      <c r="A126" s="97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spans="1:27" ht="15" x14ac:dyDescent="0.25">
      <c r="A127" s="97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spans="1:27" ht="15" x14ac:dyDescent="0.25">
      <c r="A128" s="97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spans="1:27" ht="15" x14ac:dyDescent="0.25">
      <c r="A129" s="97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spans="1:27" ht="15" x14ac:dyDescent="0.25">
      <c r="A130" s="97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spans="1:27" ht="15" x14ac:dyDescent="0.25">
      <c r="A131" s="97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spans="1:27" ht="15" x14ac:dyDescent="0.25">
      <c r="A132" s="97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spans="1:27" ht="15" x14ac:dyDescent="0.25">
      <c r="A133" s="97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spans="1:27" ht="15" x14ac:dyDescent="0.25">
      <c r="A134" s="97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spans="1:27" ht="15" x14ac:dyDescent="0.25">
      <c r="A135" s="97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spans="1:27" ht="15" x14ac:dyDescent="0.25">
      <c r="A136" s="97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spans="1:27" ht="15" x14ac:dyDescent="0.25">
      <c r="A137" s="97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spans="1:27" ht="15" x14ac:dyDescent="0.25">
      <c r="A138" s="97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spans="1:27" ht="15" x14ac:dyDescent="0.25">
      <c r="A139" s="97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spans="1:27" ht="15" x14ac:dyDescent="0.25">
      <c r="A140" s="97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spans="1:27" ht="15" x14ac:dyDescent="0.25">
      <c r="A141" s="97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spans="1:27" ht="15" x14ac:dyDescent="0.25">
      <c r="A142" s="97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spans="1:27" ht="15" x14ac:dyDescent="0.25">
      <c r="A143" s="97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spans="1:27" ht="15" x14ac:dyDescent="0.25">
      <c r="A144" s="97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spans="1:27" ht="15" x14ac:dyDescent="0.25">
      <c r="A145" s="97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spans="1:27" ht="15" x14ac:dyDescent="0.25">
      <c r="A146" s="97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spans="1:27" ht="15" x14ac:dyDescent="0.25">
      <c r="A147" s="97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spans="1:27" ht="15" x14ac:dyDescent="0.25">
      <c r="A148" s="97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spans="1:27" ht="15" x14ac:dyDescent="0.25">
      <c r="A149" s="97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spans="1:27" ht="15" x14ac:dyDescent="0.25">
      <c r="A150" s="97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spans="1:27" ht="15" x14ac:dyDescent="0.25">
      <c r="A151" s="97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spans="1:27" ht="15" x14ac:dyDescent="0.25">
      <c r="A152" s="97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spans="1:27" ht="15" x14ac:dyDescent="0.25">
      <c r="A153" s="97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spans="1:27" ht="15" x14ac:dyDescent="0.25">
      <c r="A154" s="97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spans="1:27" ht="15" x14ac:dyDescent="0.25">
      <c r="A155" s="97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spans="1:27" ht="15" x14ac:dyDescent="0.25">
      <c r="A156" s="97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spans="1:27" ht="15" x14ac:dyDescent="0.25">
      <c r="A157" s="97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spans="1:27" ht="15" x14ac:dyDescent="0.25">
      <c r="A158" s="97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spans="1:27" ht="15" x14ac:dyDescent="0.25">
      <c r="A159" s="97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 spans="1:27" ht="15" x14ac:dyDescent="0.25">
      <c r="A160" s="97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spans="1:27" ht="15" x14ac:dyDescent="0.25">
      <c r="A161" s="97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spans="1:27" ht="15" x14ac:dyDescent="0.25">
      <c r="A162" s="97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spans="1:27" ht="15" x14ac:dyDescent="0.25">
      <c r="A163" s="97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spans="1:27" ht="15" x14ac:dyDescent="0.25">
      <c r="A164" s="97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spans="1:27" ht="15" x14ac:dyDescent="0.25">
      <c r="A165" s="97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spans="1:27" ht="15" x14ac:dyDescent="0.25">
      <c r="A166" s="97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spans="1:27" ht="15" x14ac:dyDescent="0.25">
      <c r="A167" s="97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spans="1:27" ht="15" x14ac:dyDescent="0.25">
      <c r="A168" s="97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spans="1:27" ht="15" x14ac:dyDescent="0.25">
      <c r="A169" s="97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spans="1:27" ht="15" x14ac:dyDescent="0.25">
      <c r="A170" s="97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spans="1:27" ht="15" x14ac:dyDescent="0.25">
      <c r="A171" s="97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spans="1:27" ht="15" x14ac:dyDescent="0.25">
      <c r="A172" s="97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spans="1:27" ht="15" x14ac:dyDescent="0.25">
      <c r="A173" s="97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spans="1:27" ht="15" x14ac:dyDescent="0.25">
      <c r="A174" s="97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spans="1:27" ht="15" x14ac:dyDescent="0.25">
      <c r="A175" s="97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spans="1:27" ht="15" x14ac:dyDescent="0.25">
      <c r="A176" s="97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spans="1:27" ht="15" x14ac:dyDescent="0.25">
      <c r="A177" s="97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spans="1:27" ht="15" x14ac:dyDescent="0.25">
      <c r="A178" s="97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spans="1:27" ht="15" x14ac:dyDescent="0.25">
      <c r="A179" s="97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spans="1:27" ht="15" x14ac:dyDescent="0.25">
      <c r="A180" s="97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spans="1:27" ht="15" x14ac:dyDescent="0.25">
      <c r="A181" s="97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spans="1:27" ht="15" x14ac:dyDescent="0.25">
      <c r="A182" s="97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spans="1:27" ht="15" x14ac:dyDescent="0.25">
      <c r="A183" s="97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spans="1:27" ht="15" x14ac:dyDescent="0.25">
      <c r="A184" s="97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spans="1:27" ht="15" x14ac:dyDescent="0.25">
      <c r="A185" s="97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spans="1:27" ht="15" x14ac:dyDescent="0.25">
      <c r="A186" s="97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spans="1:27" ht="15" x14ac:dyDescent="0.25">
      <c r="A187" s="97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spans="1:27" ht="15" x14ac:dyDescent="0.25">
      <c r="A188" s="97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spans="1:27" ht="15" x14ac:dyDescent="0.25">
      <c r="A189" s="97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spans="1:27" ht="15" x14ac:dyDescent="0.25">
      <c r="A190" s="97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spans="1:27" ht="15" x14ac:dyDescent="0.25">
      <c r="A191" s="97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spans="1:27" ht="15" x14ac:dyDescent="0.25">
      <c r="A192" s="97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spans="1:27" ht="15" x14ac:dyDescent="0.25">
      <c r="A193" s="97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spans="1:27" ht="15" x14ac:dyDescent="0.25">
      <c r="A194" s="97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spans="1:27" ht="15" x14ac:dyDescent="0.25">
      <c r="A195" s="97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spans="1:27" ht="15" x14ac:dyDescent="0.25">
      <c r="A196" s="97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spans="1:27" ht="15" x14ac:dyDescent="0.25">
      <c r="A197" s="97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spans="1:27" ht="15" x14ac:dyDescent="0.25">
      <c r="A198" s="97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spans="1:27" ht="15" x14ac:dyDescent="0.25">
      <c r="A199" s="97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spans="1:27" ht="15" x14ac:dyDescent="0.25">
      <c r="A200" s="97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spans="1:27" ht="15" x14ac:dyDescent="0.25">
      <c r="A201" s="97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spans="1:27" ht="15" x14ac:dyDescent="0.25">
      <c r="A202" s="97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spans="1:27" ht="15" x14ac:dyDescent="0.25">
      <c r="A203" s="97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spans="1:27" ht="15" x14ac:dyDescent="0.25">
      <c r="A204" s="97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spans="1:27" ht="15" x14ac:dyDescent="0.25">
      <c r="A205" s="97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spans="1:27" ht="15" x14ac:dyDescent="0.25">
      <c r="A206" s="97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spans="1:27" ht="15" x14ac:dyDescent="0.25">
      <c r="A207" s="97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spans="1:27" ht="15" x14ac:dyDescent="0.25">
      <c r="A208" s="97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spans="1:27" ht="15" x14ac:dyDescent="0.25">
      <c r="A209" s="97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spans="1:27" ht="15" x14ac:dyDescent="0.25">
      <c r="A210" s="97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spans="1:27" ht="15" x14ac:dyDescent="0.25">
      <c r="A211" s="97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spans="1:27" ht="15" x14ac:dyDescent="0.25">
      <c r="A212" s="97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spans="1:27" ht="15" x14ac:dyDescent="0.25">
      <c r="A213" s="97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spans="1:27" ht="15" x14ac:dyDescent="0.25">
      <c r="A214" s="97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spans="1:27" ht="15" x14ac:dyDescent="0.25">
      <c r="A215" s="97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spans="1:27" ht="15" x14ac:dyDescent="0.25">
      <c r="A216" s="97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spans="1:27" ht="15" x14ac:dyDescent="0.25">
      <c r="A217" s="97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spans="1:27" ht="15" x14ac:dyDescent="0.25">
      <c r="A218" s="97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spans="1:27" ht="15" x14ac:dyDescent="0.25">
      <c r="A219" s="97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spans="1:27" ht="15" x14ac:dyDescent="0.25">
      <c r="A220" s="97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spans="1:27" ht="15" x14ac:dyDescent="0.25">
      <c r="A221" s="97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spans="1:27" ht="15" x14ac:dyDescent="0.25">
      <c r="A222" s="97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spans="1:27" ht="15" x14ac:dyDescent="0.25">
      <c r="A223" s="97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spans="1:27" ht="15" x14ac:dyDescent="0.25">
      <c r="A224" s="97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spans="1:27" ht="15" x14ac:dyDescent="0.25">
      <c r="A225" s="97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spans="1:27" ht="15" x14ac:dyDescent="0.25">
      <c r="A226" s="97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spans="1:27" ht="15" x14ac:dyDescent="0.25">
      <c r="A227" s="97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spans="1:27" ht="15" x14ac:dyDescent="0.25">
      <c r="A228" s="97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spans="1:27" ht="15" x14ac:dyDescent="0.25">
      <c r="A229" s="97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spans="1:27" ht="15" x14ac:dyDescent="0.25">
      <c r="A230" s="97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spans="1:27" ht="15" x14ac:dyDescent="0.25">
      <c r="A231" s="97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spans="1:27" ht="15" x14ac:dyDescent="0.25">
      <c r="A232" s="97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spans="1:27" ht="15" x14ac:dyDescent="0.25">
      <c r="A233" s="97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spans="1:27" ht="15" x14ac:dyDescent="0.25">
      <c r="A234" s="97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spans="1:27" ht="15" x14ac:dyDescent="0.25">
      <c r="A235" s="97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spans="1:27" ht="15" x14ac:dyDescent="0.25">
      <c r="A236" s="97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spans="1:27" ht="15" x14ac:dyDescent="0.25">
      <c r="A237" s="97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spans="1:27" ht="15" x14ac:dyDescent="0.25">
      <c r="A238" s="97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spans="1:27" ht="15" x14ac:dyDescent="0.25">
      <c r="A239" s="97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spans="1:27" ht="15" x14ac:dyDescent="0.25">
      <c r="A240" s="97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</row>
    <row r="241" spans="1:27" ht="15" x14ac:dyDescent="0.25">
      <c r="A241" s="97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</row>
    <row r="242" spans="1:27" ht="15" x14ac:dyDescent="0.25">
      <c r="A242" s="97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</row>
    <row r="243" spans="1:27" ht="15" x14ac:dyDescent="0.25">
      <c r="A243" s="97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</row>
    <row r="244" spans="1:27" ht="15" x14ac:dyDescent="0.25">
      <c r="A244" s="97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</row>
    <row r="245" spans="1:27" ht="15" x14ac:dyDescent="0.25">
      <c r="A245" s="97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</row>
    <row r="246" spans="1:27" ht="15" x14ac:dyDescent="0.25">
      <c r="A246" s="97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</row>
    <row r="247" spans="1:27" ht="15" x14ac:dyDescent="0.25">
      <c r="A247" s="97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</row>
    <row r="248" spans="1:27" ht="15" x14ac:dyDescent="0.25">
      <c r="A248" s="97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</row>
    <row r="249" spans="1:27" ht="15" x14ac:dyDescent="0.25">
      <c r="A249" s="97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</row>
    <row r="250" spans="1:27" ht="15" x14ac:dyDescent="0.25">
      <c r="A250" s="97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</row>
    <row r="251" spans="1:27" ht="15" x14ac:dyDescent="0.25">
      <c r="A251" s="97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</row>
    <row r="252" spans="1:27" ht="15" x14ac:dyDescent="0.25">
      <c r="A252" s="97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</row>
    <row r="253" spans="1:27" ht="15" x14ac:dyDescent="0.25">
      <c r="A253" s="97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</row>
    <row r="254" spans="1:27" ht="15" x14ac:dyDescent="0.25">
      <c r="A254" s="97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</row>
    <row r="255" spans="1:27" ht="15" x14ac:dyDescent="0.25">
      <c r="A255" s="97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 spans="1:27" ht="15" x14ac:dyDescent="0.25">
      <c r="A256" s="97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</row>
    <row r="257" spans="1:27" ht="15" x14ac:dyDescent="0.25">
      <c r="A257" s="97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</row>
    <row r="258" spans="1:27" ht="15" x14ac:dyDescent="0.25">
      <c r="A258" s="97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</row>
    <row r="259" spans="1:27" ht="15" x14ac:dyDescent="0.25">
      <c r="A259" s="97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</row>
    <row r="260" spans="1:27" ht="15" x14ac:dyDescent="0.25">
      <c r="A260" s="97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</row>
    <row r="261" spans="1:27" ht="15" x14ac:dyDescent="0.25">
      <c r="A261" s="97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</row>
    <row r="262" spans="1:27" ht="15" x14ac:dyDescent="0.25">
      <c r="A262" s="97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</row>
    <row r="263" spans="1:27" ht="15" x14ac:dyDescent="0.25">
      <c r="A263" s="97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</row>
    <row r="264" spans="1:27" ht="15" x14ac:dyDescent="0.25">
      <c r="A264" s="97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</row>
    <row r="265" spans="1:27" ht="15" x14ac:dyDescent="0.25">
      <c r="A265" s="97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</row>
    <row r="266" spans="1:27" ht="15" x14ac:dyDescent="0.25">
      <c r="A266" s="97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</row>
    <row r="267" spans="1:27" ht="15" x14ac:dyDescent="0.25">
      <c r="A267" s="97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</row>
    <row r="268" spans="1:27" ht="15" x14ac:dyDescent="0.25">
      <c r="A268" s="97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</row>
    <row r="269" spans="1:27" ht="15" x14ac:dyDescent="0.25">
      <c r="A269" s="97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</row>
    <row r="270" spans="1:27" ht="15" x14ac:dyDescent="0.25">
      <c r="A270" s="97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</row>
    <row r="271" spans="1:27" ht="15" x14ac:dyDescent="0.25">
      <c r="A271" s="97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</row>
    <row r="272" spans="1:27" ht="15" x14ac:dyDescent="0.25">
      <c r="A272" s="97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</row>
    <row r="273" spans="1:27" ht="15" x14ac:dyDescent="0.25">
      <c r="A273" s="97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</row>
    <row r="274" spans="1:27" ht="15" x14ac:dyDescent="0.25">
      <c r="A274" s="97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</row>
    <row r="275" spans="1:27" ht="15" x14ac:dyDescent="0.25">
      <c r="A275" s="97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</row>
    <row r="276" spans="1:27" ht="15" x14ac:dyDescent="0.25">
      <c r="A276" s="97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</row>
    <row r="277" spans="1:27" ht="15" x14ac:dyDescent="0.25">
      <c r="A277" s="97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</row>
    <row r="278" spans="1:27" ht="15" x14ac:dyDescent="0.25">
      <c r="A278" s="97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</row>
    <row r="279" spans="1:27" ht="15" x14ac:dyDescent="0.25">
      <c r="A279" s="97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</row>
    <row r="280" spans="1:27" ht="15" x14ac:dyDescent="0.25">
      <c r="A280" s="97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</row>
    <row r="281" spans="1:27" ht="15" x14ac:dyDescent="0.25">
      <c r="A281" s="97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</row>
    <row r="282" spans="1:27" ht="15" x14ac:dyDescent="0.25">
      <c r="A282" s="97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</row>
    <row r="283" spans="1:27" ht="15" x14ac:dyDescent="0.25">
      <c r="A283" s="97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</row>
    <row r="284" spans="1:27" ht="15" x14ac:dyDescent="0.25">
      <c r="A284" s="97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</row>
    <row r="285" spans="1:27" ht="15" x14ac:dyDescent="0.25">
      <c r="A285" s="97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</row>
    <row r="286" spans="1:27" ht="15" x14ac:dyDescent="0.25">
      <c r="A286" s="97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</row>
    <row r="287" spans="1:27" ht="15" x14ac:dyDescent="0.25">
      <c r="A287" s="97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</row>
    <row r="288" spans="1:27" ht="15" x14ac:dyDescent="0.25">
      <c r="A288" s="97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</row>
    <row r="289" spans="1:27" ht="15" x14ac:dyDescent="0.25">
      <c r="A289" s="97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</row>
    <row r="290" spans="1:27" ht="15" x14ac:dyDescent="0.25">
      <c r="A290" s="97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</row>
    <row r="291" spans="1:27" ht="15" x14ac:dyDescent="0.25">
      <c r="A291" s="97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</row>
    <row r="292" spans="1:27" ht="15" x14ac:dyDescent="0.25">
      <c r="A292" s="97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</row>
    <row r="293" spans="1:27" ht="15" x14ac:dyDescent="0.25">
      <c r="A293" s="97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</row>
    <row r="294" spans="1:27" ht="15" x14ac:dyDescent="0.25">
      <c r="A294" s="97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</row>
    <row r="295" spans="1:27" ht="15" x14ac:dyDescent="0.25">
      <c r="A295" s="97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</row>
    <row r="296" spans="1:27" ht="15" x14ac:dyDescent="0.25">
      <c r="A296" s="97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</row>
    <row r="297" spans="1:27" ht="15" x14ac:dyDescent="0.25">
      <c r="A297" s="97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</row>
    <row r="298" spans="1:27" ht="15" x14ac:dyDescent="0.25">
      <c r="A298" s="97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</row>
    <row r="299" spans="1:27" ht="15" x14ac:dyDescent="0.25">
      <c r="A299" s="97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</row>
    <row r="300" spans="1:27" ht="15" x14ac:dyDescent="0.25">
      <c r="A300" s="97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</row>
    <row r="301" spans="1:27" ht="15" x14ac:dyDescent="0.25">
      <c r="A301" s="97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</row>
    <row r="302" spans="1:27" ht="15" x14ac:dyDescent="0.25">
      <c r="A302" s="97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</row>
    <row r="303" spans="1:27" ht="15" x14ac:dyDescent="0.25">
      <c r="A303" s="97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</row>
    <row r="304" spans="1:27" ht="15" x14ac:dyDescent="0.25">
      <c r="A304" s="97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</row>
    <row r="305" spans="1:27" ht="15" x14ac:dyDescent="0.25">
      <c r="A305" s="97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</row>
    <row r="306" spans="1:27" ht="15" x14ac:dyDescent="0.25">
      <c r="A306" s="97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</row>
    <row r="307" spans="1:27" ht="15" x14ac:dyDescent="0.25">
      <c r="A307" s="97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</row>
    <row r="308" spans="1:27" ht="15" x14ac:dyDescent="0.25">
      <c r="A308" s="97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</row>
    <row r="309" spans="1:27" ht="15" x14ac:dyDescent="0.25">
      <c r="A309" s="97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</row>
    <row r="310" spans="1:27" ht="15" x14ac:dyDescent="0.25">
      <c r="A310" s="97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</row>
    <row r="311" spans="1:27" ht="15" x14ac:dyDescent="0.25">
      <c r="A311" s="97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</row>
    <row r="312" spans="1:27" ht="15" x14ac:dyDescent="0.25">
      <c r="A312" s="97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</row>
    <row r="313" spans="1:27" ht="15" x14ac:dyDescent="0.25">
      <c r="A313" s="97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</row>
    <row r="314" spans="1:27" ht="15" x14ac:dyDescent="0.25">
      <c r="A314" s="97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</row>
    <row r="315" spans="1:27" ht="15" x14ac:dyDescent="0.25">
      <c r="A315" s="97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</row>
    <row r="316" spans="1:27" ht="15" x14ac:dyDescent="0.25">
      <c r="A316" s="97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</row>
    <row r="317" spans="1:27" ht="15" x14ac:dyDescent="0.25">
      <c r="A317" s="97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</row>
    <row r="318" spans="1:27" ht="15" x14ac:dyDescent="0.25">
      <c r="A318" s="97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</row>
    <row r="319" spans="1:27" ht="15" x14ac:dyDescent="0.25">
      <c r="A319" s="97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</row>
    <row r="320" spans="1:27" ht="15" x14ac:dyDescent="0.25">
      <c r="A320" s="97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</row>
    <row r="321" spans="1:27" ht="15" x14ac:dyDescent="0.25">
      <c r="A321" s="97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</row>
    <row r="322" spans="1:27" ht="15" x14ac:dyDescent="0.25">
      <c r="A322" s="97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</row>
    <row r="323" spans="1:27" ht="15" x14ac:dyDescent="0.25">
      <c r="A323" s="97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</row>
    <row r="324" spans="1:27" ht="15" x14ac:dyDescent="0.25">
      <c r="A324" s="97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</row>
    <row r="325" spans="1:27" ht="15" x14ac:dyDescent="0.25">
      <c r="A325" s="97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</row>
    <row r="326" spans="1:27" ht="15" x14ac:dyDescent="0.25">
      <c r="A326" s="97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</row>
    <row r="327" spans="1:27" ht="15" x14ac:dyDescent="0.25">
      <c r="A327" s="97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</row>
    <row r="328" spans="1:27" ht="15" x14ac:dyDescent="0.25">
      <c r="A328" s="97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</row>
    <row r="329" spans="1:27" ht="15" x14ac:dyDescent="0.25">
      <c r="A329" s="97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</row>
    <row r="330" spans="1:27" ht="15" x14ac:dyDescent="0.25">
      <c r="A330" s="97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</row>
    <row r="331" spans="1:27" ht="15" x14ac:dyDescent="0.25">
      <c r="A331" s="97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</row>
    <row r="332" spans="1:27" ht="15" x14ac:dyDescent="0.25">
      <c r="A332" s="97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</row>
    <row r="333" spans="1:27" ht="15" x14ac:dyDescent="0.25">
      <c r="A333" s="97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</row>
    <row r="334" spans="1:27" ht="15" x14ac:dyDescent="0.25">
      <c r="A334" s="97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</row>
    <row r="335" spans="1:27" ht="15" x14ac:dyDescent="0.25">
      <c r="A335" s="97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</row>
    <row r="336" spans="1:27" ht="15" x14ac:dyDescent="0.25">
      <c r="A336" s="97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</row>
    <row r="337" spans="1:27" ht="15" x14ac:dyDescent="0.25">
      <c r="A337" s="97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</row>
    <row r="338" spans="1:27" ht="15" x14ac:dyDescent="0.25">
      <c r="A338" s="97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</row>
    <row r="339" spans="1:27" ht="15" x14ac:dyDescent="0.25">
      <c r="A339" s="97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</row>
    <row r="340" spans="1:27" ht="15" x14ac:dyDescent="0.25">
      <c r="A340" s="97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</row>
    <row r="341" spans="1:27" ht="15" x14ac:dyDescent="0.25">
      <c r="A341" s="97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</row>
    <row r="342" spans="1:27" ht="15" x14ac:dyDescent="0.25">
      <c r="A342" s="97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</row>
    <row r="343" spans="1:27" ht="15" x14ac:dyDescent="0.25">
      <c r="A343" s="97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</row>
    <row r="344" spans="1:27" ht="15" x14ac:dyDescent="0.25">
      <c r="A344" s="97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</row>
    <row r="345" spans="1:27" ht="15" x14ac:dyDescent="0.25">
      <c r="A345" s="97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</row>
    <row r="346" spans="1:27" ht="15" x14ac:dyDescent="0.25">
      <c r="A346" s="97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</row>
    <row r="347" spans="1:27" ht="15" x14ac:dyDescent="0.25">
      <c r="A347" s="97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</row>
    <row r="348" spans="1:27" ht="15" x14ac:dyDescent="0.25">
      <c r="A348" s="97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</row>
    <row r="349" spans="1:27" ht="15" x14ac:dyDescent="0.25">
      <c r="A349" s="97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</row>
    <row r="350" spans="1:27" ht="15" x14ac:dyDescent="0.25">
      <c r="A350" s="97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</row>
    <row r="351" spans="1:27" ht="15" x14ac:dyDescent="0.25">
      <c r="A351" s="97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</row>
    <row r="352" spans="1:27" ht="15" x14ac:dyDescent="0.25">
      <c r="A352" s="97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</row>
    <row r="353" spans="1:27" ht="15" x14ac:dyDescent="0.25">
      <c r="A353" s="97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</row>
    <row r="354" spans="1:27" ht="15" x14ac:dyDescent="0.25">
      <c r="A354" s="97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</row>
    <row r="355" spans="1:27" ht="15" x14ac:dyDescent="0.25">
      <c r="A355" s="97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</row>
    <row r="356" spans="1:27" ht="15" x14ac:dyDescent="0.25">
      <c r="A356" s="97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</row>
    <row r="357" spans="1:27" ht="15" x14ac:dyDescent="0.25">
      <c r="A357" s="97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</row>
    <row r="358" spans="1:27" ht="15" x14ac:dyDescent="0.25">
      <c r="A358" s="97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</row>
    <row r="359" spans="1:27" ht="15" x14ac:dyDescent="0.25">
      <c r="A359" s="97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</row>
    <row r="360" spans="1:27" ht="15" x14ac:dyDescent="0.25">
      <c r="A360" s="97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</row>
    <row r="361" spans="1:27" ht="15" x14ac:dyDescent="0.25">
      <c r="A361" s="97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</row>
    <row r="362" spans="1:27" ht="15" x14ac:dyDescent="0.25">
      <c r="A362" s="97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</row>
    <row r="363" spans="1:27" ht="15" x14ac:dyDescent="0.25">
      <c r="A363" s="97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</row>
    <row r="364" spans="1:27" ht="15" x14ac:dyDescent="0.25">
      <c r="A364" s="97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</row>
    <row r="365" spans="1:27" ht="15" x14ac:dyDescent="0.25">
      <c r="A365" s="97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</row>
    <row r="366" spans="1:27" ht="15" x14ac:dyDescent="0.25">
      <c r="A366" s="97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</row>
    <row r="367" spans="1:27" ht="15" x14ac:dyDescent="0.25">
      <c r="A367" s="97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</row>
    <row r="368" spans="1:27" ht="15" x14ac:dyDescent="0.25">
      <c r="A368" s="97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</row>
    <row r="369" spans="1:27" ht="15" x14ac:dyDescent="0.25">
      <c r="A369" s="97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</row>
    <row r="370" spans="1:27" ht="15" x14ac:dyDescent="0.25">
      <c r="A370" s="97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</row>
    <row r="371" spans="1:27" ht="15" x14ac:dyDescent="0.25">
      <c r="A371" s="97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</row>
    <row r="372" spans="1:27" ht="15" x14ac:dyDescent="0.25">
      <c r="A372" s="97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</row>
    <row r="373" spans="1:27" ht="15" x14ac:dyDescent="0.25">
      <c r="A373" s="97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</row>
    <row r="374" spans="1:27" ht="15" x14ac:dyDescent="0.25">
      <c r="A374" s="97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</row>
    <row r="375" spans="1:27" ht="15" x14ac:dyDescent="0.25">
      <c r="A375" s="97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</row>
    <row r="376" spans="1:27" ht="15" x14ac:dyDescent="0.25">
      <c r="A376" s="97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</row>
    <row r="377" spans="1:27" ht="15" x14ac:dyDescent="0.25">
      <c r="A377" s="97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</row>
    <row r="378" spans="1:27" ht="15" x14ac:dyDescent="0.25">
      <c r="A378" s="97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</row>
    <row r="379" spans="1:27" ht="15" x14ac:dyDescent="0.25">
      <c r="A379" s="97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</row>
    <row r="380" spans="1:27" ht="15" x14ac:dyDescent="0.25">
      <c r="A380" s="97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</row>
    <row r="381" spans="1:27" ht="15" x14ac:dyDescent="0.25">
      <c r="A381" s="97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</row>
    <row r="382" spans="1:27" ht="15" x14ac:dyDescent="0.25">
      <c r="A382" s="97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</row>
    <row r="383" spans="1:27" ht="15" x14ac:dyDescent="0.25">
      <c r="A383" s="97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</row>
    <row r="384" spans="1:27" ht="15" x14ac:dyDescent="0.25">
      <c r="A384" s="97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</row>
    <row r="385" spans="1:27" ht="15" x14ac:dyDescent="0.25">
      <c r="A385" s="97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</row>
    <row r="386" spans="1:27" ht="15" x14ac:dyDescent="0.25">
      <c r="A386" s="97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</row>
    <row r="387" spans="1:27" ht="15" x14ac:dyDescent="0.25">
      <c r="A387" s="97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</row>
    <row r="388" spans="1:27" ht="15" x14ac:dyDescent="0.25">
      <c r="A388" s="97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</row>
    <row r="389" spans="1:27" ht="15" x14ac:dyDescent="0.25">
      <c r="A389" s="97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</row>
    <row r="390" spans="1:27" ht="15" x14ac:dyDescent="0.25">
      <c r="A390" s="97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</row>
    <row r="391" spans="1:27" ht="15" x14ac:dyDescent="0.25">
      <c r="A391" s="97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</row>
    <row r="392" spans="1:27" ht="15" x14ac:dyDescent="0.25">
      <c r="A392" s="97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</row>
    <row r="393" spans="1:27" ht="15" x14ac:dyDescent="0.25">
      <c r="A393" s="97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</row>
    <row r="394" spans="1:27" ht="15" x14ac:dyDescent="0.25">
      <c r="A394" s="97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</row>
    <row r="395" spans="1:27" ht="15" x14ac:dyDescent="0.25">
      <c r="A395" s="97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</row>
    <row r="396" spans="1:27" ht="15" x14ac:dyDescent="0.25">
      <c r="A396" s="97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</row>
    <row r="397" spans="1:27" ht="15" x14ac:dyDescent="0.25">
      <c r="A397" s="97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</row>
    <row r="398" spans="1:27" ht="15" x14ac:dyDescent="0.25">
      <c r="A398" s="97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</row>
    <row r="399" spans="1:27" ht="15" x14ac:dyDescent="0.25">
      <c r="A399" s="97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</row>
    <row r="400" spans="1:27" ht="15" x14ac:dyDescent="0.25">
      <c r="A400" s="97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</row>
    <row r="401" spans="1:27" ht="15" x14ac:dyDescent="0.25">
      <c r="A401" s="97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</row>
    <row r="402" spans="1:27" ht="15" x14ac:dyDescent="0.25">
      <c r="A402" s="97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</row>
    <row r="403" spans="1:27" ht="15" x14ac:dyDescent="0.25">
      <c r="A403" s="97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</row>
    <row r="404" spans="1:27" ht="15" x14ac:dyDescent="0.25">
      <c r="A404" s="97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</row>
    <row r="405" spans="1:27" ht="15" x14ac:dyDescent="0.25">
      <c r="A405" s="97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</row>
    <row r="406" spans="1:27" ht="15" x14ac:dyDescent="0.25">
      <c r="A406" s="97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</row>
    <row r="407" spans="1:27" ht="15" x14ac:dyDescent="0.25">
      <c r="A407" s="97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</row>
    <row r="408" spans="1:27" ht="15" x14ac:dyDescent="0.25">
      <c r="A408" s="97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</row>
    <row r="409" spans="1:27" ht="15" x14ac:dyDescent="0.25">
      <c r="A409" s="97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</row>
    <row r="410" spans="1:27" ht="15" x14ac:dyDescent="0.25">
      <c r="A410" s="97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</row>
    <row r="411" spans="1:27" ht="15" x14ac:dyDescent="0.25">
      <c r="A411" s="97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</row>
    <row r="412" spans="1:27" ht="15" x14ac:dyDescent="0.25">
      <c r="A412" s="97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</row>
    <row r="413" spans="1:27" ht="15" x14ac:dyDescent="0.25">
      <c r="A413" s="97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</row>
    <row r="414" spans="1:27" ht="15" x14ac:dyDescent="0.25">
      <c r="A414" s="97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</row>
    <row r="415" spans="1:27" ht="15" x14ac:dyDescent="0.25">
      <c r="A415" s="97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</row>
    <row r="416" spans="1:27" ht="15" x14ac:dyDescent="0.25">
      <c r="A416" s="97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</row>
    <row r="417" spans="1:27" ht="15" x14ac:dyDescent="0.25">
      <c r="A417" s="97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</row>
    <row r="418" spans="1:27" ht="15" x14ac:dyDescent="0.25">
      <c r="A418" s="97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</row>
    <row r="419" spans="1:27" ht="15" x14ac:dyDescent="0.25">
      <c r="A419" s="97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</row>
    <row r="420" spans="1:27" ht="15" x14ac:dyDescent="0.25">
      <c r="A420" s="97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</row>
    <row r="421" spans="1:27" ht="15" x14ac:dyDescent="0.25">
      <c r="A421" s="97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</row>
    <row r="422" spans="1:27" ht="15" x14ac:dyDescent="0.25">
      <c r="A422" s="97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</row>
    <row r="423" spans="1:27" ht="15" x14ac:dyDescent="0.25">
      <c r="A423" s="97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</row>
    <row r="424" spans="1:27" ht="15" x14ac:dyDescent="0.25">
      <c r="A424" s="97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</row>
    <row r="425" spans="1:27" ht="15" x14ac:dyDescent="0.25">
      <c r="A425" s="97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</row>
    <row r="426" spans="1:27" ht="15" x14ac:dyDescent="0.25">
      <c r="A426" s="97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</row>
    <row r="427" spans="1:27" ht="15" x14ac:dyDescent="0.25">
      <c r="A427" s="97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</row>
    <row r="428" spans="1:27" ht="15" x14ac:dyDescent="0.25">
      <c r="A428" s="97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</row>
    <row r="429" spans="1:27" ht="15" x14ac:dyDescent="0.25">
      <c r="A429" s="97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</row>
    <row r="430" spans="1:27" ht="15" x14ac:dyDescent="0.25">
      <c r="A430" s="97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</row>
    <row r="431" spans="1:27" ht="15" x14ac:dyDescent="0.25">
      <c r="A431" s="97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</row>
    <row r="432" spans="1:27" ht="15" x14ac:dyDescent="0.25">
      <c r="A432" s="97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</row>
    <row r="433" spans="1:27" ht="15" x14ac:dyDescent="0.25">
      <c r="A433" s="97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</row>
    <row r="434" spans="1:27" ht="15" x14ac:dyDescent="0.25">
      <c r="A434" s="97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</row>
    <row r="435" spans="1:27" ht="15" x14ac:dyDescent="0.25">
      <c r="A435" s="97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</row>
    <row r="436" spans="1:27" ht="15" x14ac:dyDescent="0.25">
      <c r="A436" s="97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</row>
    <row r="437" spans="1:27" ht="15" x14ac:dyDescent="0.25">
      <c r="A437" s="97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</row>
    <row r="438" spans="1:27" ht="15" x14ac:dyDescent="0.25">
      <c r="A438" s="97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</row>
    <row r="439" spans="1:27" ht="15" x14ac:dyDescent="0.25">
      <c r="A439" s="97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</row>
    <row r="440" spans="1:27" ht="15" x14ac:dyDescent="0.25">
      <c r="A440" s="97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</row>
    <row r="441" spans="1:27" ht="15" x14ac:dyDescent="0.25">
      <c r="A441" s="97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</row>
    <row r="442" spans="1:27" ht="15" x14ac:dyDescent="0.25">
      <c r="A442" s="97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</row>
    <row r="443" spans="1:27" ht="15" x14ac:dyDescent="0.25">
      <c r="A443" s="97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</row>
    <row r="444" spans="1:27" ht="15" x14ac:dyDescent="0.25">
      <c r="A444" s="97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</row>
    <row r="445" spans="1:27" ht="15" x14ac:dyDescent="0.25">
      <c r="A445" s="97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</row>
    <row r="446" spans="1:27" ht="15" x14ac:dyDescent="0.25">
      <c r="A446" s="97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</row>
    <row r="447" spans="1:27" ht="15" x14ac:dyDescent="0.25">
      <c r="A447" s="97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</row>
    <row r="448" spans="1:27" ht="15" x14ac:dyDescent="0.25">
      <c r="A448" s="97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</row>
    <row r="449" spans="1:27" ht="15" x14ac:dyDescent="0.25">
      <c r="A449" s="97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</row>
    <row r="450" spans="1:27" ht="15" x14ac:dyDescent="0.25">
      <c r="A450" s="97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</row>
    <row r="451" spans="1:27" ht="15" x14ac:dyDescent="0.25">
      <c r="A451" s="97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</row>
    <row r="452" spans="1:27" ht="15" x14ac:dyDescent="0.25">
      <c r="A452" s="97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</row>
    <row r="453" spans="1:27" ht="15" x14ac:dyDescent="0.25">
      <c r="A453" s="97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</row>
    <row r="454" spans="1:27" ht="15" x14ac:dyDescent="0.25">
      <c r="A454" s="97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</row>
    <row r="455" spans="1:27" ht="15" x14ac:dyDescent="0.25">
      <c r="A455" s="97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</row>
    <row r="456" spans="1:27" ht="15" x14ac:dyDescent="0.25">
      <c r="A456" s="97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</row>
    <row r="457" spans="1:27" ht="15" x14ac:dyDescent="0.25">
      <c r="A457" s="97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</row>
    <row r="458" spans="1:27" ht="15" x14ac:dyDescent="0.25">
      <c r="A458" s="97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</row>
    <row r="459" spans="1:27" ht="15" x14ac:dyDescent="0.25">
      <c r="A459" s="97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</row>
    <row r="460" spans="1:27" ht="15" x14ac:dyDescent="0.25">
      <c r="A460" s="97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</row>
    <row r="461" spans="1:27" ht="15" x14ac:dyDescent="0.25">
      <c r="A461" s="97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</row>
    <row r="462" spans="1:27" ht="15" x14ac:dyDescent="0.25">
      <c r="A462" s="97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</row>
    <row r="463" spans="1:27" ht="15" x14ac:dyDescent="0.25">
      <c r="A463" s="97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</row>
    <row r="464" spans="1:27" ht="15" x14ac:dyDescent="0.25">
      <c r="A464" s="97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</row>
    <row r="465" spans="1:27" ht="15" x14ac:dyDescent="0.25">
      <c r="A465" s="97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</row>
    <row r="466" spans="1:27" ht="15" x14ac:dyDescent="0.25">
      <c r="A466" s="97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</row>
    <row r="467" spans="1:27" ht="15" x14ac:dyDescent="0.25">
      <c r="A467" s="97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</row>
    <row r="468" spans="1:27" ht="15" x14ac:dyDescent="0.25">
      <c r="A468" s="97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</row>
    <row r="469" spans="1:27" ht="15" x14ac:dyDescent="0.25">
      <c r="A469" s="97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</row>
    <row r="470" spans="1:27" ht="15" x14ac:dyDescent="0.25">
      <c r="A470" s="97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</row>
    <row r="471" spans="1:27" ht="15" x14ac:dyDescent="0.25">
      <c r="A471" s="97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</row>
    <row r="472" spans="1:27" ht="15" x14ac:dyDescent="0.25">
      <c r="A472" s="97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</row>
    <row r="473" spans="1:27" ht="15" x14ac:dyDescent="0.25">
      <c r="A473" s="97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</row>
    <row r="474" spans="1:27" ht="15" x14ac:dyDescent="0.25">
      <c r="A474" s="97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</row>
    <row r="475" spans="1:27" ht="15" x14ac:dyDescent="0.25">
      <c r="A475" s="97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</row>
    <row r="476" spans="1:27" ht="15" x14ac:dyDescent="0.25">
      <c r="A476" s="97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</row>
    <row r="477" spans="1:27" ht="15" x14ac:dyDescent="0.25">
      <c r="A477" s="97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</row>
    <row r="478" spans="1:27" ht="15" x14ac:dyDescent="0.25">
      <c r="A478" s="97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</row>
    <row r="479" spans="1:27" ht="15" x14ac:dyDescent="0.25">
      <c r="A479" s="97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</row>
    <row r="480" spans="1:27" ht="15" x14ac:dyDescent="0.25">
      <c r="A480" s="97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</row>
    <row r="481" spans="1:27" ht="15" x14ac:dyDescent="0.25">
      <c r="A481" s="97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</row>
    <row r="482" spans="1:27" ht="15" x14ac:dyDescent="0.25">
      <c r="A482" s="97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</row>
    <row r="483" spans="1:27" ht="15" x14ac:dyDescent="0.25">
      <c r="A483" s="97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</row>
    <row r="484" spans="1:27" ht="15" x14ac:dyDescent="0.25">
      <c r="A484" s="97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</row>
    <row r="485" spans="1:27" ht="15" x14ac:dyDescent="0.25">
      <c r="A485" s="97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</row>
    <row r="486" spans="1:27" ht="15" x14ac:dyDescent="0.25">
      <c r="A486" s="97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</row>
    <row r="487" spans="1:27" ht="15" x14ac:dyDescent="0.25">
      <c r="A487" s="97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</row>
    <row r="488" spans="1:27" ht="15" x14ac:dyDescent="0.25">
      <c r="A488" s="97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</row>
    <row r="489" spans="1:27" ht="15" x14ac:dyDescent="0.25">
      <c r="A489" s="97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</row>
    <row r="490" spans="1:27" ht="15" x14ac:dyDescent="0.25">
      <c r="A490" s="97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</row>
    <row r="491" spans="1:27" ht="15" x14ac:dyDescent="0.25">
      <c r="A491" s="97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</row>
    <row r="492" spans="1:27" ht="15" x14ac:dyDescent="0.25">
      <c r="A492" s="97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</row>
    <row r="493" spans="1:27" ht="15" x14ac:dyDescent="0.25">
      <c r="A493" s="97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</row>
    <row r="494" spans="1:27" ht="15" x14ac:dyDescent="0.25">
      <c r="A494" s="97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</row>
    <row r="495" spans="1:27" ht="15" x14ac:dyDescent="0.25">
      <c r="A495" s="97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</row>
    <row r="496" spans="1:27" ht="15" x14ac:dyDescent="0.25">
      <c r="A496" s="97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</row>
    <row r="497" spans="1:27" ht="15" x14ac:dyDescent="0.25">
      <c r="A497" s="97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</row>
    <row r="498" spans="1:27" ht="15" x14ac:dyDescent="0.25">
      <c r="A498" s="97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</row>
    <row r="499" spans="1:27" ht="15" x14ac:dyDescent="0.25">
      <c r="A499" s="97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</row>
    <row r="500" spans="1:27" ht="15" x14ac:dyDescent="0.25">
      <c r="A500" s="97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</row>
    <row r="501" spans="1:27" ht="15" x14ac:dyDescent="0.25">
      <c r="A501" s="97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</row>
    <row r="502" spans="1:27" ht="15" x14ac:dyDescent="0.25">
      <c r="A502" s="97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</row>
    <row r="503" spans="1:27" ht="15" x14ac:dyDescent="0.25">
      <c r="A503" s="97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</row>
    <row r="504" spans="1:27" ht="15" x14ac:dyDescent="0.25">
      <c r="A504" s="97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</row>
    <row r="505" spans="1:27" ht="15" x14ac:dyDescent="0.25">
      <c r="A505" s="97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</row>
    <row r="506" spans="1:27" ht="15" x14ac:dyDescent="0.25">
      <c r="A506" s="97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</row>
    <row r="507" spans="1:27" ht="15" x14ac:dyDescent="0.25">
      <c r="A507" s="97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</row>
    <row r="508" spans="1:27" ht="15" x14ac:dyDescent="0.25">
      <c r="A508" s="97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</row>
    <row r="509" spans="1:27" ht="15" x14ac:dyDescent="0.25">
      <c r="A509" s="97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</row>
    <row r="510" spans="1:27" ht="15" x14ac:dyDescent="0.25">
      <c r="A510" s="97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</row>
    <row r="511" spans="1:27" ht="15" x14ac:dyDescent="0.25">
      <c r="A511" s="97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</row>
    <row r="512" spans="1:27" ht="15" x14ac:dyDescent="0.25">
      <c r="A512" s="97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</row>
    <row r="513" spans="1:27" ht="15" x14ac:dyDescent="0.25">
      <c r="A513" s="97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</row>
    <row r="514" spans="1:27" ht="15" x14ac:dyDescent="0.25">
      <c r="A514" s="97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</row>
    <row r="515" spans="1:27" ht="15" x14ac:dyDescent="0.25">
      <c r="A515" s="97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</row>
    <row r="516" spans="1:27" ht="15" x14ac:dyDescent="0.25">
      <c r="A516" s="97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</row>
    <row r="517" spans="1:27" ht="15" x14ac:dyDescent="0.25">
      <c r="A517" s="97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</row>
    <row r="518" spans="1:27" ht="15" x14ac:dyDescent="0.25">
      <c r="A518" s="97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</row>
    <row r="519" spans="1:27" ht="15" x14ac:dyDescent="0.25">
      <c r="A519" s="97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</row>
    <row r="520" spans="1:27" ht="15" x14ac:dyDescent="0.25">
      <c r="A520" s="97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</row>
    <row r="521" spans="1:27" ht="15" x14ac:dyDescent="0.25">
      <c r="A521" s="97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</row>
    <row r="522" spans="1:27" ht="15" x14ac:dyDescent="0.25">
      <c r="A522" s="97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</row>
    <row r="523" spans="1:27" ht="15" x14ac:dyDescent="0.25">
      <c r="A523" s="97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</row>
    <row r="524" spans="1:27" ht="15" x14ac:dyDescent="0.25">
      <c r="A524" s="97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</row>
    <row r="525" spans="1:27" ht="15" x14ac:dyDescent="0.25">
      <c r="A525" s="97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</row>
    <row r="526" spans="1:27" ht="15" x14ac:dyDescent="0.25">
      <c r="A526" s="97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</row>
    <row r="527" spans="1:27" ht="15" x14ac:dyDescent="0.25">
      <c r="A527" s="97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</row>
    <row r="528" spans="1:27" ht="15" x14ac:dyDescent="0.25">
      <c r="A528" s="97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</row>
    <row r="529" spans="1:27" ht="15" x14ac:dyDescent="0.25">
      <c r="A529" s="97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</row>
    <row r="530" spans="1:27" ht="15" x14ac:dyDescent="0.25">
      <c r="A530" s="97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</row>
    <row r="531" spans="1:27" ht="15" x14ac:dyDescent="0.25">
      <c r="A531" s="97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</row>
    <row r="532" spans="1:27" ht="15" x14ac:dyDescent="0.25">
      <c r="A532" s="97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</row>
    <row r="533" spans="1:27" ht="15" x14ac:dyDescent="0.25">
      <c r="A533" s="97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</row>
    <row r="534" spans="1:27" ht="15" x14ac:dyDescent="0.25">
      <c r="A534" s="97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</row>
    <row r="535" spans="1:27" ht="15" x14ac:dyDescent="0.25">
      <c r="A535" s="97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</row>
    <row r="536" spans="1:27" ht="15" x14ac:dyDescent="0.25">
      <c r="A536" s="97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</row>
    <row r="537" spans="1:27" ht="15" x14ac:dyDescent="0.25">
      <c r="A537" s="97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</row>
    <row r="538" spans="1:27" ht="15" x14ac:dyDescent="0.25">
      <c r="A538" s="97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</row>
    <row r="539" spans="1:27" ht="15" x14ac:dyDescent="0.25">
      <c r="A539" s="97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</row>
    <row r="540" spans="1:27" ht="15" x14ac:dyDescent="0.25">
      <c r="A540" s="97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</row>
    <row r="541" spans="1:27" ht="15" x14ac:dyDescent="0.25">
      <c r="A541" s="97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</row>
    <row r="542" spans="1:27" ht="15" x14ac:dyDescent="0.25">
      <c r="A542" s="97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</row>
    <row r="543" spans="1:27" ht="15" x14ac:dyDescent="0.25">
      <c r="A543" s="97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</row>
    <row r="544" spans="1:27" ht="15" x14ac:dyDescent="0.25">
      <c r="A544" s="97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</row>
    <row r="545" spans="1:27" ht="15" x14ac:dyDescent="0.25">
      <c r="A545" s="97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</row>
    <row r="546" spans="1:27" ht="15" x14ac:dyDescent="0.25">
      <c r="A546" s="97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</row>
    <row r="547" spans="1:27" ht="15" x14ac:dyDescent="0.25">
      <c r="A547" s="97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</row>
    <row r="548" spans="1:27" ht="15" x14ac:dyDescent="0.25">
      <c r="A548" s="97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</row>
    <row r="549" spans="1:27" ht="15" x14ac:dyDescent="0.25">
      <c r="A549" s="97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</row>
    <row r="550" spans="1:27" ht="15" x14ac:dyDescent="0.25">
      <c r="A550" s="97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</row>
    <row r="551" spans="1:27" ht="15" x14ac:dyDescent="0.25">
      <c r="A551" s="97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</row>
    <row r="552" spans="1:27" ht="15" x14ac:dyDescent="0.25">
      <c r="A552" s="97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</row>
    <row r="553" spans="1:27" ht="15" x14ac:dyDescent="0.25">
      <c r="A553" s="97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</row>
    <row r="554" spans="1:27" ht="15" x14ac:dyDescent="0.25">
      <c r="A554" s="97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</row>
    <row r="555" spans="1:27" ht="15" x14ac:dyDescent="0.25">
      <c r="A555" s="97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</row>
    <row r="556" spans="1:27" ht="15" x14ac:dyDescent="0.25">
      <c r="A556" s="97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</row>
    <row r="557" spans="1:27" ht="15" x14ac:dyDescent="0.25">
      <c r="A557" s="97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</row>
    <row r="558" spans="1:27" ht="15" x14ac:dyDescent="0.25">
      <c r="A558" s="97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</row>
    <row r="559" spans="1:27" ht="15" x14ac:dyDescent="0.25">
      <c r="A559" s="97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</row>
    <row r="560" spans="1:27" ht="15" x14ac:dyDescent="0.25">
      <c r="A560" s="97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</row>
    <row r="561" spans="1:27" ht="15" x14ac:dyDescent="0.25">
      <c r="A561" s="97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</row>
    <row r="562" spans="1:27" ht="15" x14ac:dyDescent="0.25">
      <c r="A562" s="97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</row>
    <row r="563" spans="1:27" ht="15" x14ac:dyDescent="0.25">
      <c r="A563" s="97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</row>
    <row r="564" spans="1:27" ht="15" x14ac:dyDescent="0.25">
      <c r="A564" s="97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</row>
    <row r="565" spans="1:27" ht="15" x14ac:dyDescent="0.25">
      <c r="A565" s="97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</row>
    <row r="566" spans="1:27" ht="15" x14ac:dyDescent="0.25">
      <c r="A566" s="97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</row>
    <row r="567" spans="1:27" ht="15" x14ac:dyDescent="0.25">
      <c r="A567" s="97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</row>
    <row r="568" spans="1:27" ht="15" x14ac:dyDescent="0.25">
      <c r="A568" s="97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</row>
    <row r="569" spans="1:27" ht="15" x14ac:dyDescent="0.25">
      <c r="A569" s="97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</row>
    <row r="570" spans="1:27" ht="15" x14ac:dyDescent="0.25">
      <c r="A570" s="97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</row>
    <row r="571" spans="1:27" ht="15" x14ac:dyDescent="0.25">
      <c r="A571" s="97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</row>
    <row r="572" spans="1:27" ht="15" x14ac:dyDescent="0.25">
      <c r="A572" s="97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</row>
    <row r="573" spans="1:27" ht="15" x14ac:dyDescent="0.25">
      <c r="A573" s="97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</row>
    <row r="574" spans="1:27" ht="15" x14ac:dyDescent="0.25">
      <c r="A574" s="97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</row>
    <row r="575" spans="1:27" ht="15" x14ac:dyDescent="0.25">
      <c r="A575" s="97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</row>
    <row r="576" spans="1:27" ht="15" x14ac:dyDescent="0.25">
      <c r="A576" s="97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</row>
    <row r="577" spans="1:27" ht="15" x14ac:dyDescent="0.25">
      <c r="A577" s="97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</row>
    <row r="578" spans="1:27" ht="15" x14ac:dyDescent="0.25">
      <c r="A578" s="97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</row>
    <row r="579" spans="1:27" ht="15" x14ac:dyDescent="0.25">
      <c r="A579" s="97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</row>
    <row r="580" spans="1:27" ht="15" x14ac:dyDescent="0.25">
      <c r="A580" s="97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</row>
    <row r="581" spans="1:27" ht="15" x14ac:dyDescent="0.25">
      <c r="A581" s="97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</row>
    <row r="582" spans="1:27" ht="15" x14ac:dyDescent="0.25">
      <c r="A582" s="97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</row>
    <row r="583" spans="1:27" ht="15" x14ac:dyDescent="0.25">
      <c r="A583" s="97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</row>
    <row r="584" spans="1:27" ht="15" x14ac:dyDescent="0.25">
      <c r="A584" s="97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</row>
    <row r="585" spans="1:27" ht="15" x14ac:dyDescent="0.25">
      <c r="A585" s="97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</row>
    <row r="586" spans="1:27" ht="15" x14ac:dyDescent="0.25">
      <c r="A586" s="97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</row>
    <row r="587" spans="1:27" ht="15" x14ac:dyDescent="0.25">
      <c r="A587" s="97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</row>
    <row r="588" spans="1:27" ht="15" x14ac:dyDescent="0.25">
      <c r="A588" s="97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</row>
    <row r="589" spans="1:27" ht="15" x14ac:dyDescent="0.25">
      <c r="A589" s="97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</row>
    <row r="590" spans="1:27" ht="15" x14ac:dyDescent="0.25">
      <c r="A590" s="97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</row>
    <row r="591" spans="1:27" ht="15" x14ac:dyDescent="0.25">
      <c r="A591" s="97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</row>
    <row r="592" spans="1:27" ht="15" x14ac:dyDescent="0.25">
      <c r="A592" s="97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</row>
    <row r="593" spans="1:27" ht="15" x14ac:dyDescent="0.25">
      <c r="A593" s="97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</row>
    <row r="594" spans="1:27" ht="15" x14ac:dyDescent="0.25">
      <c r="A594" s="97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</row>
    <row r="595" spans="1:27" ht="15" x14ac:dyDescent="0.25">
      <c r="A595" s="97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</row>
    <row r="596" spans="1:27" ht="15" x14ac:dyDescent="0.25">
      <c r="A596" s="97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</row>
    <row r="597" spans="1:27" ht="15" x14ac:dyDescent="0.25">
      <c r="A597" s="97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</row>
    <row r="598" spans="1:27" ht="15" x14ac:dyDescent="0.25">
      <c r="A598" s="97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</row>
    <row r="599" spans="1:27" ht="15" x14ac:dyDescent="0.25">
      <c r="A599" s="97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</row>
    <row r="600" spans="1:27" ht="15" x14ac:dyDescent="0.25">
      <c r="A600" s="97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</row>
    <row r="601" spans="1:27" ht="15" x14ac:dyDescent="0.25">
      <c r="A601" s="97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</row>
    <row r="602" spans="1:27" ht="15" x14ac:dyDescent="0.25">
      <c r="A602" s="97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</row>
    <row r="603" spans="1:27" ht="15" x14ac:dyDescent="0.25">
      <c r="A603" s="97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</row>
    <row r="604" spans="1:27" ht="15" x14ac:dyDescent="0.25">
      <c r="A604" s="97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</row>
    <row r="605" spans="1:27" ht="15" x14ac:dyDescent="0.25">
      <c r="A605" s="97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</row>
    <row r="606" spans="1:27" ht="15" x14ac:dyDescent="0.25">
      <c r="A606" s="97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</row>
    <row r="607" spans="1:27" ht="15" x14ac:dyDescent="0.25">
      <c r="A607" s="97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</row>
    <row r="608" spans="1:27" ht="15" x14ac:dyDescent="0.25">
      <c r="A608" s="97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</row>
    <row r="609" spans="1:27" ht="15" x14ac:dyDescent="0.25">
      <c r="A609" s="97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</row>
    <row r="610" spans="1:27" ht="15" x14ac:dyDescent="0.25">
      <c r="A610" s="97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</row>
    <row r="611" spans="1:27" ht="15" x14ac:dyDescent="0.25">
      <c r="A611" s="97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</row>
    <row r="612" spans="1:27" ht="15" x14ac:dyDescent="0.25">
      <c r="A612" s="97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</row>
    <row r="613" spans="1:27" ht="15" x14ac:dyDescent="0.25">
      <c r="A613" s="97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</row>
    <row r="614" spans="1:27" ht="15" x14ac:dyDescent="0.25">
      <c r="A614" s="97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</row>
    <row r="615" spans="1:27" ht="15" x14ac:dyDescent="0.25">
      <c r="A615" s="97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</row>
    <row r="616" spans="1:27" ht="15" x14ac:dyDescent="0.25">
      <c r="A616" s="97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</row>
    <row r="617" spans="1:27" ht="15" x14ac:dyDescent="0.25">
      <c r="A617" s="97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</row>
    <row r="618" spans="1:27" ht="15" x14ac:dyDescent="0.25">
      <c r="A618" s="97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</row>
    <row r="619" spans="1:27" ht="15" x14ac:dyDescent="0.25">
      <c r="A619" s="97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</row>
    <row r="620" spans="1:27" ht="15" x14ac:dyDescent="0.25">
      <c r="A620" s="97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</row>
    <row r="621" spans="1:27" ht="15" x14ac:dyDescent="0.25">
      <c r="A621" s="97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</row>
    <row r="622" spans="1:27" ht="15" x14ac:dyDescent="0.25">
      <c r="A622" s="97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</row>
    <row r="623" spans="1:27" ht="15" x14ac:dyDescent="0.25">
      <c r="A623" s="97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</row>
    <row r="624" spans="1:27" ht="15" x14ac:dyDescent="0.25">
      <c r="A624" s="97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</row>
    <row r="625" spans="1:27" ht="15" x14ac:dyDescent="0.25">
      <c r="A625" s="97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</row>
    <row r="626" spans="1:27" ht="15" x14ac:dyDescent="0.25">
      <c r="A626" s="97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</row>
    <row r="627" spans="1:27" ht="15" x14ac:dyDescent="0.25">
      <c r="A627" s="97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</row>
    <row r="628" spans="1:27" ht="15" x14ac:dyDescent="0.25">
      <c r="A628" s="97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</row>
    <row r="629" spans="1:27" ht="15" x14ac:dyDescent="0.25">
      <c r="A629" s="97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</row>
    <row r="630" spans="1:27" ht="15" x14ac:dyDescent="0.25">
      <c r="A630" s="97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</row>
    <row r="631" spans="1:27" ht="15" x14ac:dyDescent="0.25">
      <c r="A631" s="97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</row>
    <row r="632" spans="1:27" ht="15" x14ac:dyDescent="0.25">
      <c r="A632" s="97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</row>
    <row r="633" spans="1:27" ht="15" x14ac:dyDescent="0.25">
      <c r="A633" s="97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</row>
    <row r="634" spans="1:27" ht="15" x14ac:dyDescent="0.25">
      <c r="A634" s="97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</row>
    <row r="635" spans="1:27" ht="15" x14ac:dyDescent="0.25">
      <c r="A635" s="97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</row>
    <row r="636" spans="1:27" ht="15" x14ac:dyDescent="0.25">
      <c r="A636" s="97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</row>
    <row r="637" spans="1:27" ht="15" x14ac:dyDescent="0.25">
      <c r="A637" s="97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</row>
    <row r="638" spans="1:27" ht="15" x14ac:dyDescent="0.25">
      <c r="A638" s="97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</row>
    <row r="639" spans="1:27" ht="15" x14ac:dyDescent="0.25">
      <c r="A639" s="97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</row>
    <row r="640" spans="1:27" ht="15" x14ac:dyDescent="0.25">
      <c r="A640" s="97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</row>
    <row r="641" spans="1:27" ht="15" x14ac:dyDescent="0.25">
      <c r="A641" s="97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</row>
    <row r="642" spans="1:27" ht="15" x14ac:dyDescent="0.25">
      <c r="A642" s="97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</row>
    <row r="643" spans="1:27" ht="15" x14ac:dyDescent="0.25">
      <c r="A643" s="97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</row>
    <row r="644" spans="1:27" ht="15" x14ac:dyDescent="0.25">
      <c r="A644" s="97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</row>
    <row r="645" spans="1:27" ht="15" x14ac:dyDescent="0.25">
      <c r="A645" s="97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</row>
    <row r="646" spans="1:27" ht="15" x14ac:dyDescent="0.25">
      <c r="A646" s="97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</row>
    <row r="647" spans="1:27" ht="15" x14ac:dyDescent="0.25">
      <c r="A647" s="97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</row>
    <row r="648" spans="1:27" ht="15" x14ac:dyDescent="0.25">
      <c r="A648" s="97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</row>
    <row r="649" spans="1:27" ht="15" x14ac:dyDescent="0.25">
      <c r="A649" s="97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</row>
    <row r="650" spans="1:27" ht="15" x14ac:dyDescent="0.25">
      <c r="A650" s="97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</row>
    <row r="651" spans="1:27" ht="15" x14ac:dyDescent="0.25">
      <c r="A651" s="97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</row>
    <row r="652" spans="1:27" ht="15" x14ac:dyDescent="0.25">
      <c r="A652" s="97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</row>
    <row r="653" spans="1:27" ht="15" x14ac:dyDescent="0.25">
      <c r="A653" s="97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</row>
    <row r="654" spans="1:27" ht="15" x14ac:dyDescent="0.25">
      <c r="A654" s="97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</row>
    <row r="655" spans="1:27" ht="15" x14ac:dyDescent="0.25">
      <c r="A655" s="97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</row>
    <row r="656" spans="1:27" ht="15" x14ac:dyDescent="0.25">
      <c r="A656" s="97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</row>
    <row r="657" spans="1:27" ht="15" x14ac:dyDescent="0.25">
      <c r="A657" s="97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</row>
    <row r="658" spans="1:27" ht="15" x14ac:dyDescent="0.25">
      <c r="A658" s="97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</row>
    <row r="659" spans="1:27" ht="15" x14ac:dyDescent="0.25">
      <c r="A659" s="97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</row>
    <row r="660" spans="1:27" ht="15" x14ac:dyDescent="0.25">
      <c r="A660" s="97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</row>
    <row r="661" spans="1:27" ht="15" x14ac:dyDescent="0.25">
      <c r="A661" s="97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</row>
    <row r="662" spans="1:27" ht="15" x14ac:dyDescent="0.25">
      <c r="A662" s="97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</row>
    <row r="663" spans="1:27" ht="15" x14ac:dyDescent="0.25">
      <c r="A663" s="97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</row>
    <row r="664" spans="1:27" ht="15" x14ac:dyDescent="0.25">
      <c r="A664" s="97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</row>
    <row r="665" spans="1:27" ht="15" x14ac:dyDescent="0.25">
      <c r="A665" s="97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</row>
    <row r="666" spans="1:27" ht="15" x14ac:dyDescent="0.25">
      <c r="A666" s="97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</row>
    <row r="667" spans="1:27" ht="15" x14ac:dyDescent="0.25">
      <c r="A667" s="97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</row>
    <row r="668" spans="1:27" ht="15" x14ac:dyDescent="0.25">
      <c r="A668" s="97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</row>
    <row r="669" spans="1:27" ht="15" x14ac:dyDescent="0.25">
      <c r="A669" s="97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</row>
    <row r="670" spans="1:27" ht="15" x14ac:dyDescent="0.25">
      <c r="A670" s="97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</row>
    <row r="671" spans="1:27" ht="15" x14ac:dyDescent="0.25">
      <c r="A671" s="97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</row>
    <row r="672" spans="1:27" ht="15" x14ac:dyDescent="0.25">
      <c r="A672" s="97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</row>
    <row r="673" spans="1:27" ht="15" x14ac:dyDescent="0.25">
      <c r="A673" s="97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</row>
    <row r="674" spans="1:27" ht="15" x14ac:dyDescent="0.25">
      <c r="A674" s="97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</row>
    <row r="675" spans="1:27" ht="15" x14ac:dyDescent="0.25">
      <c r="A675" s="97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</row>
    <row r="676" spans="1:27" ht="15" x14ac:dyDescent="0.25">
      <c r="A676" s="97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</row>
    <row r="677" spans="1:27" ht="15" x14ac:dyDescent="0.25">
      <c r="A677" s="97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</row>
    <row r="678" spans="1:27" ht="15" x14ac:dyDescent="0.25">
      <c r="A678" s="97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</row>
    <row r="679" spans="1:27" ht="15" x14ac:dyDescent="0.25">
      <c r="A679" s="97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</row>
    <row r="680" spans="1:27" ht="15" x14ac:dyDescent="0.25">
      <c r="A680" s="97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</row>
    <row r="681" spans="1:27" ht="15" x14ac:dyDescent="0.25">
      <c r="A681" s="97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</row>
    <row r="682" spans="1:27" ht="15" x14ac:dyDescent="0.25">
      <c r="A682" s="97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</row>
    <row r="683" spans="1:27" ht="15" x14ac:dyDescent="0.25">
      <c r="A683" s="97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</row>
    <row r="684" spans="1:27" ht="15" x14ac:dyDescent="0.25">
      <c r="A684" s="97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</row>
    <row r="685" spans="1:27" ht="15" x14ac:dyDescent="0.25">
      <c r="A685" s="97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</row>
    <row r="686" spans="1:27" ht="15" x14ac:dyDescent="0.25">
      <c r="A686" s="97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</row>
    <row r="687" spans="1:27" ht="15" x14ac:dyDescent="0.25">
      <c r="A687" s="97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</row>
    <row r="688" spans="1:27" ht="15" x14ac:dyDescent="0.25">
      <c r="A688" s="97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</row>
    <row r="689" spans="1:27" ht="15" x14ac:dyDescent="0.25">
      <c r="A689" s="97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</row>
    <row r="690" spans="1:27" ht="15" x14ac:dyDescent="0.25">
      <c r="A690" s="97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</row>
    <row r="691" spans="1:27" ht="15" x14ac:dyDescent="0.25">
      <c r="A691" s="97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</row>
    <row r="692" spans="1:27" ht="15" x14ac:dyDescent="0.25">
      <c r="A692" s="97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</row>
    <row r="693" spans="1:27" ht="15" x14ac:dyDescent="0.25">
      <c r="A693" s="97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</row>
    <row r="694" spans="1:27" ht="15" x14ac:dyDescent="0.25">
      <c r="A694" s="97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</row>
    <row r="695" spans="1:27" ht="15" x14ac:dyDescent="0.25">
      <c r="A695" s="97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</row>
    <row r="696" spans="1:27" ht="15" x14ac:dyDescent="0.25">
      <c r="A696" s="97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</row>
    <row r="697" spans="1:27" ht="15" x14ac:dyDescent="0.25">
      <c r="A697" s="97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</row>
    <row r="698" spans="1:27" ht="15" x14ac:dyDescent="0.25">
      <c r="A698" s="97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</row>
    <row r="699" spans="1:27" ht="15" x14ac:dyDescent="0.25">
      <c r="A699" s="97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</row>
    <row r="700" spans="1:27" ht="15" x14ac:dyDescent="0.25">
      <c r="A700" s="97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</row>
    <row r="701" spans="1:27" ht="15" x14ac:dyDescent="0.25">
      <c r="A701" s="97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</row>
    <row r="702" spans="1:27" ht="15" x14ac:dyDescent="0.25">
      <c r="A702" s="97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</row>
    <row r="703" spans="1:27" ht="15" x14ac:dyDescent="0.25">
      <c r="A703" s="97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</row>
    <row r="704" spans="1:27" ht="15" x14ac:dyDescent="0.25">
      <c r="A704" s="97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</row>
    <row r="705" spans="1:27" ht="15" x14ac:dyDescent="0.25">
      <c r="A705" s="97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</row>
    <row r="706" spans="1:27" ht="15" x14ac:dyDescent="0.25">
      <c r="A706" s="97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</row>
    <row r="707" spans="1:27" ht="15" x14ac:dyDescent="0.25">
      <c r="A707" s="97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</row>
    <row r="708" spans="1:27" ht="15" x14ac:dyDescent="0.25">
      <c r="A708" s="97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</row>
    <row r="709" spans="1:27" ht="15" x14ac:dyDescent="0.25">
      <c r="A709" s="97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</row>
    <row r="710" spans="1:27" ht="15" x14ac:dyDescent="0.25">
      <c r="A710" s="97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</row>
    <row r="711" spans="1:27" ht="15" x14ac:dyDescent="0.25">
      <c r="A711" s="97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</row>
    <row r="712" spans="1:27" ht="15" x14ac:dyDescent="0.25">
      <c r="A712" s="97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</row>
    <row r="713" spans="1:27" ht="15" x14ac:dyDescent="0.25">
      <c r="A713" s="97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</row>
    <row r="714" spans="1:27" ht="15" x14ac:dyDescent="0.25">
      <c r="A714" s="97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</row>
    <row r="715" spans="1:27" ht="15" x14ac:dyDescent="0.25">
      <c r="A715" s="97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</row>
    <row r="716" spans="1:27" ht="15" x14ac:dyDescent="0.25">
      <c r="A716" s="97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</row>
    <row r="717" spans="1:27" ht="15" x14ac:dyDescent="0.25">
      <c r="A717" s="97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</row>
    <row r="718" spans="1:27" ht="15" x14ac:dyDescent="0.25">
      <c r="A718" s="97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</row>
    <row r="719" spans="1:27" ht="15" x14ac:dyDescent="0.25">
      <c r="A719" s="97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</row>
    <row r="720" spans="1:27" ht="15" x14ac:dyDescent="0.25">
      <c r="A720" s="97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</row>
    <row r="721" spans="1:27" ht="15" x14ac:dyDescent="0.25">
      <c r="A721" s="97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</row>
    <row r="722" spans="1:27" ht="15" x14ac:dyDescent="0.25">
      <c r="A722" s="97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</row>
    <row r="723" spans="1:27" ht="15" x14ac:dyDescent="0.25">
      <c r="A723" s="97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</row>
    <row r="724" spans="1:27" ht="15" x14ac:dyDescent="0.25">
      <c r="A724" s="97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</row>
    <row r="725" spans="1:27" ht="15" x14ac:dyDescent="0.25">
      <c r="A725" s="97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</row>
    <row r="726" spans="1:27" ht="15" x14ac:dyDescent="0.25">
      <c r="A726" s="97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</row>
    <row r="727" spans="1:27" ht="15" x14ac:dyDescent="0.25">
      <c r="A727" s="97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</row>
    <row r="728" spans="1:27" ht="15" x14ac:dyDescent="0.25">
      <c r="A728" s="97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</row>
    <row r="729" spans="1:27" ht="15" x14ac:dyDescent="0.25">
      <c r="A729" s="97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</row>
    <row r="730" spans="1:27" ht="15" x14ac:dyDescent="0.25">
      <c r="A730" s="97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</row>
    <row r="731" spans="1:27" ht="15" x14ac:dyDescent="0.25">
      <c r="A731" s="97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</row>
    <row r="732" spans="1:27" ht="15" x14ac:dyDescent="0.25">
      <c r="A732" s="97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</row>
    <row r="733" spans="1:27" ht="15" x14ac:dyDescent="0.25">
      <c r="A733" s="97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</row>
    <row r="734" spans="1:27" ht="15" x14ac:dyDescent="0.25">
      <c r="A734" s="97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</row>
    <row r="735" spans="1:27" ht="15" x14ac:dyDescent="0.25">
      <c r="A735" s="97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</row>
    <row r="736" spans="1:27" ht="15" x14ac:dyDescent="0.25">
      <c r="A736" s="97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</row>
    <row r="737" spans="1:27" ht="15" x14ac:dyDescent="0.25">
      <c r="A737" s="97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</row>
    <row r="738" spans="1:27" ht="15" x14ac:dyDescent="0.25">
      <c r="A738" s="97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</row>
    <row r="739" spans="1:27" ht="15" x14ac:dyDescent="0.25">
      <c r="A739" s="97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</row>
    <row r="740" spans="1:27" ht="15" x14ac:dyDescent="0.25">
      <c r="A740" s="97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</row>
    <row r="741" spans="1:27" ht="15" x14ac:dyDescent="0.25">
      <c r="A741" s="97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</row>
    <row r="742" spans="1:27" ht="15" x14ac:dyDescent="0.25">
      <c r="A742" s="97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</row>
    <row r="743" spans="1:27" ht="15" x14ac:dyDescent="0.25">
      <c r="A743" s="97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</row>
    <row r="744" spans="1:27" ht="15" x14ac:dyDescent="0.25">
      <c r="A744" s="97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</row>
    <row r="745" spans="1:27" ht="15" x14ac:dyDescent="0.25">
      <c r="A745" s="97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</row>
    <row r="746" spans="1:27" ht="15" x14ac:dyDescent="0.25">
      <c r="A746" s="97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</row>
    <row r="747" spans="1:27" ht="15" x14ac:dyDescent="0.25">
      <c r="A747" s="97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</row>
    <row r="748" spans="1:27" ht="15" x14ac:dyDescent="0.25">
      <c r="A748" s="97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</row>
    <row r="749" spans="1:27" ht="15" x14ac:dyDescent="0.25">
      <c r="A749" s="97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</row>
    <row r="750" spans="1:27" ht="15" x14ac:dyDescent="0.25">
      <c r="A750" s="97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</row>
    <row r="751" spans="1:27" ht="15" x14ac:dyDescent="0.25">
      <c r="A751" s="97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</row>
    <row r="752" spans="1:27" ht="15" x14ac:dyDescent="0.25">
      <c r="A752" s="97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</row>
    <row r="753" spans="1:27" ht="15" x14ac:dyDescent="0.25">
      <c r="A753" s="97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</row>
    <row r="754" spans="1:27" ht="15" x14ac:dyDescent="0.25">
      <c r="A754" s="97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</row>
    <row r="755" spans="1:27" ht="15" x14ac:dyDescent="0.25">
      <c r="A755" s="97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</row>
    <row r="756" spans="1:27" ht="15" x14ac:dyDescent="0.25">
      <c r="A756" s="97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</row>
    <row r="757" spans="1:27" ht="15" x14ac:dyDescent="0.25">
      <c r="A757" s="97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</row>
    <row r="758" spans="1:27" ht="15" x14ac:dyDescent="0.25">
      <c r="A758" s="97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</row>
    <row r="759" spans="1:27" ht="15" x14ac:dyDescent="0.25">
      <c r="A759" s="97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</row>
    <row r="760" spans="1:27" ht="15" x14ac:dyDescent="0.25">
      <c r="A760" s="97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</row>
    <row r="761" spans="1:27" ht="15" x14ac:dyDescent="0.25">
      <c r="A761" s="97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</row>
    <row r="762" spans="1:27" ht="15" x14ac:dyDescent="0.25">
      <c r="A762" s="97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</row>
    <row r="763" spans="1:27" ht="15" x14ac:dyDescent="0.25">
      <c r="A763" s="97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</row>
    <row r="764" spans="1:27" ht="15" x14ac:dyDescent="0.25">
      <c r="A764" s="97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</row>
    <row r="765" spans="1:27" ht="15" x14ac:dyDescent="0.25">
      <c r="A765" s="97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 spans="1:27" ht="15" x14ac:dyDescent="0.25">
      <c r="A766" s="97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</row>
    <row r="767" spans="1:27" ht="15" x14ac:dyDescent="0.25">
      <c r="A767" s="97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</row>
    <row r="768" spans="1:27" ht="15" x14ac:dyDescent="0.25">
      <c r="A768" s="97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</row>
    <row r="769" spans="1:27" ht="15" x14ac:dyDescent="0.25">
      <c r="A769" s="97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</row>
    <row r="770" spans="1:27" ht="15" x14ac:dyDescent="0.25">
      <c r="A770" s="97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</row>
    <row r="771" spans="1:27" ht="15" x14ac:dyDescent="0.25">
      <c r="A771" s="97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</row>
    <row r="772" spans="1:27" ht="15" x14ac:dyDescent="0.25">
      <c r="A772" s="97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</row>
    <row r="773" spans="1:27" ht="15" x14ac:dyDescent="0.25">
      <c r="A773" s="97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</row>
    <row r="774" spans="1:27" ht="15" x14ac:dyDescent="0.25">
      <c r="A774" s="97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</row>
    <row r="775" spans="1:27" ht="15" x14ac:dyDescent="0.25">
      <c r="A775" s="97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</row>
    <row r="776" spans="1:27" ht="15" x14ac:dyDescent="0.25">
      <c r="A776" s="97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</row>
    <row r="777" spans="1:27" ht="15" x14ac:dyDescent="0.25">
      <c r="A777" s="97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</row>
    <row r="778" spans="1:27" ht="15" x14ac:dyDescent="0.25">
      <c r="A778" s="97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</row>
    <row r="779" spans="1:27" ht="15" x14ac:dyDescent="0.25">
      <c r="A779" s="97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</row>
    <row r="780" spans="1:27" ht="15" x14ac:dyDescent="0.25">
      <c r="A780" s="97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</row>
    <row r="781" spans="1:27" ht="15" x14ac:dyDescent="0.25">
      <c r="A781" s="97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</row>
    <row r="782" spans="1:27" ht="15" x14ac:dyDescent="0.25">
      <c r="A782" s="97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</row>
    <row r="783" spans="1:27" ht="15" x14ac:dyDescent="0.25">
      <c r="A783" s="97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</row>
    <row r="784" spans="1:27" ht="15" x14ac:dyDescent="0.25">
      <c r="A784" s="97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</row>
    <row r="785" spans="1:27" ht="15" x14ac:dyDescent="0.25">
      <c r="A785" s="97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</row>
    <row r="786" spans="1:27" ht="15" x14ac:dyDescent="0.25">
      <c r="A786" s="97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</row>
    <row r="787" spans="1:27" ht="15" x14ac:dyDescent="0.25">
      <c r="A787" s="97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</row>
    <row r="788" spans="1:27" ht="15" x14ac:dyDescent="0.25">
      <c r="A788" s="97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</row>
    <row r="789" spans="1:27" ht="15" x14ac:dyDescent="0.25">
      <c r="A789" s="97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</row>
    <row r="790" spans="1:27" ht="15" x14ac:dyDescent="0.25">
      <c r="A790" s="97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</row>
    <row r="791" spans="1:27" ht="15" x14ac:dyDescent="0.25">
      <c r="A791" s="97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</row>
    <row r="792" spans="1:27" ht="15" x14ac:dyDescent="0.25">
      <c r="A792" s="97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</row>
    <row r="793" spans="1:27" ht="15" x14ac:dyDescent="0.25">
      <c r="A793" s="97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</row>
    <row r="794" spans="1:27" ht="15" x14ac:dyDescent="0.25">
      <c r="A794" s="97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</row>
    <row r="795" spans="1:27" ht="15" x14ac:dyDescent="0.25">
      <c r="A795" s="97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</row>
    <row r="796" spans="1:27" ht="15" x14ac:dyDescent="0.25">
      <c r="A796" s="97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</row>
    <row r="797" spans="1:27" ht="15" x14ac:dyDescent="0.25">
      <c r="A797" s="97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</row>
    <row r="798" spans="1:27" ht="15" x14ac:dyDescent="0.25">
      <c r="A798" s="97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</row>
    <row r="799" spans="1:27" ht="15" x14ac:dyDescent="0.25">
      <c r="A799" s="97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</row>
    <row r="800" spans="1:27" ht="15" x14ac:dyDescent="0.25">
      <c r="A800" s="97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</row>
    <row r="801" spans="1:27" ht="15" x14ac:dyDescent="0.25">
      <c r="A801" s="97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</row>
    <row r="802" spans="1:27" ht="15" x14ac:dyDescent="0.25">
      <c r="A802" s="97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</row>
    <row r="803" spans="1:27" ht="15" x14ac:dyDescent="0.25">
      <c r="A803" s="97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</row>
    <row r="804" spans="1:27" ht="15" x14ac:dyDescent="0.25">
      <c r="A804" s="97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</row>
    <row r="805" spans="1:27" ht="15" x14ac:dyDescent="0.25">
      <c r="A805" s="97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</row>
    <row r="806" spans="1:27" ht="15" x14ac:dyDescent="0.25">
      <c r="A806" s="97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</row>
    <row r="807" spans="1:27" ht="15" x14ac:dyDescent="0.25">
      <c r="A807" s="97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</row>
    <row r="808" spans="1:27" ht="15" x14ac:dyDescent="0.25">
      <c r="A808" s="97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</row>
    <row r="809" spans="1:27" ht="15" x14ac:dyDescent="0.25">
      <c r="A809" s="97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</row>
    <row r="810" spans="1:27" ht="15" x14ac:dyDescent="0.25">
      <c r="A810" s="97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</row>
    <row r="811" spans="1:27" ht="15" x14ac:dyDescent="0.25">
      <c r="A811" s="97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</row>
    <row r="812" spans="1:27" ht="15" x14ac:dyDescent="0.25">
      <c r="A812" s="97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</row>
    <row r="813" spans="1:27" ht="15" x14ac:dyDescent="0.25">
      <c r="A813" s="97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</row>
    <row r="814" spans="1:27" ht="15" x14ac:dyDescent="0.25">
      <c r="A814" s="97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</row>
    <row r="815" spans="1:27" ht="15" x14ac:dyDescent="0.25">
      <c r="A815" s="97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</row>
    <row r="816" spans="1:27" ht="15" x14ac:dyDescent="0.25">
      <c r="A816" s="97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</row>
    <row r="817" spans="1:27" ht="15" x14ac:dyDescent="0.25">
      <c r="A817" s="97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</row>
    <row r="818" spans="1:27" ht="15" x14ac:dyDescent="0.25">
      <c r="A818" s="97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</row>
    <row r="819" spans="1:27" ht="15" x14ac:dyDescent="0.25">
      <c r="A819" s="97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</row>
    <row r="820" spans="1:27" ht="15" x14ac:dyDescent="0.25">
      <c r="A820" s="97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</row>
    <row r="821" spans="1:27" ht="15" x14ac:dyDescent="0.25">
      <c r="A821" s="97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</row>
    <row r="822" spans="1:27" ht="15" x14ac:dyDescent="0.25">
      <c r="A822" s="97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</row>
    <row r="823" spans="1:27" ht="15" x14ac:dyDescent="0.25">
      <c r="A823" s="97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</row>
    <row r="824" spans="1:27" ht="15" x14ac:dyDescent="0.25">
      <c r="A824" s="97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</row>
    <row r="825" spans="1:27" ht="15" x14ac:dyDescent="0.25">
      <c r="A825" s="97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</row>
    <row r="826" spans="1:27" ht="15" x14ac:dyDescent="0.25">
      <c r="A826" s="97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</row>
    <row r="827" spans="1:27" ht="15" x14ac:dyDescent="0.25">
      <c r="A827" s="97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</row>
    <row r="828" spans="1:27" ht="15" x14ac:dyDescent="0.25">
      <c r="A828" s="97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</row>
    <row r="829" spans="1:27" ht="15" x14ac:dyDescent="0.25">
      <c r="A829" s="97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</row>
    <row r="830" spans="1:27" ht="15" x14ac:dyDescent="0.25">
      <c r="A830" s="97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</row>
    <row r="831" spans="1:27" ht="15" x14ac:dyDescent="0.25">
      <c r="A831" s="97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</row>
    <row r="832" spans="1:27" ht="15" x14ac:dyDescent="0.25">
      <c r="A832" s="97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</row>
    <row r="833" spans="1:27" ht="15" x14ac:dyDescent="0.25">
      <c r="A833" s="97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</row>
    <row r="834" spans="1:27" ht="15" x14ac:dyDescent="0.25">
      <c r="A834" s="97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</row>
    <row r="835" spans="1:27" ht="15" x14ac:dyDescent="0.25">
      <c r="A835" s="97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</row>
    <row r="836" spans="1:27" ht="15" x14ac:dyDescent="0.25">
      <c r="A836" s="97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</row>
    <row r="837" spans="1:27" ht="15" x14ac:dyDescent="0.25">
      <c r="A837" s="97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</row>
    <row r="838" spans="1:27" ht="15" x14ac:dyDescent="0.25">
      <c r="A838" s="97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</row>
    <row r="839" spans="1:27" ht="15" x14ac:dyDescent="0.25">
      <c r="A839" s="97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</row>
    <row r="840" spans="1:27" ht="15" x14ac:dyDescent="0.25">
      <c r="A840" s="97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</row>
    <row r="841" spans="1:27" ht="15" x14ac:dyDescent="0.25">
      <c r="A841" s="97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</row>
    <row r="842" spans="1:27" ht="15" x14ac:dyDescent="0.25">
      <c r="A842" s="97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</row>
    <row r="843" spans="1:27" ht="15" x14ac:dyDescent="0.25">
      <c r="A843" s="97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</row>
    <row r="844" spans="1:27" ht="15" x14ac:dyDescent="0.25">
      <c r="A844" s="97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</row>
    <row r="845" spans="1:27" ht="15" x14ac:dyDescent="0.25">
      <c r="A845" s="97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</row>
    <row r="846" spans="1:27" ht="15" x14ac:dyDescent="0.25">
      <c r="A846" s="97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</row>
    <row r="847" spans="1:27" ht="15" x14ac:dyDescent="0.25">
      <c r="A847" s="97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</row>
    <row r="848" spans="1:27" ht="15" x14ac:dyDescent="0.25">
      <c r="A848" s="97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</row>
    <row r="849" spans="1:27" ht="15" x14ac:dyDescent="0.25">
      <c r="A849" s="97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</row>
    <row r="850" spans="1:27" ht="15" x14ac:dyDescent="0.25">
      <c r="A850" s="97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</row>
    <row r="851" spans="1:27" ht="15" x14ac:dyDescent="0.25">
      <c r="A851" s="97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</row>
    <row r="852" spans="1:27" ht="15" x14ac:dyDescent="0.25">
      <c r="A852" s="97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</row>
    <row r="853" spans="1:27" ht="15" x14ac:dyDescent="0.25">
      <c r="A853" s="97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</row>
    <row r="854" spans="1:27" ht="15" x14ac:dyDescent="0.25">
      <c r="A854" s="97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</row>
    <row r="855" spans="1:27" ht="15" x14ac:dyDescent="0.25">
      <c r="A855" s="97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</row>
    <row r="856" spans="1:27" ht="15" x14ac:dyDescent="0.25">
      <c r="A856" s="97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</row>
    <row r="857" spans="1:27" ht="15" x14ac:dyDescent="0.25">
      <c r="A857" s="97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</row>
    <row r="858" spans="1:27" ht="15" x14ac:dyDescent="0.25">
      <c r="A858" s="97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</row>
    <row r="859" spans="1:27" ht="15" x14ac:dyDescent="0.25">
      <c r="A859" s="97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</row>
    <row r="860" spans="1:27" ht="15" x14ac:dyDescent="0.25">
      <c r="A860" s="97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</row>
    <row r="861" spans="1:27" ht="15" x14ac:dyDescent="0.25">
      <c r="A861" s="97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</row>
    <row r="862" spans="1:27" ht="15" x14ac:dyDescent="0.25">
      <c r="A862" s="97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</row>
    <row r="863" spans="1:27" ht="15" x14ac:dyDescent="0.25">
      <c r="A863" s="97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</row>
    <row r="864" spans="1:27" ht="15" x14ac:dyDescent="0.25">
      <c r="A864" s="97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</row>
    <row r="865" spans="1:27" ht="15" x14ac:dyDescent="0.25">
      <c r="A865" s="97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</row>
    <row r="866" spans="1:27" ht="15" x14ac:dyDescent="0.25">
      <c r="A866" s="97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</row>
    <row r="867" spans="1:27" ht="15" x14ac:dyDescent="0.25">
      <c r="A867" s="97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</row>
    <row r="868" spans="1:27" ht="15" x14ac:dyDescent="0.25">
      <c r="A868" s="97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</row>
    <row r="869" spans="1:27" ht="15" x14ac:dyDescent="0.25">
      <c r="A869" s="97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</row>
    <row r="870" spans="1:27" ht="15" x14ac:dyDescent="0.25">
      <c r="A870" s="97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</row>
    <row r="871" spans="1:27" ht="15" x14ac:dyDescent="0.25">
      <c r="A871" s="97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</row>
    <row r="872" spans="1:27" ht="15" x14ac:dyDescent="0.25">
      <c r="A872" s="97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</row>
    <row r="873" spans="1:27" ht="15" x14ac:dyDescent="0.25">
      <c r="A873" s="97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</row>
    <row r="874" spans="1:27" ht="15" x14ac:dyDescent="0.25">
      <c r="A874" s="97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</row>
    <row r="875" spans="1:27" ht="15" x14ac:dyDescent="0.25">
      <c r="A875" s="97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</row>
    <row r="876" spans="1:27" ht="15" x14ac:dyDescent="0.25">
      <c r="A876" s="97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</row>
    <row r="877" spans="1:27" ht="15" x14ac:dyDescent="0.25">
      <c r="A877" s="97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</row>
    <row r="878" spans="1:27" ht="15" x14ac:dyDescent="0.25">
      <c r="A878" s="97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</row>
    <row r="879" spans="1:27" ht="15" x14ac:dyDescent="0.25">
      <c r="A879" s="97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</row>
    <row r="880" spans="1:27" ht="15" x14ac:dyDescent="0.25">
      <c r="A880" s="97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</row>
    <row r="881" spans="1:27" ht="15" x14ac:dyDescent="0.25">
      <c r="A881" s="97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</row>
    <row r="882" spans="1:27" ht="15" x14ac:dyDescent="0.25">
      <c r="A882" s="97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</row>
    <row r="883" spans="1:27" ht="15" x14ac:dyDescent="0.25">
      <c r="A883" s="97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</row>
    <row r="884" spans="1:27" ht="15" x14ac:dyDescent="0.25">
      <c r="A884" s="97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</row>
    <row r="885" spans="1:27" ht="15" x14ac:dyDescent="0.25">
      <c r="A885" s="97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</row>
    <row r="886" spans="1:27" ht="15" x14ac:dyDescent="0.25">
      <c r="A886" s="97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</row>
    <row r="887" spans="1:27" ht="15" x14ac:dyDescent="0.25">
      <c r="A887" s="97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</row>
    <row r="888" spans="1:27" ht="15" x14ac:dyDescent="0.25">
      <c r="A888" s="97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</row>
    <row r="889" spans="1:27" ht="15" x14ac:dyDescent="0.25">
      <c r="A889" s="97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</row>
    <row r="890" spans="1:27" ht="15" x14ac:dyDescent="0.25">
      <c r="A890" s="97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</row>
    <row r="891" spans="1:27" ht="15" x14ac:dyDescent="0.25">
      <c r="A891" s="97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</row>
    <row r="892" spans="1:27" ht="15" x14ac:dyDescent="0.25">
      <c r="A892" s="97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</row>
    <row r="893" spans="1:27" ht="15" x14ac:dyDescent="0.25">
      <c r="A893" s="97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</row>
    <row r="894" spans="1:27" ht="15" x14ac:dyDescent="0.25">
      <c r="A894" s="97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</row>
    <row r="895" spans="1:27" ht="15" x14ac:dyDescent="0.25">
      <c r="A895" s="97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</row>
    <row r="896" spans="1:27" ht="15" x14ac:dyDescent="0.25">
      <c r="A896" s="97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</row>
    <row r="897" spans="1:27" ht="15" x14ac:dyDescent="0.25">
      <c r="A897" s="97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</row>
    <row r="898" spans="1:27" ht="15" x14ac:dyDescent="0.25">
      <c r="A898" s="97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</row>
    <row r="899" spans="1:27" ht="15" x14ac:dyDescent="0.25">
      <c r="A899" s="97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</row>
    <row r="900" spans="1:27" ht="15" x14ac:dyDescent="0.25">
      <c r="A900" s="97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</row>
    <row r="901" spans="1:27" ht="15" x14ac:dyDescent="0.25">
      <c r="A901" s="97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</row>
    <row r="902" spans="1:27" ht="15" x14ac:dyDescent="0.25">
      <c r="A902" s="97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</row>
    <row r="903" spans="1:27" ht="15" x14ac:dyDescent="0.25">
      <c r="A903" s="97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</row>
    <row r="904" spans="1:27" ht="15" x14ac:dyDescent="0.25">
      <c r="A904" s="97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</row>
    <row r="905" spans="1:27" ht="15" x14ac:dyDescent="0.25">
      <c r="A905" s="97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</row>
    <row r="906" spans="1:27" ht="15" x14ac:dyDescent="0.25">
      <c r="A906" s="97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</row>
    <row r="907" spans="1:27" ht="15" x14ac:dyDescent="0.25">
      <c r="A907" s="97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</row>
    <row r="908" spans="1:27" ht="15" x14ac:dyDescent="0.25">
      <c r="A908" s="97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</row>
    <row r="909" spans="1:27" ht="15" x14ac:dyDescent="0.25">
      <c r="A909" s="97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</row>
    <row r="910" spans="1:27" ht="15" x14ac:dyDescent="0.25">
      <c r="A910" s="97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</row>
    <row r="911" spans="1:27" ht="15" x14ac:dyDescent="0.25">
      <c r="A911" s="97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</row>
    <row r="912" spans="1:27" ht="15" x14ac:dyDescent="0.25">
      <c r="A912" s="97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</row>
    <row r="913" spans="1:27" ht="15" x14ac:dyDescent="0.25">
      <c r="A913" s="97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</row>
    <row r="914" spans="1:27" ht="15" x14ac:dyDescent="0.25">
      <c r="A914" s="97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</row>
    <row r="915" spans="1:27" ht="15" x14ac:dyDescent="0.25">
      <c r="A915" s="97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</row>
    <row r="916" spans="1:27" ht="15" x14ac:dyDescent="0.25">
      <c r="A916" s="97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</row>
    <row r="917" spans="1:27" ht="15" x14ac:dyDescent="0.25">
      <c r="A917" s="97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</row>
    <row r="918" spans="1:27" ht="15" x14ac:dyDescent="0.25">
      <c r="A918" s="97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</row>
    <row r="919" spans="1:27" ht="15" x14ac:dyDescent="0.25">
      <c r="A919" s="97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</row>
    <row r="920" spans="1:27" ht="15" x14ac:dyDescent="0.25">
      <c r="A920" s="97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</row>
    <row r="921" spans="1:27" ht="15" x14ac:dyDescent="0.25">
      <c r="A921" s="97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</row>
    <row r="922" spans="1:27" ht="15" x14ac:dyDescent="0.25">
      <c r="A922" s="97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</row>
    <row r="923" spans="1:27" ht="15" x14ac:dyDescent="0.25">
      <c r="A923" s="97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</row>
    <row r="924" spans="1:27" ht="15" x14ac:dyDescent="0.25">
      <c r="A924" s="97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</row>
    <row r="925" spans="1:27" ht="15" x14ac:dyDescent="0.25">
      <c r="A925" s="97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</row>
    <row r="926" spans="1:27" ht="15" x14ac:dyDescent="0.25">
      <c r="A926" s="97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</row>
    <row r="927" spans="1:27" ht="15" x14ac:dyDescent="0.25">
      <c r="A927" s="97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</row>
    <row r="928" spans="1:27" ht="15" x14ac:dyDescent="0.25">
      <c r="A928" s="97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</row>
    <row r="929" spans="1:27" ht="15" x14ac:dyDescent="0.25">
      <c r="A929" s="97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</row>
    <row r="930" spans="1:27" ht="15" x14ac:dyDescent="0.25">
      <c r="A930" s="97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</row>
    <row r="931" spans="1:27" ht="15" x14ac:dyDescent="0.25">
      <c r="A931" s="97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</row>
    <row r="932" spans="1:27" ht="15" x14ac:dyDescent="0.25">
      <c r="A932" s="97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</row>
    <row r="933" spans="1:27" ht="15" x14ac:dyDescent="0.25">
      <c r="A933" s="97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</row>
    <row r="934" spans="1:27" ht="15" x14ac:dyDescent="0.25">
      <c r="A934" s="97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</row>
    <row r="935" spans="1:27" ht="15" x14ac:dyDescent="0.25">
      <c r="A935" s="97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</row>
    <row r="936" spans="1:27" ht="15" x14ac:dyDescent="0.25">
      <c r="A936" s="97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</row>
    <row r="937" spans="1:27" ht="15" x14ac:dyDescent="0.25">
      <c r="A937" s="97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</row>
    <row r="938" spans="1:27" ht="15" x14ac:dyDescent="0.25">
      <c r="A938" s="97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</row>
    <row r="939" spans="1:27" ht="15" x14ac:dyDescent="0.25">
      <c r="A939" s="97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</row>
    <row r="940" spans="1:27" ht="15" x14ac:dyDescent="0.25">
      <c r="A940" s="97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</row>
    <row r="941" spans="1:27" ht="15" x14ac:dyDescent="0.25">
      <c r="A941" s="97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</row>
    <row r="942" spans="1:27" ht="15" x14ac:dyDescent="0.25">
      <c r="A942" s="97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</row>
    <row r="943" spans="1:27" ht="15" x14ac:dyDescent="0.25">
      <c r="A943" s="97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</row>
    <row r="944" spans="1:27" ht="15" x14ac:dyDescent="0.25">
      <c r="A944" s="97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</row>
    <row r="945" spans="1:27" ht="15" x14ac:dyDescent="0.25">
      <c r="A945" s="97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</row>
    <row r="946" spans="1:27" ht="15" x14ac:dyDescent="0.25">
      <c r="A946" s="97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</row>
    <row r="947" spans="1:27" ht="15" x14ac:dyDescent="0.25">
      <c r="A947" s="97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</row>
    <row r="948" spans="1:27" ht="15" x14ac:dyDescent="0.25">
      <c r="A948" s="97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</row>
    <row r="949" spans="1:27" ht="15" x14ac:dyDescent="0.25">
      <c r="A949" s="97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</row>
    <row r="950" spans="1:27" ht="15" x14ac:dyDescent="0.25">
      <c r="A950" s="97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</row>
    <row r="951" spans="1:27" ht="15" x14ac:dyDescent="0.25">
      <c r="A951" s="97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</row>
    <row r="952" spans="1:27" ht="15" x14ac:dyDescent="0.25">
      <c r="A952" s="97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</row>
    <row r="953" spans="1:27" ht="15" x14ac:dyDescent="0.25">
      <c r="A953" s="97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</row>
    <row r="954" spans="1:27" ht="15" x14ac:dyDescent="0.25">
      <c r="A954" s="97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</row>
    <row r="955" spans="1:27" ht="15" x14ac:dyDescent="0.25">
      <c r="A955" s="97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</row>
    <row r="956" spans="1:27" ht="15" x14ac:dyDescent="0.25">
      <c r="A956" s="97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</row>
    <row r="957" spans="1:27" ht="15" x14ac:dyDescent="0.25">
      <c r="A957" s="97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</row>
    <row r="958" spans="1:27" ht="15" x14ac:dyDescent="0.25">
      <c r="A958" s="97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</row>
    <row r="959" spans="1:27" ht="15" x14ac:dyDescent="0.25">
      <c r="A959" s="97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</row>
    <row r="960" spans="1:27" ht="15" x14ac:dyDescent="0.25">
      <c r="A960" s="97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</row>
    <row r="961" spans="1:27" ht="15" x14ac:dyDescent="0.25">
      <c r="A961" s="97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</row>
    <row r="962" spans="1:27" ht="15" x14ac:dyDescent="0.25">
      <c r="A962" s="97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</row>
    <row r="963" spans="1:27" ht="15" x14ac:dyDescent="0.25">
      <c r="A963" s="97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</row>
    <row r="964" spans="1:27" ht="15" x14ac:dyDescent="0.25">
      <c r="A964" s="97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</row>
    <row r="965" spans="1:27" ht="15" x14ac:dyDescent="0.25">
      <c r="A965" s="97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</row>
    <row r="966" spans="1:27" ht="15" x14ac:dyDescent="0.25">
      <c r="A966" s="97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</row>
    <row r="967" spans="1:27" ht="15" x14ac:dyDescent="0.25">
      <c r="A967" s="97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</row>
    <row r="968" spans="1:27" ht="15" x14ac:dyDescent="0.25">
      <c r="A968" s="97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</row>
    <row r="969" spans="1:27" ht="15" x14ac:dyDescent="0.25">
      <c r="A969" s="97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</row>
    <row r="970" spans="1:27" ht="15" x14ac:dyDescent="0.25">
      <c r="A970" s="97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</row>
    <row r="971" spans="1:27" ht="15" x14ac:dyDescent="0.25">
      <c r="A971" s="97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</row>
    <row r="972" spans="1:27" ht="15" x14ac:dyDescent="0.25">
      <c r="A972" s="97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</row>
    <row r="973" spans="1:27" ht="15" x14ac:dyDescent="0.25">
      <c r="A973" s="97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</row>
    <row r="974" spans="1:27" ht="15" x14ac:dyDescent="0.25">
      <c r="A974" s="97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</row>
    <row r="975" spans="1:27" ht="15" x14ac:dyDescent="0.25">
      <c r="A975" s="97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</row>
    <row r="976" spans="1:27" ht="15" x14ac:dyDescent="0.25">
      <c r="A976" s="97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</row>
    <row r="977" spans="1:27" ht="15" x14ac:dyDescent="0.25">
      <c r="A977" s="97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</row>
    <row r="978" spans="1:27" ht="15" x14ac:dyDescent="0.25">
      <c r="A978" s="97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</row>
    <row r="979" spans="1:27" ht="15" x14ac:dyDescent="0.25">
      <c r="A979" s="97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</row>
    <row r="980" spans="1:27" ht="15" x14ac:dyDescent="0.25">
      <c r="A980" s="97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</row>
    <row r="981" spans="1:27" ht="15" x14ac:dyDescent="0.25">
      <c r="A981" s="97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</row>
    <row r="982" spans="1:27" ht="15" x14ac:dyDescent="0.25">
      <c r="A982" s="97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</row>
    <row r="983" spans="1:27" ht="15" x14ac:dyDescent="0.25">
      <c r="A983" s="97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</row>
    <row r="984" spans="1:27" ht="15" x14ac:dyDescent="0.25">
      <c r="A984" s="97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</row>
    <row r="985" spans="1:27" ht="15" x14ac:dyDescent="0.25">
      <c r="A985" s="97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</row>
    <row r="986" spans="1:27" ht="15" x14ac:dyDescent="0.25">
      <c r="A986" s="97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</row>
    <row r="987" spans="1:27" ht="15" x14ac:dyDescent="0.25">
      <c r="A987" s="97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</row>
    <row r="988" spans="1:27" ht="15" x14ac:dyDescent="0.25">
      <c r="A988" s="97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</row>
    <row r="989" spans="1:27" ht="15" x14ac:dyDescent="0.25">
      <c r="A989" s="97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</row>
    <row r="990" spans="1:27" ht="15" x14ac:dyDescent="0.25">
      <c r="A990" s="97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</row>
    <row r="991" spans="1:27" ht="15" x14ac:dyDescent="0.25">
      <c r="A991" s="97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</row>
    <row r="992" spans="1:27" ht="15" x14ac:dyDescent="0.25">
      <c r="A992" s="97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</row>
    <row r="993" spans="1:27" ht="15" x14ac:dyDescent="0.25">
      <c r="A993" s="97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</row>
    <row r="994" spans="1:27" ht="15" x14ac:dyDescent="0.25">
      <c r="A994" s="97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</row>
    <row r="995" spans="1:27" ht="15" x14ac:dyDescent="0.25">
      <c r="A995" s="97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</row>
    <row r="996" spans="1:27" ht="15" x14ac:dyDescent="0.25">
      <c r="A996" s="97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</row>
    <row r="997" spans="1:27" ht="15" x14ac:dyDescent="0.25">
      <c r="A997" s="97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</row>
    <row r="998" spans="1:27" ht="15" x14ac:dyDescent="0.25">
      <c r="A998" s="97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</row>
    <row r="999" spans="1:27" ht="15" x14ac:dyDescent="0.25">
      <c r="A999" s="97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</row>
    <row r="1000" spans="1:27" ht="15" x14ac:dyDescent="0.25">
      <c r="A1000" s="97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</row>
  </sheetData>
  <conditionalFormatting sqref="A1">
    <cfRule type="notContainsBlanks" dxfId="1" priority="1">
      <formula>LEN(TRIM(A1))&gt;0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sheetData>
    <row r="1" spans="1:12" x14ac:dyDescent="0.2">
      <c r="A1" s="98"/>
      <c r="B1" s="3" t="s">
        <v>176</v>
      </c>
      <c r="C1" s="98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</row>
    <row r="2" spans="1:12" x14ac:dyDescent="0.2">
      <c r="A2" s="98" t="s">
        <v>44</v>
      </c>
      <c r="B2" s="99"/>
      <c r="C2" s="99"/>
      <c r="D2" s="23">
        <f ca="1">E2*(1-'Secret Sheet'!B1)</f>
        <v>7416.5165999999999</v>
      </c>
      <c r="E2" s="23">
        <f t="shared" ref="E2:E9" ca="1" si="0">SUM(F2:G2)</f>
        <v>7416.5165999999999</v>
      </c>
      <c r="F2" s="23">
        <f ca="1">SUM(Cities!P3:P13)</f>
        <v>3824.355</v>
      </c>
      <c r="G2" s="23">
        <f ca="1">'Price Sheet (Ignore)'!$G$2*((Provinces!E2/5)*'Price Sheet (Ignore)'!$I$2)</f>
        <v>3592.1615999999999</v>
      </c>
      <c r="H2" s="23">
        <v>0</v>
      </c>
      <c r="I2" s="23">
        <f t="shared" ref="I2:I9" si="1">J2+K2</f>
        <v>2917.9482800000001</v>
      </c>
      <c r="J2" s="35">
        <f>'Retinue Breakdown'!R12</f>
        <v>2670</v>
      </c>
      <c r="K2" s="23">
        <f>Provinces!H2*2+'Secret Sheet'!E1*0.008</f>
        <v>247.94828000000001</v>
      </c>
      <c r="L2" s="35">
        <v>500</v>
      </c>
    </row>
    <row r="3" spans="1:12" x14ac:dyDescent="0.2">
      <c r="A3" s="98" t="s">
        <v>50</v>
      </c>
      <c r="B3" s="23">
        <f t="shared" ref="B3:B9" ca="1" si="2">D3+H3</f>
        <v>8787.5312000000013</v>
      </c>
      <c r="C3" s="23">
        <f t="shared" ref="C3:C9" si="3">I3+L3</f>
        <v>93068.401199999993</v>
      </c>
      <c r="D3" s="23">
        <f ca="1">E3*(1-'Secret Sheet'!B2)</f>
        <v>8787.5312000000013</v>
      </c>
      <c r="E3" s="23">
        <f t="shared" ca="1" si="0"/>
        <v>11716.708266666668</v>
      </c>
      <c r="F3" s="23">
        <f ca="1">SUM(Cities!P4:P14)</f>
        <v>4014.0216666666665</v>
      </c>
      <c r="G3" s="23">
        <f ca="1">'Price Sheet (Ignore)'!$G$2*((Provinces!E3/5)*'Price Sheet (Ignore)'!$I$2)</f>
        <v>7702.6866000000009</v>
      </c>
      <c r="H3" s="23">
        <v>0</v>
      </c>
      <c r="I3" s="23">
        <f t="shared" si="1"/>
        <v>93068.401199999993</v>
      </c>
      <c r="J3" s="35">
        <f>'Retinue Breakdown'!R13</f>
        <v>1500</v>
      </c>
      <c r="K3" s="23">
        <f>Provinces!H3*2+'Secret Sheet'!E2*0.008</f>
        <v>91568.401199999993</v>
      </c>
      <c r="L3" s="35">
        <v>0</v>
      </c>
    </row>
    <row r="4" spans="1:12" x14ac:dyDescent="0.2">
      <c r="A4" s="98" t="s">
        <v>54</v>
      </c>
      <c r="B4" s="23">
        <f t="shared" ca="1" si="2"/>
        <v>7240.3266666666677</v>
      </c>
      <c r="C4" s="23">
        <f t="shared" si="3"/>
        <v>38649.568440000003</v>
      </c>
      <c r="D4" s="23">
        <f ca="1">E4*(1-'Secret Sheet'!B3)</f>
        <v>6040.3266666666677</v>
      </c>
      <c r="E4" s="23">
        <f t="shared" ca="1" si="0"/>
        <v>6040.3266666666677</v>
      </c>
      <c r="F4" s="23">
        <f ca="1">SUM(Cities!P5:P15)</f>
        <v>3840.3216666666672</v>
      </c>
      <c r="G4" s="23">
        <f ca="1">'Price Sheet (Ignore)'!$G$2*((Provinces!E4/5)*'Price Sheet (Ignore)'!$I$2)</f>
        <v>2200.0050000000001</v>
      </c>
      <c r="H4" s="23">
        <v>1200</v>
      </c>
      <c r="I4" s="23">
        <f t="shared" si="1"/>
        <v>38649.568440000003</v>
      </c>
      <c r="J4" s="35">
        <f>'Retinue Breakdown'!R14</f>
        <v>2500</v>
      </c>
      <c r="K4" s="23">
        <f>Provinces!H4*2+'Secret Sheet'!E3*0.008</f>
        <v>36149.568440000003</v>
      </c>
      <c r="L4" s="35">
        <v>0</v>
      </c>
    </row>
    <row r="5" spans="1:12" x14ac:dyDescent="0.2">
      <c r="A5" s="98" t="s">
        <v>162</v>
      </c>
      <c r="B5" s="23">
        <f t="shared" ca="1" si="2"/>
        <v>4684.7541000000001</v>
      </c>
      <c r="C5" s="23">
        <f t="shared" si="3"/>
        <v>1627.30096</v>
      </c>
      <c r="D5" s="23">
        <f ca="1">E5*(1-'Secret Sheet'!B4)</f>
        <v>4684.7541000000001</v>
      </c>
      <c r="E5" s="23">
        <f t="shared" ca="1" si="0"/>
        <v>6246.3388000000004</v>
      </c>
      <c r="F5" s="23">
        <f ca="1">SUM(Cities!P6:P16)</f>
        <v>4350.3700000000008</v>
      </c>
      <c r="G5" s="23">
        <f>'Price Sheet (Ignore)'!$G$2*((Provinces!E5/5)*'Price Sheet (Ignore)'!$I$2)</f>
        <v>1895.9687999999999</v>
      </c>
      <c r="H5" s="23">
        <v>0</v>
      </c>
      <c r="I5" s="23">
        <f t="shared" si="1"/>
        <v>1627.30096</v>
      </c>
      <c r="J5" s="35">
        <f>'Retinue Breakdown'!R15</f>
        <v>1500</v>
      </c>
      <c r="K5" s="23">
        <f>Provinces!H5*2+'Secret Sheet'!E4*0.008</f>
        <v>127.30096</v>
      </c>
      <c r="L5" s="35">
        <v>0</v>
      </c>
    </row>
    <row r="6" spans="1:12" x14ac:dyDescent="0.2">
      <c r="A6" s="98" t="s">
        <v>58</v>
      </c>
      <c r="B6" s="23">
        <f t="shared" ca="1" si="2"/>
        <v>6617.7505000000001</v>
      </c>
      <c r="C6" s="23">
        <f t="shared" si="3"/>
        <v>1807.7652399999999</v>
      </c>
      <c r="D6" s="23">
        <f ca="1">E6*(1-'Secret Sheet'!B5)</f>
        <v>6617.7505000000001</v>
      </c>
      <c r="E6" s="23">
        <f t="shared" ca="1" si="0"/>
        <v>8823.6673333333329</v>
      </c>
      <c r="F6" s="23">
        <f ca="1">SUM(Cities!P7:P17)</f>
        <v>4286.7433333333329</v>
      </c>
      <c r="G6" s="23">
        <f ca="1">'Price Sheet (Ignore)'!$G$2*((Provinces!E6/5)*'Price Sheet (Ignore)'!$I$2)</f>
        <v>4536.924</v>
      </c>
      <c r="H6" s="23">
        <v>0</v>
      </c>
      <c r="I6" s="23">
        <f t="shared" si="1"/>
        <v>1807.7652399999999</v>
      </c>
      <c r="J6" s="35">
        <f>'Retinue Breakdown'!R16</f>
        <v>1500</v>
      </c>
      <c r="K6" s="23">
        <f>Provinces!H6*2+'Secret Sheet'!E5*0.008</f>
        <v>307.76524000000001</v>
      </c>
      <c r="L6" s="35">
        <v>0</v>
      </c>
    </row>
    <row r="7" spans="1:12" x14ac:dyDescent="0.2">
      <c r="A7" s="98" t="s">
        <v>61</v>
      </c>
      <c r="B7" s="23">
        <f t="shared" ca="1" si="2"/>
        <v>9860.1282499999998</v>
      </c>
      <c r="C7" s="23">
        <f t="shared" si="3"/>
        <v>34709.837440000003</v>
      </c>
      <c r="D7" s="23">
        <f ca="1">E7*(1-'Secret Sheet'!B6)</f>
        <v>9860.1282499999998</v>
      </c>
      <c r="E7" s="23">
        <f t="shared" ca="1" si="0"/>
        <v>13146.837666666666</v>
      </c>
      <c r="F7" s="23">
        <f ca="1">SUM(Cities!P8:P18)</f>
        <v>3798.5766666666673</v>
      </c>
      <c r="G7" s="23">
        <f ca="1">'Price Sheet (Ignore)'!$G$2*((Provinces!E7/5)*'Price Sheet (Ignore)'!$I$2)</f>
        <v>9348.2609999999986</v>
      </c>
      <c r="H7" s="23">
        <v>0</v>
      </c>
      <c r="I7" s="23">
        <f t="shared" si="1"/>
        <v>34709.837440000003</v>
      </c>
      <c r="J7" s="35">
        <f>'Retinue Breakdown'!R17</f>
        <v>1600</v>
      </c>
      <c r="K7" s="23">
        <f>Provinces!H7*2+'Secret Sheet'!E6*0.008</f>
        <v>33109.837440000003</v>
      </c>
      <c r="L7" s="35">
        <v>0</v>
      </c>
    </row>
    <row r="8" spans="1:12" x14ac:dyDescent="0.2">
      <c r="A8" s="98" t="s">
        <v>64</v>
      </c>
      <c r="B8" s="23">
        <f t="shared" ca="1" si="2"/>
        <v>10699.256399999998</v>
      </c>
      <c r="C8" s="23">
        <f t="shared" si="3"/>
        <v>4387.1694399999997</v>
      </c>
      <c r="D8" s="23">
        <f ca="1">E8*(1-'Secret Sheet'!B7)</f>
        <v>10149.256399999998</v>
      </c>
      <c r="E8" s="23">
        <f t="shared" ca="1" si="0"/>
        <v>13532.341866666666</v>
      </c>
      <c r="F8" s="23">
        <f ca="1">SUM(Cities!P9:P19)</f>
        <v>3675.876666666667</v>
      </c>
      <c r="G8" s="23">
        <f ca="1">'Price Sheet (Ignore)'!$G$2*((Provinces!E8/5)*'Price Sheet (Ignore)'!$I$2)</f>
        <v>9856.4651999999987</v>
      </c>
      <c r="H8" s="23">
        <v>550</v>
      </c>
      <c r="I8" s="23">
        <f t="shared" si="1"/>
        <v>4387.1694399999997</v>
      </c>
      <c r="J8" s="35">
        <f>'Retinue Breakdown'!R18</f>
        <v>1500</v>
      </c>
      <c r="K8" s="23">
        <f>Provinces!H8*2+'Secret Sheet'!E7*0.008</f>
        <v>2887.1694400000001</v>
      </c>
      <c r="L8" s="35">
        <v>0</v>
      </c>
    </row>
    <row r="9" spans="1:12" x14ac:dyDescent="0.2">
      <c r="A9" s="98" t="s">
        <v>175</v>
      </c>
      <c r="B9" s="23">
        <f t="shared" ca="1" si="2"/>
        <v>2268.0370000000003</v>
      </c>
      <c r="C9" s="23">
        <f t="shared" ca="1" si="3"/>
        <v>1518.7570800000001</v>
      </c>
      <c r="D9" s="23">
        <f ca="1">E9</f>
        <v>1768.037</v>
      </c>
      <c r="E9" s="23">
        <f t="shared" ca="1" si="0"/>
        <v>1768.037</v>
      </c>
      <c r="F9" s="23">
        <f ca="1">Cities!P102</f>
        <v>419.315</v>
      </c>
      <c r="G9" s="23">
        <f>'Price Sheet (Ignore)'!$G$2*(('Lesser House Dominions'!E2)*'Price Sheet (Ignore)'!$I$2)</f>
        <v>1348.722</v>
      </c>
      <c r="H9" s="23">
        <v>500</v>
      </c>
      <c r="I9" s="23">
        <f t="shared" ca="1" si="1"/>
        <v>1518.7570800000001</v>
      </c>
      <c r="J9" s="35">
        <f>'Retinue Breakdown'!R19</f>
        <v>1500</v>
      </c>
      <c r="K9" s="23">
        <f ca="1">'Lesser House Dominions'!H2*2+'Lesser House Dominions'!I2*0.008</f>
        <v>18.757080000000002</v>
      </c>
      <c r="L9" s="35">
        <v>0</v>
      </c>
    </row>
    <row r="10" spans="1:12" x14ac:dyDescent="0.2">
      <c r="A10" s="100" t="s">
        <v>187</v>
      </c>
      <c r="B10" s="101">
        <f ca="1">D10+H10+D2</f>
        <v>20782.990083333334</v>
      </c>
      <c r="C10" s="101">
        <f>I2+L2</f>
        <v>3417.9482800000001</v>
      </c>
      <c r="D10" s="101">
        <f ca="1">(E11-D11)</f>
        <v>13366.473483333335</v>
      </c>
      <c r="E10" s="102"/>
      <c r="F10" s="102"/>
      <c r="G10" s="102"/>
      <c r="H10" s="101">
        <f t="shared" ref="H10:K10" si="4">H2</f>
        <v>0</v>
      </c>
      <c r="I10" s="101">
        <f t="shared" si="4"/>
        <v>2917.9482800000001</v>
      </c>
      <c r="J10" s="103">
        <f t="shared" si="4"/>
        <v>2670</v>
      </c>
      <c r="K10" s="101">
        <f t="shared" si="4"/>
        <v>247.94828000000001</v>
      </c>
      <c r="L10" s="103">
        <v>0</v>
      </c>
    </row>
    <row r="11" spans="1:12" x14ac:dyDescent="0.2">
      <c r="A11" s="104" t="s">
        <v>75</v>
      </c>
      <c r="B11" s="101">
        <f t="shared" ref="B11:C11" ca="1" si="5">D11+H11</f>
        <v>55306.263716666668</v>
      </c>
      <c r="C11" s="101">
        <f t="shared" ca="1" si="5"/>
        <v>244090.72819999998</v>
      </c>
      <c r="D11" s="101">
        <f t="shared" ref="D11:E11" ca="1" si="6">SUM(D2:D8)</f>
        <v>53556.263716666668</v>
      </c>
      <c r="E11" s="101">
        <f t="shared" ca="1" si="6"/>
        <v>66922.737200000003</v>
      </c>
      <c r="F11" s="101">
        <f ca="1">SUM(F2:F8)</f>
        <v>27790.265000000003</v>
      </c>
      <c r="G11" s="101">
        <f t="shared" ref="G11:K11" ca="1" si="7">SUM(G2:G8)</f>
        <v>39132.472200000004</v>
      </c>
      <c r="H11" s="101">
        <f t="shared" si="7"/>
        <v>1750</v>
      </c>
      <c r="I11" s="101">
        <f t="shared" si="7"/>
        <v>177167.99099999998</v>
      </c>
      <c r="J11" s="101">
        <f t="shared" si="7"/>
        <v>12770</v>
      </c>
      <c r="K11" s="101">
        <f t="shared" si="7"/>
        <v>164397.99099999998</v>
      </c>
      <c r="L11" s="101">
        <f>SUM(L2:L10)</f>
        <v>500</v>
      </c>
    </row>
    <row r="12" spans="1:12" x14ac:dyDescent="0.2">
      <c r="A12" s="105" t="s">
        <v>81</v>
      </c>
      <c r="B12" s="23">
        <f t="shared" ref="B12:C12" ca="1" si="8">D12+H12</f>
        <v>7900.8948166666669</v>
      </c>
      <c r="C12" s="23">
        <f t="shared" ca="1" si="8"/>
        <v>34870.104028571426</v>
      </c>
      <c r="D12" s="23">
        <f t="shared" ref="D12:L12" ca="1" si="9">AVERAGE(D2:D8)</f>
        <v>7650.8948166666669</v>
      </c>
      <c r="E12" s="23">
        <f t="shared" ca="1" si="9"/>
        <v>9560.3910285714283</v>
      </c>
      <c r="F12" s="23">
        <f t="shared" ca="1" si="9"/>
        <v>3970.0378571428578</v>
      </c>
      <c r="G12" s="23">
        <f t="shared" ca="1" si="9"/>
        <v>5590.3531714285718</v>
      </c>
      <c r="H12" s="23">
        <f t="shared" si="9"/>
        <v>250</v>
      </c>
      <c r="I12" s="23">
        <f t="shared" si="9"/>
        <v>25309.712999999996</v>
      </c>
      <c r="J12" s="23">
        <f t="shared" si="9"/>
        <v>1824.2857142857142</v>
      </c>
      <c r="K12" s="23">
        <f t="shared" si="9"/>
        <v>23485.427285714282</v>
      </c>
      <c r="L12" s="23">
        <f t="shared" si="9"/>
        <v>71.428571428571431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100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 x14ac:dyDescent="0.2"/>
  <sheetData>
    <row r="1" spans="1:18" x14ac:dyDescent="0.2">
      <c r="A1" s="106"/>
      <c r="B1" s="216" t="s">
        <v>188</v>
      </c>
      <c r="C1" s="217"/>
      <c r="D1" s="217"/>
      <c r="E1" s="217"/>
      <c r="F1" s="217"/>
      <c r="G1" s="218" t="s">
        <v>189</v>
      </c>
      <c r="H1" s="217"/>
      <c r="I1" s="217"/>
      <c r="J1" s="217"/>
      <c r="K1" s="219"/>
      <c r="L1" s="216" t="s">
        <v>190</v>
      </c>
      <c r="M1" s="217"/>
      <c r="N1" s="217"/>
      <c r="O1" s="217"/>
      <c r="P1" s="217"/>
      <c r="Q1" s="219"/>
      <c r="R1" s="106"/>
    </row>
    <row r="2" spans="1:18" x14ac:dyDescent="0.2">
      <c r="A2" s="106"/>
      <c r="B2" s="107" t="s">
        <v>191</v>
      </c>
      <c r="C2" s="107" t="s">
        <v>192</v>
      </c>
      <c r="D2" s="107" t="s">
        <v>193</v>
      </c>
      <c r="E2" s="107" t="s">
        <v>194</v>
      </c>
      <c r="F2" s="106" t="s">
        <v>195</v>
      </c>
      <c r="G2" s="108" t="s">
        <v>191</v>
      </c>
      <c r="H2" s="107" t="s">
        <v>192</v>
      </c>
      <c r="I2" s="107" t="s">
        <v>193</v>
      </c>
      <c r="J2" s="107" t="s">
        <v>194</v>
      </c>
      <c r="K2" s="106" t="s">
        <v>195</v>
      </c>
      <c r="L2" s="107" t="s">
        <v>191</v>
      </c>
      <c r="M2" s="107" t="s">
        <v>192</v>
      </c>
      <c r="N2" s="107" t="s">
        <v>193</v>
      </c>
      <c r="O2" s="107" t="s">
        <v>194</v>
      </c>
      <c r="P2" s="107" t="s">
        <v>195</v>
      </c>
      <c r="Q2" s="106" t="s">
        <v>196</v>
      </c>
      <c r="R2" s="106" t="s">
        <v>75</v>
      </c>
    </row>
    <row r="3" spans="1:18" ht="15.75" customHeight="1" x14ac:dyDescent="0.25">
      <c r="A3" s="109" t="s">
        <v>187</v>
      </c>
      <c r="B3" s="78">
        <v>0</v>
      </c>
      <c r="C3" s="78">
        <v>0</v>
      </c>
      <c r="D3" s="78">
        <v>20</v>
      </c>
      <c r="E3" s="78">
        <v>0</v>
      </c>
      <c r="F3" s="110">
        <v>35</v>
      </c>
      <c r="G3" s="78">
        <v>0</v>
      </c>
      <c r="H3" s="78">
        <v>0</v>
      </c>
      <c r="I3" s="78">
        <v>40</v>
      </c>
      <c r="J3" s="78">
        <v>0</v>
      </c>
      <c r="K3" s="110">
        <v>0</v>
      </c>
      <c r="L3" s="78">
        <v>0</v>
      </c>
      <c r="M3" s="78">
        <v>0</v>
      </c>
      <c r="N3" s="78">
        <v>0</v>
      </c>
      <c r="O3" s="78">
        <v>0</v>
      </c>
      <c r="P3" s="78">
        <v>3</v>
      </c>
      <c r="Q3" s="110">
        <v>15</v>
      </c>
      <c r="R3" s="110">
        <f t="shared" ref="R3:R10" si="0">SUM(B3:Q3)</f>
        <v>113</v>
      </c>
    </row>
    <row r="4" spans="1:18" ht="15.75" customHeight="1" x14ac:dyDescent="0.25">
      <c r="A4" s="109" t="s">
        <v>50</v>
      </c>
      <c r="B4" s="111">
        <v>0</v>
      </c>
      <c r="C4" s="111">
        <v>0</v>
      </c>
      <c r="D4" s="111">
        <v>0</v>
      </c>
      <c r="E4" s="111">
        <v>0</v>
      </c>
      <c r="F4" s="112">
        <v>50</v>
      </c>
      <c r="G4" s="111">
        <v>0</v>
      </c>
      <c r="H4" s="111">
        <v>0</v>
      </c>
      <c r="I4" s="111">
        <v>0</v>
      </c>
      <c r="J4" s="111">
        <v>0</v>
      </c>
      <c r="K4" s="112">
        <v>0</v>
      </c>
      <c r="L4" s="111">
        <v>0</v>
      </c>
      <c r="M4" s="111">
        <v>0</v>
      </c>
      <c r="N4" s="111">
        <v>0</v>
      </c>
      <c r="O4" s="111">
        <v>0</v>
      </c>
      <c r="P4" s="111">
        <v>0</v>
      </c>
      <c r="Q4" s="112">
        <v>0</v>
      </c>
      <c r="R4" s="112">
        <f t="shared" si="0"/>
        <v>50</v>
      </c>
    </row>
    <row r="5" spans="1:18" ht="15.75" customHeight="1" x14ac:dyDescent="0.25">
      <c r="A5" s="109" t="s">
        <v>54</v>
      </c>
      <c r="B5" s="78">
        <v>150</v>
      </c>
      <c r="C5" s="78">
        <v>0</v>
      </c>
      <c r="D5" s="78">
        <v>0</v>
      </c>
      <c r="E5" s="78">
        <v>0</v>
      </c>
      <c r="F5" s="110">
        <v>50</v>
      </c>
      <c r="G5" s="78">
        <v>50</v>
      </c>
      <c r="H5" s="78">
        <v>0</v>
      </c>
      <c r="I5" s="78">
        <v>0</v>
      </c>
      <c r="J5" s="78">
        <v>0</v>
      </c>
      <c r="K5" s="110">
        <v>0</v>
      </c>
      <c r="L5" s="78">
        <v>0</v>
      </c>
      <c r="M5" s="78">
        <v>0</v>
      </c>
      <c r="N5" s="78">
        <v>0</v>
      </c>
      <c r="O5" s="78">
        <v>0</v>
      </c>
      <c r="P5" s="78">
        <v>0</v>
      </c>
      <c r="Q5" s="110">
        <v>0</v>
      </c>
      <c r="R5" s="110">
        <f t="shared" si="0"/>
        <v>250</v>
      </c>
    </row>
    <row r="6" spans="1:18" ht="15.75" customHeight="1" x14ac:dyDescent="0.25">
      <c r="A6" s="109" t="s">
        <v>162</v>
      </c>
      <c r="B6" s="111">
        <v>0</v>
      </c>
      <c r="C6" s="111">
        <v>0</v>
      </c>
      <c r="D6" s="111">
        <v>0</v>
      </c>
      <c r="E6" s="111">
        <v>0</v>
      </c>
      <c r="F6" s="112">
        <v>50</v>
      </c>
      <c r="G6" s="111">
        <v>0</v>
      </c>
      <c r="H6" s="111">
        <v>0</v>
      </c>
      <c r="I6" s="111">
        <v>0</v>
      </c>
      <c r="J6" s="111">
        <v>0</v>
      </c>
      <c r="K6" s="112">
        <v>0</v>
      </c>
      <c r="L6" s="111">
        <v>0</v>
      </c>
      <c r="M6" s="111">
        <v>0</v>
      </c>
      <c r="N6" s="111">
        <v>0</v>
      </c>
      <c r="O6" s="111">
        <v>0</v>
      </c>
      <c r="P6" s="111">
        <v>0</v>
      </c>
      <c r="Q6" s="112">
        <v>0</v>
      </c>
      <c r="R6" s="112">
        <f t="shared" si="0"/>
        <v>50</v>
      </c>
    </row>
    <row r="7" spans="1:18" ht="15.75" customHeight="1" x14ac:dyDescent="0.25">
      <c r="A7" s="109" t="s">
        <v>58</v>
      </c>
      <c r="B7" s="78">
        <v>0</v>
      </c>
      <c r="C7" s="78">
        <v>0</v>
      </c>
      <c r="D7" s="78">
        <v>0</v>
      </c>
      <c r="E7" s="78">
        <v>0</v>
      </c>
      <c r="F7" s="110">
        <v>50</v>
      </c>
      <c r="G7" s="78">
        <v>0</v>
      </c>
      <c r="H7" s="78">
        <v>0</v>
      </c>
      <c r="I7" s="78">
        <v>0</v>
      </c>
      <c r="J7" s="78">
        <v>0</v>
      </c>
      <c r="K7" s="110"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110">
        <v>0</v>
      </c>
      <c r="R7" s="110">
        <f t="shared" si="0"/>
        <v>50</v>
      </c>
    </row>
    <row r="8" spans="1:18" ht="15.75" customHeight="1" x14ac:dyDescent="0.25">
      <c r="A8" s="109" t="s">
        <v>61</v>
      </c>
      <c r="B8" s="111">
        <v>0</v>
      </c>
      <c r="C8" s="111">
        <v>0</v>
      </c>
      <c r="D8" s="111">
        <v>0</v>
      </c>
      <c r="E8" s="111">
        <v>0</v>
      </c>
      <c r="F8" s="112">
        <v>50</v>
      </c>
      <c r="G8" s="111">
        <v>20</v>
      </c>
      <c r="H8" s="111">
        <v>0</v>
      </c>
      <c r="I8" s="111">
        <v>0</v>
      </c>
      <c r="J8" s="111">
        <v>0</v>
      </c>
      <c r="K8" s="112">
        <v>0</v>
      </c>
      <c r="L8" s="111">
        <v>0</v>
      </c>
      <c r="M8" s="111">
        <v>0</v>
      </c>
      <c r="N8" s="111">
        <v>0</v>
      </c>
      <c r="O8" s="111">
        <v>0</v>
      </c>
      <c r="P8" s="111">
        <v>0</v>
      </c>
      <c r="Q8" s="112">
        <v>0</v>
      </c>
      <c r="R8" s="112">
        <f t="shared" si="0"/>
        <v>70</v>
      </c>
    </row>
    <row r="9" spans="1:18" ht="15.75" customHeight="1" x14ac:dyDescent="0.25">
      <c r="A9" s="109" t="s">
        <v>64</v>
      </c>
      <c r="B9" s="78">
        <v>0</v>
      </c>
      <c r="C9" s="78">
        <v>0</v>
      </c>
      <c r="D9" s="78">
        <v>0</v>
      </c>
      <c r="E9" s="78">
        <v>0</v>
      </c>
      <c r="F9" s="110">
        <v>50</v>
      </c>
      <c r="G9" s="78">
        <v>0</v>
      </c>
      <c r="H9" s="78">
        <v>0</v>
      </c>
      <c r="I9" s="78">
        <v>0</v>
      </c>
      <c r="J9" s="78">
        <v>0</v>
      </c>
      <c r="K9" s="110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110">
        <v>0</v>
      </c>
      <c r="R9" s="110">
        <f t="shared" si="0"/>
        <v>50</v>
      </c>
    </row>
    <row r="10" spans="1:18" ht="15.75" customHeight="1" x14ac:dyDescent="0.25">
      <c r="A10" s="109" t="s">
        <v>175</v>
      </c>
      <c r="B10" s="111">
        <v>0</v>
      </c>
      <c r="C10" s="111">
        <v>0</v>
      </c>
      <c r="D10" s="111">
        <v>0</v>
      </c>
      <c r="E10" s="111">
        <v>0</v>
      </c>
      <c r="F10" s="112">
        <v>50</v>
      </c>
      <c r="G10" s="111">
        <v>0</v>
      </c>
      <c r="H10" s="111">
        <v>0</v>
      </c>
      <c r="I10" s="111">
        <v>0</v>
      </c>
      <c r="J10" s="111">
        <v>0</v>
      </c>
      <c r="K10" s="112">
        <v>0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2">
        <v>0</v>
      </c>
      <c r="R10" s="112">
        <f t="shared" si="0"/>
        <v>50</v>
      </c>
    </row>
    <row r="11" spans="1:18" x14ac:dyDescent="0.2">
      <c r="A11" s="113"/>
      <c r="B11" s="220" t="s">
        <v>197</v>
      </c>
      <c r="C11" s="221"/>
      <c r="D11" s="221"/>
      <c r="E11" s="221"/>
      <c r="F11" s="222"/>
      <c r="G11" s="223" t="s">
        <v>198</v>
      </c>
      <c r="H11" s="221"/>
      <c r="I11" s="221"/>
      <c r="J11" s="221"/>
      <c r="K11" s="222"/>
      <c r="L11" s="220" t="s">
        <v>199</v>
      </c>
      <c r="M11" s="221"/>
      <c r="N11" s="221"/>
      <c r="O11" s="221"/>
      <c r="P11" s="221"/>
      <c r="Q11" s="222"/>
      <c r="R11" s="113" t="s">
        <v>200</v>
      </c>
    </row>
    <row r="12" spans="1:18" ht="15.75" customHeight="1" x14ac:dyDescent="0.25">
      <c r="A12" s="109" t="s">
        <v>187</v>
      </c>
      <c r="B12" s="111">
        <f t="shared" ref="B12:B19" si="1">B3*5</f>
        <v>0</v>
      </c>
      <c r="C12" s="111">
        <f t="shared" ref="C12:C19" si="2">C3*10</f>
        <v>0</v>
      </c>
      <c r="D12" s="111">
        <f t="shared" ref="D12:D19" si="3">D3*15</f>
        <v>300</v>
      </c>
      <c r="E12" s="111">
        <f t="shared" ref="E12:E19" si="4">E3*20</f>
        <v>0</v>
      </c>
      <c r="F12" s="112">
        <f t="shared" ref="F12:F19" si="5">F3*30</f>
        <v>1050</v>
      </c>
      <c r="G12" s="111">
        <f t="shared" ref="G12:G19" si="6">G3*5</f>
        <v>0</v>
      </c>
      <c r="H12" s="111">
        <f t="shared" ref="H12:H19" si="7">H3*10</f>
        <v>0</v>
      </c>
      <c r="I12" s="111">
        <f t="shared" ref="I12:I19" si="8">I3*15</f>
        <v>600</v>
      </c>
      <c r="J12" s="111">
        <f t="shared" ref="J12:J19" si="9">J3*20</f>
        <v>0</v>
      </c>
      <c r="K12" s="112">
        <f t="shared" ref="K12:K19" si="10">K3*30</f>
        <v>0</v>
      </c>
      <c r="L12" s="111">
        <f t="shared" ref="L12:L19" si="11">L3*10</f>
        <v>0</v>
      </c>
      <c r="M12" s="111">
        <f t="shared" ref="M12:M19" si="12">M3*15</f>
        <v>0</v>
      </c>
      <c r="N12" s="111">
        <f t="shared" ref="N12:N19" si="13">N3*25</f>
        <v>0</v>
      </c>
      <c r="O12" s="111">
        <f t="shared" ref="O12:O19" si="14">O3*30</f>
        <v>0</v>
      </c>
      <c r="P12" s="111">
        <f t="shared" ref="P12:Q12" si="15">P3*40</f>
        <v>120</v>
      </c>
      <c r="Q12" s="112">
        <f t="shared" si="15"/>
        <v>600</v>
      </c>
      <c r="R12" s="112">
        <f t="shared" ref="R12:R19" si="16">SUM(B12:Q12)</f>
        <v>2670</v>
      </c>
    </row>
    <row r="13" spans="1:18" ht="15.75" customHeight="1" x14ac:dyDescent="0.25">
      <c r="A13" s="109" t="s">
        <v>50</v>
      </c>
      <c r="B13" s="78">
        <f t="shared" si="1"/>
        <v>0</v>
      </c>
      <c r="C13" s="78">
        <f t="shared" si="2"/>
        <v>0</v>
      </c>
      <c r="D13" s="78">
        <f t="shared" si="3"/>
        <v>0</v>
      </c>
      <c r="E13" s="78">
        <f t="shared" si="4"/>
        <v>0</v>
      </c>
      <c r="F13" s="110">
        <f t="shared" si="5"/>
        <v>1500</v>
      </c>
      <c r="G13" s="78">
        <f t="shared" si="6"/>
        <v>0</v>
      </c>
      <c r="H13" s="78">
        <f t="shared" si="7"/>
        <v>0</v>
      </c>
      <c r="I13" s="78">
        <f t="shared" si="8"/>
        <v>0</v>
      </c>
      <c r="J13" s="78">
        <f t="shared" si="9"/>
        <v>0</v>
      </c>
      <c r="K13" s="110">
        <f t="shared" si="10"/>
        <v>0</v>
      </c>
      <c r="L13" s="78">
        <f t="shared" si="11"/>
        <v>0</v>
      </c>
      <c r="M13" s="78">
        <f t="shared" si="12"/>
        <v>0</v>
      </c>
      <c r="N13" s="78">
        <f t="shared" si="13"/>
        <v>0</v>
      </c>
      <c r="O13" s="78">
        <f t="shared" si="14"/>
        <v>0</v>
      </c>
      <c r="P13" s="78">
        <f t="shared" ref="P13:Q13" si="17">P4*40</f>
        <v>0</v>
      </c>
      <c r="Q13" s="110">
        <f t="shared" si="17"/>
        <v>0</v>
      </c>
      <c r="R13" s="110">
        <f t="shared" si="16"/>
        <v>1500</v>
      </c>
    </row>
    <row r="14" spans="1:18" ht="15.75" customHeight="1" x14ac:dyDescent="0.25">
      <c r="A14" s="109" t="s">
        <v>54</v>
      </c>
      <c r="B14" s="111">
        <f t="shared" si="1"/>
        <v>750</v>
      </c>
      <c r="C14" s="111">
        <f t="shared" si="2"/>
        <v>0</v>
      </c>
      <c r="D14" s="111">
        <f t="shared" si="3"/>
        <v>0</v>
      </c>
      <c r="E14" s="111">
        <f t="shared" si="4"/>
        <v>0</v>
      </c>
      <c r="F14" s="112">
        <f t="shared" si="5"/>
        <v>1500</v>
      </c>
      <c r="G14" s="111">
        <f t="shared" si="6"/>
        <v>250</v>
      </c>
      <c r="H14" s="111">
        <f t="shared" si="7"/>
        <v>0</v>
      </c>
      <c r="I14" s="111">
        <f t="shared" si="8"/>
        <v>0</v>
      </c>
      <c r="J14" s="111">
        <f t="shared" si="9"/>
        <v>0</v>
      </c>
      <c r="K14" s="112">
        <f t="shared" si="10"/>
        <v>0</v>
      </c>
      <c r="L14" s="111">
        <f t="shared" si="11"/>
        <v>0</v>
      </c>
      <c r="M14" s="111">
        <f t="shared" si="12"/>
        <v>0</v>
      </c>
      <c r="N14" s="111">
        <f t="shared" si="13"/>
        <v>0</v>
      </c>
      <c r="O14" s="111">
        <f t="shared" si="14"/>
        <v>0</v>
      </c>
      <c r="P14" s="111">
        <f t="shared" ref="P14:Q14" si="18">P5*40</f>
        <v>0</v>
      </c>
      <c r="Q14" s="112">
        <f t="shared" si="18"/>
        <v>0</v>
      </c>
      <c r="R14" s="112">
        <f t="shared" si="16"/>
        <v>2500</v>
      </c>
    </row>
    <row r="15" spans="1:18" ht="15.75" customHeight="1" x14ac:dyDescent="0.25">
      <c r="A15" s="109" t="s">
        <v>162</v>
      </c>
      <c r="B15" s="78">
        <f t="shared" si="1"/>
        <v>0</v>
      </c>
      <c r="C15" s="78">
        <f t="shared" si="2"/>
        <v>0</v>
      </c>
      <c r="D15" s="78">
        <f t="shared" si="3"/>
        <v>0</v>
      </c>
      <c r="E15" s="78">
        <f t="shared" si="4"/>
        <v>0</v>
      </c>
      <c r="F15" s="110">
        <f t="shared" si="5"/>
        <v>1500</v>
      </c>
      <c r="G15" s="78">
        <f t="shared" si="6"/>
        <v>0</v>
      </c>
      <c r="H15" s="78">
        <f t="shared" si="7"/>
        <v>0</v>
      </c>
      <c r="I15" s="78">
        <f t="shared" si="8"/>
        <v>0</v>
      </c>
      <c r="J15" s="78">
        <f t="shared" si="9"/>
        <v>0</v>
      </c>
      <c r="K15" s="110">
        <f t="shared" si="10"/>
        <v>0</v>
      </c>
      <c r="L15" s="78">
        <f t="shared" si="11"/>
        <v>0</v>
      </c>
      <c r="M15" s="78">
        <f t="shared" si="12"/>
        <v>0</v>
      </c>
      <c r="N15" s="78">
        <f t="shared" si="13"/>
        <v>0</v>
      </c>
      <c r="O15" s="78">
        <f t="shared" si="14"/>
        <v>0</v>
      </c>
      <c r="P15" s="78">
        <f t="shared" ref="P15:Q15" si="19">P6*40</f>
        <v>0</v>
      </c>
      <c r="Q15" s="110">
        <f t="shared" si="19"/>
        <v>0</v>
      </c>
      <c r="R15" s="110">
        <f t="shared" si="16"/>
        <v>1500</v>
      </c>
    </row>
    <row r="16" spans="1:18" ht="15.75" customHeight="1" x14ac:dyDescent="0.25">
      <c r="A16" s="109" t="s">
        <v>58</v>
      </c>
      <c r="B16" s="111">
        <f t="shared" si="1"/>
        <v>0</v>
      </c>
      <c r="C16" s="111">
        <f t="shared" si="2"/>
        <v>0</v>
      </c>
      <c r="D16" s="111">
        <f t="shared" si="3"/>
        <v>0</v>
      </c>
      <c r="E16" s="111">
        <f t="shared" si="4"/>
        <v>0</v>
      </c>
      <c r="F16" s="112">
        <f t="shared" si="5"/>
        <v>1500</v>
      </c>
      <c r="G16" s="111">
        <f t="shared" si="6"/>
        <v>0</v>
      </c>
      <c r="H16" s="111">
        <f t="shared" si="7"/>
        <v>0</v>
      </c>
      <c r="I16" s="111">
        <f t="shared" si="8"/>
        <v>0</v>
      </c>
      <c r="J16" s="111">
        <f t="shared" si="9"/>
        <v>0</v>
      </c>
      <c r="K16" s="112">
        <f t="shared" si="10"/>
        <v>0</v>
      </c>
      <c r="L16" s="111">
        <f t="shared" si="11"/>
        <v>0</v>
      </c>
      <c r="M16" s="111">
        <f t="shared" si="12"/>
        <v>0</v>
      </c>
      <c r="N16" s="111">
        <f t="shared" si="13"/>
        <v>0</v>
      </c>
      <c r="O16" s="111">
        <f t="shared" si="14"/>
        <v>0</v>
      </c>
      <c r="P16" s="111">
        <f t="shared" ref="P16:Q16" si="20">P7*40</f>
        <v>0</v>
      </c>
      <c r="Q16" s="112">
        <f t="shared" si="20"/>
        <v>0</v>
      </c>
      <c r="R16" s="112">
        <f t="shared" si="16"/>
        <v>1500</v>
      </c>
    </row>
    <row r="17" spans="1:18" ht="15.75" customHeight="1" x14ac:dyDescent="0.25">
      <c r="A17" s="109" t="s">
        <v>61</v>
      </c>
      <c r="B17" s="78">
        <f t="shared" si="1"/>
        <v>0</v>
      </c>
      <c r="C17" s="78">
        <f t="shared" si="2"/>
        <v>0</v>
      </c>
      <c r="D17" s="78">
        <f t="shared" si="3"/>
        <v>0</v>
      </c>
      <c r="E17" s="78">
        <f t="shared" si="4"/>
        <v>0</v>
      </c>
      <c r="F17" s="110">
        <f t="shared" si="5"/>
        <v>1500</v>
      </c>
      <c r="G17" s="78">
        <f t="shared" si="6"/>
        <v>100</v>
      </c>
      <c r="H17" s="78">
        <f t="shared" si="7"/>
        <v>0</v>
      </c>
      <c r="I17" s="78">
        <f t="shared" si="8"/>
        <v>0</v>
      </c>
      <c r="J17" s="78">
        <f t="shared" si="9"/>
        <v>0</v>
      </c>
      <c r="K17" s="110">
        <f t="shared" si="10"/>
        <v>0</v>
      </c>
      <c r="L17" s="78">
        <f t="shared" si="11"/>
        <v>0</v>
      </c>
      <c r="M17" s="78">
        <f t="shared" si="12"/>
        <v>0</v>
      </c>
      <c r="N17" s="78">
        <f t="shared" si="13"/>
        <v>0</v>
      </c>
      <c r="O17" s="78">
        <f t="shared" si="14"/>
        <v>0</v>
      </c>
      <c r="P17" s="78">
        <f t="shared" ref="P17:Q17" si="21">P8*40</f>
        <v>0</v>
      </c>
      <c r="Q17" s="110">
        <f t="shared" si="21"/>
        <v>0</v>
      </c>
      <c r="R17" s="110">
        <f t="shared" si="16"/>
        <v>1600</v>
      </c>
    </row>
    <row r="18" spans="1:18" ht="15.75" customHeight="1" x14ac:dyDescent="0.25">
      <c r="A18" s="109" t="s">
        <v>64</v>
      </c>
      <c r="B18" s="111">
        <f t="shared" si="1"/>
        <v>0</v>
      </c>
      <c r="C18" s="111">
        <f t="shared" si="2"/>
        <v>0</v>
      </c>
      <c r="D18" s="111">
        <f t="shared" si="3"/>
        <v>0</v>
      </c>
      <c r="E18" s="111">
        <f t="shared" si="4"/>
        <v>0</v>
      </c>
      <c r="F18" s="112">
        <f t="shared" si="5"/>
        <v>1500</v>
      </c>
      <c r="G18" s="111">
        <f t="shared" si="6"/>
        <v>0</v>
      </c>
      <c r="H18" s="111">
        <f t="shared" si="7"/>
        <v>0</v>
      </c>
      <c r="I18" s="111">
        <f t="shared" si="8"/>
        <v>0</v>
      </c>
      <c r="J18" s="111">
        <f t="shared" si="9"/>
        <v>0</v>
      </c>
      <c r="K18" s="112">
        <f t="shared" si="10"/>
        <v>0</v>
      </c>
      <c r="L18" s="111">
        <f t="shared" si="11"/>
        <v>0</v>
      </c>
      <c r="M18" s="111">
        <f t="shared" si="12"/>
        <v>0</v>
      </c>
      <c r="N18" s="111">
        <f t="shared" si="13"/>
        <v>0</v>
      </c>
      <c r="O18" s="111">
        <f t="shared" si="14"/>
        <v>0</v>
      </c>
      <c r="P18" s="111">
        <f t="shared" ref="P18:Q18" si="22">P9*40</f>
        <v>0</v>
      </c>
      <c r="Q18" s="112">
        <f t="shared" si="22"/>
        <v>0</v>
      </c>
      <c r="R18" s="112">
        <f t="shared" si="16"/>
        <v>1500</v>
      </c>
    </row>
    <row r="19" spans="1:18" ht="15.75" customHeight="1" x14ac:dyDescent="0.25">
      <c r="A19" s="109" t="s">
        <v>175</v>
      </c>
      <c r="B19" s="78">
        <f t="shared" si="1"/>
        <v>0</v>
      </c>
      <c r="C19" s="78">
        <f t="shared" si="2"/>
        <v>0</v>
      </c>
      <c r="D19" s="78">
        <f t="shared" si="3"/>
        <v>0</v>
      </c>
      <c r="E19" s="78">
        <f t="shared" si="4"/>
        <v>0</v>
      </c>
      <c r="F19" s="110">
        <f t="shared" si="5"/>
        <v>1500</v>
      </c>
      <c r="G19" s="78">
        <f t="shared" si="6"/>
        <v>0</v>
      </c>
      <c r="H19" s="78">
        <f t="shared" si="7"/>
        <v>0</v>
      </c>
      <c r="I19" s="78">
        <f t="shared" si="8"/>
        <v>0</v>
      </c>
      <c r="J19" s="78">
        <f t="shared" si="9"/>
        <v>0</v>
      </c>
      <c r="K19" s="110">
        <f t="shared" si="10"/>
        <v>0</v>
      </c>
      <c r="L19" s="78">
        <f t="shared" si="11"/>
        <v>0</v>
      </c>
      <c r="M19" s="78">
        <f t="shared" si="12"/>
        <v>0</v>
      </c>
      <c r="N19" s="78">
        <f t="shared" si="13"/>
        <v>0</v>
      </c>
      <c r="O19" s="78">
        <f t="shared" si="14"/>
        <v>0</v>
      </c>
      <c r="P19" s="78">
        <f t="shared" ref="P19:Q19" si="23">P10*40</f>
        <v>0</v>
      </c>
      <c r="Q19" s="110">
        <f t="shared" si="23"/>
        <v>0</v>
      </c>
      <c r="R19" s="110">
        <f t="shared" si="16"/>
        <v>1500</v>
      </c>
    </row>
    <row r="20" spans="1:18" ht="15.75" customHeight="1" x14ac:dyDescent="0.25">
      <c r="A20" s="109"/>
      <c r="B20" s="111"/>
      <c r="C20" s="111"/>
      <c r="D20" s="111"/>
      <c r="E20" s="111"/>
      <c r="F20" s="112"/>
      <c r="G20" s="114"/>
      <c r="H20" s="111"/>
      <c r="I20" s="111"/>
      <c r="J20" s="111"/>
      <c r="K20" s="112"/>
      <c r="L20" s="111"/>
      <c r="M20" s="111"/>
      <c r="N20" s="111"/>
      <c r="O20" s="111"/>
      <c r="P20" s="111"/>
      <c r="Q20" s="112"/>
      <c r="R20" s="112"/>
    </row>
    <row r="21" spans="1:18" ht="15.75" customHeight="1" x14ac:dyDescent="0.25">
      <c r="A21" s="109"/>
      <c r="B21" s="78"/>
      <c r="C21" s="78"/>
      <c r="D21" s="78"/>
      <c r="E21" s="78"/>
      <c r="F21" s="110"/>
      <c r="G21" s="115"/>
      <c r="H21" s="78"/>
      <c r="I21" s="78"/>
      <c r="J21" s="78"/>
      <c r="K21" s="110"/>
      <c r="L21" s="78"/>
      <c r="M21" s="78"/>
      <c r="N21" s="78"/>
      <c r="O21" s="78"/>
      <c r="P21" s="78"/>
      <c r="Q21" s="110"/>
      <c r="R21" s="110"/>
    </row>
    <row r="22" spans="1:18" ht="15.75" customHeight="1" x14ac:dyDescent="0.25">
      <c r="A22" s="109"/>
      <c r="B22" s="111"/>
      <c r="C22" s="111"/>
      <c r="D22" s="111"/>
      <c r="E22" s="111"/>
      <c r="F22" s="112"/>
      <c r="G22" s="114"/>
      <c r="H22" s="111"/>
      <c r="I22" s="111"/>
      <c r="J22" s="111"/>
      <c r="K22" s="112"/>
      <c r="L22" s="111"/>
      <c r="M22" s="111"/>
      <c r="N22" s="111"/>
      <c r="O22" s="111"/>
      <c r="P22" s="111"/>
      <c r="Q22" s="112"/>
      <c r="R22" s="112"/>
    </row>
    <row r="23" spans="1:18" ht="15.75" customHeight="1" x14ac:dyDescent="0.25">
      <c r="A23" s="109"/>
      <c r="B23" s="78"/>
      <c r="C23" s="78"/>
      <c r="D23" s="78"/>
      <c r="E23" s="78"/>
      <c r="F23" s="110"/>
      <c r="G23" s="115"/>
      <c r="H23" s="78"/>
      <c r="I23" s="78"/>
      <c r="J23" s="78"/>
      <c r="K23" s="110"/>
      <c r="L23" s="78"/>
      <c r="M23" s="78"/>
      <c r="N23" s="78"/>
      <c r="O23" s="78"/>
      <c r="P23" s="78"/>
      <c r="Q23" s="110"/>
      <c r="R23" s="110"/>
    </row>
    <row r="24" spans="1:18" ht="15.75" customHeight="1" x14ac:dyDescent="0.25">
      <c r="A24" s="109"/>
      <c r="B24" s="111"/>
      <c r="C24" s="111"/>
      <c r="D24" s="111"/>
      <c r="E24" s="111"/>
      <c r="F24" s="112"/>
      <c r="G24" s="114"/>
      <c r="H24" s="111"/>
      <c r="I24" s="111"/>
      <c r="J24" s="111"/>
      <c r="K24" s="112"/>
      <c r="L24" s="111"/>
      <c r="M24" s="111"/>
      <c r="N24" s="111"/>
      <c r="O24" s="111"/>
      <c r="P24" s="111"/>
      <c r="Q24" s="112"/>
      <c r="R24" s="112"/>
    </row>
    <row r="25" spans="1:18" ht="15.75" customHeight="1" x14ac:dyDescent="0.25">
      <c r="A25" s="109"/>
      <c r="B25" s="78"/>
      <c r="C25" s="78"/>
      <c r="D25" s="78"/>
      <c r="E25" s="78"/>
      <c r="F25" s="110"/>
      <c r="G25" s="115"/>
      <c r="H25" s="78"/>
      <c r="I25" s="78"/>
      <c r="J25" s="78"/>
      <c r="K25" s="110"/>
      <c r="L25" s="78"/>
      <c r="M25" s="78"/>
      <c r="N25" s="78"/>
      <c r="O25" s="78"/>
      <c r="P25" s="78"/>
      <c r="Q25" s="110"/>
      <c r="R25" s="110"/>
    </row>
    <row r="26" spans="1:18" ht="15.75" customHeight="1" x14ac:dyDescent="0.25">
      <c r="A26" s="109"/>
      <c r="B26" s="111"/>
      <c r="C26" s="111"/>
      <c r="D26" s="111"/>
      <c r="E26" s="111"/>
      <c r="F26" s="112"/>
      <c r="G26" s="114"/>
      <c r="H26" s="111"/>
      <c r="I26" s="111"/>
      <c r="J26" s="111"/>
      <c r="K26" s="112"/>
      <c r="L26" s="111"/>
      <c r="M26" s="111"/>
      <c r="N26" s="111"/>
      <c r="O26" s="111"/>
      <c r="P26" s="111"/>
      <c r="Q26" s="112"/>
      <c r="R26" s="112"/>
    </row>
    <row r="27" spans="1:18" ht="15.75" customHeight="1" x14ac:dyDescent="0.25">
      <c r="A27" s="109"/>
      <c r="B27" s="78"/>
      <c r="C27" s="78"/>
      <c r="D27" s="78"/>
      <c r="E27" s="78"/>
      <c r="F27" s="110"/>
      <c r="G27" s="115"/>
      <c r="H27" s="78"/>
      <c r="I27" s="78"/>
      <c r="J27" s="78"/>
      <c r="K27" s="110"/>
      <c r="L27" s="78"/>
      <c r="M27" s="78"/>
      <c r="N27" s="78"/>
      <c r="O27" s="78"/>
      <c r="P27" s="78"/>
      <c r="Q27" s="110"/>
      <c r="R27" s="110"/>
    </row>
    <row r="28" spans="1:18" ht="15.75" customHeight="1" x14ac:dyDescent="0.25">
      <c r="A28" s="109"/>
      <c r="B28" s="111"/>
      <c r="C28" s="111"/>
      <c r="D28" s="111"/>
      <c r="E28" s="111"/>
      <c r="F28" s="112"/>
      <c r="G28" s="114"/>
      <c r="H28" s="111"/>
      <c r="I28" s="111"/>
      <c r="J28" s="111"/>
      <c r="K28" s="112"/>
      <c r="L28" s="111"/>
      <c r="M28" s="111"/>
      <c r="N28" s="111"/>
      <c r="O28" s="111"/>
      <c r="P28" s="111"/>
      <c r="Q28" s="112"/>
      <c r="R28" s="112"/>
    </row>
    <row r="29" spans="1:18" ht="15.75" customHeight="1" x14ac:dyDescent="0.25">
      <c r="A29" s="109"/>
      <c r="B29" s="78"/>
      <c r="C29" s="78"/>
      <c r="D29" s="78"/>
      <c r="E29" s="78"/>
      <c r="F29" s="110"/>
      <c r="G29" s="115"/>
      <c r="H29" s="78"/>
      <c r="I29" s="78"/>
      <c r="J29" s="78"/>
      <c r="K29" s="110"/>
      <c r="L29" s="78"/>
      <c r="M29" s="78"/>
      <c r="N29" s="78"/>
      <c r="O29" s="78"/>
      <c r="P29" s="78"/>
      <c r="Q29" s="110"/>
      <c r="R29" s="110"/>
    </row>
    <row r="30" spans="1:18" ht="15.75" customHeight="1" x14ac:dyDescent="0.25">
      <c r="A30" s="109"/>
      <c r="B30" s="111"/>
      <c r="C30" s="111"/>
      <c r="D30" s="111"/>
      <c r="E30" s="111"/>
      <c r="F30" s="112"/>
      <c r="G30" s="114"/>
      <c r="H30" s="111"/>
      <c r="I30" s="111"/>
      <c r="J30" s="111"/>
      <c r="K30" s="112"/>
      <c r="L30" s="111"/>
      <c r="M30" s="111"/>
      <c r="N30" s="111"/>
      <c r="O30" s="111"/>
      <c r="P30" s="111"/>
      <c r="Q30" s="112"/>
      <c r="R30" s="112"/>
    </row>
    <row r="31" spans="1:18" ht="15.75" customHeight="1" x14ac:dyDescent="0.25">
      <c r="A31" s="109"/>
      <c r="B31" s="78"/>
      <c r="C31" s="78"/>
      <c r="D31" s="78"/>
      <c r="E31" s="78"/>
      <c r="F31" s="110"/>
      <c r="G31" s="115"/>
      <c r="H31" s="78"/>
      <c r="I31" s="78"/>
      <c r="J31" s="78"/>
      <c r="K31" s="110"/>
      <c r="L31" s="78"/>
      <c r="M31" s="78"/>
      <c r="N31" s="78"/>
      <c r="O31" s="78"/>
      <c r="P31" s="78"/>
      <c r="Q31" s="110"/>
      <c r="R31" s="110"/>
    </row>
    <row r="32" spans="1:18" ht="15.75" customHeight="1" x14ac:dyDescent="0.25">
      <c r="A32" s="109"/>
      <c r="B32" s="111"/>
      <c r="C32" s="111"/>
      <c r="D32" s="111"/>
      <c r="E32" s="111"/>
      <c r="F32" s="112"/>
      <c r="G32" s="114"/>
      <c r="H32" s="111"/>
      <c r="I32" s="111"/>
      <c r="J32" s="111"/>
      <c r="K32" s="112"/>
      <c r="L32" s="111"/>
      <c r="M32" s="111"/>
      <c r="N32" s="111"/>
      <c r="O32" s="111"/>
      <c r="P32" s="111"/>
      <c r="Q32" s="112"/>
      <c r="R32" s="112"/>
    </row>
    <row r="33" spans="1:18" ht="15.75" customHeight="1" x14ac:dyDescent="0.25">
      <c r="A33" s="109"/>
      <c r="B33" s="78"/>
      <c r="C33" s="78"/>
      <c r="D33" s="78"/>
      <c r="E33" s="78"/>
      <c r="F33" s="110"/>
      <c r="G33" s="115"/>
      <c r="H33" s="78"/>
      <c r="I33" s="78"/>
      <c r="J33" s="78"/>
      <c r="K33" s="110"/>
      <c r="L33" s="78"/>
      <c r="M33" s="78"/>
      <c r="N33" s="78"/>
      <c r="O33" s="78"/>
      <c r="P33" s="78"/>
      <c r="Q33" s="110"/>
      <c r="R33" s="110"/>
    </row>
    <row r="34" spans="1:18" ht="15.75" customHeight="1" x14ac:dyDescent="0.25">
      <c r="A34" s="109"/>
      <c r="B34" s="111"/>
      <c r="C34" s="111"/>
      <c r="D34" s="111"/>
      <c r="E34" s="111"/>
      <c r="F34" s="112"/>
      <c r="G34" s="114"/>
      <c r="H34" s="111"/>
      <c r="I34" s="111"/>
      <c r="J34" s="111"/>
      <c r="K34" s="112"/>
      <c r="L34" s="111"/>
      <c r="M34" s="111"/>
      <c r="N34" s="111"/>
      <c r="O34" s="111"/>
      <c r="P34" s="111"/>
      <c r="Q34" s="112"/>
      <c r="R34" s="112"/>
    </row>
    <row r="35" spans="1:18" ht="15.75" customHeight="1" x14ac:dyDescent="0.25">
      <c r="A35" s="109"/>
      <c r="B35" s="78"/>
      <c r="C35" s="78"/>
      <c r="D35" s="78"/>
      <c r="E35" s="78"/>
      <c r="F35" s="110"/>
      <c r="G35" s="115"/>
      <c r="H35" s="78"/>
      <c r="I35" s="78"/>
      <c r="J35" s="78"/>
      <c r="K35" s="110"/>
      <c r="L35" s="78"/>
      <c r="M35" s="78"/>
      <c r="N35" s="78"/>
      <c r="O35" s="78"/>
      <c r="P35" s="78"/>
      <c r="Q35" s="110"/>
      <c r="R35" s="110"/>
    </row>
    <row r="36" spans="1:18" ht="15.75" customHeight="1" x14ac:dyDescent="0.25">
      <c r="A36" s="109"/>
      <c r="B36" s="111"/>
      <c r="C36" s="111"/>
      <c r="D36" s="111"/>
      <c r="E36" s="111"/>
      <c r="F36" s="112"/>
      <c r="G36" s="114"/>
      <c r="H36" s="111"/>
      <c r="I36" s="111"/>
      <c r="J36" s="111"/>
      <c r="K36" s="112"/>
      <c r="L36" s="111"/>
      <c r="M36" s="111"/>
      <c r="N36" s="111"/>
      <c r="O36" s="111"/>
      <c r="P36" s="111"/>
      <c r="Q36" s="112"/>
      <c r="R36" s="112"/>
    </row>
    <row r="37" spans="1:18" ht="15.75" customHeight="1" x14ac:dyDescent="0.25">
      <c r="A37" s="109"/>
      <c r="B37" s="78"/>
      <c r="C37" s="78"/>
      <c r="D37" s="78"/>
      <c r="E37" s="78"/>
      <c r="F37" s="110"/>
      <c r="G37" s="115"/>
      <c r="H37" s="78"/>
      <c r="I37" s="78"/>
      <c r="J37" s="78"/>
      <c r="K37" s="110"/>
      <c r="L37" s="78"/>
      <c r="M37" s="78"/>
      <c r="N37" s="78"/>
      <c r="O37" s="78"/>
      <c r="P37" s="78"/>
      <c r="Q37" s="110"/>
      <c r="R37" s="110"/>
    </row>
    <row r="38" spans="1:18" ht="15.75" customHeight="1" x14ac:dyDescent="0.25">
      <c r="A38" s="109"/>
      <c r="B38" s="111"/>
      <c r="C38" s="111"/>
      <c r="D38" s="111"/>
      <c r="E38" s="111"/>
      <c r="F38" s="112"/>
      <c r="G38" s="114"/>
      <c r="H38" s="111"/>
      <c r="I38" s="111"/>
      <c r="J38" s="111"/>
      <c r="K38" s="112"/>
      <c r="L38" s="111"/>
      <c r="M38" s="111"/>
      <c r="N38" s="111"/>
      <c r="O38" s="111"/>
      <c r="P38" s="111"/>
      <c r="Q38" s="112"/>
      <c r="R38" s="112"/>
    </row>
    <row r="39" spans="1:18" ht="15" x14ac:dyDescent="0.25">
      <c r="A39" s="109"/>
      <c r="B39" s="78"/>
      <c r="C39" s="78"/>
      <c r="D39" s="78"/>
      <c r="E39" s="78"/>
      <c r="F39" s="110"/>
      <c r="G39" s="115"/>
      <c r="H39" s="78"/>
      <c r="I39" s="78"/>
      <c r="J39" s="78"/>
      <c r="K39" s="110"/>
      <c r="L39" s="78"/>
      <c r="M39" s="78"/>
      <c r="N39" s="78"/>
      <c r="O39" s="78"/>
      <c r="P39" s="78"/>
      <c r="Q39" s="110"/>
      <c r="R39" s="110"/>
    </row>
    <row r="40" spans="1:18" ht="15" x14ac:dyDescent="0.25">
      <c r="A40" s="109"/>
      <c r="B40" s="111"/>
      <c r="C40" s="111"/>
      <c r="D40" s="111"/>
      <c r="E40" s="111"/>
      <c r="F40" s="112"/>
      <c r="G40" s="114"/>
      <c r="H40" s="111"/>
      <c r="I40" s="111"/>
      <c r="J40" s="111"/>
      <c r="K40" s="112"/>
      <c r="L40" s="111"/>
      <c r="M40" s="111"/>
      <c r="N40" s="111"/>
      <c r="O40" s="111"/>
      <c r="P40" s="111"/>
      <c r="Q40" s="112"/>
      <c r="R40" s="112"/>
    </row>
    <row r="41" spans="1:18" ht="15" x14ac:dyDescent="0.25">
      <c r="A41" s="109"/>
      <c r="B41" s="78"/>
      <c r="C41" s="78"/>
      <c r="D41" s="78"/>
      <c r="E41" s="78"/>
      <c r="F41" s="110"/>
      <c r="G41" s="115"/>
      <c r="H41" s="78"/>
      <c r="I41" s="78"/>
      <c r="J41" s="78"/>
      <c r="K41" s="110"/>
      <c r="L41" s="78"/>
      <c r="M41" s="78"/>
      <c r="N41" s="78"/>
      <c r="O41" s="78"/>
      <c r="P41" s="78"/>
      <c r="Q41" s="110"/>
      <c r="R41" s="110"/>
    </row>
    <row r="42" spans="1:18" ht="15" x14ac:dyDescent="0.25">
      <c r="A42" s="109"/>
      <c r="B42" s="111"/>
      <c r="C42" s="111"/>
      <c r="D42" s="111"/>
      <c r="E42" s="111"/>
      <c r="F42" s="112"/>
      <c r="G42" s="114"/>
      <c r="H42" s="111"/>
      <c r="I42" s="111"/>
      <c r="J42" s="111"/>
      <c r="K42" s="112"/>
      <c r="L42" s="111"/>
      <c r="M42" s="111"/>
      <c r="N42" s="111"/>
      <c r="O42" s="111"/>
      <c r="P42" s="111"/>
      <c r="Q42" s="112"/>
      <c r="R42" s="112"/>
    </row>
    <row r="43" spans="1:18" ht="15" x14ac:dyDescent="0.25">
      <c r="A43" s="109"/>
      <c r="B43" s="78"/>
      <c r="C43" s="78"/>
      <c r="D43" s="78"/>
      <c r="E43" s="78"/>
      <c r="F43" s="110"/>
      <c r="G43" s="115"/>
      <c r="H43" s="78"/>
      <c r="I43" s="78"/>
      <c r="J43" s="78"/>
      <c r="K43" s="110"/>
      <c r="L43" s="78"/>
      <c r="M43" s="78"/>
      <c r="N43" s="78"/>
      <c r="O43" s="78"/>
      <c r="P43" s="78"/>
      <c r="Q43" s="110"/>
      <c r="R43" s="110"/>
    </row>
    <row r="44" spans="1:18" ht="15" x14ac:dyDescent="0.25">
      <c r="A44" s="109"/>
      <c r="B44" s="111"/>
      <c r="C44" s="111"/>
      <c r="D44" s="111"/>
      <c r="E44" s="111"/>
      <c r="F44" s="112"/>
      <c r="G44" s="114"/>
      <c r="H44" s="111"/>
      <c r="I44" s="111"/>
      <c r="J44" s="111"/>
      <c r="K44" s="112"/>
      <c r="L44" s="111"/>
      <c r="M44" s="111"/>
      <c r="N44" s="111"/>
      <c r="O44" s="111"/>
      <c r="P44" s="111"/>
      <c r="Q44" s="112"/>
      <c r="R44" s="112"/>
    </row>
    <row r="45" spans="1:18" ht="15" x14ac:dyDescent="0.25">
      <c r="A45" s="109"/>
      <c r="B45" s="78"/>
      <c r="C45" s="78"/>
      <c r="D45" s="78"/>
      <c r="E45" s="78"/>
      <c r="F45" s="110"/>
      <c r="G45" s="115"/>
      <c r="H45" s="78"/>
      <c r="I45" s="78"/>
      <c r="J45" s="78"/>
      <c r="K45" s="110"/>
      <c r="L45" s="78"/>
      <c r="M45" s="78"/>
      <c r="N45" s="78"/>
      <c r="O45" s="78"/>
      <c r="P45" s="78"/>
      <c r="Q45" s="110"/>
      <c r="R45" s="110"/>
    </row>
    <row r="46" spans="1:18" ht="15" x14ac:dyDescent="0.25">
      <c r="A46" s="109"/>
      <c r="B46" s="111"/>
      <c r="C46" s="111"/>
      <c r="D46" s="111"/>
      <c r="E46" s="111"/>
      <c r="F46" s="112"/>
      <c r="G46" s="114"/>
      <c r="H46" s="111"/>
      <c r="I46" s="111"/>
      <c r="J46" s="111"/>
      <c r="K46" s="112"/>
      <c r="L46" s="111"/>
      <c r="M46" s="111"/>
      <c r="N46" s="111"/>
      <c r="O46" s="111"/>
      <c r="P46" s="111"/>
      <c r="Q46" s="112"/>
      <c r="R46" s="112"/>
    </row>
    <row r="47" spans="1:18" ht="15" x14ac:dyDescent="0.25">
      <c r="A47" s="109"/>
      <c r="B47" s="78"/>
      <c r="C47" s="78"/>
      <c r="D47" s="78"/>
      <c r="E47" s="78"/>
      <c r="F47" s="110"/>
      <c r="G47" s="115"/>
      <c r="H47" s="78"/>
      <c r="I47" s="78"/>
      <c r="J47" s="78"/>
      <c r="K47" s="110"/>
      <c r="L47" s="78"/>
      <c r="M47" s="78"/>
      <c r="N47" s="78"/>
      <c r="O47" s="78"/>
      <c r="P47" s="78"/>
      <c r="Q47" s="110"/>
      <c r="R47" s="110"/>
    </row>
    <row r="48" spans="1:18" ht="15" x14ac:dyDescent="0.25">
      <c r="A48" s="109"/>
      <c r="B48" s="111"/>
      <c r="C48" s="111"/>
      <c r="D48" s="111"/>
      <c r="E48" s="111"/>
      <c r="F48" s="112"/>
      <c r="G48" s="114"/>
      <c r="H48" s="111"/>
      <c r="I48" s="111"/>
      <c r="J48" s="111"/>
      <c r="K48" s="112"/>
      <c r="L48" s="111"/>
      <c r="M48" s="111"/>
      <c r="N48" s="111"/>
      <c r="O48" s="111"/>
      <c r="P48" s="111"/>
      <c r="Q48" s="112"/>
      <c r="R48" s="112"/>
    </row>
    <row r="49" spans="1:18" ht="15" x14ac:dyDescent="0.25">
      <c r="A49" s="109"/>
      <c r="B49" s="78"/>
      <c r="C49" s="78"/>
      <c r="D49" s="78"/>
      <c r="E49" s="78"/>
      <c r="F49" s="110"/>
      <c r="G49" s="115"/>
      <c r="H49" s="78"/>
      <c r="I49" s="78"/>
      <c r="J49" s="78"/>
      <c r="K49" s="110"/>
      <c r="L49" s="78"/>
      <c r="M49" s="78"/>
      <c r="N49" s="78"/>
      <c r="O49" s="78"/>
      <c r="P49" s="78"/>
      <c r="Q49" s="110"/>
      <c r="R49" s="110"/>
    </row>
    <row r="50" spans="1:18" ht="15" x14ac:dyDescent="0.25">
      <c r="A50" s="109"/>
      <c r="B50" s="111"/>
      <c r="C50" s="111"/>
      <c r="D50" s="111"/>
      <c r="E50" s="111"/>
      <c r="F50" s="112"/>
      <c r="G50" s="114"/>
      <c r="H50" s="111"/>
      <c r="I50" s="111"/>
      <c r="J50" s="111"/>
      <c r="K50" s="112"/>
      <c r="L50" s="111"/>
      <c r="M50" s="111"/>
      <c r="N50" s="111"/>
      <c r="O50" s="111"/>
      <c r="P50" s="111"/>
      <c r="Q50" s="112"/>
      <c r="R50" s="112"/>
    </row>
    <row r="51" spans="1:18" ht="15" x14ac:dyDescent="0.25">
      <c r="A51" s="109"/>
      <c r="B51" s="78"/>
      <c r="C51" s="78"/>
      <c r="D51" s="78"/>
      <c r="E51" s="78"/>
      <c r="F51" s="110"/>
      <c r="G51" s="115"/>
      <c r="H51" s="78"/>
      <c r="I51" s="78"/>
      <c r="J51" s="78"/>
      <c r="K51" s="110"/>
      <c r="L51" s="78"/>
      <c r="M51" s="78"/>
      <c r="N51" s="78"/>
      <c r="O51" s="78"/>
      <c r="P51" s="78"/>
      <c r="Q51" s="110"/>
      <c r="R51" s="110"/>
    </row>
    <row r="52" spans="1:18" ht="15" x14ac:dyDescent="0.25">
      <c r="A52" s="109"/>
      <c r="B52" s="111"/>
      <c r="C52" s="111"/>
      <c r="D52" s="111"/>
      <c r="E52" s="111"/>
      <c r="F52" s="112"/>
      <c r="G52" s="114"/>
      <c r="H52" s="111"/>
      <c r="I52" s="111"/>
      <c r="J52" s="111"/>
      <c r="K52" s="112"/>
      <c r="L52" s="111"/>
      <c r="M52" s="111"/>
      <c r="N52" s="111"/>
      <c r="O52" s="111"/>
      <c r="P52" s="111"/>
      <c r="Q52" s="112"/>
      <c r="R52" s="112"/>
    </row>
    <row r="53" spans="1:18" ht="15" x14ac:dyDescent="0.25">
      <c r="A53" s="109"/>
      <c r="B53" s="78"/>
      <c r="C53" s="78"/>
      <c r="D53" s="78"/>
      <c r="E53" s="78"/>
      <c r="F53" s="110"/>
      <c r="G53" s="115"/>
      <c r="H53" s="78"/>
      <c r="I53" s="78"/>
      <c r="J53" s="78"/>
      <c r="K53" s="110"/>
      <c r="L53" s="78"/>
      <c r="M53" s="78"/>
      <c r="N53" s="78"/>
      <c r="O53" s="78"/>
      <c r="P53" s="78"/>
      <c r="Q53" s="110"/>
      <c r="R53" s="110"/>
    </row>
    <row r="54" spans="1:18" ht="15" x14ac:dyDescent="0.25">
      <c r="A54" s="109"/>
      <c r="B54" s="111"/>
      <c r="C54" s="111"/>
      <c r="D54" s="111"/>
      <c r="E54" s="111"/>
      <c r="F54" s="112"/>
      <c r="G54" s="114"/>
      <c r="H54" s="111"/>
      <c r="I54" s="111"/>
      <c r="J54" s="111"/>
      <c r="K54" s="112"/>
      <c r="L54" s="111"/>
      <c r="M54" s="111"/>
      <c r="N54" s="111"/>
      <c r="O54" s="111"/>
      <c r="P54" s="111"/>
      <c r="Q54" s="112"/>
      <c r="R54" s="112"/>
    </row>
    <row r="55" spans="1:18" ht="15" x14ac:dyDescent="0.25">
      <c r="A55" s="109"/>
      <c r="B55" s="78"/>
      <c r="C55" s="78"/>
      <c r="D55" s="78"/>
      <c r="E55" s="78"/>
      <c r="F55" s="110"/>
      <c r="G55" s="115"/>
      <c r="H55" s="78"/>
      <c r="I55" s="78"/>
      <c r="J55" s="78"/>
      <c r="K55" s="110"/>
      <c r="L55" s="78"/>
      <c r="M55" s="78"/>
      <c r="N55" s="78"/>
      <c r="O55" s="78"/>
      <c r="P55" s="78"/>
      <c r="Q55" s="110"/>
      <c r="R55" s="110"/>
    </row>
    <row r="56" spans="1:18" ht="15" x14ac:dyDescent="0.25">
      <c r="A56" s="109"/>
      <c r="B56" s="111"/>
      <c r="C56" s="111"/>
      <c r="D56" s="111"/>
      <c r="E56" s="111"/>
      <c r="F56" s="112"/>
      <c r="G56" s="114"/>
      <c r="H56" s="111"/>
      <c r="I56" s="111"/>
      <c r="J56" s="111"/>
      <c r="K56" s="112"/>
      <c r="L56" s="111"/>
      <c r="M56" s="111"/>
      <c r="N56" s="111"/>
      <c r="O56" s="111"/>
      <c r="P56" s="111"/>
      <c r="Q56" s="112"/>
      <c r="R56" s="112"/>
    </row>
    <row r="57" spans="1:18" ht="15" x14ac:dyDescent="0.25">
      <c r="A57" s="109"/>
      <c r="B57" s="78"/>
      <c r="C57" s="78"/>
      <c r="D57" s="78"/>
      <c r="E57" s="78"/>
      <c r="F57" s="110"/>
      <c r="G57" s="115"/>
      <c r="H57" s="78"/>
      <c r="I57" s="78"/>
      <c r="J57" s="78"/>
      <c r="K57" s="110"/>
      <c r="L57" s="78"/>
      <c r="M57" s="78"/>
      <c r="N57" s="78"/>
      <c r="O57" s="78"/>
      <c r="P57" s="78"/>
      <c r="Q57" s="110"/>
      <c r="R57" s="110"/>
    </row>
    <row r="58" spans="1:18" ht="15" x14ac:dyDescent="0.25">
      <c r="A58" s="109"/>
      <c r="B58" s="111"/>
      <c r="C58" s="111"/>
      <c r="D58" s="111"/>
      <c r="E58" s="111"/>
      <c r="F58" s="112"/>
      <c r="G58" s="114"/>
      <c r="H58" s="111"/>
      <c r="I58" s="111"/>
      <c r="J58" s="111"/>
      <c r="K58" s="112"/>
      <c r="L58" s="111"/>
      <c r="M58" s="111"/>
      <c r="N58" s="111"/>
      <c r="O58" s="111"/>
      <c r="P58" s="111"/>
      <c r="Q58" s="112"/>
      <c r="R58" s="112"/>
    </row>
    <row r="59" spans="1:18" ht="15" x14ac:dyDescent="0.25">
      <c r="A59" s="109"/>
      <c r="B59" s="78"/>
      <c r="C59" s="78"/>
      <c r="D59" s="78"/>
      <c r="E59" s="78"/>
      <c r="F59" s="110"/>
      <c r="G59" s="115"/>
      <c r="H59" s="78"/>
      <c r="I59" s="78"/>
      <c r="J59" s="78"/>
      <c r="K59" s="110"/>
      <c r="L59" s="78"/>
      <c r="M59" s="78"/>
      <c r="N59" s="78"/>
      <c r="O59" s="78"/>
      <c r="P59" s="78"/>
      <c r="Q59" s="110"/>
      <c r="R59" s="110"/>
    </row>
    <row r="60" spans="1:18" ht="15" x14ac:dyDescent="0.25">
      <c r="A60" s="109"/>
      <c r="B60" s="111"/>
      <c r="C60" s="111"/>
      <c r="D60" s="111"/>
      <c r="E60" s="111"/>
      <c r="F60" s="112"/>
      <c r="G60" s="114"/>
      <c r="H60" s="111"/>
      <c r="I60" s="111"/>
      <c r="J60" s="111"/>
      <c r="K60" s="112"/>
      <c r="L60" s="111"/>
      <c r="M60" s="111"/>
      <c r="N60" s="111"/>
      <c r="O60" s="111"/>
      <c r="P60" s="111"/>
      <c r="Q60" s="112"/>
      <c r="R60" s="112"/>
    </row>
    <row r="61" spans="1:18" ht="15" x14ac:dyDescent="0.25">
      <c r="A61" s="109"/>
      <c r="B61" s="78"/>
      <c r="C61" s="78"/>
      <c r="D61" s="78"/>
      <c r="E61" s="78"/>
      <c r="F61" s="110"/>
      <c r="G61" s="115"/>
      <c r="H61" s="78"/>
      <c r="I61" s="78"/>
      <c r="J61" s="78"/>
      <c r="K61" s="110"/>
      <c r="L61" s="78"/>
      <c r="M61" s="78"/>
      <c r="N61" s="78"/>
      <c r="O61" s="78"/>
      <c r="P61" s="78"/>
      <c r="Q61" s="110"/>
      <c r="R61" s="110"/>
    </row>
    <row r="62" spans="1:18" ht="15" x14ac:dyDescent="0.25">
      <c r="A62" s="109"/>
      <c r="B62" s="111"/>
      <c r="C62" s="111"/>
      <c r="D62" s="111"/>
      <c r="E62" s="111"/>
      <c r="F62" s="112"/>
      <c r="G62" s="114"/>
      <c r="H62" s="111"/>
      <c r="I62" s="111"/>
      <c r="J62" s="111"/>
      <c r="K62" s="112"/>
      <c r="L62" s="111"/>
      <c r="M62" s="111"/>
      <c r="N62" s="111"/>
      <c r="O62" s="111"/>
      <c r="P62" s="111"/>
      <c r="Q62" s="112"/>
      <c r="R62" s="112"/>
    </row>
    <row r="63" spans="1:18" ht="15" x14ac:dyDescent="0.25">
      <c r="A63" s="109"/>
      <c r="B63" s="78"/>
      <c r="C63" s="78"/>
      <c r="D63" s="78"/>
      <c r="E63" s="78"/>
      <c r="F63" s="110"/>
      <c r="G63" s="115"/>
      <c r="H63" s="78"/>
      <c r="I63" s="78"/>
      <c r="J63" s="78"/>
      <c r="K63" s="110"/>
      <c r="L63" s="78"/>
      <c r="M63" s="78"/>
      <c r="N63" s="78"/>
      <c r="O63" s="78"/>
      <c r="P63" s="78"/>
      <c r="Q63" s="110"/>
      <c r="R63" s="110"/>
    </row>
    <row r="64" spans="1:18" ht="15" x14ac:dyDescent="0.25">
      <c r="A64" s="109"/>
      <c r="B64" s="111"/>
      <c r="C64" s="111"/>
      <c r="D64" s="111"/>
      <c r="E64" s="111"/>
      <c r="F64" s="112"/>
      <c r="G64" s="114"/>
      <c r="H64" s="111"/>
      <c r="I64" s="111"/>
      <c r="J64" s="111"/>
      <c r="K64" s="112"/>
      <c r="L64" s="111"/>
      <c r="M64" s="111"/>
      <c r="N64" s="111"/>
      <c r="O64" s="111"/>
      <c r="P64" s="111"/>
      <c r="Q64" s="112"/>
      <c r="R64" s="112"/>
    </row>
    <row r="65" spans="1:18" ht="15" x14ac:dyDescent="0.25">
      <c r="A65" s="109"/>
      <c r="B65" s="78"/>
      <c r="C65" s="78"/>
      <c r="D65" s="78"/>
      <c r="E65" s="78"/>
      <c r="F65" s="110"/>
      <c r="G65" s="115"/>
      <c r="H65" s="78"/>
      <c r="I65" s="78"/>
      <c r="J65" s="78"/>
      <c r="K65" s="110"/>
      <c r="L65" s="78"/>
      <c r="M65" s="78"/>
      <c r="N65" s="78"/>
      <c r="O65" s="78"/>
      <c r="P65" s="78"/>
      <c r="Q65" s="110"/>
      <c r="R65" s="110"/>
    </row>
    <row r="66" spans="1:18" ht="15" x14ac:dyDescent="0.25">
      <c r="A66" s="109"/>
      <c r="B66" s="111"/>
      <c r="C66" s="111"/>
      <c r="D66" s="111"/>
      <c r="E66" s="111"/>
      <c r="F66" s="112"/>
      <c r="G66" s="114"/>
      <c r="H66" s="111"/>
      <c r="I66" s="111"/>
      <c r="J66" s="111"/>
      <c r="K66" s="112"/>
      <c r="L66" s="111"/>
      <c r="M66" s="111"/>
      <c r="N66" s="111"/>
      <c r="O66" s="111"/>
      <c r="P66" s="111"/>
      <c r="Q66" s="112"/>
      <c r="R66" s="112"/>
    </row>
    <row r="67" spans="1:18" ht="15" x14ac:dyDescent="0.25">
      <c r="A67" s="109"/>
      <c r="B67" s="78"/>
      <c r="C67" s="78"/>
      <c r="D67" s="78"/>
      <c r="E67" s="78"/>
      <c r="F67" s="110"/>
      <c r="G67" s="115"/>
      <c r="H67" s="78"/>
      <c r="I67" s="78"/>
      <c r="J67" s="78"/>
      <c r="K67" s="110"/>
      <c r="L67" s="78"/>
      <c r="M67" s="78"/>
      <c r="N67" s="78"/>
      <c r="O67" s="78"/>
      <c r="P67" s="78"/>
      <c r="Q67" s="110"/>
      <c r="R67" s="110"/>
    </row>
    <row r="68" spans="1:18" ht="15" x14ac:dyDescent="0.25">
      <c r="A68" s="109"/>
      <c r="B68" s="111"/>
      <c r="C68" s="111"/>
      <c r="D68" s="111"/>
      <c r="E68" s="111"/>
      <c r="F68" s="112"/>
      <c r="G68" s="114"/>
      <c r="H68" s="111"/>
      <c r="I68" s="111"/>
      <c r="J68" s="111"/>
      <c r="K68" s="112"/>
      <c r="L68" s="111"/>
      <c r="M68" s="111"/>
      <c r="N68" s="111"/>
      <c r="O68" s="111"/>
      <c r="P68" s="111"/>
      <c r="Q68" s="112"/>
      <c r="R68" s="112"/>
    </row>
    <row r="69" spans="1:18" ht="15" x14ac:dyDescent="0.25">
      <c r="A69" s="109"/>
      <c r="B69" s="78"/>
      <c r="C69" s="78"/>
      <c r="D69" s="78"/>
      <c r="E69" s="78"/>
      <c r="F69" s="110"/>
      <c r="G69" s="115"/>
      <c r="H69" s="78"/>
      <c r="I69" s="78"/>
      <c r="J69" s="78"/>
      <c r="K69" s="110"/>
      <c r="L69" s="78"/>
      <c r="M69" s="78"/>
      <c r="N69" s="78"/>
      <c r="O69" s="78"/>
      <c r="P69" s="78"/>
      <c r="Q69" s="110"/>
      <c r="R69" s="110"/>
    </row>
    <row r="70" spans="1:18" ht="15" x14ac:dyDescent="0.25">
      <c r="A70" s="109"/>
      <c r="B70" s="111"/>
      <c r="C70" s="111"/>
      <c r="D70" s="111"/>
      <c r="E70" s="111"/>
      <c r="F70" s="112"/>
      <c r="G70" s="114"/>
      <c r="H70" s="111"/>
      <c r="I70" s="111"/>
      <c r="J70" s="111"/>
      <c r="K70" s="112"/>
      <c r="L70" s="111"/>
      <c r="M70" s="111"/>
      <c r="N70" s="111"/>
      <c r="O70" s="111"/>
      <c r="P70" s="111"/>
      <c r="Q70" s="112"/>
      <c r="R70" s="112"/>
    </row>
    <row r="71" spans="1:18" ht="15" x14ac:dyDescent="0.25">
      <c r="A71" s="109"/>
      <c r="B71" s="78"/>
      <c r="C71" s="78"/>
      <c r="D71" s="78"/>
      <c r="E71" s="78"/>
      <c r="F71" s="110"/>
      <c r="G71" s="115"/>
      <c r="H71" s="78"/>
      <c r="I71" s="78"/>
      <c r="J71" s="78"/>
      <c r="K71" s="110"/>
      <c r="L71" s="78"/>
      <c r="M71" s="78"/>
      <c r="N71" s="78"/>
      <c r="O71" s="78"/>
      <c r="P71" s="78"/>
      <c r="Q71" s="110"/>
      <c r="R71" s="110"/>
    </row>
    <row r="72" spans="1:18" ht="15" x14ac:dyDescent="0.25">
      <c r="A72" s="109"/>
      <c r="B72" s="111"/>
      <c r="C72" s="111"/>
      <c r="D72" s="111"/>
      <c r="E72" s="111"/>
      <c r="F72" s="112"/>
      <c r="G72" s="114"/>
      <c r="H72" s="111"/>
      <c r="I72" s="111"/>
      <c r="J72" s="111"/>
      <c r="K72" s="112"/>
      <c r="L72" s="111"/>
      <c r="M72" s="111"/>
      <c r="N72" s="111"/>
      <c r="O72" s="111"/>
      <c r="P72" s="111"/>
      <c r="Q72" s="112"/>
      <c r="R72" s="112"/>
    </row>
    <row r="73" spans="1:18" ht="15" x14ac:dyDescent="0.25">
      <c r="A73" s="109"/>
      <c r="B73" s="78"/>
      <c r="C73" s="78"/>
      <c r="D73" s="78"/>
      <c r="E73" s="78"/>
      <c r="F73" s="110"/>
      <c r="G73" s="115"/>
      <c r="H73" s="78"/>
      <c r="I73" s="78"/>
      <c r="J73" s="78"/>
      <c r="K73" s="110"/>
      <c r="L73" s="78"/>
      <c r="M73" s="78"/>
      <c r="N73" s="78"/>
      <c r="O73" s="78"/>
      <c r="P73" s="78"/>
      <c r="Q73" s="110"/>
      <c r="R73" s="110"/>
    </row>
    <row r="74" spans="1:18" ht="15" x14ac:dyDescent="0.25">
      <c r="A74" s="109"/>
      <c r="B74" s="111"/>
      <c r="C74" s="111"/>
      <c r="D74" s="111"/>
      <c r="E74" s="111"/>
      <c r="F74" s="112"/>
      <c r="G74" s="114"/>
      <c r="H74" s="111"/>
      <c r="I74" s="111"/>
      <c r="J74" s="111"/>
      <c r="K74" s="112"/>
      <c r="L74" s="111"/>
      <c r="M74" s="111"/>
      <c r="N74" s="111"/>
      <c r="O74" s="111"/>
      <c r="P74" s="111"/>
      <c r="Q74" s="112"/>
      <c r="R74" s="112"/>
    </row>
    <row r="75" spans="1:18" ht="15" x14ac:dyDescent="0.25">
      <c r="A75" s="109"/>
      <c r="B75" s="78"/>
      <c r="C75" s="78"/>
      <c r="D75" s="78"/>
      <c r="E75" s="78"/>
      <c r="F75" s="110"/>
      <c r="G75" s="115"/>
      <c r="H75" s="78"/>
      <c r="I75" s="78"/>
      <c r="J75" s="78"/>
      <c r="K75" s="110"/>
      <c r="L75" s="78"/>
      <c r="M75" s="78"/>
      <c r="N75" s="78"/>
      <c r="O75" s="78"/>
      <c r="P75" s="78"/>
      <c r="Q75" s="110"/>
      <c r="R75" s="110"/>
    </row>
    <row r="76" spans="1:18" ht="15" x14ac:dyDescent="0.25">
      <c r="A76" s="109"/>
      <c r="B76" s="111"/>
      <c r="C76" s="111"/>
      <c r="D76" s="111"/>
      <c r="E76" s="111"/>
      <c r="F76" s="112"/>
      <c r="G76" s="114"/>
      <c r="H76" s="111"/>
      <c r="I76" s="111"/>
      <c r="J76" s="111"/>
      <c r="K76" s="112"/>
      <c r="L76" s="111"/>
      <c r="M76" s="111"/>
      <c r="N76" s="111"/>
      <c r="O76" s="111"/>
      <c r="P76" s="111"/>
      <c r="Q76" s="112"/>
      <c r="R76" s="112"/>
    </row>
    <row r="77" spans="1:18" ht="15" x14ac:dyDescent="0.25">
      <c r="A77" s="109"/>
      <c r="B77" s="78"/>
      <c r="C77" s="78"/>
      <c r="D77" s="78"/>
      <c r="E77" s="78"/>
      <c r="F77" s="110"/>
      <c r="G77" s="115"/>
      <c r="H77" s="78"/>
      <c r="I77" s="78"/>
      <c r="J77" s="78"/>
      <c r="K77" s="110"/>
      <c r="L77" s="78"/>
      <c r="M77" s="78"/>
      <c r="N77" s="78"/>
      <c r="O77" s="78"/>
      <c r="P77" s="78"/>
      <c r="Q77" s="110"/>
      <c r="R77" s="110"/>
    </row>
    <row r="78" spans="1:18" ht="15" x14ac:dyDescent="0.25">
      <c r="A78" s="109"/>
      <c r="B78" s="111"/>
      <c r="C78" s="111"/>
      <c r="D78" s="111"/>
      <c r="E78" s="111"/>
      <c r="F78" s="112"/>
      <c r="G78" s="114"/>
      <c r="H78" s="111"/>
      <c r="I78" s="111"/>
      <c r="J78" s="111"/>
      <c r="K78" s="112"/>
      <c r="L78" s="111"/>
      <c r="M78" s="111"/>
      <c r="N78" s="111"/>
      <c r="O78" s="111"/>
      <c r="P78" s="111"/>
      <c r="Q78" s="112"/>
      <c r="R78" s="112"/>
    </row>
    <row r="79" spans="1:18" ht="15" x14ac:dyDescent="0.25">
      <c r="A79" s="109"/>
      <c r="B79" s="78"/>
      <c r="C79" s="78"/>
      <c r="D79" s="78"/>
      <c r="E79" s="78"/>
      <c r="F79" s="110"/>
      <c r="G79" s="115"/>
      <c r="H79" s="78"/>
      <c r="I79" s="78"/>
      <c r="J79" s="78"/>
      <c r="K79" s="110"/>
      <c r="L79" s="78"/>
      <c r="M79" s="78"/>
      <c r="N79" s="78"/>
      <c r="O79" s="78"/>
      <c r="P79" s="78"/>
      <c r="Q79" s="110"/>
      <c r="R79" s="110"/>
    </row>
    <row r="80" spans="1:18" ht="15" x14ac:dyDescent="0.25">
      <c r="A80" s="109"/>
      <c r="B80" s="111"/>
      <c r="C80" s="111"/>
      <c r="D80" s="111"/>
      <c r="E80" s="111"/>
      <c r="F80" s="112"/>
      <c r="G80" s="114"/>
      <c r="H80" s="111"/>
      <c r="I80" s="111"/>
      <c r="J80" s="111"/>
      <c r="K80" s="112"/>
      <c r="L80" s="111"/>
      <c r="M80" s="111"/>
      <c r="N80" s="111"/>
      <c r="O80" s="111"/>
      <c r="P80" s="111"/>
      <c r="Q80" s="112"/>
      <c r="R80" s="112"/>
    </row>
    <row r="81" spans="1:18" ht="15" x14ac:dyDescent="0.25">
      <c r="A81" s="109"/>
      <c r="B81" s="78"/>
      <c r="C81" s="78"/>
      <c r="D81" s="78"/>
      <c r="E81" s="78"/>
      <c r="F81" s="110"/>
      <c r="G81" s="115"/>
      <c r="H81" s="78"/>
      <c r="I81" s="78"/>
      <c r="J81" s="78"/>
      <c r="K81" s="110"/>
      <c r="L81" s="78"/>
      <c r="M81" s="78"/>
      <c r="N81" s="78"/>
      <c r="O81" s="78"/>
      <c r="P81" s="78"/>
      <c r="Q81" s="110"/>
      <c r="R81" s="110"/>
    </row>
    <row r="82" spans="1:18" ht="15" x14ac:dyDescent="0.25">
      <c r="A82" s="109"/>
      <c r="B82" s="111"/>
      <c r="C82" s="111"/>
      <c r="D82" s="111"/>
      <c r="E82" s="111"/>
      <c r="F82" s="112"/>
      <c r="G82" s="114"/>
      <c r="H82" s="111"/>
      <c r="I82" s="111"/>
      <c r="J82" s="111"/>
      <c r="K82" s="112"/>
      <c r="L82" s="111"/>
      <c r="M82" s="111"/>
      <c r="N82" s="111"/>
      <c r="O82" s="111"/>
      <c r="P82" s="111"/>
      <c r="Q82" s="112"/>
      <c r="R82" s="112"/>
    </row>
    <row r="83" spans="1:18" ht="15" x14ac:dyDescent="0.25">
      <c r="A83" s="109"/>
      <c r="B83" s="78"/>
      <c r="C83" s="78"/>
      <c r="D83" s="78"/>
      <c r="E83" s="78"/>
      <c r="F83" s="110"/>
      <c r="G83" s="115"/>
      <c r="H83" s="78"/>
      <c r="I83" s="78"/>
      <c r="J83" s="78"/>
      <c r="K83" s="110"/>
      <c r="L83" s="78"/>
      <c r="M83" s="78"/>
      <c r="N83" s="78"/>
      <c r="O83" s="78"/>
      <c r="P83" s="78"/>
      <c r="Q83" s="110"/>
      <c r="R83" s="110"/>
    </row>
    <row r="84" spans="1:18" ht="15" x14ac:dyDescent="0.25">
      <c r="A84" s="109"/>
      <c r="B84" s="111"/>
      <c r="C84" s="111"/>
      <c r="D84" s="111"/>
      <c r="E84" s="111"/>
      <c r="F84" s="112"/>
      <c r="G84" s="114"/>
      <c r="H84" s="111"/>
      <c r="I84" s="111"/>
      <c r="J84" s="111"/>
      <c r="K84" s="112"/>
      <c r="L84" s="111"/>
      <c r="M84" s="111"/>
      <c r="N84" s="111"/>
      <c r="O84" s="111"/>
      <c r="P84" s="111"/>
      <c r="Q84" s="112"/>
      <c r="R84" s="112"/>
    </row>
    <row r="85" spans="1:18" ht="15" x14ac:dyDescent="0.25">
      <c r="A85" s="109"/>
      <c r="B85" s="78"/>
      <c r="C85" s="78"/>
      <c r="D85" s="78"/>
      <c r="E85" s="78"/>
      <c r="F85" s="110"/>
      <c r="G85" s="115"/>
      <c r="H85" s="78"/>
      <c r="I85" s="78"/>
      <c r="J85" s="78"/>
      <c r="K85" s="110"/>
      <c r="L85" s="78"/>
      <c r="M85" s="78"/>
      <c r="N85" s="78"/>
      <c r="O85" s="78"/>
      <c r="P85" s="78"/>
      <c r="Q85" s="110"/>
      <c r="R85" s="110"/>
    </row>
    <row r="86" spans="1:18" ht="15" x14ac:dyDescent="0.25">
      <c r="A86" s="109"/>
      <c r="B86" s="111"/>
      <c r="C86" s="111"/>
      <c r="D86" s="111"/>
      <c r="E86" s="111"/>
      <c r="F86" s="112"/>
      <c r="G86" s="114"/>
      <c r="H86" s="111"/>
      <c r="I86" s="111"/>
      <c r="J86" s="111"/>
      <c r="K86" s="112"/>
      <c r="L86" s="111"/>
      <c r="M86" s="111"/>
      <c r="N86" s="111"/>
      <c r="O86" s="111"/>
      <c r="P86" s="111"/>
      <c r="Q86" s="112"/>
      <c r="R86" s="112"/>
    </row>
    <row r="87" spans="1:18" ht="15" x14ac:dyDescent="0.25">
      <c r="A87" s="109"/>
      <c r="B87" s="78"/>
      <c r="C87" s="78"/>
      <c r="D87" s="78"/>
      <c r="E87" s="78"/>
      <c r="F87" s="110"/>
      <c r="G87" s="115"/>
      <c r="H87" s="78"/>
      <c r="I87" s="78"/>
      <c r="J87" s="78"/>
      <c r="K87" s="110"/>
      <c r="L87" s="78"/>
      <c r="M87" s="78"/>
      <c r="N87" s="78"/>
      <c r="O87" s="78"/>
      <c r="P87" s="78"/>
      <c r="Q87" s="110"/>
      <c r="R87" s="110"/>
    </row>
    <row r="88" spans="1:18" ht="15" x14ac:dyDescent="0.25">
      <c r="A88" s="109"/>
      <c r="B88" s="111"/>
      <c r="C88" s="111"/>
      <c r="D88" s="111"/>
      <c r="E88" s="111"/>
      <c r="F88" s="112"/>
      <c r="G88" s="114"/>
      <c r="H88" s="111"/>
      <c r="I88" s="111"/>
      <c r="J88" s="111"/>
      <c r="K88" s="112"/>
      <c r="L88" s="111"/>
      <c r="M88" s="111"/>
      <c r="N88" s="111"/>
      <c r="O88" s="111"/>
      <c r="P88" s="111"/>
      <c r="Q88" s="112"/>
      <c r="R88" s="112"/>
    </row>
    <row r="89" spans="1:18" ht="15" x14ac:dyDescent="0.25">
      <c r="A89" s="109"/>
      <c r="B89" s="78"/>
      <c r="C89" s="78"/>
      <c r="D89" s="78"/>
      <c r="E89" s="78"/>
      <c r="F89" s="110"/>
      <c r="G89" s="115"/>
      <c r="H89" s="78"/>
      <c r="I89" s="78"/>
      <c r="J89" s="78"/>
      <c r="K89" s="110"/>
      <c r="L89" s="78"/>
      <c r="M89" s="78"/>
      <c r="N89" s="78"/>
      <c r="O89" s="78"/>
      <c r="P89" s="78"/>
      <c r="Q89" s="110"/>
      <c r="R89" s="110"/>
    </row>
    <row r="90" spans="1:18" ht="15" x14ac:dyDescent="0.25">
      <c r="A90" s="109"/>
      <c r="B90" s="111"/>
      <c r="C90" s="111"/>
      <c r="D90" s="111"/>
      <c r="E90" s="111"/>
      <c r="F90" s="112"/>
      <c r="G90" s="114"/>
      <c r="H90" s="111"/>
      <c r="I90" s="111"/>
      <c r="J90" s="111"/>
      <c r="K90" s="112"/>
      <c r="L90" s="111"/>
      <c r="M90" s="111"/>
      <c r="N90" s="111"/>
      <c r="O90" s="111"/>
      <c r="P90" s="111"/>
      <c r="Q90" s="112"/>
      <c r="R90" s="112"/>
    </row>
    <row r="91" spans="1:18" ht="15" x14ac:dyDescent="0.25">
      <c r="A91" s="109"/>
      <c r="B91" s="78"/>
      <c r="C91" s="78"/>
      <c r="D91" s="78"/>
      <c r="E91" s="78"/>
      <c r="F91" s="110"/>
      <c r="G91" s="115"/>
      <c r="H91" s="78"/>
      <c r="I91" s="78"/>
      <c r="J91" s="78"/>
      <c r="K91" s="110"/>
      <c r="L91" s="78"/>
      <c r="M91" s="78"/>
      <c r="N91" s="78"/>
      <c r="O91" s="78"/>
      <c r="P91" s="78"/>
      <c r="Q91" s="110"/>
      <c r="R91" s="110"/>
    </row>
    <row r="92" spans="1:18" ht="15" x14ac:dyDescent="0.25">
      <c r="A92" s="109"/>
      <c r="B92" s="111"/>
      <c r="C92" s="111"/>
      <c r="D92" s="111"/>
      <c r="E92" s="111"/>
      <c r="F92" s="112"/>
      <c r="G92" s="114"/>
      <c r="H92" s="111"/>
      <c r="I92" s="111"/>
      <c r="J92" s="111"/>
      <c r="K92" s="112"/>
      <c r="L92" s="111"/>
      <c r="M92" s="111"/>
      <c r="N92" s="111"/>
      <c r="O92" s="111"/>
      <c r="P92" s="111"/>
      <c r="Q92" s="112"/>
      <c r="R92" s="112"/>
    </row>
    <row r="93" spans="1:18" ht="15" x14ac:dyDescent="0.25">
      <c r="A93" s="109"/>
      <c r="B93" s="78"/>
      <c r="C93" s="78"/>
      <c r="D93" s="78"/>
      <c r="E93" s="78"/>
      <c r="F93" s="110"/>
      <c r="G93" s="115"/>
      <c r="H93" s="78"/>
      <c r="I93" s="78"/>
      <c r="J93" s="78"/>
      <c r="K93" s="110"/>
      <c r="L93" s="78"/>
      <c r="M93" s="78"/>
      <c r="N93" s="78"/>
      <c r="O93" s="78"/>
      <c r="P93" s="78"/>
      <c r="Q93" s="110"/>
      <c r="R93" s="110"/>
    </row>
    <row r="94" spans="1:18" ht="15" x14ac:dyDescent="0.25">
      <c r="A94" s="109"/>
      <c r="B94" s="111"/>
      <c r="C94" s="111"/>
      <c r="D94" s="111"/>
      <c r="E94" s="111"/>
      <c r="F94" s="112"/>
      <c r="G94" s="114"/>
      <c r="H94" s="111"/>
      <c r="I94" s="111"/>
      <c r="J94" s="111"/>
      <c r="K94" s="112"/>
      <c r="L94" s="111"/>
      <c r="M94" s="111"/>
      <c r="N94" s="111"/>
      <c r="O94" s="111"/>
      <c r="P94" s="111"/>
      <c r="Q94" s="112"/>
      <c r="R94" s="112"/>
    </row>
    <row r="95" spans="1:18" ht="15" x14ac:dyDescent="0.25">
      <c r="A95" s="109"/>
      <c r="B95" s="78"/>
      <c r="C95" s="78"/>
      <c r="D95" s="78"/>
      <c r="E95" s="78"/>
      <c r="F95" s="110"/>
      <c r="G95" s="115"/>
      <c r="H95" s="78"/>
      <c r="I95" s="78"/>
      <c r="J95" s="78"/>
      <c r="K95" s="110"/>
      <c r="L95" s="78"/>
      <c r="M95" s="78"/>
      <c r="N95" s="78"/>
      <c r="O95" s="78"/>
      <c r="P95" s="78"/>
      <c r="Q95" s="110"/>
      <c r="R95" s="110"/>
    </row>
    <row r="96" spans="1:18" ht="15" x14ac:dyDescent="0.25">
      <c r="A96" s="109"/>
      <c r="B96" s="111"/>
      <c r="C96" s="111"/>
      <c r="D96" s="111"/>
      <c r="E96" s="111"/>
      <c r="F96" s="112"/>
      <c r="G96" s="114"/>
      <c r="H96" s="111"/>
      <c r="I96" s="111"/>
      <c r="J96" s="111"/>
      <c r="K96" s="112"/>
      <c r="L96" s="111"/>
      <c r="M96" s="111"/>
      <c r="N96" s="111"/>
      <c r="O96" s="111"/>
      <c r="P96" s="111"/>
      <c r="Q96" s="112"/>
      <c r="R96" s="112"/>
    </row>
    <row r="97" spans="1:18" ht="15" x14ac:dyDescent="0.25">
      <c r="A97" s="109"/>
      <c r="B97" s="78"/>
      <c r="C97" s="78"/>
      <c r="D97" s="78"/>
      <c r="E97" s="78"/>
      <c r="F97" s="110"/>
      <c r="G97" s="115"/>
      <c r="H97" s="78"/>
      <c r="I97" s="78"/>
      <c r="J97" s="78"/>
      <c r="K97" s="110"/>
      <c r="L97" s="78"/>
      <c r="M97" s="78"/>
      <c r="N97" s="78"/>
      <c r="O97" s="78"/>
      <c r="P97" s="78"/>
      <c r="Q97" s="110"/>
      <c r="R97" s="110"/>
    </row>
    <row r="98" spans="1:18" ht="15" x14ac:dyDescent="0.25">
      <c r="A98" s="109"/>
      <c r="B98" s="111"/>
      <c r="C98" s="111"/>
      <c r="D98" s="111"/>
      <c r="E98" s="111"/>
      <c r="F98" s="112"/>
      <c r="G98" s="114"/>
      <c r="H98" s="111"/>
      <c r="I98" s="111"/>
      <c r="J98" s="111"/>
      <c r="K98" s="112"/>
      <c r="L98" s="111"/>
      <c r="M98" s="111"/>
      <c r="N98" s="111"/>
      <c r="O98" s="111"/>
      <c r="P98" s="111"/>
      <c r="Q98" s="112"/>
      <c r="R98" s="112"/>
    </row>
    <row r="99" spans="1:18" ht="15" x14ac:dyDescent="0.25">
      <c r="A99" s="109"/>
      <c r="B99" s="78"/>
      <c r="C99" s="78"/>
      <c r="D99" s="78"/>
      <c r="E99" s="78"/>
      <c r="F99" s="110"/>
      <c r="G99" s="115"/>
      <c r="H99" s="78"/>
      <c r="I99" s="78"/>
      <c r="J99" s="78"/>
      <c r="K99" s="110"/>
      <c r="L99" s="78"/>
      <c r="M99" s="78"/>
      <c r="N99" s="78"/>
      <c r="O99" s="78"/>
      <c r="P99" s="78"/>
      <c r="Q99" s="110"/>
      <c r="R99" s="110"/>
    </row>
    <row r="100" spans="1:18" ht="15" x14ac:dyDescent="0.25">
      <c r="A100" s="109"/>
      <c r="B100" s="111"/>
      <c r="C100" s="111"/>
      <c r="D100" s="111"/>
      <c r="E100" s="111"/>
      <c r="F100" s="112"/>
      <c r="G100" s="114"/>
      <c r="H100" s="111"/>
      <c r="I100" s="111"/>
      <c r="J100" s="111"/>
      <c r="K100" s="112"/>
      <c r="L100" s="111"/>
      <c r="M100" s="111"/>
      <c r="N100" s="111"/>
      <c r="O100" s="111"/>
      <c r="P100" s="111"/>
      <c r="Q100" s="112"/>
      <c r="R100" s="112"/>
    </row>
    <row r="101" spans="1:18" ht="15" x14ac:dyDescent="0.25">
      <c r="A101" s="109"/>
      <c r="B101" s="78"/>
      <c r="C101" s="78"/>
      <c r="D101" s="78"/>
      <c r="E101" s="78"/>
      <c r="F101" s="110"/>
      <c r="G101" s="115"/>
      <c r="H101" s="78"/>
      <c r="I101" s="78"/>
      <c r="J101" s="78"/>
      <c r="K101" s="110"/>
      <c r="L101" s="78"/>
      <c r="M101" s="78"/>
      <c r="N101" s="78"/>
      <c r="O101" s="78"/>
      <c r="P101" s="78"/>
      <c r="Q101" s="110"/>
      <c r="R101" s="110"/>
    </row>
    <row r="102" spans="1:18" ht="15" x14ac:dyDescent="0.25">
      <c r="A102" s="109"/>
      <c r="B102" s="111"/>
      <c r="C102" s="111"/>
      <c r="D102" s="111"/>
      <c r="E102" s="111"/>
      <c r="F102" s="112"/>
      <c r="G102" s="114"/>
      <c r="H102" s="111"/>
      <c r="I102" s="111"/>
      <c r="J102" s="111"/>
      <c r="K102" s="112"/>
      <c r="L102" s="111"/>
      <c r="M102" s="111"/>
      <c r="N102" s="111"/>
      <c r="O102" s="111"/>
      <c r="P102" s="111"/>
      <c r="Q102" s="112"/>
      <c r="R102" s="112"/>
    </row>
    <row r="103" spans="1:18" ht="15" x14ac:dyDescent="0.25">
      <c r="A103" s="109"/>
      <c r="B103" s="78"/>
      <c r="C103" s="78"/>
      <c r="D103" s="78"/>
      <c r="E103" s="78"/>
      <c r="F103" s="110"/>
      <c r="G103" s="115"/>
      <c r="H103" s="78"/>
      <c r="I103" s="78"/>
      <c r="J103" s="78"/>
      <c r="K103" s="110"/>
      <c r="L103" s="78"/>
      <c r="M103" s="78"/>
      <c r="N103" s="78"/>
      <c r="O103" s="78"/>
      <c r="P103" s="78"/>
      <c r="Q103" s="110"/>
      <c r="R103" s="110"/>
    </row>
    <row r="104" spans="1:18" ht="15" x14ac:dyDescent="0.25">
      <c r="A104" s="109"/>
      <c r="B104" s="111"/>
      <c r="C104" s="111"/>
      <c r="D104" s="111"/>
      <c r="E104" s="111"/>
      <c r="F104" s="112"/>
      <c r="G104" s="114"/>
      <c r="H104" s="111"/>
      <c r="I104" s="111"/>
      <c r="J104" s="111"/>
      <c r="K104" s="112"/>
      <c r="L104" s="111"/>
      <c r="M104" s="111"/>
      <c r="N104" s="111"/>
      <c r="O104" s="111"/>
      <c r="P104" s="111"/>
      <c r="Q104" s="112"/>
      <c r="R104" s="112"/>
    </row>
    <row r="105" spans="1:18" ht="15" x14ac:dyDescent="0.25">
      <c r="A105" s="109"/>
      <c r="B105" s="78"/>
      <c r="C105" s="78"/>
      <c r="D105" s="78"/>
      <c r="E105" s="78"/>
      <c r="F105" s="110"/>
      <c r="G105" s="115"/>
      <c r="H105" s="78"/>
      <c r="I105" s="78"/>
      <c r="J105" s="78"/>
      <c r="K105" s="110"/>
      <c r="L105" s="78"/>
      <c r="M105" s="78"/>
      <c r="N105" s="78"/>
      <c r="O105" s="78"/>
      <c r="P105" s="78"/>
      <c r="Q105" s="110"/>
      <c r="R105" s="110"/>
    </row>
    <row r="106" spans="1:18" ht="15" x14ac:dyDescent="0.25">
      <c r="A106" s="109"/>
      <c r="B106" s="111"/>
      <c r="C106" s="111"/>
      <c r="D106" s="111"/>
      <c r="E106" s="111"/>
      <c r="F106" s="112"/>
      <c r="G106" s="114"/>
      <c r="H106" s="111"/>
      <c r="I106" s="111"/>
      <c r="J106" s="111"/>
      <c r="K106" s="112"/>
      <c r="L106" s="111"/>
      <c r="M106" s="111"/>
      <c r="N106" s="111"/>
      <c r="O106" s="111"/>
      <c r="P106" s="111"/>
      <c r="Q106" s="112"/>
      <c r="R106" s="112"/>
    </row>
    <row r="107" spans="1:18" ht="15" x14ac:dyDescent="0.25">
      <c r="A107" s="109"/>
      <c r="B107" s="78"/>
      <c r="C107" s="78"/>
      <c r="D107" s="78"/>
      <c r="E107" s="78"/>
      <c r="F107" s="110"/>
      <c r="G107" s="115"/>
      <c r="H107" s="78"/>
      <c r="I107" s="78"/>
      <c r="J107" s="78"/>
      <c r="K107" s="110"/>
      <c r="L107" s="78"/>
      <c r="M107" s="78"/>
      <c r="N107" s="78"/>
      <c r="O107" s="78"/>
      <c r="P107" s="78"/>
      <c r="Q107" s="110"/>
      <c r="R107" s="110"/>
    </row>
    <row r="108" spans="1:18" ht="15" x14ac:dyDescent="0.25">
      <c r="A108" s="109"/>
      <c r="B108" s="111"/>
      <c r="C108" s="111"/>
      <c r="D108" s="111"/>
      <c r="E108" s="111"/>
      <c r="F108" s="112"/>
      <c r="G108" s="114"/>
      <c r="H108" s="111"/>
      <c r="I108" s="111"/>
      <c r="J108" s="111"/>
      <c r="K108" s="112"/>
      <c r="L108" s="111"/>
      <c r="M108" s="111"/>
      <c r="N108" s="111"/>
      <c r="O108" s="111"/>
      <c r="P108" s="111"/>
      <c r="Q108" s="112"/>
      <c r="R108" s="112"/>
    </row>
    <row r="109" spans="1:18" ht="15" x14ac:dyDescent="0.25">
      <c r="A109" s="109"/>
      <c r="B109" s="78"/>
      <c r="C109" s="78"/>
      <c r="D109" s="78"/>
      <c r="E109" s="78"/>
      <c r="F109" s="110"/>
      <c r="G109" s="115"/>
      <c r="H109" s="78"/>
      <c r="I109" s="78"/>
      <c r="J109" s="78"/>
      <c r="K109" s="110"/>
      <c r="L109" s="78"/>
      <c r="M109" s="78"/>
      <c r="N109" s="78"/>
      <c r="O109" s="78"/>
      <c r="P109" s="78"/>
      <c r="Q109" s="110"/>
      <c r="R109" s="110"/>
    </row>
    <row r="110" spans="1:18" ht="15" x14ac:dyDescent="0.25">
      <c r="A110" s="109"/>
      <c r="B110" s="111"/>
      <c r="C110" s="111"/>
      <c r="D110" s="111"/>
      <c r="E110" s="111"/>
      <c r="F110" s="112"/>
      <c r="G110" s="114"/>
      <c r="H110" s="111"/>
      <c r="I110" s="111"/>
      <c r="J110" s="111"/>
      <c r="K110" s="112"/>
      <c r="L110" s="111"/>
      <c r="M110" s="111"/>
      <c r="N110" s="111"/>
      <c r="O110" s="111"/>
      <c r="P110" s="111"/>
      <c r="Q110" s="112"/>
      <c r="R110" s="112"/>
    </row>
    <row r="111" spans="1:18" ht="15" x14ac:dyDescent="0.25">
      <c r="A111" s="109"/>
      <c r="B111" s="78"/>
      <c r="C111" s="78"/>
      <c r="D111" s="78"/>
      <c r="E111" s="78"/>
      <c r="F111" s="110"/>
      <c r="G111" s="115"/>
      <c r="H111" s="78"/>
      <c r="I111" s="78"/>
      <c r="J111" s="78"/>
      <c r="K111" s="110"/>
      <c r="L111" s="78"/>
      <c r="M111" s="78"/>
      <c r="N111" s="78"/>
      <c r="O111" s="78"/>
      <c r="P111" s="78"/>
      <c r="Q111" s="110"/>
      <c r="R111" s="110"/>
    </row>
    <row r="112" spans="1:18" ht="15" x14ac:dyDescent="0.25">
      <c r="A112" s="109"/>
      <c r="B112" s="111"/>
      <c r="C112" s="111"/>
      <c r="D112" s="111"/>
      <c r="E112" s="111"/>
      <c r="F112" s="112"/>
      <c r="G112" s="114"/>
      <c r="H112" s="111"/>
      <c r="I112" s="111"/>
      <c r="J112" s="111"/>
      <c r="K112" s="112"/>
      <c r="L112" s="111"/>
      <c r="M112" s="111"/>
      <c r="N112" s="111"/>
      <c r="O112" s="111"/>
      <c r="P112" s="111"/>
      <c r="Q112" s="112"/>
      <c r="R112" s="112"/>
    </row>
    <row r="113" spans="1:18" ht="15" x14ac:dyDescent="0.25">
      <c r="A113" s="109"/>
      <c r="B113" s="78"/>
      <c r="C113" s="78"/>
      <c r="D113" s="78"/>
      <c r="E113" s="78"/>
      <c r="F113" s="110"/>
      <c r="G113" s="115"/>
      <c r="H113" s="78"/>
      <c r="I113" s="78"/>
      <c r="J113" s="78"/>
      <c r="K113" s="110"/>
      <c r="L113" s="78"/>
      <c r="M113" s="78"/>
      <c r="N113" s="78"/>
      <c r="O113" s="78"/>
      <c r="P113" s="78"/>
      <c r="Q113" s="110"/>
      <c r="R113" s="110"/>
    </row>
    <row r="114" spans="1:18" ht="15" x14ac:dyDescent="0.25">
      <c r="A114" s="109"/>
      <c r="B114" s="111"/>
      <c r="C114" s="111"/>
      <c r="D114" s="111"/>
      <c r="E114" s="111"/>
      <c r="F114" s="112"/>
      <c r="G114" s="114"/>
      <c r="H114" s="111"/>
      <c r="I114" s="111"/>
      <c r="J114" s="111"/>
      <c r="K114" s="112"/>
      <c r="L114" s="111"/>
      <c r="M114" s="111"/>
      <c r="N114" s="111"/>
      <c r="O114" s="111"/>
      <c r="P114" s="111"/>
      <c r="Q114" s="112"/>
      <c r="R114" s="112"/>
    </row>
    <row r="115" spans="1:18" ht="15" x14ac:dyDescent="0.25">
      <c r="A115" s="109"/>
      <c r="B115" s="78"/>
      <c r="C115" s="78"/>
      <c r="D115" s="78"/>
      <c r="E115" s="78"/>
      <c r="F115" s="110"/>
      <c r="G115" s="115"/>
      <c r="H115" s="78"/>
      <c r="I115" s="78"/>
      <c r="J115" s="78"/>
      <c r="K115" s="110"/>
      <c r="L115" s="78"/>
      <c r="M115" s="78"/>
      <c r="N115" s="78"/>
      <c r="O115" s="78"/>
      <c r="P115" s="78"/>
      <c r="Q115" s="110"/>
      <c r="R115" s="110"/>
    </row>
    <row r="116" spans="1:18" ht="15" x14ac:dyDescent="0.25">
      <c r="A116" s="109"/>
      <c r="B116" s="111"/>
      <c r="C116" s="111"/>
      <c r="D116" s="111"/>
      <c r="E116" s="111"/>
      <c r="F116" s="112"/>
      <c r="G116" s="114"/>
      <c r="H116" s="111"/>
      <c r="I116" s="111"/>
      <c r="J116" s="111"/>
      <c r="K116" s="112"/>
      <c r="L116" s="111"/>
      <c r="M116" s="111"/>
      <c r="N116" s="111"/>
      <c r="O116" s="111"/>
      <c r="P116" s="111"/>
      <c r="Q116" s="112"/>
      <c r="R116" s="112"/>
    </row>
    <row r="117" spans="1:18" ht="15" x14ac:dyDescent="0.25">
      <c r="A117" s="109"/>
      <c r="B117" s="78"/>
      <c r="C117" s="78"/>
      <c r="D117" s="78"/>
      <c r="E117" s="78"/>
      <c r="F117" s="110"/>
      <c r="G117" s="115"/>
      <c r="H117" s="78"/>
      <c r="I117" s="78"/>
      <c r="J117" s="78"/>
      <c r="K117" s="110"/>
      <c r="L117" s="78"/>
      <c r="M117" s="78"/>
      <c r="N117" s="78"/>
      <c r="O117" s="78"/>
      <c r="P117" s="78"/>
      <c r="Q117" s="110"/>
      <c r="R117" s="110"/>
    </row>
    <row r="118" spans="1:18" ht="15" x14ac:dyDescent="0.25">
      <c r="A118" s="109"/>
      <c r="B118" s="111"/>
      <c r="C118" s="111"/>
      <c r="D118" s="111"/>
      <c r="E118" s="111"/>
      <c r="F118" s="112"/>
      <c r="G118" s="114"/>
      <c r="H118" s="111"/>
      <c r="I118" s="111"/>
      <c r="J118" s="111"/>
      <c r="K118" s="112"/>
      <c r="L118" s="111"/>
      <c r="M118" s="111"/>
      <c r="N118" s="111"/>
      <c r="O118" s="111"/>
      <c r="P118" s="111"/>
      <c r="Q118" s="112"/>
      <c r="R118" s="112"/>
    </row>
    <row r="119" spans="1:18" ht="15" x14ac:dyDescent="0.25">
      <c r="A119" s="109"/>
      <c r="B119" s="78"/>
      <c r="C119" s="78"/>
      <c r="D119" s="78"/>
      <c r="E119" s="78"/>
      <c r="F119" s="110"/>
      <c r="G119" s="115"/>
      <c r="H119" s="78"/>
      <c r="I119" s="78"/>
      <c r="J119" s="78"/>
      <c r="K119" s="110"/>
      <c r="L119" s="78"/>
      <c r="M119" s="78"/>
      <c r="N119" s="78"/>
      <c r="O119" s="78"/>
      <c r="P119" s="78"/>
      <c r="Q119" s="110"/>
      <c r="R119" s="110"/>
    </row>
    <row r="120" spans="1:18" ht="15" x14ac:dyDescent="0.25">
      <c r="A120" s="109"/>
      <c r="B120" s="111"/>
      <c r="C120" s="111"/>
      <c r="D120" s="111"/>
      <c r="E120" s="111"/>
      <c r="F120" s="112"/>
      <c r="G120" s="114"/>
      <c r="H120" s="111"/>
      <c r="I120" s="111"/>
      <c r="J120" s="111"/>
      <c r="K120" s="112"/>
      <c r="L120" s="111"/>
      <c r="M120" s="111"/>
      <c r="N120" s="111"/>
      <c r="O120" s="111"/>
      <c r="P120" s="111"/>
      <c r="Q120" s="112"/>
      <c r="R120" s="112"/>
    </row>
    <row r="121" spans="1:18" ht="15" x14ac:dyDescent="0.25">
      <c r="A121" s="109"/>
      <c r="B121" s="78"/>
      <c r="C121" s="78"/>
      <c r="D121" s="78"/>
      <c r="E121" s="78"/>
      <c r="F121" s="110"/>
      <c r="G121" s="115"/>
      <c r="H121" s="78"/>
      <c r="I121" s="78"/>
      <c r="J121" s="78"/>
      <c r="K121" s="110"/>
      <c r="L121" s="78"/>
      <c r="M121" s="78"/>
      <c r="N121" s="78"/>
      <c r="O121" s="78"/>
      <c r="P121" s="78"/>
      <c r="Q121" s="110"/>
      <c r="R121" s="110"/>
    </row>
    <row r="122" spans="1:18" ht="15" x14ac:dyDescent="0.25">
      <c r="A122" s="109"/>
      <c r="B122" s="111"/>
      <c r="C122" s="111"/>
      <c r="D122" s="111"/>
      <c r="E122" s="111"/>
      <c r="F122" s="112"/>
      <c r="G122" s="114"/>
      <c r="H122" s="111"/>
      <c r="I122" s="111"/>
      <c r="J122" s="111"/>
      <c r="K122" s="112"/>
      <c r="L122" s="111"/>
      <c r="M122" s="111"/>
      <c r="N122" s="111"/>
      <c r="O122" s="111"/>
      <c r="P122" s="111"/>
      <c r="Q122" s="112"/>
      <c r="R122" s="112"/>
    </row>
    <row r="123" spans="1:18" ht="15" x14ac:dyDescent="0.25">
      <c r="A123" s="109"/>
      <c r="B123" s="78"/>
      <c r="C123" s="78"/>
      <c r="D123" s="78"/>
      <c r="E123" s="78"/>
      <c r="F123" s="110"/>
      <c r="G123" s="115"/>
      <c r="H123" s="78"/>
      <c r="I123" s="78"/>
      <c r="J123" s="78"/>
      <c r="K123" s="110"/>
      <c r="L123" s="78"/>
      <c r="M123" s="78"/>
      <c r="N123" s="78"/>
      <c r="O123" s="78"/>
      <c r="P123" s="78"/>
      <c r="Q123" s="110"/>
      <c r="R123" s="110"/>
    </row>
    <row r="124" spans="1:18" ht="15" x14ac:dyDescent="0.25">
      <c r="A124" s="109"/>
      <c r="B124" s="111"/>
      <c r="C124" s="111"/>
      <c r="D124" s="111"/>
      <c r="E124" s="111"/>
      <c r="F124" s="112"/>
      <c r="G124" s="114"/>
      <c r="H124" s="111"/>
      <c r="I124" s="111"/>
      <c r="J124" s="111"/>
      <c r="K124" s="112"/>
      <c r="L124" s="111"/>
      <c r="M124" s="111"/>
      <c r="N124" s="111"/>
      <c r="O124" s="111"/>
      <c r="P124" s="111"/>
      <c r="Q124" s="112"/>
      <c r="R124" s="112"/>
    </row>
    <row r="125" spans="1:18" ht="15" x14ac:dyDescent="0.25">
      <c r="A125" s="109"/>
      <c r="B125" s="78"/>
      <c r="C125" s="78"/>
      <c r="D125" s="78"/>
      <c r="E125" s="78"/>
      <c r="F125" s="110"/>
      <c r="G125" s="115"/>
      <c r="H125" s="78"/>
      <c r="I125" s="78"/>
      <c r="J125" s="78"/>
      <c r="K125" s="110"/>
      <c r="L125" s="78"/>
      <c r="M125" s="78"/>
      <c r="N125" s="78"/>
      <c r="O125" s="78"/>
      <c r="P125" s="78"/>
      <c r="Q125" s="110"/>
      <c r="R125" s="110"/>
    </row>
    <row r="126" spans="1:18" ht="15" x14ac:dyDescent="0.25">
      <c r="A126" s="109"/>
      <c r="B126" s="111"/>
      <c r="C126" s="111"/>
      <c r="D126" s="111"/>
      <c r="E126" s="111"/>
      <c r="F126" s="112"/>
      <c r="G126" s="114"/>
      <c r="H126" s="111"/>
      <c r="I126" s="111"/>
      <c r="J126" s="111"/>
      <c r="K126" s="112"/>
      <c r="L126" s="111"/>
      <c r="M126" s="111"/>
      <c r="N126" s="111"/>
      <c r="O126" s="111"/>
      <c r="P126" s="111"/>
      <c r="Q126" s="112"/>
      <c r="R126" s="112"/>
    </row>
    <row r="127" spans="1:18" ht="15" x14ac:dyDescent="0.25">
      <c r="A127" s="109"/>
      <c r="B127" s="78"/>
      <c r="C127" s="78"/>
      <c r="D127" s="78"/>
      <c r="E127" s="78"/>
      <c r="F127" s="110"/>
      <c r="G127" s="115"/>
      <c r="H127" s="78"/>
      <c r="I127" s="78"/>
      <c r="J127" s="78"/>
      <c r="K127" s="110"/>
      <c r="L127" s="78"/>
      <c r="M127" s="78"/>
      <c r="N127" s="78"/>
      <c r="O127" s="78"/>
      <c r="P127" s="78"/>
      <c r="Q127" s="110"/>
      <c r="R127" s="110"/>
    </row>
    <row r="128" spans="1:18" ht="15" x14ac:dyDescent="0.25">
      <c r="A128" s="109"/>
      <c r="B128" s="111"/>
      <c r="C128" s="111"/>
      <c r="D128" s="111"/>
      <c r="E128" s="111"/>
      <c r="F128" s="112"/>
      <c r="G128" s="114"/>
      <c r="H128" s="111"/>
      <c r="I128" s="111"/>
      <c r="J128" s="111"/>
      <c r="K128" s="112"/>
      <c r="L128" s="111"/>
      <c r="M128" s="111"/>
      <c r="N128" s="111"/>
      <c r="O128" s="111"/>
      <c r="P128" s="111"/>
      <c r="Q128" s="112"/>
      <c r="R128" s="112"/>
    </row>
    <row r="129" spans="1:18" ht="15" x14ac:dyDescent="0.25">
      <c r="A129" s="109"/>
      <c r="B129" s="78"/>
      <c r="C129" s="78"/>
      <c r="D129" s="78"/>
      <c r="E129" s="78"/>
      <c r="F129" s="110"/>
      <c r="G129" s="115"/>
      <c r="H129" s="78"/>
      <c r="I129" s="78"/>
      <c r="J129" s="78"/>
      <c r="K129" s="110"/>
      <c r="L129" s="78"/>
      <c r="M129" s="78"/>
      <c r="N129" s="78"/>
      <c r="O129" s="78"/>
      <c r="P129" s="78"/>
      <c r="Q129" s="110"/>
      <c r="R129" s="110"/>
    </row>
    <row r="130" spans="1:18" ht="15" x14ac:dyDescent="0.25">
      <c r="A130" s="109"/>
      <c r="B130" s="111"/>
      <c r="C130" s="111"/>
      <c r="D130" s="111"/>
      <c r="E130" s="111"/>
      <c r="F130" s="112"/>
      <c r="G130" s="114"/>
      <c r="H130" s="111"/>
      <c r="I130" s="111"/>
      <c r="J130" s="111"/>
      <c r="K130" s="112"/>
      <c r="L130" s="111"/>
      <c r="M130" s="111"/>
      <c r="N130" s="111"/>
      <c r="O130" s="111"/>
      <c r="P130" s="111"/>
      <c r="Q130" s="112"/>
      <c r="R130" s="112"/>
    </row>
    <row r="131" spans="1:18" ht="15" x14ac:dyDescent="0.25">
      <c r="A131" s="109"/>
      <c r="B131" s="78"/>
      <c r="C131" s="78"/>
      <c r="D131" s="78"/>
      <c r="E131" s="78"/>
      <c r="F131" s="110"/>
      <c r="G131" s="115"/>
      <c r="H131" s="78"/>
      <c r="I131" s="78"/>
      <c r="J131" s="78"/>
      <c r="K131" s="110"/>
      <c r="L131" s="78"/>
      <c r="M131" s="78"/>
      <c r="N131" s="78"/>
      <c r="O131" s="78"/>
      <c r="P131" s="78"/>
      <c r="Q131" s="110"/>
      <c r="R131" s="110"/>
    </row>
    <row r="132" spans="1:18" ht="15" x14ac:dyDescent="0.25">
      <c r="A132" s="109"/>
      <c r="B132" s="111"/>
      <c r="C132" s="111"/>
      <c r="D132" s="111"/>
      <c r="E132" s="111"/>
      <c r="F132" s="112"/>
      <c r="G132" s="114"/>
      <c r="H132" s="111"/>
      <c r="I132" s="111"/>
      <c r="J132" s="111"/>
      <c r="K132" s="112"/>
      <c r="L132" s="111"/>
      <c r="M132" s="111"/>
      <c r="N132" s="111"/>
      <c r="O132" s="111"/>
      <c r="P132" s="111"/>
      <c r="Q132" s="112"/>
      <c r="R132" s="112"/>
    </row>
    <row r="133" spans="1:18" ht="15" x14ac:dyDescent="0.25">
      <c r="A133" s="109"/>
      <c r="B133" s="78"/>
      <c r="C133" s="78"/>
      <c r="D133" s="78"/>
      <c r="E133" s="78"/>
      <c r="F133" s="110"/>
      <c r="G133" s="115"/>
      <c r="H133" s="78"/>
      <c r="I133" s="78"/>
      <c r="J133" s="78"/>
      <c r="K133" s="110"/>
      <c r="L133" s="78"/>
      <c r="M133" s="78"/>
      <c r="N133" s="78"/>
      <c r="O133" s="78"/>
      <c r="P133" s="78"/>
      <c r="Q133" s="110"/>
      <c r="R133" s="110"/>
    </row>
    <row r="134" spans="1:18" ht="15" x14ac:dyDescent="0.25">
      <c r="A134" s="109"/>
      <c r="B134" s="111"/>
      <c r="C134" s="111"/>
      <c r="D134" s="111"/>
      <c r="E134" s="111"/>
      <c r="F134" s="112"/>
      <c r="G134" s="114"/>
      <c r="H134" s="111"/>
      <c r="I134" s="111"/>
      <c r="J134" s="111"/>
      <c r="K134" s="112"/>
      <c r="L134" s="111"/>
      <c r="M134" s="111"/>
      <c r="N134" s="111"/>
      <c r="O134" s="111"/>
      <c r="P134" s="111"/>
      <c r="Q134" s="112"/>
      <c r="R134" s="112"/>
    </row>
    <row r="135" spans="1:18" ht="15" x14ac:dyDescent="0.25">
      <c r="A135" s="109"/>
      <c r="B135" s="78"/>
      <c r="C135" s="78"/>
      <c r="D135" s="78"/>
      <c r="E135" s="78"/>
      <c r="F135" s="110"/>
      <c r="G135" s="115"/>
      <c r="H135" s="78"/>
      <c r="I135" s="78"/>
      <c r="J135" s="78"/>
      <c r="K135" s="110"/>
      <c r="L135" s="78"/>
      <c r="M135" s="78"/>
      <c r="N135" s="78"/>
      <c r="O135" s="78"/>
      <c r="P135" s="78"/>
      <c r="Q135" s="110"/>
      <c r="R135" s="110"/>
    </row>
    <row r="136" spans="1:18" ht="15" x14ac:dyDescent="0.25">
      <c r="A136" s="109"/>
      <c r="B136" s="111"/>
      <c r="C136" s="111"/>
      <c r="D136" s="111"/>
      <c r="E136" s="111"/>
      <c r="F136" s="112"/>
      <c r="G136" s="114"/>
      <c r="H136" s="111"/>
      <c r="I136" s="111"/>
      <c r="J136" s="111"/>
      <c r="K136" s="112"/>
      <c r="L136" s="111"/>
      <c r="M136" s="111"/>
      <c r="N136" s="111"/>
      <c r="O136" s="111"/>
      <c r="P136" s="111"/>
      <c r="Q136" s="112"/>
      <c r="R136" s="112"/>
    </row>
    <row r="137" spans="1:18" ht="15" x14ac:dyDescent="0.25">
      <c r="A137" s="109"/>
      <c r="B137" s="78"/>
      <c r="C137" s="78"/>
      <c r="D137" s="78"/>
      <c r="E137" s="78"/>
      <c r="F137" s="110"/>
      <c r="G137" s="115"/>
      <c r="H137" s="78"/>
      <c r="I137" s="78"/>
      <c r="J137" s="78"/>
      <c r="K137" s="110"/>
      <c r="L137" s="78"/>
      <c r="M137" s="78"/>
      <c r="N137" s="78"/>
      <c r="O137" s="78"/>
      <c r="P137" s="78"/>
      <c r="Q137" s="110"/>
      <c r="R137" s="110"/>
    </row>
    <row r="138" spans="1:18" ht="15" x14ac:dyDescent="0.25">
      <c r="A138" s="109"/>
      <c r="B138" s="111"/>
      <c r="C138" s="111"/>
      <c r="D138" s="111"/>
      <c r="E138" s="111"/>
      <c r="F138" s="112"/>
      <c r="G138" s="114"/>
      <c r="H138" s="111"/>
      <c r="I138" s="111"/>
      <c r="J138" s="111"/>
      <c r="K138" s="112"/>
      <c r="L138" s="111"/>
      <c r="M138" s="111"/>
      <c r="N138" s="111"/>
      <c r="O138" s="111"/>
      <c r="P138" s="111"/>
      <c r="Q138" s="112"/>
      <c r="R138" s="112"/>
    </row>
    <row r="139" spans="1:18" ht="15" x14ac:dyDescent="0.25">
      <c r="A139" s="109"/>
      <c r="B139" s="78"/>
      <c r="C139" s="78"/>
      <c r="D139" s="78"/>
      <c r="E139" s="78"/>
      <c r="F139" s="110"/>
      <c r="G139" s="115"/>
      <c r="H139" s="78"/>
      <c r="I139" s="78"/>
      <c r="J139" s="78"/>
      <c r="K139" s="110"/>
      <c r="L139" s="78"/>
      <c r="M139" s="78"/>
      <c r="N139" s="78"/>
      <c r="O139" s="78"/>
      <c r="P139" s="78"/>
      <c r="Q139" s="110"/>
      <c r="R139" s="110"/>
    </row>
    <row r="140" spans="1:18" ht="15" x14ac:dyDescent="0.25">
      <c r="A140" s="109"/>
      <c r="B140" s="111"/>
      <c r="C140" s="111"/>
      <c r="D140" s="111"/>
      <c r="E140" s="111"/>
      <c r="F140" s="112"/>
      <c r="G140" s="114"/>
      <c r="H140" s="111"/>
      <c r="I140" s="111"/>
      <c r="J140" s="111"/>
      <c r="K140" s="112"/>
      <c r="L140" s="111"/>
      <c r="M140" s="111"/>
      <c r="N140" s="111"/>
      <c r="O140" s="111"/>
      <c r="P140" s="111"/>
      <c r="Q140" s="112"/>
      <c r="R140" s="112"/>
    </row>
    <row r="141" spans="1:18" ht="15" x14ac:dyDescent="0.25">
      <c r="A141" s="109"/>
      <c r="B141" s="78"/>
      <c r="C141" s="78"/>
      <c r="D141" s="78"/>
      <c r="E141" s="78"/>
      <c r="F141" s="110"/>
      <c r="G141" s="115"/>
      <c r="H141" s="78"/>
      <c r="I141" s="78"/>
      <c r="J141" s="78"/>
      <c r="K141" s="110"/>
      <c r="L141" s="78"/>
      <c r="M141" s="78"/>
      <c r="N141" s="78"/>
      <c r="O141" s="78"/>
      <c r="P141" s="78"/>
      <c r="Q141" s="110"/>
      <c r="R141" s="110"/>
    </row>
    <row r="142" spans="1:18" ht="15" x14ac:dyDescent="0.25">
      <c r="A142" s="109"/>
      <c r="B142" s="111"/>
      <c r="C142" s="111"/>
      <c r="D142" s="111"/>
      <c r="E142" s="111"/>
      <c r="F142" s="112"/>
      <c r="G142" s="114"/>
      <c r="H142" s="111"/>
      <c r="I142" s="111"/>
      <c r="J142" s="111"/>
      <c r="K142" s="112"/>
      <c r="L142" s="111"/>
      <c r="M142" s="111"/>
      <c r="N142" s="111"/>
      <c r="O142" s="111"/>
      <c r="P142" s="111"/>
      <c r="Q142" s="112"/>
      <c r="R142" s="112"/>
    </row>
    <row r="143" spans="1:18" ht="15" x14ac:dyDescent="0.25">
      <c r="A143" s="109"/>
      <c r="B143" s="78"/>
      <c r="C143" s="78"/>
      <c r="D143" s="78"/>
      <c r="E143" s="78"/>
      <c r="F143" s="110"/>
      <c r="G143" s="115"/>
      <c r="H143" s="78"/>
      <c r="I143" s="78"/>
      <c r="J143" s="78"/>
      <c r="K143" s="110"/>
      <c r="L143" s="78"/>
      <c r="M143" s="78"/>
      <c r="N143" s="78"/>
      <c r="O143" s="78"/>
      <c r="P143" s="78"/>
      <c r="Q143" s="110"/>
      <c r="R143" s="110"/>
    </row>
    <row r="144" spans="1:18" ht="15" x14ac:dyDescent="0.25">
      <c r="A144" s="109"/>
      <c r="B144" s="111"/>
      <c r="C144" s="111"/>
      <c r="D144" s="111"/>
      <c r="E144" s="111"/>
      <c r="F144" s="112"/>
      <c r="G144" s="114"/>
      <c r="H144" s="111"/>
      <c r="I144" s="111"/>
      <c r="J144" s="111"/>
      <c r="K144" s="112"/>
      <c r="L144" s="111"/>
      <c r="M144" s="111"/>
      <c r="N144" s="111"/>
      <c r="O144" s="111"/>
      <c r="P144" s="111"/>
      <c r="Q144" s="112"/>
      <c r="R144" s="112"/>
    </row>
    <row r="145" spans="1:18" ht="15" x14ac:dyDescent="0.25">
      <c r="A145" s="109"/>
      <c r="B145" s="78"/>
      <c r="C145" s="78"/>
      <c r="D145" s="78"/>
      <c r="E145" s="78"/>
      <c r="F145" s="110"/>
      <c r="G145" s="115"/>
      <c r="H145" s="78"/>
      <c r="I145" s="78"/>
      <c r="J145" s="78"/>
      <c r="K145" s="110"/>
      <c r="L145" s="78"/>
      <c r="M145" s="78"/>
      <c r="N145" s="78"/>
      <c r="O145" s="78"/>
      <c r="P145" s="78"/>
      <c r="Q145" s="110"/>
      <c r="R145" s="110"/>
    </row>
    <row r="146" spans="1:18" ht="15" x14ac:dyDescent="0.25">
      <c r="A146" s="109"/>
      <c r="B146" s="111"/>
      <c r="C146" s="111"/>
      <c r="D146" s="111"/>
      <c r="E146" s="111"/>
      <c r="F146" s="112"/>
      <c r="G146" s="114"/>
      <c r="H146" s="111"/>
      <c r="I146" s="111"/>
      <c r="J146" s="111"/>
      <c r="K146" s="112"/>
      <c r="L146" s="111"/>
      <c r="M146" s="111"/>
      <c r="N146" s="111"/>
      <c r="O146" s="111"/>
      <c r="P146" s="111"/>
      <c r="Q146" s="112"/>
      <c r="R146" s="112"/>
    </row>
    <row r="147" spans="1:18" ht="15" x14ac:dyDescent="0.25">
      <c r="A147" s="109"/>
      <c r="B147" s="78"/>
      <c r="C147" s="78"/>
      <c r="D147" s="78"/>
      <c r="E147" s="78"/>
      <c r="F147" s="110"/>
      <c r="G147" s="115"/>
      <c r="H147" s="78"/>
      <c r="I147" s="78"/>
      <c r="J147" s="78"/>
      <c r="K147" s="110"/>
      <c r="L147" s="78"/>
      <c r="M147" s="78"/>
      <c r="N147" s="78"/>
      <c r="O147" s="78"/>
      <c r="P147" s="78"/>
      <c r="Q147" s="110"/>
      <c r="R147" s="110"/>
    </row>
    <row r="148" spans="1:18" ht="15" x14ac:dyDescent="0.25">
      <c r="A148" s="109"/>
      <c r="B148" s="111"/>
      <c r="C148" s="111"/>
      <c r="D148" s="111"/>
      <c r="E148" s="111"/>
      <c r="F148" s="112"/>
      <c r="G148" s="114"/>
      <c r="H148" s="111"/>
      <c r="I148" s="111"/>
      <c r="J148" s="111"/>
      <c r="K148" s="112"/>
      <c r="L148" s="111"/>
      <c r="M148" s="111"/>
      <c r="N148" s="111"/>
      <c r="O148" s="111"/>
      <c r="P148" s="111"/>
      <c r="Q148" s="112"/>
      <c r="R148" s="112"/>
    </row>
    <row r="149" spans="1:18" ht="15" x14ac:dyDescent="0.25">
      <c r="A149" s="109"/>
      <c r="B149" s="78"/>
      <c r="C149" s="78"/>
      <c r="D149" s="78"/>
      <c r="E149" s="78"/>
      <c r="F149" s="110"/>
      <c r="G149" s="115"/>
      <c r="H149" s="78"/>
      <c r="I149" s="78"/>
      <c r="J149" s="78"/>
      <c r="K149" s="110"/>
      <c r="L149" s="78"/>
      <c r="M149" s="78"/>
      <c r="N149" s="78"/>
      <c r="O149" s="78"/>
      <c r="P149" s="78"/>
      <c r="Q149" s="110"/>
      <c r="R149" s="110"/>
    </row>
    <row r="150" spans="1:18" ht="15" x14ac:dyDescent="0.25">
      <c r="A150" s="109"/>
      <c r="B150" s="111"/>
      <c r="C150" s="111"/>
      <c r="D150" s="111"/>
      <c r="E150" s="111"/>
      <c r="F150" s="112"/>
      <c r="G150" s="114"/>
      <c r="H150" s="111"/>
      <c r="I150" s="111"/>
      <c r="J150" s="111"/>
      <c r="K150" s="112"/>
      <c r="L150" s="111"/>
      <c r="M150" s="111"/>
      <c r="N150" s="111"/>
      <c r="O150" s="111"/>
      <c r="P150" s="111"/>
      <c r="Q150" s="112"/>
      <c r="R150" s="112"/>
    </row>
    <row r="151" spans="1:18" ht="15" x14ac:dyDescent="0.25">
      <c r="A151" s="109"/>
      <c r="B151" s="78"/>
      <c r="C151" s="78"/>
      <c r="D151" s="78"/>
      <c r="E151" s="78"/>
      <c r="F151" s="110"/>
      <c r="G151" s="115"/>
      <c r="H151" s="78"/>
      <c r="I151" s="78"/>
      <c r="J151" s="78"/>
      <c r="K151" s="110"/>
      <c r="L151" s="78"/>
      <c r="M151" s="78"/>
      <c r="N151" s="78"/>
      <c r="O151" s="78"/>
      <c r="P151" s="78"/>
      <c r="Q151" s="110"/>
      <c r="R151" s="110"/>
    </row>
    <row r="152" spans="1:18" ht="15" x14ac:dyDescent="0.25">
      <c r="A152" s="109"/>
      <c r="B152" s="111"/>
      <c r="C152" s="111"/>
      <c r="D152" s="111"/>
      <c r="E152" s="111"/>
      <c r="F152" s="112"/>
      <c r="G152" s="114"/>
      <c r="H152" s="111"/>
      <c r="I152" s="111"/>
      <c r="J152" s="111"/>
      <c r="K152" s="112"/>
      <c r="L152" s="111"/>
      <c r="M152" s="111"/>
      <c r="N152" s="111"/>
      <c r="O152" s="111"/>
      <c r="P152" s="111"/>
      <c r="Q152" s="112"/>
      <c r="R152" s="112"/>
    </row>
    <row r="153" spans="1:18" ht="15" x14ac:dyDescent="0.25">
      <c r="A153" s="109"/>
      <c r="B153" s="78"/>
      <c r="C153" s="78"/>
      <c r="D153" s="78"/>
      <c r="E153" s="78"/>
      <c r="F153" s="110"/>
      <c r="G153" s="115"/>
      <c r="H153" s="78"/>
      <c r="I153" s="78"/>
      <c r="J153" s="78"/>
      <c r="K153" s="110"/>
      <c r="L153" s="78"/>
      <c r="M153" s="78"/>
      <c r="N153" s="78"/>
      <c r="O153" s="78"/>
      <c r="P153" s="78"/>
      <c r="Q153" s="110"/>
      <c r="R153" s="110"/>
    </row>
    <row r="154" spans="1:18" ht="15" x14ac:dyDescent="0.25">
      <c r="A154" s="109"/>
      <c r="B154" s="111"/>
      <c r="C154" s="111"/>
      <c r="D154" s="111"/>
      <c r="E154" s="111"/>
      <c r="F154" s="112"/>
      <c r="G154" s="114"/>
      <c r="H154" s="111"/>
      <c r="I154" s="111"/>
      <c r="J154" s="111"/>
      <c r="K154" s="112"/>
      <c r="L154" s="111"/>
      <c r="M154" s="111"/>
      <c r="N154" s="111"/>
      <c r="O154" s="111"/>
      <c r="P154" s="111"/>
      <c r="Q154" s="112"/>
      <c r="R154" s="112"/>
    </row>
    <row r="155" spans="1:18" ht="15" x14ac:dyDescent="0.25">
      <c r="A155" s="109"/>
      <c r="B155" s="78"/>
      <c r="C155" s="78"/>
      <c r="D155" s="78"/>
      <c r="E155" s="78"/>
      <c r="F155" s="110"/>
      <c r="G155" s="115"/>
      <c r="H155" s="78"/>
      <c r="I155" s="78"/>
      <c r="J155" s="78"/>
      <c r="K155" s="110"/>
      <c r="L155" s="78"/>
      <c r="M155" s="78"/>
      <c r="N155" s="78"/>
      <c r="O155" s="78"/>
      <c r="P155" s="78"/>
      <c r="Q155" s="110"/>
      <c r="R155" s="110"/>
    </row>
    <row r="156" spans="1:18" ht="15" x14ac:dyDescent="0.25">
      <c r="A156" s="109"/>
      <c r="B156" s="111"/>
      <c r="C156" s="111"/>
      <c r="D156" s="111"/>
      <c r="E156" s="111"/>
      <c r="F156" s="112"/>
      <c r="G156" s="114"/>
      <c r="H156" s="111"/>
      <c r="I156" s="111"/>
      <c r="J156" s="111"/>
      <c r="K156" s="112"/>
      <c r="L156" s="111"/>
      <c r="M156" s="111"/>
      <c r="N156" s="111"/>
      <c r="O156" s="111"/>
      <c r="P156" s="111"/>
      <c r="Q156" s="112"/>
      <c r="R156" s="112"/>
    </row>
    <row r="157" spans="1:18" ht="15" x14ac:dyDescent="0.25">
      <c r="A157" s="109"/>
      <c r="B157" s="78"/>
      <c r="C157" s="78"/>
      <c r="D157" s="78"/>
      <c r="E157" s="78"/>
      <c r="F157" s="110"/>
      <c r="G157" s="115"/>
      <c r="H157" s="78"/>
      <c r="I157" s="78"/>
      <c r="J157" s="78"/>
      <c r="K157" s="110"/>
      <c r="L157" s="78"/>
      <c r="M157" s="78"/>
      <c r="N157" s="78"/>
      <c r="O157" s="78"/>
      <c r="P157" s="78"/>
      <c r="Q157" s="110"/>
      <c r="R157" s="110"/>
    </row>
    <row r="158" spans="1:18" ht="15" x14ac:dyDescent="0.25">
      <c r="A158" s="109"/>
      <c r="B158" s="111"/>
      <c r="C158" s="111"/>
      <c r="D158" s="111"/>
      <c r="E158" s="111"/>
      <c r="F158" s="112"/>
      <c r="G158" s="114"/>
      <c r="H158" s="111"/>
      <c r="I158" s="111"/>
      <c r="J158" s="111"/>
      <c r="K158" s="112"/>
      <c r="L158" s="111"/>
      <c r="M158" s="111"/>
      <c r="N158" s="111"/>
      <c r="O158" s="111"/>
      <c r="P158" s="111"/>
      <c r="Q158" s="112"/>
      <c r="R158" s="112"/>
    </row>
    <row r="159" spans="1:18" ht="15" x14ac:dyDescent="0.25">
      <c r="A159" s="109"/>
      <c r="B159" s="78"/>
      <c r="C159" s="78"/>
      <c r="D159" s="78"/>
      <c r="E159" s="78"/>
      <c r="F159" s="110"/>
      <c r="G159" s="115"/>
      <c r="H159" s="78"/>
      <c r="I159" s="78"/>
      <c r="J159" s="78"/>
      <c r="K159" s="110"/>
      <c r="L159" s="78"/>
      <c r="M159" s="78"/>
      <c r="N159" s="78"/>
      <c r="O159" s="78"/>
      <c r="P159" s="78"/>
      <c r="Q159" s="110"/>
      <c r="R159" s="110"/>
    </row>
    <row r="160" spans="1:18" ht="15" x14ac:dyDescent="0.25">
      <c r="A160" s="109"/>
      <c r="B160" s="111"/>
      <c r="C160" s="111"/>
      <c r="D160" s="111"/>
      <c r="E160" s="111"/>
      <c r="F160" s="112"/>
      <c r="G160" s="114"/>
      <c r="H160" s="111"/>
      <c r="I160" s="111"/>
      <c r="J160" s="111"/>
      <c r="K160" s="112"/>
      <c r="L160" s="111"/>
      <c r="M160" s="111"/>
      <c r="N160" s="111"/>
      <c r="O160" s="111"/>
      <c r="P160" s="111"/>
      <c r="Q160" s="112"/>
      <c r="R160" s="112"/>
    </row>
    <row r="161" spans="1:18" ht="15" x14ac:dyDescent="0.25">
      <c r="A161" s="109"/>
      <c r="B161" s="78"/>
      <c r="C161" s="78"/>
      <c r="D161" s="78"/>
      <c r="E161" s="78"/>
      <c r="F161" s="110"/>
      <c r="G161" s="115"/>
      <c r="H161" s="78"/>
      <c r="I161" s="78"/>
      <c r="J161" s="78"/>
      <c r="K161" s="110"/>
      <c r="L161" s="78"/>
      <c r="M161" s="78"/>
      <c r="N161" s="78"/>
      <c r="O161" s="78"/>
      <c r="P161" s="78"/>
      <c r="Q161" s="110"/>
      <c r="R161" s="110"/>
    </row>
    <row r="162" spans="1:18" ht="15" x14ac:dyDescent="0.25">
      <c r="A162" s="109"/>
      <c r="B162" s="111"/>
      <c r="C162" s="111"/>
      <c r="D162" s="111"/>
      <c r="E162" s="111"/>
      <c r="F162" s="112"/>
      <c r="G162" s="114"/>
      <c r="H162" s="111"/>
      <c r="I162" s="111"/>
      <c r="J162" s="111"/>
      <c r="K162" s="112"/>
      <c r="L162" s="111"/>
      <c r="M162" s="111"/>
      <c r="N162" s="111"/>
      <c r="O162" s="111"/>
      <c r="P162" s="111"/>
      <c r="Q162" s="112"/>
      <c r="R162" s="112"/>
    </row>
    <row r="163" spans="1:18" ht="15" x14ac:dyDescent="0.25">
      <c r="A163" s="109"/>
      <c r="B163" s="78"/>
      <c r="C163" s="78"/>
      <c r="D163" s="78"/>
      <c r="E163" s="78"/>
      <c r="F163" s="110"/>
      <c r="G163" s="115"/>
      <c r="H163" s="78"/>
      <c r="I163" s="78"/>
      <c r="J163" s="78"/>
      <c r="K163" s="110"/>
      <c r="L163" s="78"/>
      <c r="M163" s="78"/>
      <c r="N163" s="78"/>
      <c r="O163" s="78"/>
      <c r="P163" s="78"/>
      <c r="Q163" s="110"/>
      <c r="R163" s="110"/>
    </row>
    <row r="164" spans="1:18" ht="15" x14ac:dyDescent="0.25">
      <c r="A164" s="109"/>
      <c r="B164" s="111"/>
      <c r="C164" s="111"/>
      <c r="D164" s="111"/>
      <c r="E164" s="111"/>
      <c r="F164" s="112"/>
      <c r="G164" s="114"/>
      <c r="H164" s="111"/>
      <c r="I164" s="111"/>
      <c r="J164" s="111"/>
      <c r="K164" s="112"/>
      <c r="L164" s="111"/>
      <c r="M164" s="111"/>
      <c r="N164" s="111"/>
      <c r="O164" s="111"/>
      <c r="P164" s="111"/>
      <c r="Q164" s="112"/>
      <c r="R164" s="112"/>
    </row>
    <row r="165" spans="1:18" ht="15" x14ac:dyDescent="0.25">
      <c r="A165" s="109"/>
      <c r="B165" s="78"/>
      <c r="C165" s="78"/>
      <c r="D165" s="78"/>
      <c r="E165" s="78"/>
      <c r="F165" s="110"/>
      <c r="G165" s="115"/>
      <c r="H165" s="78"/>
      <c r="I165" s="78"/>
      <c r="J165" s="78"/>
      <c r="K165" s="110"/>
      <c r="L165" s="78"/>
      <c r="M165" s="78"/>
      <c r="N165" s="78"/>
      <c r="O165" s="78"/>
      <c r="P165" s="78"/>
      <c r="Q165" s="110"/>
      <c r="R165" s="110"/>
    </row>
    <row r="166" spans="1:18" ht="15" x14ac:dyDescent="0.25">
      <c r="A166" s="109"/>
      <c r="B166" s="111"/>
      <c r="C166" s="111"/>
      <c r="D166" s="111"/>
      <c r="E166" s="111"/>
      <c r="F166" s="112"/>
      <c r="G166" s="114"/>
      <c r="H166" s="111"/>
      <c r="I166" s="111"/>
      <c r="J166" s="111"/>
      <c r="K166" s="112"/>
      <c r="L166" s="111"/>
      <c r="M166" s="111"/>
      <c r="N166" s="111"/>
      <c r="O166" s="111"/>
      <c r="P166" s="111"/>
      <c r="Q166" s="112"/>
      <c r="R166" s="112"/>
    </row>
    <row r="167" spans="1:18" ht="15" x14ac:dyDescent="0.25">
      <c r="A167" s="109"/>
      <c r="B167" s="78"/>
      <c r="C167" s="78"/>
      <c r="D167" s="78"/>
      <c r="E167" s="78"/>
      <c r="F167" s="110"/>
      <c r="G167" s="115"/>
      <c r="H167" s="78"/>
      <c r="I167" s="78"/>
      <c r="J167" s="78"/>
      <c r="K167" s="110"/>
      <c r="L167" s="78"/>
      <c r="M167" s="78"/>
      <c r="N167" s="78"/>
      <c r="O167" s="78"/>
      <c r="P167" s="78"/>
      <c r="Q167" s="110"/>
      <c r="R167" s="110"/>
    </row>
    <row r="168" spans="1:18" ht="15" x14ac:dyDescent="0.25">
      <c r="A168" s="109"/>
      <c r="B168" s="111"/>
      <c r="C168" s="111"/>
      <c r="D168" s="111"/>
      <c r="E168" s="111"/>
      <c r="F168" s="112"/>
      <c r="G168" s="114"/>
      <c r="H168" s="111"/>
      <c r="I168" s="111"/>
      <c r="J168" s="111"/>
      <c r="K168" s="112"/>
      <c r="L168" s="111"/>
      <c r="M168" s="111"/>
      <c r="N168" s="111"/>
      <c r="O168" s="111"/>
      <c r="P168" s="111"/>
      <c r="Q168" s="112"/>
      <c r="R168" s="112"/>
    </row>
    <row r="169" spans="1:18" ht="15" x14ac:dyDescent="0.25">
      <c r="A169" s="109"/>
      <c r="B169" s="78"/>
      <c r="C169" s="78"/>
      <c r="D169" s="78"/>
      <c r="E169" s="78"/>
      <c r="F169" s="110"/>
      <c r="G169" s="115"/>
      <c r="H169" s="78"/>
      <c r="I169" s="78"/>
      <c r="J169" s="78"/>
      <c r="K169" s="110"/>
      <c r="L169" s="78"/>
      <c r="M169" s="78"/>
      <c r="N169" s="78"/>
      <c r="O169" s="78"/>
      <c r="P169" s="78"/>
      <c r="Q169" s="110"/>
      <c r="R169" s="110"/>
    </row>
    <row r="170" spans="1:18" ht="15" x14ac:dyDescent="0.25">
      <c r="A170" s="109"/>
      <c r="B170" s="111"/>
      <c r="C170" s="111"/>
      <c r="D170" s="111"/>
      <c r="E170" s="111"/>
      <c r="F170" s="112"/>
      <c r="G170" s="114"/>
      <c r="H170" s="111"/>
      <c r="I170" s="111"/>
      <c r="J170" s="111"/>
      <c r="K170" s="112"/>
      <c r="L170" s="111"/>
      <c r="M170" s="111"/>
      <c r="N170" s="111"/>
      <c r="O170" s="111"/>
      <c r="P170" s="111"/>
      <c r="Q170" s="112"/>
      <c r="R170" s="112"/>
    </row>
    <row r="171" spans="1:18" ht="15" x14ac:dyDescent="0.25">
      <c r="A171" s="109"/>
      <c r="B171" s="78"/>
      <c r="C171" s="78"/>
      <c r="D171" s="78"/>
      <c r="E171" s="78"/>
      <c r="F171" s="110"/>
      <c r="G171" s="115"/>
      <c r="H171" s="78"/>
      <c r="I171" s="78"/>
      <c r="J171" s="78"/>
      <c r="K171" s="110"/>
      <c r="L171" s="78"/>
      <c r="M171" s="78"/>
      <c r="N171" s="78"/>
      <c r="O171" s="78"/>
      <c r="P171" s="78"/>
      <c r="Q171" s="110"/>
      <c r="R171" s="110"/>
    </row>
    <row r="172" spans="1:18" ht="15" x14ac:dyDescent="0.25">
      <c r="A172" s="109"/>
      <c r="B172" s="111"/>
      <c r="C172" s="111"/>
      <c r="D172" s="111"/>
      <c r="E172" s="111"/>
      <c r="F172" s="112"/>
      <c r="G172" s="114"/>
      <c r="H172" s="111"/>
      <c r="I172" s="111"/>
      <c r="J172" s="111"/>
      <c r="K172" s="112"/>
      <c r="L172" s="111"/>
      <c r="M172" s="111"/>
      <c r="N172" s="111"/>
      <c r="O172" s="111"/>
      <c r="P172" s="111"/>
      <c r="Q172" s="112"/>
      <c r="R172" s="112"/>
    </row>
    <row r="173" spans="1:18" ht="15" x14ac:dyDescent="0.25">
      <c r="A173" s="109"/>
      <c r="B173" s="78"/>
      <c r="C173" s="78"/>
      <c r="D173" s="78"/>
      <c r="E173" s="78"/>
      <c r="F173" s="110"/>
      <c r="G173" s="115"/>
      <c r="H173" s="78"/>
      <c r="I173" s="78"/>
      <c r="J173" s="78"/>
      <c r="K173" s="110"/>
      <c r="L173" s="78"/>
      <c r="M173" s="78"/>
      <c r="N173" s="78"/>
      <c r="O173" s="78"/>
      <c r="P173" s="78"/>
      <c r="Q173" s="110"/>
      <c r="R173" s="110"/>
    </row>
    <row r="174" spans="1:18" ht="15" x14ac:dyDescent="0.25">
      <c r="A174" s="109"/>
      <c r="B174" s="111"/>
      <c r="C174" s="111"/>
      <c r="D174" s="111"/>
      <c r="E174" s="111"/>
      <c r="F174" s="112"/>
      <c r="G174" s="114"/>
      <c r="H174" s="111"/>
      <c r="I174" s="111"/>
      <c r="J174" s="111"/>
      <c r="K174" s="112"/>
      <c r="L174" s="111"/>
      <c r="M174" s="111"/>
      <c r="N174" s="111"/>
      <c r="O174" s="111"/>
      <c r="P174" s="111"/>
      <c r="Q174" s="112"/>
      <c r="R174" s="112"/>
    </row>
    <row r="175" spans="1:18" ht="15" x14ac:dyDescent="0.25">
      <c r="A175" s="109"/>
      <c r="B175" s="78"/>
      <c r="C175" s="78"/>
      <c r="D175" s="78"/>
      <c r="E175" s="78"/>
      <c r="F175" s="110"/>
      <c r="G175" s="115"/>
      <c r="H175" s="78"/>
      <c r="I175" s="78"/>
      <c r="J175" s="78"/>
      <c r="K175" s="110"/>
      <c r="L175" s="78"/>
      <c r="M175" s="78"/>
      <c r="N175" s="78"/>
      <c r="O175" s="78"/>
      <c r="P175" s="78"/>
      <c r="Q175" s="110"/>
      <c r="R175" s="110"/>
    </row>
    <row r="176" spans="1:18" ht="15" x14ac:dyDescent="0.25">
      <c r="A176" s="109"/>
      <c r="B176" s="111"/>
      <c r="C176" s="111"/>
      <c r="D176" s="111"/>
      <c r="E176" s="111"/>
      <c r="F176" s="112"/>
      <c r="G176" s="114"/>
      <c r="H176" s="111"/>
      <c r="I176" s="111"/>
      <c r="J176" s="111"/>
      <c r="K176" s="112"/>
      <c r="L176" s="111"/>
      <c r="M176" s="111"/>
      <c r="N176" s="111"/>
      <c r="O176" s="111"/>
      <c r="P176" s="111"/>
      <c r="Q176" s="112"/>
      <c r="R176" s="112"/>
    </row>
    <row r="177" spans="1:18" ht="15" x14ac:dyDescent="0.25">
      <c r="A177" s="109"/>
      <c r="B177" s="78"/>
      <c r="C177" s="78"/>
      <c r="D177" s="78"/>
      <c r="E177" s="78"/>
      <c r="F177" s="110"/>
      <c r="G177" s="115"/>
      <c r="H177" s="78"/>
      <c r="I177" s="78"/>
      <c r="J177" s="78"/>
      <c r="K177" s="110"/>
      <c r="L177" s="78"/>
      <c r="M177" s="78"/>
      <c r="N177" s="78"/>
      <c r="O177" s="78"/>
      <c r="P177" s="78"/>
      <c r="Q177" s="110"/>
      <c r="R177" s="110"/>
    </row>
    <row r="178" spans="1:18" ht="15" x14ac:dyDescent="0.25">
      <c r="A178" s="109"/>
      <c r="B178" s="111"/>
      <c r="C178" s="111"/>
      <c r="D178" s="111"/>
      <c r="E178" s="111"/>
      <c r="F178" s="112"/>
      <c r="G178" s="114"/>
      <c r="H178" s="111"/>
      <c r="I178" s="111"/>
      <c r="J178" s="111"/>
      <c r="K178" s="112"/>
      <c r="L178" s="111"/>
      <c r="M178" s="111"/>
      <c r="N178" s="111"/>
      <c r="O178" s="111"/>
      <c r="P178" s="111"/>
      <c r="Q178" s="112"/>
      <c r="R178" s="112"/>
    </row>
    <row r="179" spans="1:18" ht="15" x14ac:dyDescent="0.25">
      <c r="A179" s="109"/>
      <c r="B179" s="78"/>
      <c r="C179" s="78"/>
      <c r="D179" s="78"/>
      <c r="E179" s="78"/>
      <c r="F179" s="110"/>
      <c r="G179" s="115"/>
      <c r="H179" s="78"/>
      <c r="I179" s="78"/>
      <c r="J179" s="78"/>
      <c r="K179" s="110"/>
      <c r="L179" s="78"/>
      <c r="M179" s="78"/>
      <c r="N179" s="78"/>
      <c r="O179" s="78"/>
      <c r="P179" s="78"/>
      <c r="Q179" s="110"/>
      <c r="R179" s="110"/>
    </row>
    <row r="180" spans="1:18" ht="15" x14ac:dyDescent="0.25">
      <c r="A180" s="109"/>
      <c r="B180" s="111"/>
      <c r="C180" s="111"/>
      <c r="D180" s="111"/>
      <c r="E180" s="111"/>
      <c r="F180" s="112"/>
      <c r="G180" s="114"/>
      <c r="H180" s="111"/>
      <c r="I180" s="111"/>
      <c r="J180" s="111"/>
      <c r="K180" s="112"/>
      <c r="L180" s="111"/>
      <c r="M180" s="111"/>
      <c r="N180" s="111"/>
      <c r="O180" s="111"/>
      <c r="P180" s="111"/>
      <c r="Q180" s="112"/>
      <c r="R180" s="112"/>
    </row>
    <row r="181" spans="1:18" ht="15" x14ac:dyDescent="0.25">
      <c r="A181" s="109"/>
      <c r="B181" s="78"/>
      <c r="C181" s="78"/>
      <c r="D181" s="78"/>
      <c r="E181" s="78"/>
      <c r="F181" s="110"/>
      <c r="G181" s="115"/>
      <c r="H181" s="78"/>
      <c r="I181" s="78"/>
      <c r="J181" s="78"/>
      <c r="K181" s="110"/>
      <c r="L181" s="78"/>
      <c r="M181" s="78"/>
      <c r="N181" s="78"/>
      <c r="O181" s="78"/>
      <c r="P181" s="78"/>
      <c r="Q181" s="110"/>
      <c r="R181" s="110"/>
    </row>
    <row r="182" spans="1:18" ht="15" x14ac:dyDescent="0.25">
      <c r="A182" s="109"/>
      <c r="B182" s="111"/>
      <c r="C182" s="111"/>
      <c r="D182" s="111"/>
      <c r="E182" s="111"/>
      <c r="F182" s="112"/>
      <c r="G182" s="114"/>
      <c r="H182" s="111"/>
      <c r="I182" s="111"/>
      <c r="J182" s="111"/>
      <c r="K182" s="112"/>
      <c r="L182" s="111"/>
      <c r="M182" s="111"/>
      <c r="N182" s="111"/>
      <c r="O182" s="111"/>
      <c r="P182" s="111"/>
      <c r="Q182" s="112"/>
      <c r="R182" s="112"/>
    </row>
    <row r="183" spans="1:18" ht="15" x14ac:dyDescent="0.25">
      <c r="A183" s="109"/>
      <c r="B183" s="78"/>
      <c r="C183" s="78"/>
      <c r="D183" s="78"/>
      <c r="E183" s="78"/>
      <c r="F183" s="110"/>
      <c r="G183" s="115"/>
      <c r="H183" s="78"/>
      <c r="I183" s="78"/>
      <c r="J183" s="78"/>
      <c r="K183" s="110"/>
      <c r="L183" s="78"/>
      <c r="M183" s="78"/>
      <c r="N183" s="78"/>
      <c r="O183" s="78"/>
      <c r="P183" s="78"/>
      <c r="Q183" s="110"/>
      <c r="R183" s="110"/>
    </row>
    <row r="184" spans="1:18" ht="15" x14ac:dyDescent="0.25">
      <c r="A184" s="109"/>
      <c r="B184" s="111"/>
      <c r="C184" s="111"/>
      <c r="D184" s="111"/>
      <c r="E184" s="111"/>
      <c r="F184" s="112"/>
      <c r="G184" s="114"/>
      <c r="H184" s="111"/>
      <c r="I184" s="111"/>
      <c r="J184" s="111"/>
      <c r="K184" s="112"/>
      <c r="L184" s="111"/>
      <c r="M184" s="111"/>
      <c r="N184" s="111"/>
      <c r="O184" s="111"/>
      <c r="P184" s="111"/>
      <c r="Q184" s="112"/>
      <c r="R184" s="112"/>
    </row>
    <row r="185" spans="1:18" ht="15" x14ac:dyDescent="0.25">
      <c r="A185" s="109"/>
      <c r="B185" s="78"/>
      <c r="C185" s="78"/>
      <c r="D185" s="78"/>
      <c r="E185" s="78"/>
      <c r="F185" s="110"/>
      <c r="G185" s="115"/>
      <c r="H185" s="78"/>
      <c r="I185" s="78"/>
      <c r="J185" s="78"/>
      <c r="K185" s="110"/>
      <c r="L185" s="78"/>
      <c r="M185" s="78"/>
      <c r="N185" s="78"/>
      <c r="O185" s="78"/>
      <c r="P185" s="78"/>
      <c r="Q185" s="110"/>
      <c r="R185" s="110"/>
    </row>
    <row r="186" spans="1:18" ht="15" x14ac:dyDescent="0.25">
      <c r="A186" s="109"/>
      <c r="B186" s="111"/>
      <c r="C186" s="111"/>
      <c r="D186" s="111"/>
      <c r="E186" s="111"/>
      <c r="F186" s="112"/>
      <c r="G186" s="114"/>
      <c r="H186" s="111"/>
      <c r="I186" s="111"/>
      <c r="J186" s="111"/>
      <c r="K186" s="112"/>
      <c r="L186" s="111"/>
      <c r="M186" s="111"/>
      <c r="N186" s="111"/>
      <c r="O186" s="111"/>
      <c r="P186" s="111"/>
      <c r="Q186" s="112"/>
      <c r="R186" s="112"/>
    </row>
    <row r="187" spans="1:18" ht="15" x14ac:dyDescent="0.25">
      <c r="A187" s="109"/>
      <c r="B187" s="78"/>
      <c r="C187" s="78"/>
      <c r="D187" s="78"/>
      <c r="E187" s="78"/>
      <c r="F187" s="110"/>
      <c r="G187" s="115"/>
      <c r="H187" s="78"/>
      <c r="I187" s="78"/>
      <c r="J187" s="78"/>
      <c r="K187" s="110"/>
      <c r="L187" s="78"/>
      <c r="M187" s="78"/>
      <c r="N187" s="78"/>
      <c r="O187" s="78"/>
      <c r="P187" s="78"/>
      <c r="Q187" s="110"/>
      <c r="R187" s="110"/>
    </row>
    <row r="188" spans="1:18" ht="15" x14ac:dyDescent="0.25">
      <c r="A188" s="109"/>
      <c r="B188" s="111"/>
      <c r="C188" s="111"/>
      <c r="D188" s="111"/>
      <c r="E188" s="111"/>
      <c r="F188" s="112"/>
      <c r="G188" s="114"/>
      <c r="H188" s="111"/>
      <c r="I188" s="111"/>
      <c r="J188" s="111"/>
      <c r="K188" s="112"/>
      <c r="L188" s="111"/>
      <c r="M188" s="111"/>
      <c r="N188" s="111"/>
      <c r="O188" s="111"/>
      <c r="P188" s="111"/>
      <c r="Q188" s="112"/>
      <c r="R188" s="112"/>
    </row>
    <row r="189" spans="1:18" ht="15" x14ac:dyDescent="0.25">
      <c r="A189" s="109"/>
      <c r="B189" s="78"/>
      <c r="C189" s="78"/>
      <c r="D189" s="78"/>
      <c r="E189" s="78"/>
      <c r="F189" s="110"/>
      <c r="G189" s="115"/>
      <c r="H189" s="78"/>
      <c r="I189" s="78"/>
      <c r="J189" s="78"/>
      <c r="K189" s="110"/>
      <c r="L189" s="78"/>
      <c r="M189" s="78"/>
      <c r="N189" s="78"/>
      <c r="O189" s="78"/>
      <c r="P189" s="78"/>
      <c r="Q189" s="110"/>
      <c r="R189" s="110"/>
    </row>
    <row r="190" spans="1:18" ht="15" x14ac:dyDescent="0.25">
      <c r="A190" s="109"/>
      <c r="B190" s="111"/>
      <c r="C190" s="111"/>
      <c r="D190" s="111"/>
      <c r="E190" s="111"/>
      <c r="F190" s="112"/>
      <c r="G190" s="114"/>
      <c r="H190" s="111"/>
      <c r="I190" s="111"/>
      <c r="J190" s="111"/>
      <c r="K190" s="112"/>
      <c r="L190" s="111"/>
      <c r="M190" s="111"/>
      <c r="N190" s="111"/>
      <c r="O190" s="111"/>
      <c r="P190" s="111"/>
      <c r="Q190" s="112"/>
      <c r="R190" s="112"/>
    </row>
    <row r="191" spans="1:18" ht="15" x14ac:dyDescent="0.25">
      <c r="A191" s="109"/>
      <c r="B191" s="78"/>
      <c r="C191" s="78"/>
      <c r="D191" s="78"/>
      <c r="E191" s="78"/>
      <c r="F191" s="110"/>
      <c r="G191" s="115"/>
      <c r="H191" s="78"/>
      <c r="I191" s="78"/>
      <c r="J191" s="78"/>
      <c r="K191" s="110"/>
      <c r="L191" s="78"/>
      <c r="M191" s="78"/>
      <c r="N191" s="78"/>
      <c r="O191" s="78"/>
      <c r="P191" s="78"/>
      <c r="Q191" s="110"/>
      <c r="R191" s="110"/>
    </row>
    <row r="192" spans="1:18" ht="15" x14ac:dyDescent="0.25">
      <c r="A192" s="109"/>
      <c r="B192" s="111"/>
      <c r="C192" s="111"/>
      <c r="D192" s="111"/>
      <c r="E192" s="111"/>
      <c r="F192" s="112"/>
      <c r="G192" s="114"/>
      <c r="H192" s="111"/>
      <c r="I192" s="111"/>
      <c r="J192" s="111"/>
      <c r="K192" s="112"/>
      <c r="L192" s="111"/>
      <c r="M192" s="111"/>
      <c r="N192" s="111"/>
      <c r="O192" s="111"/>
      <c r="P192" s="111"/>
      <c r="Q192" s="112"/>
      <c r="R192" s="112"/>
    </row>
    <row r="193" spans="1:18" ht="15" x14ac:dyDescent="0.25">
      <c r="A193" s="109"/>
      <c r="B193" s="78"/>
      <c r="C193" s="78"/>
      <c r="D193" s="78"/>
      <c r="E193" s="78"/>
      <c r="F193" s="110"/>
      <c r="G193" s="115"/>
      <c r="H193" s="78"/>
      <c r="I193" s="78"/>
      <c r="J193" s="78"/>
      <c r="K193" s="110"/>
      <c r="L193" s="78"/>
      <c r="M193" s="78"/>
      <c r="N193" s="78"/>
      <c r="O193" s="78"/>
      <c r="P193" s="78"/>
      <c r="Q193" s="110"/>
      <c r="R193" s="110"/>
    </row>
    <row r="194" spans="1:18" ht="15" x14ac:dyDescent="0.25">
      <c r="A194" s="109"/>
      <c r="B194" s="111"/>
      <c r="C194" s="111"/>
      <c r="D194" s="111"/>
      <c r="E194" s="111"/>
      <c r="F194" s="112"/>
      <c r="G194" s="114"/>
      <c r="H194" s="111"/>
      <c r="I194" s="111"/>
      <c r="J194" s="111"/>
      <c r="K194" s="112"/>
      <c r="L194" s="111"/>
      <c r="M194" s="111"/>
      <c r="N194" s="111"/>
      <c r="O194" s="111"/>
      <c r="P194" s="111"/>
      <c r="Q194" s="112"/>
      <c r="R194" s="112"/>
    </row>
    <row r="195" spans="1:18" ht="15" x14ac:dyDescent="0.25">
      <c r="A195" s="109"/>
      <c r="B195" s="78"/>
      <c r="C195" s="78"/>
      <c r="D195" s="78"/>
      <c r="E195" s="78"/>
      <c r="F195" s="110"/>
      <c r="G195" s="115"/>
      <c r="H195" s="78"/>
      <c r="I195" s="78"/>
      <c r="J195" s="78"/>
      <c r="K195" s="110"/>
      <c r="L195" s="78"/>
      <c r="M195" s="78"/>
      <c r="N195" s="78"/>
      <c r="O195" s="78"/>
      <c r="P195" s="78"/>
      <c r="Q195" s="110"/>
      <c r="R195" s="110"/>
    </row>
    <row r="196" spans="1:18" ht="15" x14ac:dyDescent="0.25">
      <c r="A196" s="109"/>
      <c r="B196" s="111"/>
      <c r="C196" s="111"/>
      <c r="D196" s="111"/>
      <c r="E196" s="111"/>
      <c r="F196" s="112"/>
      <c r="G196" s="114"/>
      <c r="H196" s="111"/>
      <c r="I196" s="111"/>
      <c r="J196" s="111"/>
      <c r="K196" s="112"/>
      <c r="L196" s="111"/>
      <c r="M196" s="111"/>
      <c r="N196" s="111"/>
      <c r="O196" s="111"/>
      <c r="P196" s="111"/>
      <c r="Q196" s="112"/>
      <c r="R196" s="112"/>
    </row>
    <row r="197" spans="1:18" ht="15" x14ac:dyDescent="0.25">
      <c r="A197" s="109"/>
      <c r="B197" s="78"/>
      <c r="C197" s="78"/>
      <c r="D197" s="78"/>
      <c r="E197" s="78"/>
      <c r="F197" s="110"/>
      <c r="G197" s="115"/>
      <c r="H197" s="78"/>
      <c r="I197" s="78"/>
      <c r="J197" s="78"/>
      <c r="K197" s="110"/>
      <c r="L197" s="78"/>
      <c r="M197" s="78"/>
      <c r="N197" s="78"/>
      <c r="O197" s="78"/>
      <c r="P197" s="78"/>
      <c r="Q197" s="110"/>
      <c r="R197" s="110"/>
    </row>
    <row r="198" spans="1:18" ht="15" x14ac:dyDescent="0.25">
      <c r="A198" s="109"/>
      <c r="B198" s="111"/>
      <c r="C198" s="111"/>
      <c r="D198" s="111"/>
      <c r="E198" s="111"/>
      <c r="F198" s="112"/>
      <c r="G198" s="114"/>
      <c r="H198" s="111"/>
      <c r="I198" s="111"/>
      <c r="J198" s="111"/>
      <c r="K198" s="112"/>
      <c r="L198" s="111"/>
      <c r="M198" s="111"/>
      <c r="N198" s="111"/>
      <c r="O198" s="111"/>
      <c r="P198" s="111"/>
      <c r="Q198" s="112"/>
      <c r="R198" s="112"/>
    </row>
    <row r="199" spans="1:18" ht="15" x14ac:dyDescent="0.25">
      <c r="A199" s="109"/>
      <c r="B199" s="78"/>
      <c r="C199" s="78"/>
      <c r="D199" s="78"/>
      <c r="E199" s="78"/>
      <c r="F199" s="110"/>
      <c r="G199" s="115"/>
      <c r="H199" s="78"/>
      <c r="I199" s="78"/>
      <c r="J199" s="78"/>
      <c r="K199" s="110"/>
      <c r="L199" s="78"/>
      <c r="M199" s="78"/>
      <c r="N199" s="78"/>
      <c r="O199" s="78"/>
      <c r="P199" s="78"/>
      <c r="Q199" s="110"/>
      <c r="R199" s="110"/>
    </row>
    <row r="200" spans="1:18" ht="15" x14ac:dyDescent="0.25">
      <c r="A200" s="109"/>
      <c r="B200" s="111"/>
      <c r="C200" s="111"/>
      <c r="D200" s="111"/>
      <c r="E200" s="111"/>
      <c r="F200" s="112"/>
      <c r="G200" s="114"/>
      <c r="H200" s="111"/>
      <c r="I200" s="111"/>
      <c r="J200" s="111"/>
      <c r="K200" s="112"/>
      <c r="L200" s="111"/>
      <c r="M200" s="111"/>
      <c r="N200" s="111"/>
      <c r="O200" s="111"/>
      <c r="P200" s="111"/>
      <c r="Q200" s="112"/>
      <c r="R200" s="112"/>
    </row>
    <row r="201" spans="1:18" ht="15" x14ac:dyDescent="0.25">
      <c r="A201" s="109"/>
      <c r="B201" s="78"/>
      <c r="C201" s="78"/>
      <c r="D201" s="78"/>
      <c r="E201" s="78"/>
      <c r="F201" s="110"/>
      <c r="G201" s="115"/>
      <c r="H201" s="78"/>
      <c r="I201" s="78"/>
      <c r="J201" s="78"/>
      <c r="K201" s="110"/>
      <c r="L201" s="78"/>
      <c r="M201" s="78"/>
      <c r="N201" s="78"/>
      <c r="O201" s="78"/>
      <c r="P201" s="78"/>
      <c r="Q201" s="110"/>
      <c r="R201" s="110"/>
    </row>
    <row r="202" spans="1:18" ht="15" x14ac:dyDescent="0.25">
      <c r="A202" s="109"/>
      <c r="B202" s="111"/>
      <c r="C202" s="111"/>
      <c r="D202" s="111"/>
      <c r="E202" s="111"/>
      <c r="F202" s="112"/>
      <c r="G202" s="114"/>
      <c r="H202" s="111"/>
      <c r="I202" s="111"/>
      <c r="J202" s="111"/>
      <c r="K202" s="112"/>
      <c r="L202" s="111"/>
      <c r="M202" s="111"/>
      <c r="N202" s="111"/>
      <c r="O202" s="111"/>
      <c r="P202" s="111"/>
      <c r="Q202" s="112"/>
      <c r="R202" s="112"/>
    </row>
    <row r="203" spans="1:18" ht="15" x14ac:dyDescent="0.25">
      <c r="A203" s="109"/>
      <c r="B203" s="78"/>
      <c r="C203" s="78"/>
      <c r="D203" s="78"/>
      <c r="E203" s="78"/>
      <c r="F203" s="110"/>
      <c r="G203" s="115"/>
      <c r="H203" s="78"/>
      <c r="I203" s="78"/>
      <c r="J203" s="78"/>
      <c r="K203" s="110"/>
      <c r="L203" s="78"/>
      <c r="M203" s="78"/>
      <c r="N203" s="78"/>
      <c r="O203" s="78"/>
      <c r="P203" s="78"/>
      <c r="Q203" s="110"/>
      <c r="R203" s="110"/>
    </row>
    <row r="204" spans="1:18" ht="15" x14ac:dyDescent="0.25">
      <c r="A204" s="109"/>
      <c r="B204" s="111"/>
      <c r="C204" s="111"/>
      <c r="D204" s="111"/>
      <c r="E204" s="111"/>
      <c r="F204" s="112"/>
      <c r="G204" s="114"/>
      <c r="H204" s="111"/>
      <c r="I204" s="111"/>
      <c r="J204" s="111"/>
      <c r="K204" s="112"/>
      <c r="L204" s="111"/>
      <c r="M204" s="111"/>
      <c r="N204" s="111"/>
      <c r="O204" s="111"/>
      <c r="P204" s="111"/>
      <c r="Q204" s="112"/>
      <c r="R204" s="112"/>
    </row>
    <row r="205" spans="1:18" ht="15" x14ac:dyDescent="0.25">
      <c r="A205" s="109"/>
      <c r="B205" s="78"/>
      <c r="C205" s="78"/>
      <c r="D205" s="78"/>
      <c r="E205" s="78"/>
      <c r="F205" s="110"/>
      <c r="G205" s="115"/>
      <c r="H205" s="78"/>
      <c r="I205" s="78"/>
      <c r="J205" s="78"/>
      <c r="K205" s="110"/>
      <c r="L205" s="78"/>
      <c r="M205" s="78"/>
      <c r="N205" s="78"/>
      <c r="O205" s="78"/>
      <c r="P205" s="78"/>
      <c r="Q205" s="110"/>
      <c r="R205" s="110"/>
    </row>
    <row r="206" spans="1:18" ht="15" x14ac:dyDescent="0.25">
      <c r="A206" s="109"/>
      <c r="B206" s="111"/>
      <c r="C206" s="111"/>
      <c r="D206" s="111"/>
      <c r="E206" s="111"/>
      <c r="F206" s="112"/>
      <c r="G206" s="114"/>
      <c r="H206" s="111"/>
      <c r="I206" s="111"/>
      <c r="J206" s="111"/>
      <c r="K206" s="112"/>
      <c r="L206" s="111"/>
      <c r="M206" s="111"/>
      <c r="N206" s="111"/>
      <c r="O206" s="111"/>
      <c r="P206" s="111"/>
      <c r="Q206" s="112"/>
      <c r="R206" s="112"/>
    </row>
    <row r="207" spans="1:18" ht="15" x14ac:dyDescent="0.25">
      <c r="A207" s="109"/>
      <c r="B207" s="78"/>
      <c r="C207" s="78"/>
      <c r="D207" s="78"/>
      <c r="E207" s="78"/>
      <c r="F207" s="110"/>
      <c r="G207" s="115"/>
      <c r="H207" s="78"/>
      <c r="I207" s="78"/>
      <c r="J207" s="78"/>
      <c r="K207" s="110"/>
      <c r="L207" s="78"/>
      <c r="M207" s="78"/>
      <c r="N207" s="78"/>
      <c r="O207" s="78"/>
      <c r="P207" s="78"/>
      <c r="Q207" s="110"/>
      <c r="R207" s="110"/>
    </row>
    <row r="208" spans="1:18" ht="15" x14ac:dyDescent="0.25">
      <c r="A208" s="109"/>
      <c r="B208" s="111"/>
      <c r="C208" s="111"/>
      <c r="D208" s="111"/>
      <c r="E208" s="111"/>
      <c r="F208" s="112"/>
      <c r="G208" s="114"/>
      <c r="H208" s="111"/>
      <c r="I208" s="111"/>
      <c r="J208" s="111"/>
      <c r="K208" s="112"/>
      <c r="L208" s="111"/>
      <c r="M208" s="111"/>
      <c r="N208" s="111"/>
      <c r="O208" s="111"/>
      <c r="P208" s="111"/>
      <c r="Q208" s="112"/>
      <c r="R208" s="112"/>
    </row>
    <row r="209" spans="1:18" ht="15" x14ac:dyDescent="0.25">
      <c r="A209" s="109"/>
      <c r="B209" s="78"/>
      <c r="C209" s="78"/>
      <c r="D209" s="78"/>
      <c r="E209" s="78"/>
      <c r="F209" s="110"/>
      <c r="G209" s="115"/>
      <c r="H209" s="78"/>
      <c r="I209" s="78"/>
      <c r="J209" s="78"/>
      <c r="K209" s="110"/>
      <c r="L209" s="78"/>
      <c r="M209" s="78"/>
      <c r="N209" s="78"/>
      <c r="O209" s="78"/>
      <c r="P209" s="78"/>
      <c r="Q209" s="110"/>
      <c r="R209" s="110"/>
    </row>
    <row r="210" spans="1:18" ht="15" x14ac:dyDescent="0.25">
      <c r="A210" s="109"/>
      <c r="B210" s="111"/>
      <c r="C210" s="111"/>
      <c r="D210" s="111"/>
      <c r="E210" s="111"/>
      <c r="F210" s="112"/>
      <c r="G210" s="114"/>
      <c r="H210" s="111"/>
      <c r="I210" s="111"/>
      <c r="J210" s="111"/>
      <c r="K210" s="112"/>
      <c r="L210" s="111"/>
      <c r="M210" s="111"/>
      <c r="N210" s="111"/>
      <c r="O210" s="111"/>
      <c r="P210" s="111"/>
      <c r="Q210" s="112"/>
      <c r="R210" s="112"/>
    </row>
    <row r="211" spans="1:18" ht="15" x14ac:dyDescent="0.25">
      <c r="A211" s="109"/>
      <c r="B211" s="78"/>
      <c r="C211" s="78"/>
      <c r="D211" s="78"/>
      <c r="E211" s="78"/>
      <c r="F211" s="110"/>
      <c r="G211" s="115"/>
      <c r="H211" s="78"/>
      <c r="I211" s="78"/>
      <c r="J211" s="78"/>
      <c r="K211" s="110"/>
      <c r="L211" s="78"/>
      <c r="M211" s="78"/>
      <c r="N211" s="78"/>
      <c r="O211" s="78"/>
      <c r="P211" s="78"/>
      <c r="Q211" s="110"/>
      <c r="R211" s="110"/>
    </row>
    <row r="212" spans="1:18" ht="15" x14ac:dyDescent="0.25">
      <c r="A212" s="109"/>
      <c r="B212" s="111"/>
      <c r="C212" s="111"/>
      <c r="D212" s="111"/>
      <c r="E212" s="111"/>
      <c r="F212" s="112"/>
      <c r="G212" s="114"/>
      <c r="H212" s="111"/>
      <c r="I212" s="111"/>
      <c r="J212" s="111"/>
      <c r="K212" s="112"/>
      <c r="L212" s="111"/>
      <c r="M212" s="111"/>
      <c r="N212" s="111"/>
      <c r="O212" s="111"/>
      <c r="P212" s="111"/>
      <c r="Q212" s="112"/>
      <c r="R212" s="112"/>
    </row>
    <row r="213" spans="1:18" ht="15" x14ac:dyDescent="0.25">
      <c r="A213" s="109"/>
      <c r="B213" s="78"/>
      <c r="C213" s="78"/>
      <c r="D213" s="78"/>
      <c r="E213" s="78"/>
      <c r="F213" s="110"/>
      <c r="G213" s="115"/>
      <c r="H213" s="78"/>
      <c r="I213" s="78"/>
      <c r="J213" s="78"/>
      <c r="K213" s="110"/>
      <c r="L213" s="78"/>
      <c r="M213" s="78"/>
      <c r="N213" s="78"/>
      <c r="O213" s="78"/>
      <c r="P213" s="78"/>
      <c r="Q213" s="110"/>
      <c r="R213" s="110"/>
    </row>
    <row r="214" spans="1:18" ht="15" x14ac:dyDescent="0.25">
      <c r="A214" s="109"/>
      <c r="B214" s="111"/>
      <c r="C214" s="111"/>
      <c r="D214" s="111"/>
      <c r="E214" s="111"/>
      <c r="F214" s="112"/>
      <c r="G214" s="114"/>
      <c r="H214" s="111"/>
      <c r="I214" s="111"/>
      <c r="J214" s="111"/>
      <c r="K214" s="112"/>
      <c r="L214" s="111"/>
      <c r="M214" s="111"/>
      <c r="N214" s="111"/>
      <c r="O214" s="111"/>
      <c r="P214" s="111"/>
      <c r="Q214" s="112"/>
      <c r="R214" s="112"/>
    </row>
    <row r="215" spans="1:18" ht="15" x14ac:dyDescent="0.25">
      <c r="A215" s="109"/>
      <c r="B215" s="78"/>
      <c r="C215" s="78"/>
      <c r="D215" s="78"/>
      <c r="E215" s="78"/>
      <c r="F215" s="110"/>
      <c r="G215" s="115"/>
      <c r="H215" s="78"/>
      <c r="I215" s="78"/>
      <c r="J215" s="78"/>
      <c r="K215" s="110"/>
      <c r="L215" s="78"/>
      <c r="M215" s="78"/>
      <c r="N215" s="78"/>
      <c r="O215" s="78"/>
      <c r="P215" s="78"/>
      <c r="Q215" s="110"/>
      <c r="R215" s="110"/>
    </row>
    <row r="216" spans="1:18" ht="15" x14ac:dyDescent="0.25">
      <c r="A216" s="109"/>
      <c r="B216" s="111"/>
      <c r="C216" s="111"/>
      <c r="D216" s="111"/>
      <c r="E216" s="111"/>
      <c r="F216" s="112"/>
      <c r="G216" s="114"/>
      <c r="H216" s="111"/>
      <c r="I216" s="111"/>
      <c r="J216" s="111"/>
      <c r="K216" s="112"/>
      <c r="L216" s="111"/>
      <c r="M216" s="111"/>
      <c r="N216" s="111"/>
      <c r="O216" s="111"/>
      <c r="P216" s="111"/>
      <c r="Q216" s="112"/>
      <c r="R216" s="112"/>
    </row>
    <row r="217" spans="1:18" ht="15" x14ac:dyDescent="0.25">
      <c r="A217" s="109"/>
      <c r="B217" s="78"/>
      <c r="C217" s="78"/>
      <c r="D217" s="78"/>
      <c r="E217" s="78"/>
      <c r="F217" s="110"/>
      <c r="G217" s="115"/>
      <c r="H217" s="78"/>
      <c r="I217" s="78"/>
      <c r="J217" s="78"/>
      <c r="K217" s="110"/>
      <c r="L217" s="78"/>
      <c r="M217" s="78"/>
      <c r="N217" s="78"/>
      <c r="O217" s="78"/>
      <c r="P217" s="78"/>
      <c r="Q217" s="110"/>
      <c r="R217" s="110"/>
    </row>
    <row r="218" spans="1:18" ht="15" x14ac:dyDescent="0.25">
      <c r="A218" s="109"/>
      <c r="B218" s="111"/>
      <c r="C218" s="111"/>
      <c r="D218" s="111"/>
      <c r="E218" s="111"/>
      <c r="F218" s="112"/>
      <c r="G218" s="114"/>
      <c r="H218" s="111"/>
      <c r="I218" s="111"/>
      <c r="J218" s="111"/>
      <c r="K218" s="112"/>
      <c r="L218" s="111"/>
      <c r="M218" s="111"/>
      <c r="N218" s="111"/>
      <c r="O218" s="111"/>
      <c r="P218" s="111"/>
      <c r="Q218" s="112"/>
      <c r="R218" s="112"/>
    </row>
    <row r="219" spans="1:18" ht="15" x14ac:dyDescent="0.25">
      <c r="A219" s="109"/>
      <c r="B219" s="78"/>
      <c r="C219" s="78"/>
      <c r="D219" s="78"/>
      <c r="E219" s="78"/>
      <c r="F219" s="110"/>
      <c r="G219" s="115"/>
      <c r="H219" s="78"/>
      <c r="I219" s="78"/>
      <c r="J219" s="78"/>
      <c r="K219" s="110"/>
      <c r="L219" s="78"/>
      <c r="M219" s="78"/>
      <c r="N219" s="78"/>
      <c r="O219" s="78"/>
      <c r="P219" s="78"/>
      <c r="Q219" s="110"/>
      <c r="R219" s="110"/>
    </row>
    <row r="220" spans="1:18" ht="15" x14ac:dyDescent="0.25">
      <c r="A220" s="109"/>
      <c r="B220" s="111"/>
      <c r="C220" s="111"/>
      <c r="D220" s="111"/>
      <c r="E220" s="111"/>
      <c r="F220" s="112"/>
      <c r="G220" s="114"/>
      <c r="H220" s="111"/>
      <c r="I220" s="111"/>
      <c r="J220" s="111"/>
      <c r="K220" s="112"/>
      <c r="L220" s="111"/>
      <c r="M220" s="111"/>
      <c r="N220" s="111"/>
      <c r="O220" s="111"/>
      <c r="P220" s="111"/>
      <c r="Q220" s="112"/>
      <c r="R220" s="112"/>
    </row>
    <row r="221" spans="1:18" ht="15" x14ac:dyDescent="0.25">
      <c r="A221" s="109"/>
      <c r="B221" s="78"/>
      <c r="C221" s="78"/>
      <c r="D221" s="78"/>
      <c r="E221" s="78"/>
      <c r="F221" s="110"/>
      <c r="G221" s="115"/>
      <c r="H221" s="78"/>
      <c r="I221" s="78"/>
      <c r="J221" s="78"/>
      <c r="K221" s="110"/>
      <c r="L221" s="78"/>
      <c r="M221" s="78"/>
      <c r="N221" s="78"/>
      <c r="O221" s="78"/>
      <c r="P221" s="78"/>
      <c r="Q221" s="110"/>
      <c r="R221" s="110"/>
    </row>
    <row r="222" spans="1:18" ht="15" x14ac:dyDescent="0.25">
      <c r="A222" s="109"/>
      <c r="B222" s="111"/>
      <c r="C222" s="111"/>
      <c r="D222" s="111"/>
      <c r="E222" s="111"/>
      <c r="F222" s="112"/>
      <c r="G222" s="114"/>
      <c r="H222" s="111"/>
      <c r="I222" s="111"/>
      <c r="J222" s="111"/>
      <c r="K222" s="112"/>
      <c r="L222" s="111"/>
      <c r="M222" s="111"/>
      <c r="N222" s="111"/>
      <c r="O222" s="111"/>
      <c r="P222" s="111"/>
      <c r="Q222" s="112"/>
      <c r="R222" s="112"/>
    </row>
    <row r="223" spans="1:18" ht="15" x14ac:dyDescent="0.25">
      <c r="A223" s="109"/>
      <c r="B223" s="78"/>
      <c r="C223" s="78"/>
      <c r="D223" s="78"/>
      <c r="E223" s="78"/>
      <c r="F223" s="110"/>
      <c r="G223" s="115"/>
      <c r="H223" s="78"/>
      <c r="I223" s="78"/>
      <c r="J223" s="78"/>
      <c r="K223" s="110"/>
      <c r="L223" s="78"/>
      <c r="M223" s="78"/>
      <c r="N223" s="78"/>
      <c r="O223" s="78"/>
      <c r="P223" s="78"/>
      <c r="Q223" s="110"/>
      <c r="R223" s="110"/>
    </row>
    <row r="224" spans="1:18" ht="15" x14ac:dyDescent="0.25">
      <c r="A224" s="109"/>
      <c r="B224" s="111"/>
      <c r="C224" s="111"/>
      <c r="D224" s="111"/>
      <c r="E224" s="111"/>
      <c r="F224" s="112"/>
      <c r="G224" s="114"/>
      <c r="H224" s="111"/>
      <c r="I224" s="111"/>
      <c r="J224" s="111"/>
      <c r="K224" s="112"/>
      <c r="L224" s="111"/>
      <c r="M224" s="111"/>
      <c r="N224" s="111"/>
      <c r="O224" s="111"/>
      <c r="P224" s="111"/>
      <c r="Q224" s="112"/>
      <c r="R224" s="112"/>
    </row>
    <row r="225" spans="1:18" ht="15" x14ac:dyDescent="0.25">
      <c r="A225" s="109"/>
      <c r="B225" s="78"/>
      <c r="C225" s="78"/>
      <c r="D225" s="78"/>
      <c r="E225" s="78"/>
      <c r="F225" s="110"/>
      <c r="G225" s="115"/>
      <c r="H225" s="78"/>
      <c r="I225" s="78"/>
      <c r="J225" s="78"/>
      <c r="K225" s="110"/>
      <c r="L225" s="78"/>
      <c r="M225" s="78"/>
      <c r="N225" s="78"/>
      <c r="O225" s="78"/>
      <c r="P225" s="78"/>
      <c r="Q225" s="110"/>
      <c r="R225" s="110"/>
    </row>
    <row r="226" spans="1:18" ht="15" x14ac:dyDescent="0.25">
      <c r="A226" s="109"/>
      <c r="B226" s="111"/>
      <c r="C226" s="111"/>
      <c r="D226" s="111"/>
      <c r="E226" s="111"/>
      <c r="F226" s="112"/>
      <c r="G226" s="114"/>
      <c r="H226" s="111"/>
      <c r="I226" s="111"/>
      <c r="J226" s="111"/>
      <c r="K226" s="112"/>
      <c r="L226" s="111"/>
      <c r="M226" s="111"/>
      <c r="N226" s="111"/>
      <c r="O226" s="111"/>
      <c r="P226" s="111"/>
      <c r="Q226" s="112"/>
      <c r="R226" s="112"/>
    </row>
    <row r="227" spans="1:18" ht="15" x14ac:dyDescent="0.25">
      <c r="A227" s="109"/>
      <c r="B227" s="78"/>
      <c r="C227" s="78"/>
      <c r="D227" s="78"/>
      <c r="E227" s="78"/>
      <c r="F227" s="110"/>
      <c r="G227" s="115"/>
      <c r="H227" s="78"/>
      <c r="I227" s="78"/>
      <c r="J227" s="78"/>
      <c r="K227" s="110"/>
      <c r="L227" s="78"/>
      <c r="M227" s="78"/>
      <c r="N227" s="78"/>
      <c r="O227" s="78"/>
      <c r="P227" s="78"/>
      <c r="Q227" s="110"/>
      <c r="R227" s="110"/>
    </row>
    <row r="228" spans="1:18" ht="15" x14ac:dyDescent="0.25">
      <c r="A228" s="109"/>
      <c r="B228" s="111"/>
      <c r="C228" s="111"/>
      <c r="D228" s="111"/>
      <c r="E228" s="111"/>
      <c r="F228" s="112"/>
      <c r="G228" s="114"/>
      <c r="H228" s="111"/>
      <c r="I228" s="111"/>
      <c r="J228" s="111"/>
      <c r="K228" s="112"/>
      <c r="L228" s="111"/>
      <c r="M228" s="111"/>
      <c r="N228" s="111"/>
      <c r="O228" s="111"/>
      <c r="P228" s="111"/>
      <c r="Q228" s="112"/>
      <c r="R228" s="112"/>
    </row>
    <row r="229" spans="1:18" ht="15" x14ac:dyDescent="0.25">
      <c r="A229" s="109"/>
      <c r="B229" s="78"/>
      <c r="C229" s="78"/>
      <c r="D229" s="78"/>
      <c r="E229" s="78"/>
      <c r="F229" s="110"/>
      <c r="G229" s="115"/>
      <c r="H229" s="78"/>
      <c r="I229" s="78"/>
      <c r="J229" s="78"/>
      <c r="K229" s="110"/>
      <c r="L229" s="78"/>
      <c r="M229" s="78"/>
      <c r="N229" s="78"/>
      <c r="O229" s="78"/>
      <c r="P229" s="78"/>
      <c r="Q229" s="110"/>
      <c r="R229" s="110"/>
    </row>
    <row r="230" spans="1:18" ht="15" x14ac:dyDescent="0.25">
      <c r="A230" s="109"/>
      <c r="B230" s="111"/>
      <c r="C230" s="111"/>
      <c r="D230" s="111"/>
      <c r="E230" s="111"/>
      <c r="F230" s="112"/>
      <c r="G230" s="114"/>
      <c r="H230" s="111"/>
      <c r="I230" s="111"/>
      <c r="J230" s="111"/>
      <c r="K230" s="112"/>
      <c r="L230" s="111"/>
      <c r="M230" s="111"/>
      <c r="N230" s="111"/>
      <c r="O230" s="111"/>
      <c r="P230" s="111"/>
      <c r="Q230" s="112"/>
      <c r="R230" s="112"/>
    </row>
    <row r="231" spans="1:18" ht="15" x14ac:dyDescent="0.25">
      <c r="A231" s="109"/>
      <c r="B231" s="78"/>
      <c r="C231" s="78"/>
      <c r="D231" s="78"/>
      <c r="E231" s="78"/>
      <c r="F231" s="110"/>
      <c r="G231" s="115"/>
      <c r="H231" s="78"/>
      <c r="I231" s="78"/>
      <c r="J231" s="78"/>
      <c r="K231" s="110"/>
      <c r="L231" s="78"/>
      <c r="M231" s="78"/>
      <c r="N231" s="78"/>
      <c r="O231" s="78"/>
      <c r="P231" s="78"/>
      <c r="Q231" s="110"/>
      <c r="R231" s="110"/>
    </row>
    <row r="232" spans="1:18" ht="15" x14ac:dyDescent="0.25">
      <c r="A232" s="109"/>
      <c r="B232" s="111"/>
      <c r="C232" s="111"/>
      <c r="D232" s="111"/>
      <c r="E232" s="111"/>
      <c r="F232" s="112"/>
      <c r="G232" s="114"/>
      <c r="H232" s="111"/>
      <c r="I232" s="111"/>
      <c r="J232" s="111"/>
      <c r="K232" s="112"/>
      <c r="L232" s="111"/>
      <c r="M232" s="111"/>
      <c r="N232" s="111"/>
      <c r="O232" s="111"/>
      <c r="P232" s="111"/>
      <c r="Q232" s="112"/>
      <c r="R232" s="112"/>
    </row>
    <row r="233" spans="1:18" ht="15" x14ac:dyDescent="0.25">
      <c r="A233" s="109"/>
      <c r="B233" s="78"/>
      <c r="C233" s="78"/>
      <c r="D233" s="78"/>
      <c r="E233" s="78"/>
      <c r="F233" s="110"/>
      <c r="G233" s="115"/>
      <c r="H233" s="78"/>
      <c r="I233" s="78"/>
      <c r="J233" s="78"/>
      <c r="K233" s="110"/>
      <c r="L233" s="78"/>
      <c r="M233" s="78"/>
      <c r="N233" s="78"/>
      <c r="O233" s="78"/>
      <c r="P233" s="78"/>
      <c r="Q233" s="110"/>
      <c r="R233" s="110"/>
    </row>
    <row r="234" spans="1:18" ht="15" x14ac:dyDescent="0.25">
      <c r="A234" s="109"/>
      <c r="B234" s="111"/>
      <c r="C234" s="111"/>
      <c r="D234" s="111"/>
      <c r="E234" s="111"/>
      <c r="F234" s="112"/>
      <c r="G234" s="114"/>
      <c r="H234" s="111"/>
      <c r="I234" s="111"/>
      <c r="J234" s="111"/>
      <c r="K234" s="112"/>
      <c r="L234" s="111"/>
      <c r="M234" s="111"/>
      <c r="N234" s="111"/>
      <c r="O234" s="111"/>
      <c r="P234" s="111"/>
      <c r="Q234" s="112"/>
      <c r="R234" s="112"/>
    </row>
    <row r="235" spans="1:18" ht="15" x14ac:dyDescent="0.25">
      <c r="A235" s="109"/>
      <c r="B235" s="78"/>
      <c r="C235" s="78"/>
      <c r="D235" s="78"/>
      <c r="E235" s="78"/>
      <c r="F235" s="110"/>
      <c r="G235" s="115"/>
      <c r="H235" s="78"/>
      <c r="I235" s="78"/>
      <c r="J235" s="78"/>
      <c r="K235" s="110"/>
      <c r="L235" s="78"/>
      <c r="M235" s="78"/>
      <c r="N235" s="78"/>
      <c r="O235" s="78"/>
      <c r="P235" s="78"/>
      <c r="Q235" s="110"/>
      <c r="R235" s="110"/>
    </row>
    <row r="236" spans="1:18" ht="15" x14ac:dyDescent="0.25">
      <c r="A236" s="109"/>
      <c r="B236" s="111"/>
      <c r="C236" s="111"/>
      <c r="D236" s="111"/>
      <c r="E236" s="111"/>
      <c r="F236" s="112"/>
      <c r="G236" s="114"/>
      <c r="H236" s="111"/>
      <c r="I236" s="111"/>
      <c r="J236" s="111"/>
      <c r="K236" s="112"/>
      <c r="L236" s="111"/>
      <c r="M236" s="111"/>
      <c r="N236" s="111"/>
      <c r="O236" s="111"/>
      <c r="P236" s="111"/>
      <c r="Q236" s="112"/>
      <c r="R236" s="112"/>
    </row>
    <row r="237" spans="1:18" ht="15" x14ac:dyDescent="0.25">
      <c r="A237" s="109"/>
      <c r="B237" s="78"/>
      <c r="C237" s="78"/>
      <c r="D237" s="78"/>
      <c r="E237" s="78"/>
      <c r="F237" s="110"/>
      <c r="G237" s="115"/>
      <c r="H237" s="78"/>
      <c r="I237" s="78"/>
      <c r="J237" s="78"/>
      <c r="K237" s="110"/>
      <c r="L237" s="78"/>
      <c r="M237" s="78"/>
      <c r="N237" s="78"/>
      <c r="O237" s="78"/>
      <c r="P237" s="78"/>
      <c r="Q237" s="110"/>
      <c r="R237" s="110"/>
    </row>
    <row r="238" spans="1:18" ht="15" x14ac:dyDescent="0.25">
      <c r="A238" s="109"/>
      <c r="B238" s="111"/>
      <c r="C238" s="111"/>
      <c r="D238" s="111"/>
      <c r="E238" s="111"/>
      <c r="F238" s="112"/>
      <c r="G238" s="114"/>
      <c r="H238" s="111"/>
      <c r="I238" s="111"/>
      <c r="J238" s="111"/>
      <c r="K238" s="112"/>
      <c r="L238" s="111"/>
      <c r="M238" s="111"/>
      <c r="N238" s="111"/>
      <c r="O238" s="111"/>
      <c r="P238" s="111"/>
      <c r="Q238" s="112"/>
      <c r="R238" s="112"/>
    </row>
    <row r="239" spans="1:18" ht="15" x14ac:dyDescent="0.25">
      <c r="A239" s="109"/>
      <c r="B239" s="78"/>
      <c r="C239" s="78"/>
      <c r="D239" s="78"/>
      <c r="E239" s="78"/>
      <c r="F239" s="110"/>
      <c r="G239" s="115"/>
      <c r="H239" s="78"/>
      <c r="I239" s="78"/>
      <c r="J239" s="78"/>
      <c r="K239" s="110"/>
      <c r="L239" s="78"/>
      <c r="M239" s="78"/>
      <c r="N239" s="78"/>
      <c r="O239" s="78"/>
      <c r="P239" s="78"/>
      <c r="Q239" s="110"/>
      <c r="R239" s="110"/>
    </row>
    <row r="240" spans="1:18" ht="15" x14ac:dyDescent="0.25">
      <c r="A240" s="109"/>
      <c r="B240" s="111"/>
      <c r="C240" s="111"/>
      <c r="D240" s="111"/>
      <c r="E240" s="111"/>
      <c r="F240" s="112"/>
      <c r="G240" s="114"/>
      <c r="H240" s="111"/>
      <c r="I240" s="111"/>
      <c r="J240" s="111"/>
      <c r="K240" s="112"/>
      <c r="L240" s="111"/>
      <c r="M240" s="111"/>
      <c r="N240" s="111"/>
      <c r="O240" s="111"/>
      <c r="P240" s="111"/>
      <c r="Q240" s="112"/>
      <c r="R240" s="112"/>
    </row>
    <row r="241" spans="1:18" ht="15" x14ac:dyDescent="0.25">
      <c r="A241" s="109"/>
      <c r="B241" s="78"/>
      <c r="C241" s="78"/>
      <c r="D241" s="78"/>
      <c r="E241" s="78"/>
      <c r="F241" s="110"/>
      <c r="G241" s="115"/>
      <c r="H241" s="78"/>
      <c r="I241" s="78"/>
      <c r="J241" s="78"/>
      <c r="K241" s="110"/>
      <c r="L241" s="78"/>
      <c r="M241" s="78"/>
      <c r="N241" s="78"/>
      <c r="O241" s="78"/>
      <c r="P241" s="78"/>
      <c r="Q241" s="110"/>
      <c r="R241" s="110"/>
    </row>
    <row r="242" spans="1:18" ht="15" x14ac:dyDescent="0.25">
      <c r="A242" s="109"/>
      <c r="B242" s="111"/>
      <c r="C242" s="111"/>
      <c r="D242" s="111"/>
      <c r="E242" s="111"/>
      <c r="F242" s="112"/>
      <c r="G242" s="114"/>
      <c r="H242" s="111"/>
      <c r="I242" s="111"/>
      <c r="J242" s="111"/>
      <c r="K242" s="112"/>
      <c r="L242" s="111"/>
      <c r="M242" s="111"/>
      <c r="N242" s="111"/>
      <c r="O242" s="111"/>
      <c r="P242" s="111"/>
      <c r="Q242" s="112"/>
      <c r="R242" s="112"/>
    </row>
    <row r="243" spans="1:18" ht="15" x14ac:dyDescent="0.25">
      <c r="A243" s="109"/>
      <c r="B243" s="78"/>
      <c r="C243" s="78"/>
      <c r="D243" s="78"/>
      <c r="E243" s="78"/>
      <c r="F243" s="110"/>
      <c r="G243" s="115"/>
      <c r="H243" s="78"/>
      <c r="I243" s="78"/>
      <c r="J243" s="78"/>
      <c r="K243" s="110"/>
      <c r="L243" s="78"/>
      <c r="M243" s="78"/>
      <c r="N243" s="78"/>
      <c r="O243" s="78"/>
      <c r="P243" s="78"/>
      <c r="Q243" s="110"/>
      <c r="R243" s="110"/>
    </row>
    <row r="244" spans="1:18" ht="15" x14ac:dyDescent="0.25">
      <c r="A244" s="109"/>
      <c r="B244" s="111"/>
      <c r="C244" s="111"/>
      <c r="D244" s="111"/>
      <c r="E244" s="111"/>
      <c r="F244" s="112"/>
      <c r="G244" s="114"/>
      <c r="H244" s="111"/>
      <c r="I244" s="111"/>
      <c r="J244" s="111"/>
      <c r="K244" s="112"/>
      <c r="L244" s="111"/>
      <c r="M244" s="111"/>
      <c r="N244" s="111"/>
      <c r="O244" s="111"/>
      <c r="P244" s="111"/>
      <c r="Q244" s="112"/>
      <c r="R244" s="112"/>
    </row>
    <row r="245" spans="1:18" ht="15" x14ac:dyDescent="0.25">
      <c r="A245" s="109"/>
      <c r="B245" s="78"/>
      <c r="C245" s="78"/>
      <c r="D245" s="78"/>
      <c r="E245" s="78"/>
      <c r="F245" s="110"/>
      <c r="G245" s="115"/>
      <c r="H245" s="78"/>
      <c r="I245" s="78"/>
      <c r="J245" s="78"/>
      <c r="K245" s="110"/>
      <c r="L245" s="78"/>
      <c r="M245" s="78"/>
      <c r="N245" s="78"/>
      <c r="O245" s="78"/>
      <c r="P245" s="78"/>
      <c r="Q245" s="110"/>
      <c r="R245" s="110"/>
    </row>
    <row r="246" spans="1:18" ht="15" x14ac:dyDescent="0.25">
      <c r="A246" s="109"/>
      <c r="B246" s="111"/>
      <c r="C246" s="111"/>
      <c r="D246" s="111"/>
      <c r="E246" s="111"/>
      <c r="F246" s="112"/>
      <c r="G246" s="114"/>
      <c r="H246" s="111"/>
      <c r="I246" s="111"/>
      <c r="J246" s="111"/>
      <c r="K246" s="112"/>
      <c r="L246" s="111"/>
      <c r="M246" s="111"/>
      <c r="N246" s="111"/>
      <c r="O246" s="111"/>
      <c r="P246" s="111"/>
      <c r="Q246" s="112"/>
      <c r="R246" s="112"/>
    </row>
    <row r="247" spans="1:18" ht="15" x14ac:dyDescent="0.25">
      <c r="A247" s="109"/>
      <c r="B247" s="78"/>
      <c r="C247" s="78"/>
      <c r="D247" s="78"/>
      <c r="E247" s="78"/>
      <c r="F247" s="110"/>
      <c r="G247" s="115"/>
      <c r="H247" s="78"/>
      <c r="I247" s="78"/>
      <c r="J247" s="78"/>
      <c r="K247" s="110"/>
      <c r="L247" s="78"/>
      <c r="M247" s="78"/>
      <c r="N247" s="78"/>
      <c r="O247" s="78"/>
      <c r="P247" s="78"/>
      <c r="Q247" s="110"/>
      <c r="R247" s="110"/>
    </row>
    <row r="248" spans="1:18" ht="15" x14ac:dyDescent="0.25">
      <c r="A248" s="109"/>
      <c r="B248" s="111"/>
      <c r="C248" s="111"/>
      <c r="D248" s="111"/>
      <c r="E248" s="111"/>
      <c r="F248" s="112"/>
      <c r="G248" s="114"/>
      <c r="H248" s="111"/>
      <c r="I248" s="111"/>
      <c r="J248" s="111"/>
      <c r="K248" s="112"/>
      <c r="L248" s="111"/>
      <c r="M248" s="111"/>
      <c r="N248" s="111"/>
      <c r="O248" s="111"/>
      <c r="P248" s="111"/>
      <c r="Q248" s="112"/>
      <c r="R248" s="112"/>
    </row>
    <row r="249" spans="1:18" ht="15" x14ac:dyDescent="0.25">
      <c r="A249" s="109"/>
      <c r="B249" s="78"/>
      <c r="C249" s="78"/>
      <c r="D249" s="78"/>
      <c r="E249" s="78"/>
      <c r="F249" s="110"/>
      <c r="G249" s="115"/>
      <c r="H249" s="78"/>
      <c r="I249" s="78"/>
      <c r="J249" s="78"/>
      <c r="K249" s="110"/>
      <c r="L249" s="78"/>
      <c r="M249" s="78"/>
      <c r="N249" s="78"/>
      <c r="O249" s="78"/>
      <c r="P249" s="78"/>
      <c r="Q249" s="110"/>
      <c r="R249" s="110"/>
    </row>
    <row r="250" spans="1:18" ht="15" x14ac:dyDescent="0.25">
      <c r="A250" s="109"/>
      <c r="B250" s="111"/>
      <c r="C250" s="111"/>
      <c r="D250" s="111"/>
      <c r="E250" s="111"/>
      <c r="F250" s="112"/>
      <c r="G250" s="114"/>
      <c r="H250" s="111"/>
      <c r="I250" s="111"/>
      <c r="J250" s="111"/>
      <c r="K250" s="112"/>
      <c r="L250" s="111"/>
      <c r="M250" s="111"/>
      <c r="N250" s="111"/>
      <c r="O250" s="111"/>
      <c r="P250" s="111"/>
      <c r="Q250" s="112"/>
      <c r="R250" s="112"/>
    </row>
    <row r="251" spans="1:18" ht="15" x14ac:dyDescent="0.25">
      <c r="A251" s="109"/>
      <c r="B251" s="78"/>
      <c r="C251" s="78"/>
      <c r="D251" s="78"/>
      <c r="E251" s="78"/>
      <c r="F251" s="110"/>
      <c r="G251" s="115"/>
      <c r="H251" s="78"/>
      <c r="I251" s="78"/>
      <c r="J251" s="78"/>
      <c r="K251" s="110"/>
      <c r="L251" s="78"/>
      <c r="M251" s="78"/>
      <c r="N251" s="78"/>
      <c r="O251" s="78"/>
      <c r="P251" s="78"/>
      <c r="Q251" s="110"/>
      <c r="R251" s="110"/>
    </row>
    <row r="252" spans="1:18" ht="15" x14ac:dyDescent="0.25">
      <c r="A252" s="109"/>
      <c r="B252" s="111"/>
      <c r="C252" s="111"/>
      <c r="D252" s="111"/>
      <c r="E252" s="111"/>
      <c r="F252" s="112"/>
      <c r="G252" s="114"/>
      <c r="H252" s="111"/>
      <c r="I252" s="111"/>
      <c r="J252" s="111"/>
      <c r="K252" s="112"/>
      <c r="L252" s="111"/>
      <c r="M252" s="111"/>
      <c r="N252" s="111"/>
      <c r="O252" s="111"/>
      <c r="P252" s="111"/>
      <c r="Q252" s="112"/>
      <c r="R252" s="112"/>
    </row>
    <row r="253" spans="1:18" ht="15" x14ac:dyDescent="0.25">
      <c r="A253" s="109"/>
      <c r="B253" s="78"/>
      <c r="C253" s="78"/>
      <c r="D253" s="78"/>
      <c r="E253" s="78"/>
      <c r="F253" s="110"/>
      <c r="G253" s="115"/>
      <c r="H253" s="78"/>
      <c r="I253" s="78"/>
      <c r="J253" s="78"/>
      <c r="K253" s="110"/>
      <c r="L253" s="78"/>
      <c r="M253" s="78"/>
      <c r="N253" s="78"/>
      <c r="O253" s="78"/>
      <c r="P253" s="78"/>
      <c r="Q253" s="110"/>
      <c r="R253" s="110"/>
    </row>
    <row r="254" spans="1:18" ht="15" x14ac:dyDescent="0.25">
      <c r="A254" s="109"/>
      <c r="B254" s="111"/>
      <c r="C254" s="111"/>
      <c r="D254" s="111"/>
      <c r="E254" s="111"/>
      <c r="F254" s="112"/>
      <c r="G254" s="114"/>
      <c r="H254" s="111"/>
      <c r="I254" s="111"/>
      <c r="J254" s="111"/>
      <c r="K254" s="112"/>
      <c r="L254" s="111"/>
      <c r="M254" s="111"/>
      <c r="N254" s="111"/>
      <c r="O254" s="111"/>
      <c r="P254" s="111"/>
      <c r="Q254" s="112"/>
      <c r="R254" s="112"/>
    </row>
    <row r="255" spans="1:18" ht="15" x14ac:dyDescent="0.25">
      <c r="A255" s="109"/>
      <c r="B255" s="78"/>
      <c r="C255" s="78"/>
      <c r="D255" s="78"/>
      <c r="E255" s="78"/>
      <c r="F255" s="110"/>
      <c r="G255" s="115"/>
      <c r="H255" s="78"/>
      <c r="I255" s="78"/>
      <c r="J255" s="78"/>
      <c r="K255" s="110"/>
      <c r="L255" s="78"/>
      <c r="M255" s="78"/>
      <c r="N255" s="78"/>
      <c r="O255" s="78"/>
      <c r="P255" s="78"/>
      <c r="Q255" s="110"/>
      <c r="R255" s="110"/>
    </row>
    <row r="256" spans="1:18" ht="15" x14ac:dyDescent="0.25">
      <c r="A256" s="109"/>
      <c r="B256" s="111"/>
      <c r="C256" s="111"/>
      <c r="D256" s="111"/>
      <c r="E256" s="111"/>
      <c r="F256" s="112"/>
      <c r="G256" s="114"/>
      <c r="H256" s="111"/>
      <c r="I256" s="111"/>
      <c r="J256" s="111"/>
      <c r="K256" s="112"/>
      <c r="L256" s="111"/>
      <c r="M256" s="111"/>
      <c r="N256" s="111"/>
      <c r="O256" s="111"/>
      <c r="P256" s="111"/>
      <c r="Q256" s="112"/>
      <c r="R256" s="112"/>
    </row>
    <row r="257" spans="1:18" ht="15" x14ac:dyDescent="0.25">
      <c r="A257" s="109"/>
      <c r="B257" s="78"/>
      <c r="C257" s="78"/>
      <c r="D257" s="78"/>
      <c r="E257" s="78"/>
      <c r="F257" s="110"/>
      <c r="G257" s="115"/>
      <c r="H257" s="78"/>
      <c r="I257" s="78"/>
      <c r="J257" s="78"/>
      <c r="K257" s="110"/>
      <c r="L257" s="78"/>
      <c r="M257" s="78"/>
      <c r="N257" s="78"/>
      <c r="O257" s="78"/>
      <c r="P257" s="78"/>
      <c r="Q257" s="110"/>
      <c r="R257" s="110"/>
    </row>
    <row r="258" spans="1:18" ht="15" x14ac:dyDescent="0.25">
      <c r="A258" s="109"/>
      <c r="B258" s="111"/>
      <c r="C258" s="111"/>
      <c r="D258" s="111"/>
      <c r="E258" s="111"/>
      <c r="F258" s="112"/>
      <c r="G258" s="114"/>
      <c r="H258" s="111"/>
      <c r="I258" s="111"/>
      <c r="J258" s="111"/>
      <c r="K258" s="112"/>
      <c r="L258" s="111"/>
      <c r="M258" s="111"/>
      <c r="N258" s="111"/>
      <c r="O258" s="111"/>
      <c r="P258" s="111"/>
      <c r="Q258" s="112"/>
      <c r="R258" s="112"/>
    </row>
    <row r="259" spans="1:18" ht="15" x14ac:dyDescent="0.25">
      <c r="A259" s="109"/>
      <c r="B259" s="78"/>
      <c r="C259" s="78"/>
      <c r="D259" s="78"/>
      <c r="E259" s="78"/>
      <c r="F259" s="110"/>
      <c r="G259" s="115"/>
      <c r="H259" s="78"/>
      <c r="I259" s="78"/>
      <c r="J259" s="78"/>
      <c r="K259" s="110"/>
      <c r="L259" s="78"/>
      <c r="M259" s="78"/>
      <c r="N259" s="78"/>
      <c r="O259" s="78"/>
      <c r="P259" s="78"/>
      <c r="Q259" s="110"/>
      <c r="R259" s="110"/>
    </row>
    <row r="260" spans="1:18" ht="15" x14ac:dyDescent="0.25">
      <c r="A260" s="109"/>
      <c r="B260" s="111"/>
      <c r="C260" s="111"/>
      <c r="D260" s="111"/>
      <c r="E260" s="111"/>
      <c r="F260" s="112"/>
      <c r="G260" s="114"/>
      <c r="H260" s="111"/>
      <c r="I260" s="111"/>
      <c r="J260" s="111"/>
      <c r="K260" s="112"/>
      <c r="L260" s="111"/>
      <c r="M260" s="111"/>
      <c r="N260" s="111"/>
      <c r="O260" s="111"/>
      <c r="P260" s="111"/>
      <c r="Q260" s="112"/>
      <c r="R260" s="112"/>
    </row>
    <row r="261" spans="1:18" ht="15" x14ac:dyDescent="0.25">
      <c r="A261" s="109"/>
      <c r="B261" s="78"/>
      <c r="C261" s="78"/>
      <c r="D261" s="78"/>
      <c r="E261" s="78"/>
      <c r="F261" s="110"/>
      <c r="G261" s="115"/>
      <c r="H261" s="78"/>
      <c r="I261" s="78"/>
      <c r="J261" s="78"/>
      <c r="K261" s="110"/>
      <c r="L261" s="78"/>
      <c r="M261" s="78"/>
      <c r="N261" s="78"/>
      <c r="O261" s="78"/>
      <c r="P261" s="78"/>
      <c r="Q261" s="110"/>
      <c r="R261" s="110"/>
    </row>
    <row r="262" spans="1:18" ht="15" x14ac:dyDescent="0.25">
      <c r="A262" s="109"/>
      <c r="B262" s="111"/>
      <c r="C262" s="111"/>
      <c r="D262" s="111"/>
      <c r="E262" s="111"/>
      <c r="F262" s="112"/>
      <c r="G262" s="114"/>
      <c r="H262" s="111"/>
      <c r="I262" s="111"/>
      <c r="J262" s="111"/>
      <c r="K262" s="112"/>
      <c r="L262" s="111"/>
      <c r="M262" s="111"/>
      <c r="N262" s="111"/>
      <c r="O262" s="111"/>
      <c r="P262" s="111"/>
      <c r="Q262" s="112"/>
      <c r="R262" s="112"/>
    </row>
    <row r="263" spans="1:18" ht="15" x14ac:dyDescent="0.25">
      <c r="A263" s="109"/>
      <c r="B263" s="78"/>
      <c r="C263" s="78"/>
      <c r="D263" s="78"/>
      <c r="E263" s="78"/>
      <c r="F263" s="110"/>
      <c r="G263" s="115"/>
      <c r="H263" s="78"/>
      <c r="I263" s="78"/>
      <c r="J263" s="78"/>
      <c r="K263" s="110"/>
      <c r="L263" s="78"/>
      <c r="M263" s="78"/>
      <c r="N263" s="78"/>
      <c r="O263" s="78"/>
      <c r="P263" s="78"/>
      <c r="Q263" s="110"/>
      <c r="R263" s="110"/>
    </row>
    <row r="264" spans="1:18" ht="15" x14ac:dyDescent="0.25">
      <c r="A264" s="109"/>
      <c r="B264" s="111"/>
      <c r="C264" s="111"/>
      <c r="D264" s="111"/>
      <c r="E264" s="111"/>
      <c r="F264" s="112"/>
      <c r="G264" s="114"/>
      <c r="H264" s="111"/>
      <c r="I264" s="111"/>
      <c r="J264" s="111"/>
      <c r="K264" s="112"/>
      <c r="L264" s="111"/>
      <c r="M264" s="111"/>
      <c r="N264" s="111"/>
      <c r="O264" s="111"/>
      <c r="P264" s="111"/>
      <c r="Q264" s="112"/>
      <c r="R264" s="112"/>
    </row>
    <row r="265" spans="1:18" ht="15" x14ac:dyDescent="0.25">
      <c r="A265" s="109"/>
      <c r="B265" s="78"/>
      <c r="C265" s="78"/>
      <c r="D265" s="78"/>
      <c r="E265" s="78"/>
      <c r="F265" s="110"/>
      <c r="G265" s="115"/>
      <c r="H265" s="78"/>
      <c r="I265" s="78"/>
      <c r="J265" s="78"/>
      <c r="K265" s="110"/>
      <c r="L265" s="78"/>
      <c r="M265" s="78"/>
      <c r="N265" s="78"/>
      <c r="O265" s="78"/>
      <c r="P265" s="78"/>
      <c r="Q265" s="110"/>
      <c r="R265" s="110"/>
    </row>
    <row r="266" spans="1:18" ht="15" x14ac:dyDescent="0.25">
      <c r="A266" s="109"/>
      <c r="B266" s="111"/>
      <c r="C266" s="111"/>
      <c r="D266" s="111"/>
      <c r="E266" s="111"/>
      <c r="F266" s="112"/>
      <c r="G266" s="114"/>
      <c r="H266" s="111"/>
      <c r="I266" s="111"/>
      <c r="J266" s="111"/>
      <c r="K266" s="112"/>
      <c r="L266" s="111"/>
      <c r="M266" s="111"/>
      <c r="N266" s="111"/>
      <c r="O266" s="111"/>
      <c r="P266" s="111"/>
      <c r="Q266" s="112"/>
      <c r="R266" s="112"/>
    </row>
    <row r="267" spans="1:18" ht="15" x14ac:dyDescent="0.25">
      <c r="A267" s="109"/>
      <c r="B267" s="78"/>
      <c r="C267" s="78"/>
      <c r="D267" s="78"/>
      <c r="E267" s="78"/>
      <c r="F267" s="110"/>
      <c r="G267" s="115"/>
      <c r="H267" s="78"/>
      <c r="I267" s="78"/>
      <c r="J267" s="78"/>
      <c r="K267" s="110"/>
      <c r="L267" s="78"/>
      <c r="M267" s="78"/>
      <c r="N267" s="78"/>
      <c r="O267" s="78"/>
      <c r="P267" s="78"/>
      <c r="Q267" s="110"/>
      <c r="R267" s="110"/>
    </row>
    <row r="268" spans="1:18" ht="15" x14ac:dyDescent="0.25">
      <c r="A268" s="109"/>
      <c r="B268" s="111"/>
      <c r="C268" s="111"/>
      <c r="D268" s="111"/>
      <c r="E268" s="111"/>
      <c r="F268" s="112"/>
      <c r="G268" s="114"/>
      <c r="H268" s="111"/>
      <c r="I268" s="111"/>
      <c r="J268" s="111"/>
      <c r="K268" s="112"/>
      <c r="L268" s="111"/>
      <c r="M268" s="111"/>
      <c r="N268" s="111"/>
      <c r="O268" s="111"/>
      <c r="P268" s="111"/>
      <c r="Q268" s="112"/>
      <c r="R268" s="112"/>
    </row>
    <row r="269" spans="1:18" ht="15" x14ac:dyDescent="0.25">
      <c r="A269" s="109"/>
      <c r="B269" s="78"/>
      <c r="C269" s="78"/>
      <c r="D269" s="78"/>
      <c r="E269" s="78"/>
      <c r="F269" s="110"/>
      <c r="G269" s="115"/>
      <c r="H269" s="78"/>
      <c r="I269" s="78"/>
      <c r="J269" s="78"/>
      <c r="K269" s="110"/>
      <c r="L269" s="78"/>
      <c r="M269" s="78"/>
      <c r="N269" s="78"/>
      <c r="O269" s="78"/>
      <c r="P269" s="78"/>
      <c r="Q269" s="110"/>
      <c r="R269" s="110"/>
    </row>
    <row r="270" spans="1:18" ht="15" x14ac:dyDescent="0.25">
      <c r="A270" s="109"/>
      <c r="B270" s="111"/>
      <c r="C270" s="111"/>
      <c r="D270" s="111"/>
      <c r="E270" s="111"/>
      <c r="F270" s="112"/>
      <c r="G270" s="114"/>
      <c r="H270" s="111"/>
      <c r="I270" s="111"/>
      <c r="J270" s="111"/>
      <c r="K270" s="112"/>
      <c r="L270" s="111"/>
      <c r="M270" s="111"/>
      <c r="N270" s="111"/>
      <c r="O270" s="111"/>
      <c r="P270" s="111"/>
      <c r="Q270" s="112"/>
      <c r="R270" s="112"/>
    </row>
    <row r="271" spans="1:18" ht="15" x14ac:dyDescent="0.25">
      <c r="A271" s="109"/>
      <c r="B271" s="78"/>
      <c r="C271" s="78"/>
      <c r="D271" s="78"/>
      <c r="E271" s="78"/>
      <c r="F271" s="110"/>
      <c r="G271" s="115"/>
      <c r="H271" s="78"/>
      <c r="I271" s="78"/>
      <c r="J271" s="78"/>
      <c r="K271" s="110"/>
      <c r="L271" s="78"/>
      <c r="M271" s="78"/>
      <c r="N271" s="78"/>
      <c r="O271" s="78"/>
      <c r="P271" s="78"/>
      <c r="Q271" s="110"/>
      <c r="R271" s="110"/>
    </row>
    <row r="272" spans="1:18" ht="15" x14ac:dyDescent="0.25">
      <c r="A272" s="109"/>
      <c r="B272" s="111"/>
      <c r="C272" s="111"/>
      <c r="D272" s="111"/>
      <c r="E272" s="111"/>
      <c r="F272" s="112"/>
      <c r="G272" s="114"/>
      <c r="H272" s="111"/>
      <c r="I272" s="111"/>
      <c r="J272" s="111"/>
      <c r="K272" s="112"/>
      <c r="L272" s="111"/>
      <c r="M272" s="111"/>
      <c r="N272" s="111"/>
      <c r="O272" s="111"/>
      <c r="P272" s="111"/>
      <c r="Q272" s="112"/>
      <c r="R272" s="112"/>
    </row>
    <row r="273" spans="1:18" ht="15" x14ac:dyDescent="0.25">
      <c r="A273" s="109"/>
      <c r="B273" s="78"/>
      <c r="C273" s="78"/>
      <c r="D273" s="78"/>
      <c r="E273" s="78"/>
      <c r="F273" s="110"/>
      <c r="G273" s="115"/>
      <c r="H273" s="78"/>
      <c r="I273" s="78"/>
      <c r="J273" s="78"/>
      <c r="K273" s="110"/>
      <c r="L273" s="78"/>
      <c r="M273" s="78"/>
      <c r="N273" s="78"/>
      <c r="O273" s="78"/>
      <c r="P273" s="78"/>
      <c r="Q273" s="110"/>
      <c r="R273" s="110"/>
    </row>
    <row r="274" spans="1:18" ht="15" x14ac:dyDescent="0.25">
      <c r="A274" s="109"/>
      <c r="B274" s="111"/>
      <c r="C274" s="111"/>
      <c r="D274" s="111"/>
      <c r="E274" s="111"/>
      <c r="F274" s="112"/>
      <c r="G274" s="114"/>
      <c r="H274" s="111"/>
      <c r="I274" s="111"/>
      <c r="J274" s="111"/>
      <c r="K274" s="112"/>
      <c r="L274" s="111"/>
      <c r="M274" s="111"/>
      <c r="N274" s="111"/>
      <c r="O274" s="111"/>
      <c r="P274" s="111"/>
      <c r="Q274" s="112"/>
      <c r="R274" s="112"/>
    </row>
    <row r="275" spans="1:18" ht="15" x14ac:dyDescent="0.25">
      <c r="A275" s="109"/>
      <c r="B275" s="78"/>
      <c r="C275" s="78"/>
      <c r="D275" s="78"/>
      <c r="E275" s="78"/>
      <c r="F275" s="110"/>
      <c r="G275" s="115"/>
      <c r="H275" s="78"/>
      <c r="I275" s="78"/>
      <c r="J275" s="78"/>
      <c r="K275" s="110"/>
      <c r="L275" s="78"/>
      <c r="M275" s="78"/>
      <c r="N275" s="78"/>
      <c r="O275" s="78"/>
      <c r="P275" s="78"/>
      <c r="Q275" s="110"/>
      <c r="R275" s="110"/>
    </row>
    <row r="276" spans="1:18" ht="15" x14ac:dyDescent="0.25">
      <c r="A276" s="109"/>
      <c r="B276" s="111"/>
      <c r="C276" s="111"/>
      <c r="D276" s="111"/>
      <c r="E276" s="111"/>
      <c r="F276" s="112"/>
      <c r="G276" s="114"/>
      <c r="H276" s="111"/>
      <c r="I276" s="111"/>
      <c r="J276" s="111"/>
      <c r="K276" s="112"/>
      <c r="L276" s="111"/>
      <c r="M276" s="111"/>
      <c r="N276" s="111"/>
      <c r="O276" s="111"/>
      <c r="P276" s="111"/>
      <c r="Q276" s="112"/>
      <c r="R276" s="112"/>
    </row>
    <row r="277" spans="1:18" ht="15" x14ac:dyDescent="0.25">
      <c r="A277" s="109"/>
      <c r="B277" s="78"/>
      <c r="C277" s="78"/>
      <c r="D277" s="78"/>
      <c r="E277" s="78"/>
      <c r="F277" s="110"/>
      <c r="G277" s="115"/>
      <c r="H277" s="78"/>
      <c r="I277" s="78"/>
      <c r="J277" s="78"/>
      <c r="K277" s="110"/>
      <c r="L277" s="78"/>
      <c r="M277" s="78"/>
      <c r="N277" s="78"/>
      <c r="O277" s="78"/>
      <c r="P277" s="78"/>
      <c r="Q277" s="110"/>
      <c r="R277" s="110"/>
    </row>
    <row r="278" spans="1:18" ht="15" x14ac:dyDescent="0.25">
      <c r="A278" s="109"/>
      <c r="B278" s="111"/>
      <c r="C278" s="111"/>
      <c r="D278" s="111"/>
      <c r="E278" s="111"/>
      <c r="F278" s="112"/>
      <c r="G278" s="114"/>
      <c r="H278" s="111"/>
      <c r="I278" s="111"/>
      <c r="J278" s="111"/>
      <c r="K278" s="112"/>
      <c r="L278" s="111"/>
      <c r="M278" s="111"/>
      <c r="N278" s="111"/>
      <c r="O278" s="111"/>
      <c r="P278" s="111"/>
      <c r="Q278" s="112"/>
      <c r="R278" s="112"/>
    </row>
    <row r="279" spans="1:18" ht="15" x14ac:dyDescent="0.25">
      <c r="A279" s="109"/>
      <c r="B279" s="78"/>
      <c r="C279" s="78"/>
      <c r="D279" s="78"/>
      <c r="E279" s="78"/>
      <c r="F279" s="110"/>
      <c r="G279" s="115"/>
      <c r="H279" s="78"/>
      <c r="I279" s="78"/>
      <c r="J279" s="78"/>
      <c r="K279" s="110"/>
      <c r="L279" s="78"/>
      <c r="M279" s="78"/>
      <c r="N279" s="78"/>
      <c r="O279" s="78"/>
      <c r="P279" s="78"/>
      <c r="Q279" s="110"/>
      <c r="R279" s="110"/>
    </row>
    <row r="280" spans="1:18" ht="15" x14ac:dyDescent="0.25">
      <c r="A280" s="109"/>
      <c r="B280" s="111"/>
      <c r="C280" s="111"/>
      <c r="D280" s="111"/>
      <c r="E280" s="111"/>
      <c r="F280" s="112"/>
      <c r="G280" s="114"/>
      <c r="H280" s="111"/>
      <c r="I280" s="111"/>
      <c r="J280" s="111"/>
      <c r="K280" s="112"/>
      <c r="L280" s="111"/>
      <c r="M280" s="111"/>
      <c r="N280" s="111"/>
      <c r="O280" s="111"/>
      <c r="P280" s="111"/>
      <c r="Q280" s="112"/>
      <c r="R280" s="112"/>
    </row>
    <row r="281" spans="1:18" ht="15" x14ac:dyDescent="0.25">
      <c r="A281" s="109"/>
      <c r="B281" s="78"/>
      <c r="C281" s="78"/>
      <c r="D281" s="78"/>
      <c r="E281" s="78"/>
      <c r="F281" s="110"/>
      <c r="G281" s="115"/>
      <c r="H281" s="78"/>
      <c r="I281" s="78"/>
      <c r="J281" s="78"/>
      <c r="K281" s="110"/>
      <c r="L281" s="78"/>
      <c r="M281" s="78"/>
      <c r="N281" s="78"/>
      <c r="O281" s="78"/>
      <c r="P281" s="78"/>
      <c r="Q281" s="110"/>
      <c r="R281" s="110"/>
    </row>
    <row r="282" spans="1:18" ht="15" x14ac:dyDescent="0.25">
      <c r="A282" s="109"/>
      <c r="B282" s="111"/>
      <c r="C282" s="111"/>
      <c r="D282" s="111"/>
      <c r="E282" s="111"/>
      <c r="F282" s="112"/>
      <c r="G282" s="114"/>
      <c r="H282" s="111"/>
      <c r="I282" s="111"/>
      <c r="J282" s="111"/>
      <c r="K282" s="112"/>
      <c r="L282" s="111"/>
      <c r="M282" s="111"/>
      <c r="N282" s="111"/>
      <c r="O282" s="111"/>
      <c r="P282" s="111"/>
      <c r="Q282" s="112"/>
      <c r="R282" s="112"/>
    </row>
    <row r="283" spans="1:18" ht="15" x14ac:dyDescent="0.25">
      <c r="A283" s="109"/>
      <c r="B283" s="78"/>
      <c r="C283" s="78"/>
      <c r="D283" s="78"/>
      <c r="E283" s="78"/>
      <c r="F283" s="110"/>
      <c r="G283" s="115"/>
      <c r="H283" s="78"/>
      <c r="I283" s="78"/>
      <c r="J283" s="78"/>
      <c r="K283" s="110"/>
      <c r="L283" s="78"/>
      <c r="M283" s="78"/>
      <c r="N283" s="78"/>
      <c r="O283" s="78"/>
      <c r="P283" s="78"/>
      <c r="Q283" s="110"/>
      <c r="R283" s="110"/>
    </row>
    <row r="284" spans="1:18" ht="15" x14ac:dyDescent="0.25">
      <c r="A284" s="109"/>
      <c r="B284" s="111"/>
      <c r="C284" s="111"/>
      <c r="D284" s="111"/>
      <c r="E284" s="111"/>
      <c r="F284" s="112"/>
      <c r="G284" s="114"/>
      <c r="H284" s="111"/>
      <c r="I284" s="111"/>
      <c r="J284" s="111"/>
      <c r="K284" s="112"/>
      <c r="L284" s="111"/>
      <c r="M284" s="111"/>
      <c r="N284" s="111"/>
      <c r="O284" s="111"/>
      <c r="P284" s="111"/>
      <c r="Q284" s="112"/>
      <c r="R284" s="112"/>
    </row>
    <row r="285" spans="1:18" ht="15" x14ac:dyDescent="0.25">
      <c r="A285" s="109"/>
      <c r="B285" s="78"/>
      <c r="C285" s="78"/>
      <c r="D285" s="78"/>
      <c r="E285" s="78"/>
      <c r="F285" s="110"/>
      <c r="G285" s="115"/>
      <c r="H285" s="78"/>
      <c r="I285" s="78"/>
      <c r="J285" s="78"/>
      <c r="K285" s="110"/>
      <c r="L285" s="78"/>
      <c r="M285" s="78"/>
      <c r="N285" s="78"/>
      <c r="O285" s="78"/>
      <c r="P285" s="78"/>
      <c r="Q285" s="110"/>
      <c r="R285" s="110"/>
    </row>
    <row r="286" spans="1:18" ht="15" x14ac:dyDescent="0.25">
      <c r="A286" s="109"/>
      <c r="B286" s="111"/>
      <c r="C286" s="111"/>
      <c r="D286" s="111"/>
      <c r="E286" s="111"/>
      <c r="F286" s="112"/>
      <c r="G286" s="114"/>
      <c r="H286" s="111"/>
      <c r="I286" s="111"/>
      <c r="J286" s="111"/>
      <c r="K286" s="112"/>
      <c r="L286" s="111"/>
      <c r="M286" s="111"/>
      <c r="N286" s="111"/>
      <c r="O286" s="111"/>
      <c r="P286" s="111"/>
      <c r="Q286" s="112"/>
      <c r="R286" s="112"/>
    </row>
    <row r="287" spans="1:18" ht="15" x14ac:dyDescent="0.25">
      <c r="A287" s="109"/>
      <c r="B287" s="78"/>
      <c r="C287" s="78"/>
      <c r="D287" s="78"/>
      <c r="E287" s="78"/>
      <c r="F287" s="110"/>
      <c r="G287" s="115"/>
      <c r="H287" s="78"/>
      <c r="I287" s="78"/>
      <c r="J287" s="78"/>
      <c r="K287" s="110"/>
      <c r="L287" s="78"/>
      <c r="M287" s="78"/>
      <c r="N287" s="78"/>
      <c r="O287" s="78"/>
      <c r="P287" s="78"/>
      <c r="Q287" s="110"/>
      <c r="R287" s="110"/>
    </row>
    <row r="288" spans="1:18" ht="15" x14ac:dyDescent="0.25">
      <c r="A288" s="109"/>
      <c r="B288" s="111"/>
      <c r="C288" s="111"/>
      <c r="D288" s="111"/>
      <c r="E288" s="111"/>
      <c r="F288" s="112"/>
      <c r="G288" s="114"/>
      <c r="H288" s="111"/>
      <c r="I288" s="111"/>
      <c r="J288" s="111"/>
      <c r="K288" s="112"/>
      <c r="L288" s="111"/>
      <c r="M288" s="111"/>
      <c r="N288" s="111"/>
      <c r="O288" s="111"/>
      <c r="P288" s="111"/>
      <c r="Q288" s="112"/>
      <c r="R288" s="112"/>
    </row>
    <row r="289" spans="1:18" ht="15" x14ac:dyDescent="0.25">
      <c r="A289" s="109"/>
      <c r="B289" s="78"/>
      <c r="C289" s="78"/>
      <c r="D289" s="78"/>
      <c r="E289" s="78"/>
      <c r="F289" s="110"/>
      <c r="G289" s="115"/>
      <c r="H289" s="78"/>
      <c r="I289" s="78"/>
      <c r="J289" s="78"/>
      <c r="K289" s="110"/>
      <c r="L289" s="78"/>
      <c r="M289" s="78"/>
      <c r="N289" s="78"/>
      <c r="O289" s="78"/>
      <c r="P289" s="78"/>
      <c r="Q289" s="110"/>
      <c r="R289" s="110"/>
    </row>
    <row r="290" spans="1:18" ht="15" x14ac:dyDescent="0.25">
      <c r="A290" s="109"/>
      <c r="B290" s="111"/>
      <c r="C290" s="111"/>
      <c r="D290" s="111"/>
      <c r="E290" s="111"/>
      <c r="F290" s="112"/>
      <c r="G290" s="114"/>
      <c r="H290" s="111"/>
      <c r="I290" s="111"/>
      <c r="J290" s="111"/>
      <c r="K290" s="112"/>
      <c r="L290" s="111"/>
      <c r="M290" s="111"/>
      <c r="N290" s="111"/>
      <c r="O290" s="111"/>
      <c r="P290" s="111"/>
      <c r="Q290" s="112"/>
      <c r="R290" s="112"/>
    </row>
    <row r="291" spans="1:18" ht="15" x14ac:dyDescent="0.25">
      <c r="A291" s="109"/>
      <c r="B291" s="78"/>
      <c r="C291" s="78"/>
      <c r="D291" s="78"/>
      <c r="E291" s="78"/>
      <c r="F291" s="110"/>
      <c r="G291" s="115"/>
      <c r="H291" s="78"/>
      <c r="I291" s="78"/>
      <c r="J291" s="78"/>
      <c r="K291" s="110"/>
      <c r="L291" s="78"/>
      <c r="M291" s="78"/>
      <c r="N291" s="78"/>
      <c r="O291" s="78"/>
      <c r="P291" s="78"/>
      <c r="Q291" s="110"/>
      <c r="R291" s="110"/>
    </row>
    <row r="292" spans="1:18" ht="15" x14ac:dyDescent="0.25">
      <c r="A292" s="109"/>
      <c r="B292" s="111"/>
      <c r="C292" s="111"/>
      <c r="D292" s="111"/>
      <c r="E292" s="111"/>
      <c r="F292" s="112"/>
      <c r="G292" s="114"/>
      <c r="H292" s="111"/>
      <c r="I292" s="111"/>
      <c r="J292" s="111"/>
      <c r="K292" s="112"/>
      <c r="L292" s="111"/>
      <c r="M292" s="111"/>
      <c r="N292" s="111"/>
      <c r="O292" s="111"/>
      <c r="P292" s="111"/>
      <c r="Q292" s="112"/>
      <c r="R292" s="112"/>
    </row>
    <row r="293" spans="1:18" ht="15" x14ac:dyDescent="0.25">
      <c r="A293" s="109"/>
      <c r="B293" s="78"/>
      <c r="C293" s="78"/>
      <c r="D293" s="78"/>
      <c r="E293" s="78"/>
      <c r="F293" s="110"/>
      <c r="G293" s="115"/>
      <c r="H293" s="78"/>
      <c r="I293" s="78"/>
      <c r="J293" s="78"/>
      <c r="K293" s="110"/>
      <c r="L293" s="78"/>
      <c r="M293" s="78"/>
      <c r="N293" s="78"/>
      <c r="O293" s="78"/>
      <c r="P293" s="78"/>
      <c r="Q293" s="110"/>
      <c r="R293" s="110"/>
    </row>
    <row r="294" spans="1:18" ht="15" x14ac:dyDescent="0.25">
      <c r="A294" s="109"/>
      <c r="B294" s="111"/>
      <c r="C294" s="111"/>
      <c r="D294" s="111"/>
      <c r="E294" s="111"/>
      <c r="F294" s="112"/>
      <c r="G294" s="114"/>
      <c r="H294" s="111"/>
      <c r="I294" s="111"/>
      <c r="J294" s="111"/>
      <c r="K294" s="112"/>
      <c r="L294" s="111"/>
      <c r="M294" s="111"/>
      <c r="N294" s="111"/>
      <c r="O294" s="111"/>
      <c r="P294" s="111"/>
      <c r="Q294" s="112"/>
      <c r="R294" s="112"/>
    </row>
    <row r="295" spans="1:18" ht="15" x14ac:dyDescent="0.25">
      <c r="A295" s="109"/>
      <c r="B295" s="78"/>
      <c r="C295" s="78"/>
      <c r="D295" s="78"/>
      <c r="E295" s="78"/>
      <c r="F295" s="110"/>
      <c r="G295" s="115"/>
      <c r="H295" s="78"/>
      <c r="I295" s="78"/>
      <c r="J295" s="78"/>
      <c r="K295" s="110"/>
      <c r="L295" s="78"/>
      <c r="M295" s="78"/>
      <c r="N295" s="78"/>
      <c r="O295" s="78"/>
      <c r="P295" s="78"/>
      <c r="Q295" s="110"/>
      <c r="R295" s="110"/>
    </row>
    <row r="296" spans="1:18" ht="15" x14ac:dyDescent="0.25">
      <c r="A296" s="109"/>
      <c r="B296" s="111"/>
      <c r="C296" s="111"/>
      <c r="D296" s="111"/>
      <c r="E296" s="111"/>
      <c r="F296" s="112"/>
      <c r="G296" s="114"/>
      <c r="H296" s="111"/>
      <c r="I296" s="111"/>
      <c r="J296" s="111"/>
      <c r="K296" s="112"/>
      <c r="L296" s="111"/>
      <c r="M296" s="111"/>
      <c r="N296" s="111"/>
      <c r="O296" s="111"/>
      <c r="P296" s="111"/>
      <c r="Q296" s="112"/>
      <c r="R296" s="112"/>
    </row>
    <row r="297" spans="1:18" ht="15" x14ac:dyDescent="0.25">
      <c r="A297" s="109"/>
      <c r="B297" s="78"/>
      <c r="C297" s="78"/>
      <c r="D297" s="78"/>
      <c r="E297" s="78"/>
      <c r="F297" s="110"/>
      <c r="G297" s="115"/>
      <c r="H297" s="78"/>
      <c r="I297" s="78"/>
      <c r="J297" s="78"/>
      <c r="K297" s="110"/>
      <c r="L297" s="78"/>
      <c r="M297" s="78"/>
      <c r="N297" s="78"/>
      <c r="O297" s="78"/>
      <c r="P297" s="78"/>
      <c r="Q297" s="110"/>
      <c r="R297" s="110"/>
    </row>
    <row r="298" spans="1:18" ht="15" x14ac:dyDescent="0.25">
      <c r="A298" s="109"/>
      <c r="B298" s="111"/>
      <c r="C298" s="111"/>
      <c r="D298" s="111"/>
      <c r="E298" s="111"/>
      <c r="F298" s="112"/>
      <c r="G298" s="114"/>
      <c r="H298" s="111"/>
      <c r="I298" s="111"/>
      <c r="J298" s="111"/>
      <c r="K298" s="112"/>
      <c r="L298" s="111"/>
      <c r="M298" s="111"/>
      <c r="N298" s="111"/>
      <c r="O298" s="111"/>
      <c r="P298" s="111"/>
      <c r="Q298" s="112"/>
      <c r="R298" s="112"/>
    </row>
    <row r="299" spans="1:18" ht="15" x14ac:dyDescent="0.25">
      <c r="A299" s="109"/>
      <c r="B299" s="78"/>
      <c r="C299" s="78"/>
      <c r="D299" s="78"/>
      <c r="E299" s="78"/>
      <c r="F299" s="110"/>
      <c r="G299" s="115"/>
      <c r="H299" s="78"/>
      <c r="I299" s="78"/>
      <c r="J299" s="78"/>
      <c r="K299" s="110"/>
      <c r="L299" s="78"/>
      <c r="M299" s="78"/>
      <c r="N299" s="78"/>
      <c r="O299" s="78"/>
      <c r="P299" s="78"/>
      <c r="Q299" s="110"/>
      <c r="R299" s="110"/>
    </row>
    <row r="300" spans="1:18" ht="15" x14ac:dyDescent="0.25">
      <c r="A300" s="109"/>
      <c r="B300" s="111"/>
      <c r="C300" s="111"/>
      <c r="D300" s="111"/>
      <c r="E300" s="111"/>
      <c r="F300" s="112"/>
      <c r="G300" s="114"/>
      <c r="H300" s="111"/>
      <c r="I300" s="111"/>
      <c r="J300" s="111"/>
      <c r="K300" s="112"/>
      <c r="L300" s="111"/>
      <c r="M300" s="111"/>
      <c r="N300" s="111"/>
      <c r="O300" s="111"/>
      <c r="P300" s="111"/>
      <c r="Q300" s="112"/>
      <c r="R300" s="112"/>
    </row>
    <row r="301" spans="1:18" ht="15" x14ac:dyDescent="0.25">
      <c r="A301" s="109"/>
      <c r="B301" s="78"/>
      <c r="C301" s="78"/>
      <c r="D301" s="78"/>
      <c r="E301" s="78"/>
      <c r="F301" s="110"/>
      <c r="G301" s="115"/>
      <c r="H301" s="78"/>
      <c r="I301" s="78"/>
      <c r="J301" s="78"/>
      <c r="K301" s="110"/>
      <c r="L301" s="78"/>
      <c r="M301" s="78"/>
      <c r="N301" s="78"/>
      <c r="O301" s="78"/>
      <c r="P301" s="78"/>
      <c r="Q301" s="110"/>
      <c r="R301" s="110"/>
    </row>
    <row r="302" spans="1:18" ht="15" x14ac:dyDescent="0.25">
      <c r="A302" s="109"/>
      <c r="B302" s="111"/>
      <c r="C302" s="111"/>
      <c r="D302" s="111"/>
      <c r="E302" s="111"/>
      <c r="F302" s="112"/>
      <c r="G302" s="114"/>
      <c r="H302" s="111"/>
      <c r="I302" s="111"/>
      <c r="J302" s="111"/>
      <c r="K302" s="112"/>
      <c r="L302" s="111"/>
      <c r="M302" s="111"/>
      <c r="N302" s="111"/>
      <c r="O302" s="111"/>
      <c r="P302" s="111"/>
      <c r="Q302" s="112"/>
      <c r="R302" s="112"/>
    </row>
    <row r="303" spans="1:18" ht="15" x14ac:dyDescent="0.25">
      <c r="A303" s="109"/>
      <c r="B303" s="78"/>
      <c r="C303" s="78"/>
      <c r="D303" s="78"/>
      <c r="E303" s="78"/>
      <c r="F303" s="110"/>
      <c r="G303" s="115"/>
      <c r="H303" s="78"/>
      <c r="I303" s="78"/>
      <c r="J303" s="78"/>
      <c r="K303" s="110"/>
      <c r="L303" s="78"/>
      <c r="M303" s="78"/>
      <c r="N303" s="78"/>
      <c r="O303" s="78"/>
      <c r="P303" s="78"/>
      <c r="Q303" s="110"/>
      <c r="R303" s="110"/>
    </row>
    <row r="304" spans="1:18" ht="15" x14ac:dyDescent="0.25">
      <c r="A304" s="109"/>
      <c r="B304" s="111"/>
      <c r="C304" s="111"/>
      <c r="D304" s="111"/>
      <c r="E304" s="111"/>
      <c r="F304" s="112"/>
      <c r="G304" s="114"/>
      <c r="H304" s="111"/>
      <c r="I304" s="111"/>
      <c r="J304" s="111"/>
      <c r="K304" s="112"/>
      <c r="L304" s="111"/>
      <c r="M304" s="111"/>
      <c r="N304" s="111"/>
      <c r="O304" s="111"/>
      <c r="P304" s="111"/>
      <c r="Q304" s="112"/>
      <c r="R304" s="112"/>
    </row>
    <row r="305" spans="1:18" ht="15" x14ac:dyDescent="0.25">
      <c r="A305" s="109"/>
      <c r="B305" s="78"/>
      <c r="C305" s="78"/>
      <c r="D305" s="78"/>
      <c r="E305" s="78"/>
      <c r="F305" s="110"/>
      <c r="G305" s="115"/>
      <c r="H305" s="78"/>
      <c r="I305" s="78"/>
      <c r="J305" s="78"/>
      <c r="K305" s="110"/>
      <c r="L305" s="78"/>
      <c r="M305" s="78"/>
      <c r="N305" s="78"/>
      <c r="O305" s="78"/>
      <c r="P305" s="78"/>
      <c r="Q305" s="110"/>
      <c r="R305" s="110"/>
    </row>
    <row r="306" spans="1:18" ht="15" x14ac:dyDescent="0.25">
      <c r="A306" s="109"/>
      <c r="B306" s="111"/>
      <c r="C306" s="111"/>
      <c r="D306" s="111"/>
      <c r="E306" s="111"/>
      <c r="F306" s="112"/>
      <c r="G306" s="114"/>
      <c r="H306" s="111"/>
      <c r="I306" s="111"/>
      <c r="J306" s="111"/>
      <c r="K306" s="112"/>
      <c r="L306" s="111"/>
      <c r="M306" s="111"/>
      <c r="N306" s="111"/>
      <c r="O306" s="111"/>
      <c r="P306" s="111"/>
      <c r="Q306" s="112"/>
      <c r="R306" s="112"/>
    </row>
    <row r="307" spans="1:18" ht="15" x14ac:dyDescent="0.25">
      <c r="A307" s="109"/>
      <c r="B307" s="78"/>
      <c r="C307" s="78"/>
      <c r="D307" s="78"/>
      <c r="E307" s="78"/>
      <c r="F307" s="110"/>
      <c r="G307" s="115"/>
      <c r="H307" s="78"/>
      <c r="I307" s="78"/>
      <c r="J307" s="78"/>
      <c r="K307" s="110"/>
      <c r="L307" s="78"/>
      <c r="M307" s="78"/>
      <c r="N307" s="78"/>
      <c r="O307" s="78"/>
      <c r="P307" s="78"/>
      <c r="Q307" s="110"/>
      <c r="R307" s="110"/>
    </row>
    <row r="308" spans="1:18" ht="15" x14ac:dyDescent="0.25">
      <c r="A308" s="109"/>
      <c r="B308" s="111"/>
      <c r="C308" s="111"/>
      <c r="D308" s="111"/>
      <c r="E308" s="111"/>
      <c r="F308" s="112"/>
      <c r="G308" s="114"/>
      <c r="H308" s="111"/>
      <c r="I308" s="111"/>
      <c r="J308" s="111"/>
      <c r="K308" s="112"/>
      <c r="L308" s="111"/>
      <c r="M308" s="111"/>
      <c r="N308" s="111"/>
      <c r="O308" s="111"/>
      <c r="P308" s="111"/>
      <c r="Q308" s="112"/>
      <c r="R308" s="112"/>
    </row>
    <row r="309" spans="1:18" ht="15" x14ac:dyDescent="0.25">
      <c r="A309" s="109"/>
      <c r="B309" s="78"/>
      <c r="C309" s="78"/>
      <c r="D309" s="78"/>
      <c r="E309" s="78"/>
      <c r="F309" s="110"/>
      <c r="G309" s="115"/>
      <c r="H309" s="78"/>
      <c r="I309" s="78"/>
      <c r="J309" s="78"/>
      <c r="K309" s="110"/>
      <c r="L309" s="78"/>
      <c r="M309" s="78"/>
      <c r="N309" s="78"/>
      <c r="O309" s="78"/>
      <c r="P309" s="78"/>
      <c r="Q309" s="110"/>
      <c r="R309" s="110"/>
    </row>
    <row r="310" spans="1:18" ht="15" x14ac:dyDescent="0.25">
      <c r="A310" s="109"/>
      <c r="B310" s="111"/>
      <c r="C310" s="111"/>
      <c r="D310" s="111"/>
      <c r="E310" s="111"/>
      <c r="F310" s="112"/>
      <c r="G310" s="114"/>
      <c r="H310" s="111"/>
      <c r="I310" s="111"/>
      <c r="J310" s="111"/>
      <c r="K310" s="112"/>
      <c r="L310" s="111"/>
      <c r="M310" s="111"/>
      <c r="N310" s="111"/>
      <c r="O310" s="111"/>
      <c r="P310" s="111"/>
      <c r="Q310" s="112"/>
      <c r="R310" s="112"/>
    </row>
    <row r="311" spans="1:18" ht="15" x14ac:dyDescent="0.25">
      <c r="A311" s="109"/>
      <c r="B311" s="78"/>
      <c r="C311" s="78"/>
      <c r="D311" s="78"/>
      <c r="E311" s="78"/>
      <c r="F311" s="110"/>
      <c r="G311" s="115"/>
      <c r="H311" s="78"/>
      <c r="I311" s="78"/>
      <c r="J311" s="78"/>
      <c r="K311" s="110"/>
      <c r="L311" s="78"/>
      <c r="M311" s="78"/>
      <c r="N311" s="78"/>
      <c r="O311" s="78"/>
      <c r="P311" s="78"/>
      <c r="Q311" s="110"/>
      <c r="R311" s="110"/>
    </row>
    <row r="312" spans="1:18" ht="15" x14ac:dyDescent="0.25">
      <c r="A312" s="109"/>
      <c r="B312" s="111"/>
      <c r="C312" s="111"/>
      <c r="D312" s="111"/>
      <c r="E312" s="111"/>
      <c r="F312" s="112"/>
      <c r="G312" s="114"/>
      <c r="H312" s="111"/>
      <c r="I312" s="111"/>
      <c r="J312" s="111"/>
      <c r="K312" s="112"/>
      <c r="L312" s="111"/>
      <c r="M312" s="111"/>
      <c r="N312" s="111"/>
      <c r="O312" s="111"/>
      <c r="P312" s="111"/>
      <c r="Q312" s="112"/>
      <c r="R312" s="112"/>
    </row>
    <row r="313" spans="1:18" ht="15" x14ac:dyDescent="0.25">
      <c r="A313" s="109"/>
      <c r="B313" s="78"/>
      <c r="C313" s="78"/>
      <c r="D313" s="78"/>
      <c r="E313" s="78"/>
      <c r="F313" s="110"/>
      <c r="G313" s="115"/>
      <c r="H313" s="78"/>
      <c r="I313" s="78"/>
      <c r="J313" s="78"/>
      <c r="K313" s="110"/>
      <c r="L313" s="78"/>
      <c r="M313" s="78"/>
      <c r="N313" s="78"/>
      <c r="O313" s="78"/>
      <c r="P313" s="78"/>
      <c r="Q313" s="110"/>
      <c r="R313" s="110"/>
    </row>
    <row r="314" spans="1:18" ht="15" x14ac:dyDescent="0.25">
      <c r="A314" s="109"/>
      <c r="B314" s="111"/>
      <c r="C314" s="111"/>
      <c r="D314" s="111"/>
      <c r="E314" s="111"/>
      <c r="F314" s="112"/>
      <c r="G314" s="114"/>
      <c r="H314" s="111"/>
      <c r="I314" s="111"/>
      <c r="J314" s="111"/>
      <c r="K314" s="112"/>
      <c r="L314" s="111"/>
      <c r="M314" s="111"/>
      <c r="N314" s="111"/>
      <c r="O314" s="111"/>
      <c r="P314" s="111"/>
      <c r="Q314" s="112"/>
      <c r="R314" s="112"/>
    </row>
    <row r="315" spans="1:18" ht="15" x14ac:dyDescent="0.25">
      <c r="A315" s="109"/>
      <c r="B315" s="78"/>
      <c r="C315" s="78"/>
      <c r="D315" s="78"/>
      <c r="E315" s="78"/>
      <c r="F315" s="110"/>
      <c r="G315" s="115"/>
      <c r="H315" s="78"/>
      <c r="I315" s="78"/>
      <c r="J315" s="78"/>
      <c r="K315" s="110"/>
      <c r="L315" s="78"/>
      <c r="M315" s="78"/>
      <c r="N315" s="78"/>
      <c r="O315" s="78"/>
      <c r="P315" s="78"/>
      <c r="Q315" s="110"/>
      <c r="R315" s="110"/>
    </row>
    <row r="316" spans="1:18" ht="15" x14ac:dyDescent="0.25">
      <c r="A316" s="109"/>
      <c r="B316" s="111"/>
      <c r="C316" s="111"/>
      <c r="D316" s="111"/>
      <c r="E316" s="111"/>
      <c r="F316" s="112"/>
      <c r="G316" s="114"/>
      <c r="H316" s="111"/>
      <c r="I316" s="111"/>
      <c r="J316" s="111"/>
      <c r="K316" s="112"/>
      <c r="L316" s="111"/>
      <c r="M316" s="111"/>
      <c r="N316" s="111"/>
      <c r="O316" s="111"/>
      <c r="P316" s="111"/>
      <c r="Q316" s="112"/>
      <c r="R316" s="112"/>
    </row>
    <row r="317" spans="1:18" ht="15" x14ac:dyDescent="0.25">
      <c r="A317" s="109"/>
      <c r="B317" s="78"/>
      <c r="C317" s="78"/>
      <c r="D317" s="78"/>
      <c r="E317" s="78"/>
      <c r="F317" s="110"/>
      <c r="G317" s="115"/>
      <c r="H317" s="78"/>
      <c r="I317" s="78"/>
      <c r="J317" s="78"/>
      <c r="K317" s="110"/>
      <c r="L317" s="78"/>
      <c r="M317" s="78"/>
      <c r="N317" s="78"/>
      <c r="O317" s="78"/>
      <c r="P317" s="78"/>
      <c r="Q317" s="110"/>
      <c r="R317" s="110"/>
    </row>
    <row r="318" spans="1:18" ht="15" x14ac:dyDescent="0.25">
      <c r="A318" s="109"/>
      <c r="B318" s="111"/>
      <c r="C318" s="111"/>
      <c r="D318" s="111"/>
      <c r="E318" s="111"/>
      <c r="F318" s="112"/>
      <c r="G318" s="114"/>
      <c r="H318" s="111"/>
      <c r="I318" s="111"/>
      <c r="J318" s="111"/>
      <c r="K318" s="112"/>
      <c r="L318" s="111"/>
      <c r="M318" s="111"/>
      <c r="N318" s="111"/>
      <c r="O318" s="111"/>
      <c r="P318" s="111"/>
      <c r="Q318" s="112"/>
      <c r="R318" s="112"/>
    </row>
    <row r="319" spans="1:18" ht="15" x14ac:dyDescent="0.25">
      <c r="A319" s="109"/>
      <c r="B319" s="78"/>
      <c r="C319" s="78"/>
      <c r="D319" s="78"/>
      <c r="E319" s="78"/>
      <c r="F319" s="110"/>
      <c r="G319" s="115"/>
      <c r="H319" s="78"/>
      <c r="I319" s="78"/>
      <c r="J319" s="78"/>
      <c r="K319" s="110"/>
      <c r="L319" s="78"/>
      <c r="M319" s="78"/>
      <c r="N319" s="78"/>
      <c r="O319" s="78"/>
      <c r="P319" s="78"/>
      <c r="Q319" s="110"/>
      <c r="R319" s="110"/>
    </row>
    <row r="320" spans="1:18" ht="15" x14ac:dyDescent="0.25">
      <c r="A320" s="109"/>
      <c r="B320" s="111"/>
      <c r="C320" s="111"/>
      <c r="D320" s="111"/>
      <c r="E320" s="111"/>
      <c r="F320" s="112"/>
      <c r="G320" s="114"/>
      <c r="H320" s="111"/>
      <c r="I320" s="111"/>
      <c r="J320" s="111"/>
      <c r="K320" s="112"/>
      <c r="L320" s="111"/>
      <c r="M320" s="111"/>
      <c r="N320" s="111"/>
      <c r="O320" s="111"/>
      <c r="P320" s="111"/>
      <c r="Q320" s="112"/>
      <c r="R320" s="112"/>
    </row>
    <row r="321" spans="1:18" ht="15" x14ac:dyDescent="0.25">
      <c r="A321" s="109"/>
      <c r="B321" s="78"/>
      <c r="C321" s="78"/>
      <c r="D321" s="78"/>
      <c r="E321" s="78"/>
      <c r="F321" s="110"/>
      <c r="G321" s="115"/>
      <c r="H321" s="78"/>
      <c r="I321" s="78"/>
      <c r="J321" s="78"/>
      <c r="K321" s="110"/>
      <c r="L321" s="78"/>
      <c r="M321" s="78"/>
      <c r="N321" s="78"/>
      <c r="O321" s="78"/>
      <c r="P321" s="78"/>
      <c r="Q321" s="110"/>
      <c r="R321" s="110"/>
    </row>
    <row r="322" spans="1:18" ht="15" x14ac:dyDescent="0.25">
      <c r="A322" s="109"/>
      <c r="B322" s="111"/>
      <c r="C322" s="111"/>
      <c r="D322" s="111"/>
      <c r="E322" s="111"/>
      <c r="F322" s="112"/>
      <c r="G322" s="114"/>
      <c r="H322" s="111"/>
      <c r="I322" s="111"/>
      <c r="J322" s="111"/>
      <c r="K322" s="112"/>
      <c r="L322" s="111"/>
      <c r="M322" s="111"/>
      <c r="N322" s="111"/>
      <c r="O322" s="111"/>
      <c r="P322" s="111"/>
      <c r="Q322" s="112"/>
      <c r="R322" s="112"/>
    </row>
    <row r="323" spans="1:18" ht="15" x14ac:dyDescent="0.25">
      <c r="A323" s="109"/>
      <c r="B323" s="78"/>
      <c r="C323" s="78"/>
      <c r="D323" s="78"/>
      <c r="E323" s="78"/>
      <c r="F323" s="110"/>
      <c r="G323" s="115"/>
      <c r="H323" s="78"/>
      <c r="I323" s="78"/>
      <c r="J323" s="78"/>
      <c r="K323" s="110"/>
      <c r="L323" s="78"/>
      <c r="M323" s="78"/>
      <c r="N323" s="78"/>
      <c r="O323" s="78"/>
      <c r="P323" s="78"/>
      <c r="Q323" s="110"/>
      <c r="R323" s="110"/>
    </row>
    <row r="324" spans="1:18" ht="15" x14ac:dyDescent="0.25">
      <c r="A324" s="109"/>
      <c r="B324" s="111"/>
      <c r="C324" s="111"/>
      <c r="D324" s="111"/>
      <c r="E324" s="111"/>
      <c r="F324" s="112"/>
      <c r="G324" s="114"/>
      <c r="H324" s="111"/>
      <c r="I324" s="111"/>
      <c r="J324" s="111"/>
      <c r="K324" s="112"/>
      <c r="L324" s="111"/>
      <c r="M324" s="111"/>
      <c r="N324" s="111"/>
      <c r="O324" s="111"/>
      <c r="P324" s="111"/>
      <c r="Q324" s="112"/>
      <c r="R324" s="112"/>
    </row>
    <row r="325" spans="1:18" ht="15" x14ac:dyDescent="0.25">
      <c r="A325" s="109"/>
      <c r="B325" s="78"/>
      <c r="C325" s="78"/>
      <c r="D325" s="78"/>
      <c r="E325" s="78"/>
      <c r="F325" s="110"/>
      <c r="G325" s="115"/>
      <c r="H325" s="78"/>
      <c r="I325" s="78"/>
      <c r="J325" s="78"/>
      <c r="K325" s="110"/>
      <c r="L325" s="78"/>
      <c r="M325" s="78"/>
      <c r="N325" s="78"/>
      <c r="O325" s="78"/>
      <c r="P325" s="78"/>
      <c r="Q325" s="110"/>
      <c r="R325" s="110"/>
    </row>
    <row r="326" spans="1:18" ht="15" x14ac:dyDescent="0.25">
      <c r="A326" s="109"/>
      <c r="B326" s="111"/>
      <c r="C326" s="111"/>
      <c r="D326" s="111"/>
      <c r="E326" s="111"/>
      <c r="F326" s="112"/>
      <c r="G326" s="114"/>
      <c r="H326" s="111"/>
      <c r="I326" s="111"/>
      <c r="J326" s="111"/>
      <c r="K326" s="112"/>
      <c r="L326" s="111"/>
      <c r="M326" s="111"/>
      <c r="N326" s="111"/>
      <c r="O326" s="111"/>
      <c r="P326" s="111"/>
      <c r="Q326" s="112"/>
      <c r="R326" s="112"/>
    </row>
    <row r="327" spans="1:18" ht="15" x14ac:dyDescent="0.25">
      <c r="A327" s="109"/>
      <c r="B327" s="78"/>
      <c r="C327" s="78"/>
      <c r="D327" s="78"/>
      <c r="E327" s="78"/>
      <c r="F327" s="110"/>
      <c r="G327" s="115"/>
      <c r="H327" s="78"/>
      <c r="I327" s="78"/>
      <c r="J327" s="78"/>
      <c r="K327" s="110"/>
      <c r="L327" s="78"/>
      <c r="M327" s="78"/>
      <c r="N327" s="78"/>
      <c r="O327" s="78"/>
      <c r="P327" s="78"/>
      <c r="Q327" s="110"/>
      <c r="R327" s="110"/>
    </row>
    <row r="328" spans="1:18" ht="15" x14ac:dyDescent="0.25">
      <c r="A328" s="109"/>
      <c r="B328" s="111"/>
      <c r="C328" s="111"/>
      <c r="D328" s="111"/>
      <c r="E328" s="111"/>
      <c r="F328" s="112"/>
      <c r="G328" s="114"/>
      <c r="H328" s="111"/>
      <c r="I328" s="111"/>
      <c r="J328" s="111"/>
      <c r="K328" s="112"/>
      <c r="L328" s="111"/>
      <c r="M328" s="111"/>
      <c r="N328" s="111"/>
      <c r="O328" s="111"/>
      <c r="P328" s="111"/>
      <c r="Q328" s="112"/>
      <c r="R328" s="112"/>
    </row>
    <row r="329" spans="1:18" ht="15" x14ac:dyDescent="0.25">
      <c r="A329" s="109"/>
      <c r="B329" s="78"/>
      <c r="C329" s="78"/>
      <c r="D329" s="78"/>
      <c r="E329" s="78"/>
      <c r="F329" s="110"/>
      <c r="G329" s="115"/>
      <c r="H329" s="78"/>
      <c r="I329" s="78"/>
      <c r="J329" s="78"/>
      <c r="K329" s="110"/>
      <c r="L329" s="78"/>
      <c r="M329" s="78"/>
      <c r="N329" s="78"/>
      <c r="O329" s="78"/>
      <c r="P329" s="78"/>
      <c r="Q329" s="110"/>
      <c r="R329" s="110"/>
    </row>
    <row r="330" spans="1:18" ht="15" x14ac:dyDescent="0.25">
      <c r="A330" s="109"/>
      <c r="B330" s="111"/>
      <c r="C330" s="111"/>
      <c r="D330" s="111"/>
      <c r="E330" s="111"/>
      <c r="F330" s="112"/>
      <c r="G330" s="114"/>
      <c r="H330" s="111"/>
      <c r="I330" s="111"/>
      <c r="J330" s="111"/>
      <c r="K330" s="112"/>
      <c r="L330" s="111"/>
      <c r="M330" s="111"/>
      <c r="N330" s="111"/>
      <c r="O330" s="111"/>
      <c r="P330" s="111"/>
      <c r="Q330" s="112"/>
      <c r="R330" s="112"/>
    </row>
    <row r="331" spans="1:18" ht="15" x14ac:dyDescent="0.25">
      <c r="A331" s="109"/>
      <c r="B331" s="78"/>
      <c r="C331" s="78"/>
      <c r="D331" s="78"/>
      <c r="E331" s="78"/>
      <c r="F331" s="110"/>
      <c r="G331" s="115"/>
      <c r="H331" s="78"/>
      <c r="I331" s="78"/>
      <c r="J331" s="78"/>
      <c r="K331" s="110"/>
      <c r="L331" s="78"/>
      <c r="M331" s="78"/>
      <c r="N331" s="78"/>
      <c r="O331" s="78"/>
      <c r="P331" s="78"/>
      <c r="Q331" s="110"/>
      <c r="R331" s="110"/>
    </row>
    <row r="332" spans="1:18" ht="15" x14ac:dyDescent="0.25">
      <c r="A332" s="109"/>
      <c r="B332" s="111"/>
      <c r="C332" s="111"/>
      <c r="D332" s="111"/>
      <c r="E332" s="111"/>
      <c r="F332" s="112"/>
      <c r="G332" s="114"/>
      <c r="H332" s="111"/>
      <c r="I332" s="111"/>
      <c r="J332" s="111"/>
      <c r="K332" s="112"/>
      <c r="L332" s="111"/>
      <c r="M332" s="111"/>
      <c r="N332" s="111"/>
      <c r="O332" s="111"/>
      <c r="P332" s="111"/>
      <c r="Q332" s="112"/>
      <c r="R332" s="112"/>
    </row>
    <row r="333" spans="1:18" ht="15" x14ac:dyDescent="0.25">
      <c r="A333" s="109"/>
      <c r="B333" s="78"/>
      <c r="C333" s="78"/>
      <c r="D333" s="78"/>
      <c r="E333" s="78"/>
      <c r="F333" s="110"/>
      <c r="G333" s="115"/>
      <c r="H333" s="78"/>
      <c r="I333" s="78"/>
      <c r="J333" s="78"/>
      <c r="K333" s="110"/>
      <c r="L333" s="78"/>
      <c r="M333" s="78"/>
      <c r="N333" s="78"/>
      <c r="O333" s="78"/>
      <c r="P333" s="78"/>
      <c r="Q333" s="110"/>
      <c r="R333" s="110"/>
    </row>
    <row r="334" spans="1:18" ht="15" x14ac:dyDescent="0.25">
      <c r="A334" s="109"/>
      <c r="B334" s="111"/>
      <c r="C334" s="111"/>
      <c r="D334" s="111"/>
      <c r="E334" s="111"/>
      <c r="F334" s="112"/>
      <c r="G334" s="114"/>
      <c r="H334" s="111"/>
      <c r="I334" s="111"/>
      <c r="J334" s="111"/>
      <c r="K334" s="112"/>
      <c r="L334" s="111"/>
      <c r="M334" s="111"/>
      <c r="N334" s="111"/>
      <c r="O334" s="111"/>
      <c r="P334" s="111"/>
      <c r="Q334" s="112"/>
      <c r="R334" s="112"/>
    </row>
    <row r="335" spans="1:18" ht="15" x14ac:dyDescent="0.25">
      <c r="A335" s="109"/>
      <c r="B335" s="78"/>
      <c r="C335" s="78"/>
      <c r="D335" s="78"/>
      <c r="E335" s="78"/>
      <c r="F335" s="110"/>
      <c r="G335" s="115"/>
      <c r="H335" s="78"/>
      <c r="I335" s="78"/>
      <c r="J335" s="78"/>
      <c r="K335" s="110"/>
      <c r="L335" s="78"/>
      <c r="M335" s="78"/>
      <c r="N335" s="78"/>
      <c r="O335" s="78"/>
      <c r="P335" s="78"/>
      <c r="Q335" s="110"/>
      <c r="R335" s="110"/>
    </row>
    <row r="336" spans="1:18" ht="15" x14ac:dyDescent="0.25">
      <c r="A336" s="109"/>
      <c r="B336" s="111"/>
      <c r="C336" s="111"/>
      <c r="D336" s="111"/>
      <c r="E336" s="111"/>
      <c r="F336" s="112"/>
      <c r="G336" s="114"/>
      <c r="H336" s="111"/>
      <c r="I336" s="111"/>
      <c r="J336" s="111"/>
      <c r="K336" s="112"/>
      <c r="L336" s="111"/>
      <c r="M336" s="111"/>
      <c r="N336" s="111"/>
      <c r="O336" s="111"/>
      <c r="P336" s="111"/>
      <c r="Q336" s="112"/>
      <c r="R336" s="112"/>
    </row>
    <row r="337" spans="1:18" ht="15" x14ac:dyDescent="0.25">
      <c r="A337" s="109"/>
      <c r="B337" s="78"/>
      <c r="C337" s="78"/>
      <c r="D337" s="78"/>
      <c r="E337" s="78"/>
      <c r="F337" s="110"/>
      <c r="G337" s="115"/>
      <c r="H337" s="78"/>
      <c r="I337" s="78"/>
      <c r="J337" s="78"/>
      <c r="K337" s="110"/>
      <c r="L337" s="78"/>
      <c r="M337" s="78"/>
      <c r="N337" s="78"/>
      <c r="O337" s="78"/>
      <c r="P337" s="78"/>
      <c r="Q337" s="110"/>
      <c r="R337" s="110"/>
    </row>
    <row r="338" spans="1:18" ht="15" x14ac:dyDescent="0.25">
      <c r="A338" s="109"/>
      <c r="B338" s="111"/>
      <c r="C338" s="111"/>
      <c r="D338" s="111"/>
      <c r="E338" s="111"/>
      <c r="F338" s="112"/>
      <c r="G338" s="114"/>
      <c r="H338" s="111"/>
      <c r="I338" s="111"/>
      <c r="J338" s="111"/>
      <c r="K338" s="112"/>
      <c r="L338" s="111"/>
      <c r="M338" s="111"/>
      <c r="N338" s="111"/>
      <c r="O338" s="111"/>
      <c r="P338" s="111"/>
      <c r="Q338" s="112"/>
      <c r="R338" s="112"/>
    </row>
    <row r="339" spans="1:18" ht="15" x14ac:dyDescent="0.25">
      <c r="A339" s="109"/>
      <c r="B339" s="78"/>
      <c r="C339" s="78"/>
      <c r="D339" s="78"/>
      <c r="E339" s="78"/>
      <c r="F339" s="110"/>
      <c r="G339" s="115"/>
      <c r="H339" s="78"/>
      <c r="I339" s="78"/>
      <c r="J339" s="78"/>
      <c r="K339" s="110"/>
      <c r="L339" s="78"/>
      <c r="M339" s="78"/>
      <c r="N339" s="78"/>
      <c r="O339" s="78"/>
      <c r="P339" s="78"/>
      <c r="Q339" s="110"/>
      <c r="R339" s="110"/>
    </row>
    <row r="340" spans="1:18" ht="15" x14ac:dyDescent="0.25">
      <c r="A340" s="109"/>
      <c r="B340" s="111"/>
      <c r="C340" s="111"/>
      <c r="D340" s="111"/>
      <c r="E340" s="111"/>
      <c r="F340" s="112"/>
      <c r="G340" s="114"/>
      <c r="H340" s="111"/>
      <c r="I340" s="111"/>
      <c r="J340" s="111"/>
      <c r="K340" s="112"/>
      <c r="L340" s="111"/>
      <c r="M340" s="111"/>
      <c r="N340" s="111"/>
      <c r="O340" s="111"/>
      <c r="P340" s="111"/>
      <c r="Q340" s="112"/>
      <c r="R340" s="112"/>
    </row>
    <row r="341" spans="1:18" ht="15" x14ac:dyDescent="0.25">
      <c r="A341" s="109"/>
      <c r="B341" s="78"/>
      <c r="C341" s="78"/>
      <c r="D341" s="78"/>
      <c r="E341" s="78"/>
      <c r="F341" s="110"/>
      <c r="G341" s="115"/>
      <c r="H341" s="78"/>
      <c r="I341" s="78"/>
      <c r="J341" s="78"/>
      <c r="K341" s="110"/>
      <c r="L341" s="78"/>
      <c r="M341" s="78"/>
      <c r="N341" s="78"/>
      <c r="O341" s="78"/>
      <c r="P341" s="78"/>
      <c r="Q341" s="110"/>
      <c r="R341" s="110"/>
    </row>
    <row r="342" spans="1:18" ht="15" x14ac:dyDescent="0.25">
      <c r="A342" s="109"/>
      <c r="B342" s="111"/>
      <c r="C342" s="111"/>
      <c r="D342" s="111"/>
      <c r="E342" s="111"/>
      <c r="F342" s="112"/>
      <c r="G342" s="114"/>
      <c r="H342" s="111"/>
      <c r="I342" s="111"/>
      <c r="J342" s="111"/>
      <c r="K342" s="112"/>
      <c r="L342" s="111"/>
      <c r="M342" s="111"/>
      <c r="N342" s="111"/>
      <c r="O342" s="111"/>
      <c r="P342" s="111"/>
      <c r="Q342" s="112"/>
      <c r="R342" s="112"/>
    </row>
    <row r="343" spans="1:18" ht="15" x14ac:dyDescent="0.25">
      <c r="A343" s="109"/>
      <c r="B343" s="78"/>
      <c r="C343" s="78"/>
      <c r="D343" s="78"/>
      <c r="E343" s="78"/>
      <c r="F343" s="110"/>
      <c r="G343" s="115"/>
      <c r="H343" s="78"/>
      <c r="I343" s="78"/>
      <c r="J343" s="78"/>
      <c r="K343" s="110"/>
      <c r="L343" s="78"/>
      <c r="M343" s="78"/>
      <c r="N343" s="78"/>
      <c r="O343" s="78"/>
      <c r="P343" s="78"/>
      <c r="Q343" s="110"/>
      <c r="R343" s="110"/>
    </row>
    <row r="344" spans="1:18" ht="15" x14ac:dyDescent="0.25">
      <c r="A344" s="109"/>
      <c r="B344" s="111"/>
      <c r="C344" s="111"/>
      <c r="D344" s="111"/>
      <c r="E344" s="111"/>
      <c r="F344" s="112"/>
      <c r="G344" s="114"/>
      <c r="H344" s="111"/>
      <c r="I344" s="111"/>
      <c r="J344" s="111"/>
      <c r="K344" s="112"/>
      <c r="L344" s="111"/>
      <c r="M344" s="111"/>
      <c r="N344" s="111"/>
      <c r="O344" s="111"/>
      <c r="P344" s="111"/>
      <c r="Q344" s="112"/>
      <c r="R344" s="112"/>
    </row>
    <row r="345" spans="1:18" ht="15" x14ac:dyDescent="0.25">
      <c r="A345" s="109"/>
      <c r="B345" s="78"/>
      <c r="C345" s="78"/>
      <c r="D345" s="78"/>
      <c r="E345" s="78"/>
      <c r="F345" s="110"/>
      <c r="G345" s="115"/>
      <c r="H345" s="78"/>
      <c r="I345" s="78"/>
      <c r="J345" s="78"/>
      <c r="K345" s="110"/>
      <c r="L345" s="78"/>
      <c r="M345" s="78"/>
      <c r="N345" s="78"/>
      <c r="O345" s="78"/>
      <c r="P345" s="78"/>
      <c r="Q345" s="110"/>
      <c r="R345" s="110"/>
    </row>
    <row r="346" spans="1:18" ht="15" x14ac:dyDescent="0.25">
      <c r="A346" s="109"/>
      <c r="B346" s="111"/>
      <c r="C346" s="111"/>
      <c r="D346" s="111"/>
      <c r="E346" s="111"/>
      <c r="F346" s="112"/>
      <c r="G346" s="114"/>
      <c r="H346" s="111"/>
      <c r="I346" s="111"/>
      <c r="J346" s="111"/>
      <c r="K346" s="112"/>
      <c r="L346" s="111"/>
      <c r="M346" s="111"/>
      <c r="N346" s="111"/>
      <c r="O346" s="111"/>
      <c r="P346" s="111"/>
      <c r="Q346" s="112"/>
      <c r="R346" s="112"/>
    </row>
    <row r="347" spans="1:18" ht="15" x14ac:dyDescent="0.25">
      <c r="A347" s="109"/>
      <c r="B347" s="78"/>
      <c r="C347" s="78"/>
      <c r="D347" s="78"/>
      <c r="E347" s="78"/>
      <c r="F347" s="110"/>
      <c r="G347" s="115"/>
      <c r="H347" s="78"/>
      <c r="I347" s="78"/>
      <c r="J347" s="78"/>
      <c r="K347" s="110"/>
      <c r="L347" s="78"/>
      <c r="M347" s="78"/>
      <c r="N347" s="78"/>
      <c r="O347" s="78"/>
      <c r="P347" s="78"/>
      <c r="Q347" s="110"/>
      <c r="R347" s="110"/>
    </row>
    <row r="348" spans="1:18" ht="15" x14ac:dyDescent="0.25">
      <c r="A348" s="109"/>
      <c r="B348" s="111"/>
      <c r="C348" s="111"/>
      <c r="D348" s="111"/>
      <c r="E348" s="111"/>
      <c r="F348" s="112"/>
      <c r="G348" s="114"/>
      <c r="H348" s="111"/>
      <c r="I348" s="111"/>
      <c r="J348" s="111"/>
      <c r="K348" s="112"/>
      <c r="L348" s="111"/>
      <c r="M348" s="111"/>
      <c r="N348" s="111"/>
      <c r="O348" s="111"/>
      <c r="P348" s="111"/>
      <c r="Q348" s="112"/>
      <c r="R348" s="112"/>
    </row>
    <row r="349" spans="1:18" ht="15" x14ac:dyDescent="0.25">
      <c r="A349" s="109"/>
      <c r="B349" s="78"/>
      <c r="C349" s="78"/>
      <c r="D349" s="78"/>
      <c r="E349" s="78"/>
      <c r="F349" s="110"/>
      <c r="G349" s="115"/>
      <c r="H349" s="78"/>
      <c r="I349" s="78"/>
      <c r="J349" s="78"/>
      <c r="K349" s="110"/>
      <c r="L349" s="78"/>
      <c r="M349" s="78"/>
      <c r="N349" s="78"/>
      <c r="O349" s="78"/>
      <c r="P349" s="78"/>
      <c r="Q349" s="110"/>
      <c r="R349" s="110"/>
    </row>
    <row r="350" spans="1:18" ht="15" x14ac:dyDescent="0.25">
      <c r="A350" s="109"/>
      <c r="B350" s="111"/>
      <c r="C350" s="111"/>
      <c r="D350" s="111"/>
      <c r="E350" s="111"/>
      <c r="F350" s="112"/>
      <c r="G350" s="114"/>
      <c r="H350" s="111"/>
      <c r="I350" s="111"/>
      <c r="J350" s="111"/>
      <c r="K350" s="112"/>
      <c r="L350" s="111"/>
      <c r="M350" s="111"/>
      <c r="N350" s="111"/>
      <c r="O350" s="111"/>
      <c r="P350" s="111"/>
      <c r="Q350" s="112"/>
      <c r="R350" s="112"/>
    </row>
    <row r="351" spans="1:18" ht="15" x14ac:dyDescent="0.25">
      <c r="A351" s="109"/>
      <c r="B351" s="78"/>
      <c r="C351" s="78"/>
      <c r="D351" s="78"/>
      <c r="E351" s="78"/>
      <c r="F351" s="110"/>
      <c r="G351" s="115"/>
      <c r="H351" s="78"/>
      <c r="I351" s="78"/>
      <c r="J351" s="78"/>
      <c r="K351" s="110"/>
      <c r="L351" s="78"/>
      <c r="M351" s="78"/>
      <c r="N351" s="78"/>
      <c r="O351" s="78"/>
      <c r="P351" s="78"/>
      <c r="Q351" s="110"/>
      <c r="R351" s="110"/>
    </row>
    <row r="352" spans="1:18" ht="15" x14ac:dyDescent="0.25">
      <c r="A352" s="109"/>
      <c r="B352" s="111"/>
      <c r="C352" s="111"/>
      <c r="D352" s="111"/>
      <c r="E352" s="111"/>
      <c r="F352" s="112"/>
      <c r="G352" s="114"/>
      <c r="H352" s="111"/>
      <c r="I352" s="111"/>
      <c r="J352" s="111"/>
      <c r="K352" s="112"/>
      <c r="L352" s="111"/>
      <c r="M352" s="111"/>
      <c r="N352" s="111"/>
      <c r="O352" s="111"/>
      <c r="P352" s="111"/>
      <c r="Q352" s="112"/>
      <c r="R352" s="112"/>
    </row>
    <row r="353" spans="1:18" ht="15" x14ac:dyDescent="0.25">
      <c r="A353" s="109"/>
      <c r="B353" s="78"/>
      <c r="C353" s="78"/>
      <c r="D353" s="78"/>
      <c r="E353" s="78"/>
      <c r="F353" s="110"/>
      <c r="G353" s="115"/>
      <c r="H353" s="78"/>
      <c r="I353" s="78"/>
      <c r="J353" s="78"/>
      <c r="K353" s="110"/>
      <c r="L353" s="78"/>
      <c r="M353" s="78"/>
      <c r="N353" s="78"/>
      <c r="O353" s="78"/>
      <c r="P353" s="78"/>
      <c r="Q353" s="110"/>
      <c r="R353" s="110"/>
    </row>
    <row r="354" spans="1:18" ht="15" x14ac:dyDescent="0.25">
      <c r="A354" s="109"/>
      <c r="B354" s="111"/>
      <c r="C354" s="111"/>
      <c r="D354" s="111"/>
      <c r="E354" s="111"/>
      <c r="F354" s="112"/>
      <c r="G354" s="114"/>
      <c r="H354" s="111"/>
      <c r="I354" s="111"/>
      <c r="J354" s="111"/>
      <c r="K354" s="112"/>
      <c r="L354" s="111"/>
      <c r="M354" s="111"/>
      <c r="N354" s="111"/>
      <c r="O354" s="111"/>
      <c r="P354" s="111"/>
      <c r="Q354" s="112"/>
      <c r="R354" s="112"/>
    </row>
    <row r="355" spans="1:18" ht="15" x14ac:dyDescent="0.25">
      <c r="A355" s="109"/>
      <c r="B355" s="78"/>
      <c r="C355" s="78"/>
      <c r="D355" s="78"/>
      <c r="E355" s="78"/>
      <c r="F355" s="110"/>
      <c r="G355" s="115"/>
      <c r="H355" s="78"/>
      <c r="I355" s="78"/>
      <c r="J355" s="78"/>
      <c r="K355" s="110"/>
      <c r="L355" s="78"/>
      <c r="M355" s="78"/>
      <c r="N355" s="78"/>
      <c r="O355" s="78"/>
      <c r="P355" s="78"/>
      <c r="Q355" s="110"/>
      <c r="R355" s="110"/>
    </row>
    <row r="356" spans="1:18" ht="15" x14ac:dyDescent="0.25">
      <c r="A356" s="109"/>
      <c r="B356" s="111"/>
      <c r="C356" s="111"/>
      <c r="D356" s="111"/>
      <c r="E356" s="111"/>
      <c r="F356" s="112"/>
      <c r="G356" s="114"/>
      <c r="H356" s="111"/>
      <c r="I356" s="111"/>
      <c r="J356" s="111"/>
      <c r="K356" s="112"/>
      <c r="L356" s="111"/>
      <c r="M356" s="111"/>
      <c r="N356" s="111"/>
      <c r="O356" s="111"/>
      <c r="P356" s="111"/>
      <c r="Q356" s="112"/>
      <c r="R356" s="112"/>
    </row>
    <row r="357" spans="1:18" ht="15" x14ac:dyDescent="0.25">
      <c r="A357" s="109"/>
      <c r="B357" s="78"/>
      <c r="C357" s="78"/>
      <c r="D357" s="78"/>
      <c r="E357" s="78"/>
      <c r="F357" s="110"/>
      <c r="G357" s="115"/>
      <c r="H357" s="78"/>
      <c r="I357" s="78"/>
      <c r="J357" s="78"/>
      <c r="K357" s="110"/>
      <c r="L357" s="78"/>
      <c r="M357" s="78"/>
      <c r="N357" s="78"/>
      <c r="O357" s="78"/>
      <c r="P357" s="78"/>
      <c r="Q357" s="110"/>
      <c r="R357" s="110"/>
    </row>
    <row r="358" spans="1:18" ht="15" x14ac:dyDescent="0.25">
      <c r="A358" s="109"/>
      <c r="B358" s="111"/>
      <c r="C358" s="111"/>
      <c r="D358" s="111"/>
      <c r="E358" s="111"/>
      <c r="F358" s="112"/>
      <c r="G358" s="114"/>
      <c r="H358" s="111"/>
      <c r="I358" s="111"/>
      <c r="J358" s="111"/>
      <c r="K358" s="112"/>
      <c r="L358" s="111"/>
      <c r="M358" s="111"/>
      <c r="N358" s="111"/>
      <c r="O358" s="111"/>
      <c r="P358" s="111"/>
      <c r="Q358" s="112"/>
      <c r="R358" s="112"/>
    </row>
    <row r="359" spans="1:18" ht="15" x14ac:dyDescent="0.25">
      <c r="A359" s="109"/>
      <c r="B359" s="78"/>
      <c r="C359" s="78"/>
      <c r="D359" s="78"/>
      <c r="E359" s="78"/>
      <c r="F359" s="110"/>
      <c r="G359" s="115"/>
      <c r="H359" s="78"/>
      <c r="I359" s="78"/>
      <c r="J359" s="78"/>
      <c r="K359" s="110"/>
      <c r="L359" s="78"/>
      <c r="M359" s="78"/>
      <c r="N359" s="78"/>
      <c r="O359" s="78"/>
      <c r="P359" s="78"/>
      <c r="Q359" s="110"/>
      <c r="R359" s="110"/>
    </row>
    <row r="360" spans="1:18" ht="15" x14ac:dyDescent="0.25">
      <c r="A360" s="109"/>
      <c r="B360" s="111"/>
      <c r="C360" s="111"/>
      <c r="D360" s="111"/>
      <c r="E360" s="111"/>
      <c r="F360" s="112"/>
      <c r="G360" s="114"/>
      <c r="H360" s="111"/>
      <c r="I360" s="111"/>
      <c r="J360" s="111"/>
      <c r="K360" s="112"/>
      <c r="L360" s="111"/>
      <c r="M360" s="111"/>
      <c r="N360" s="111"/>
      <c r="O360" s="111"/>
      <c r="P360" s="111"/>
      <c r="Q360" s="112"/>
      <c r="R360" s="112"/>
    </row>
    <row r="361" spans="1:18" ht="15" x14ac:dyDescent="0.25">
      <c r="A361" s="109"/>
      <c r="B361" s="78"/>
      <c r="C361" s="78"/>
      <c r="D361" s="78"/>
      <c r="E361" s="78"/>
      <c r="F361" s="110"/>
      <c r="G361" s="115"/>
      <c r="H361" s="78"/>
      <c r="I361" s="78"/>
      <c r="J361" s="78"/>
      <c r="K361" s="110"/>
      <c r="L361" s="78"/>
      <c r="M361" s="78"/>
      <c r="N361" s="78"/>
      <c r="O361" s="78"/>
      <c r="P361" s="78"/>
      <c r="Q361" s="110"/>
      <c r="R361" s="110"/>
    </row>
    <row r="362" spans="1:18" ht="15" x14ac:dyDescent="0.25">
      <c r="A362" s="109"/>
      <c r="B362" s="111"/>
      <c r="C362" s="111"/>
      <c r="D362" s="111"/>
      <c r="E362" s="111"/>
      <c r="F362" s="112"/>
      <c r="G362" s="114"/>
      <c r="H362" s="111"/>
      <c r="I362" s="111"/>
      <c r="J362" s="111"/>
      <c r="K362" s="112"/>
      <c r="L362" s="111"/>
      <c r="M362" s="111"/>
      <c r="N362" s="111"/>
      <c r="O362" s="111"/>
      <c r="P362" s="111"/>
      <c r="Q362" s="112"/>
      <c r="R362" s="112"/>
    </row>
    <row r="363" spans="1:18" ht="15" x14ac:dyDescent="0.25">
      <c r="A363" s="109"/>
      <c r="B363" s="78"/>
      <c r="C363" s="78"/>
      <c r="D363" s="78"/>
      <c r="E363" s="78"/>
      <c r="F363" s="110"/>
      <c r="G363" s="115"/>
      <c r="H363" s="78"/>
      <c r="I363" s="78"/>
      <c r="J363" s="78"/>
      <c r="K363" s="110"/>
      <c r="L363" s="78"/>
      <c r="M363" s="78"/>
      <c r="N363" s="78"/>
      <c r="O363" s="78"/>
      <c r="P363" s="78"/>
      <c r="Q363" s="110"/>
      <c r="R363" s="110"/>
    </row>
    <row r="364" spans="1:18" ht="15" x14ac:dyDescent="0.25">
      <c r="A364" s="109"/>
      <c r="B364" s="111"/>
      <c r="C364" s="111"/>
      <c r="D364" s="111"/>
      <c r="E364" s="111"/>
      <c r="F364" s="112"/>
      <c r="G364" s="114"/>
      <c r="H364" s="111"/>
      <c r="I364" s="111"/>
      <c r="J364" s="111"/>
      <c r="K364" s="112"/>
      <c r="L364" s="111"/>
      <c r="M364" s="111"/>
      <c r="N364" s="111"/>
      <c r="O364" s="111"/>
      <c r="P364" s="111"/>
      <c r="Q364" s="112"/>
      <c r="R364" s="112"/>
    </row>
    <row r="365" spans="1:18" ht="15" x14ac:dyDescent="0.25">
      <c r="A365" s="109"/>
      <c r="B365" s="78"/>
      <c r="C365" s="78"/>
      <c r="D365" s="78"/>
      <c r="E365" s="78"/>
      <c r="F365" s="110"/>
      <c r="G365" s="115"/>
      <c r="H365" s="78"/>
      <c r="I365" s="78"/>
      <c r="J365" s="78"/>
      <c r="K365" s="110"/>
      <c r="L365" s="78"/>
      <c r="M365" s="78"/>
      <c r="N365" s="78"/>
      <c r="O365" s="78"/>
      <c r="P365" s="78"/>
      <c r="Q365" s="110"/>
      <c r="R365" s="110"/>
    </row>
    <row r="366" spans="1:18" ht="15" x14ac:dyDescent="0.25">
      <c r="A366" s="109"/>
      <c r="B366" s="111"/>
      <c r="C366" s="111"/>
      <c r="D366" s="111"/>
      <c r="E366" s="111"/>
      <c r="F366" s="112"/>
      <c r="G366" s="114"/>
      <c r="H366" s="111"/>
      <c r="I366" s="111"/>
      <c r="J366" s="111"/>
      <c r="K366" s="112"/>
      <c r="L366" s="111"/>
      <c r="M366" s="111"/>
      <c r="N366" s="111"/>
      <c r="O366" s="111"/>
      <c r="P366" s="111"/>
      <c r="Q366" s="112"/>
      <c r="R366" s="112"/>
    </row>
    <row r="367" spans="1:18" ht="15" x14ac:dyDescent="0.25">
      <c r="A367" s="109"/>
      <c r="B367" s="78"/>
      <c r="C367" s="78"/>
      <c r="D367" s="78"/>
      <c r="E367" s="78"/>
      <c r="F367" s="110"/>
      <c r="G367" s="115"/>
      <c r="H367" s="78"/>
      <c r="I367" s="78"/>
      <c r="J367" s="78"/>
      <c r="K367" s="110"/>
      <c r="L367" s="78"/>
      <c r="M367" s="78"/>
      <c r="N367" s="78"/>
      <c r="O367" s="78"/>
      <c r="P367" s="78"/>
      <c r="Q367" s="110"/>
      <c r="R367" s="110"/>
    </row>
    <row r="368" spans="1:18" ht="15" x14ac:dyDescent="0.25">
      <c r="A368" s="109"/>
      <c r="B368" s="111"/>
      <c r="C368" s="111"/>
      <c r="D368" s="111"/>
      <c r="E368" s="111"/>
      <c r="F368" s="112"/>
      <c r="G368" s="114"/>
      <c r="H368" s="111"/>
      <c r="I368" s="111"/>
      <c r="J368" s="111"/>
      <c r="K368" s="112"/>
      <c r="L368" s="111"/>
      <c r="M368" s="111"/>
      <c r="N368" s="111"/>
      <c r="O368" s="111"/>
      <c r="P368" s="111"/>
      <c r="Q368" s="112"/>
      <c r="R368" s="112"/>
    </row>
    <row r="369" spans="1:18" ht="15" x14ac:dyDescent="0.25">
      <c r="A369" s="109"/>
      <c r="B369" s="78"/>
      <c r="C369" s="78"/>
      <c r="D369" s="78"/>
      <c r="E369" s="78"/>
      <c r="F369" s="110"/>
      <c r="G369" s="115"/>
      <c r="H369" s="78"/>
      <c r="I369" s="78"/>
      <c r="J369" s="78"/>
      <c r="K369" s="110"/>
      <c r="L369" s="78"/>
      <c r="M369" s="78"/>
      <c r="N369" s="78"/>
      <c r="O369" s="78"/>
      <c r="P369" s="78"/>
      <c r="Q369" s="110"/>
      <c r="R369" s="110"/>
    </row>
    <row r="370" spans="1:18" ht="15" x14ac:dyDescent="0.25">
      <c r="A370" s="109"/>
      <c r="B370" s="111"/>
      <c r="C370" s="111"/>
      <c r="D370" s="111"/>
      <c r="E370" s="111"/>
      <c r="F370" s="112"/>
      <c r="G370" s="114"/>
      <c r="H370" s="111"/>
      <c r="I370" s="111"/>
      <c r="J370" s="111"/>
      <c r="K370" s="112"/>
      <c r="L370" s="111"/>
      <c r="M370" s="111"/>
      <c r="N370" s="111"/>
      <c r="O370" s="111"/>
      <c r="P370" s="111"/>
      <c r="Q370" s="112"/>
      <c r="R370" s="112"/>
    </row>
    <row r="371" spans="1:18" ht="15" x14ac:dyDescent="0.25">
      <c r="A371" s="109"/>
      <c r="B371" s="78"/>
      <c r="C371" s="78"/>
      <c r="D371" s="78"/>
      <c r="E371" s="78"/>
      <c r="F371" s="110"/>
      <c r="G371" s="115"/>
      <c r="H371" s="78"/>
      <c r="I371" s="78"/>
      <c r="J371" s="78"/>
      <c r="K371" s="110"/>
      <c r="L371" s="78"/>
      <c r="M371" s="78"/>
      <c r="N371" s="78"/>
      <c r="O371" s="78"/>
      <c r="P371" s="78"/>
      <c r="Q371" s="110"/>
      <c r="R371" s="110"/>
    </row>
    <row r="372" spans="1:18" ht="15" x14ac:dyDescent="0.25">
      <c r="A372" s="109"/>
      <c r="B372" s="111"/>
      <c r="C372" s="111"/>
      <c r="D372" s="111"/>
      <c r="E372" s="111"/>
      <c r="F372" s="112"/>
      <c r="G372" s="114"/>
      <c r="H372" s="111"/>
      <c r="I372" s="111"/>
      <c r="J372" s="111"/>
      <c r="K372" s="112"/>
      <c r="L372" s="111"/>
      <c r="M372" s="111"/>
      <c r="N372" s="111"/>
      <c r="O372" s="111"/>
      <c r="P372" s="111"/>
      <c r="Q372" s="112"/>
      <c r="R372" s="112"/>
    </row>
    <row r="373" spans="1:18" ht="15" x14ac:dyDescent="0.25">
      <c r="A373" s="109"/>
      <c r="B373" s="78"/>
      <c r="C373" s="78"/>
      <c r="D373" s="78"/>
      <c r="E373" s="78"/>
      <c r="F373" s="110"/>
      <c r="G373" s="115"/>
      <c r="H373" s="78"/>
      <c r="I373" s="78"/>
      <c r="J373" s="78"/>
      <c r="K373" s="110"/>
      <c r="L373" s="78"/>
      <c r="M373" s="78"/>
      <c r="N373" s="78"/>
      <c r="O373" s="78"/>
      <c r="P373" s="78"/>
      <c r="Q373" s="110"/>
      <c r="R373" s="110"/>
    </row>
    <row r="374" spans="1:18" ht="15" x14ac:dyDescent="0.25">
      <c r="A374" s="109"/>
      <c r="B374" s="111"/>
      <c r="C374" s="111"/>
      <c r="D374" s="111"/>
      <c r="E374" s="111"/>
      <c r="F374" s="112"/>
      <c r="G374" s="114"/>
      <c r="H374" s="111"/>
      <c r="I374" s="111"/>
      <c r="J374" s="111"/>
      <c r="K374" s="112"/>
      <c r="L374" s="111"/>
      <c r="M374" s="111"/>
      <c r="N374" s="111"/>
      <c r="O374" s="111"/>
      <c r="P374" s="111"/>
      <c r="Q374" s="112"/>
      <c r="R374" s="112"/>
    </row>
    <row r="375" spans="1:18" ht="15" x14ac:dyDescent="0.25">
      <c r="A375" s="109"/>
      <c r="B375" s="78"/>
      <c r="C375" s="78"/>
      <c r="D375" s="78"/>
      <c r="E375" s="78"/>
      <c r="F375" s="110"/>
      <c r="G375" s="115"/>
      <c r="H375" s="78"/>
      <c r="I375" s="78"/>
      <c r="J375" s="78"/>
      <c r="K375" s="110"/>
      <c r="L375" s="78"/>
      <c r="M375" s="78"/>
      <c r="N375" s="78"/>
      <c r="O375" s="78"/>
      <c r="P375" s="78"/>
      <c r="Q375" s="110"/>
      <c r="R375" s="110"/>
    </row>
    <row r="376" spans="1:18" ht="15" x14ac:dyDescent="0.25">
      <c r="A376" s="109"/>
      <c r="B376" s="111"/>
      <c r="C376" s="111"/>
      <c r="D376" s="111"/>
      <c r="E376" s="111"/>
      <c r="F376" s="112"/>
      <c r="G376" s="114"/>
      <c r="H376" s="111"/>
      <c r="I376" s="111"/>
      <c r="J376" s="111"/>
      <c r="K376" s="112"/>
      <c r="L376" s="111"/>
      <c r="M376" s="111"/>
      <c r="N376" s="111"/>
      <c r="O376" s="111"/>
      <c r="P376" s="111"/>
      <c r="Q376" s="112"/>
      <c r="R376" s="112"/>
    </row>
    <row r="377" spans="1:18" ht="15" x14ac:dyDescent="0.25">
      <c r="A377" s="109"/>
      <c r="B377" s="78"/>
      <c r="C377" s="78"/>
      <c r="D377" s="78"/>
      <c r="E377" s="78"/>
      <c r="F377" s="110"/>
      <c r="G377" s="115"/>
      <c r="H377" s="78"/>
      <c r="I377" s="78"/>
      <c r="J377" s="78"/>
      <c r="K377" s="110"/>
      <c r="L377" s="78"/>
      <c r="M377" s="78"/>
      <c r="N377" s="78"/>
      <c r="O377" s="78"/>
      <c r="P377" s="78"/>
      <c r="Q377" s="110"/>
      <c r="R377" s="110"/>
    </row>
    <row r="378" spans="1:18" ht="15" x14ac:dyDescent="0.25">
      <c r="A378" s="109"/>
      <c r="B378" s="111"/>
      <c r="C378" s="111"/>
      <c r="D378" s="111"/>
      <c r="E378" s="111"/>
      <c r="F378" s="112"/>
      <c r="G378" s="114"/>
      <c r="H378" s="111"/>
      <c r="I378" s="111"/>
      <c r="J378" s="111"/>
      <c r="K378" s="112"/>
      <c r="L378" s="111"/>
      <c r="M378" s="111"/>
      <c r="N378" s="111"/>
      <c r="O378" s="111"/>
      <c r="P378" s="111"/>
      <c r="Q378" s="112"/>
      <c r="R378" s="112"/>
    </row>
    <row r="379" spans="1:18" ht="15" x14ac:dyDescent="0.25">
      <c r="A379" s="109"/>
      <c r="B379" s="78"/>
      <c r="C379" s="78"/>
      <c r="D379" s="78"/>
      <c r="E379" s="78"/>
      <c r="F379" s="110"/>
      <c r="G379" s="115"/>
      <c r="H379" s="78"/>
      <c r="I379" s="78"/>
      <c r="J379" s="78"/>
      <c r="K379" s="110"/>
      <c r="L379" s="78"/>
      <c r="M379" s="78"/>
      <c r="N379" s="78"/>
      <c r="O379" s="78"/>
      <c r="P379" s="78"/>
      <c r="Q379" s="110"/>
      <c r="R379" s="110"/>
    </row>
    <row r="380" spans="1:18" ht="15" x14ac:dyDescent="0.25">
      <c r="A380" s="109"/>
      <c r="B380" s="111"/>
      <c r="C380" s="111"/>
      <c r="D380" s="111"/>
      <c r="E380" s="111"/>
      <c r="F380" s="112"/>
      <c r="G380" s="114"/>
      <c r="H380" s="111"/>
      <c r="I380" s="111"/>
      <c r="J380" s="111"/>
      <c r="K380" s="112"/>
      <c r="L380" s="111"/>
      <c r="M380" s="111"/>
      <c r="N380" s="111"/>
      <c r="O380" s="111"/>
      <c r="P380" s="111"/>
      <c r="Q380" s="112"/>
      <c r="R380" s="112"/>
    </row>
    <row r="381" spans="1:18" ht="15" x14ac:dyDescent="0.25">
      <c r="A381" s="109"/>
      <c r="B381" s="78"/>
      <c r="C381" s="78"/>
      <c r="D381" s="78"/>
      <c r="E381" s="78"/>
      <c r="F381" s="110"/>
      <c r="G381" s="115"/>
      <c r="H381" s="78"/>
      <c r="I381" s="78"/>
      <c r="J381" s="78"/>
      <c r="K381" s="110"/>
      <c r="L381" s="78"/>
      <c r="M381" s="78"/>
      <c r="N381" s="78"/>
      <c r="O381" s="78"/>
      <c r="P381" s="78"/>
      <c r="Q381" s="110"/>
      <c r="R381" s="110"/>
    </row>
    <row r="382" spans="1:18" ht="15" x14ac:dyDescent="0.25">
      <c r="A382" s="109"/>
      <c r="B382" s="111"/>
      <c r="C382" s="111"/>
      <c r="D382" s="111"/>
      <c r="E382" s="111"/>
      <c r="F382" s="112"/>
      <c r="G382" s="114"/>
      <c r="H382" s="111"/>
      <c r="I382" s="111"/>
      <c r="J382" s="111"/>
      <c r="K382" s="112"/>
      <c r="L382" s="111"/>
      <c r="M382" s="111"/>
      <c r="N382" s="111"/>
      <c r="O382" s="111"/>
      <c r="P382" s="111"/>
      <c r="Q382" s="112"/>
      <c r="R382" s="112"/>
    </row>
    <row r="383" spans="1:18" ht="15" x14ac:dyDescent="0.25">
      <c r="A383" s="109"/>
      <c r="B383" s="78"/>
      <c r="C383" s="78"/>
      <c r="D383" s="78"/>
      <c r="E383" s="78"/>
      <c r="F383" s="110"/>
      <c r="G383" s="115"/>
      <c r="H383" s="78"/>
      <c r="I383" s="78"/>
      <c r="J383" s="78"/>
      <c r="K383" s="110"/>
      <c r="L383" s="78"/>
      <c r="M383" s="78"/>
      <c r="N383" s="78"/>
      <c r="O383" s="78"/>
      <c r="P383" s="78"/>
      <c r="Q383" s="110"/>
      <c r="R383" s="110"/>
    </row>
    <row r="384" spans="1:18" ht="15" x14ac:dyDescent="0.25">
      <c r="A384" s="109"/>
      <c r="B384" s="111"/>
      <c r="C384" s="111"/>
      <c r="D384" s="111"/>
      <c r="E384" s="111"/>
      <c r="F384" s="112"/>
      <c r="G384" s="114"/>
      <c r="H384" s="111"/>
      <c r="I384" s="111"/>
      <c r="J384" s="111"/>
      <c r="K384" s="112"/>
      <c r="L384" s="111"/>
      <c r="M384" s="111"/>
      <c r="N384" s="111"/>
      <c r="O384" s="111"/>
      <c r="P384" s="111"/>
      <c r="Q384" s="112"/>
      <c r="R384" s="112"/>
    </row>
    <row r="385" spans="1:18" ht="15" x14ac:dyDescent="0.25">
      <c r="A385" s="109"/>
      <c r="B385" s="78"/>
      <c r="C385" s="78"/>
      <c r="D385" s="78"/>
      <c r="E385" s="78"/>
      <c r="F385" s="110"/>
      <c r="G385" s="115"/>
      <c r="H385" s="78"/>
      <c r="I385" s="78"/>
      <c r="J385" s="78"/>
      <c r="K385" s="110"/>
      <c r="L385" s="78"/>
      <c r="M385" s="78"/>
      <c r="N385" s="78"/>
      <c r="O385" s="78"/>
      <c r="P385" s="78"/>
      <c r="Q385" s="110"/>
      <c r="R385" s="110"/>
    </row>
    <row r="386" spans="1:18" ht="15" x14ac:dyDescent="0.25">
      <c r="A386" s="109"/>
      <c r="B386" s="111"/>
      <c r="C386" s="111"/>
      <c r="D386" s="111"/>
      <c r="E386" s="111"/>
      <c r="F386" s="112"/>
      <c r="G386" s="114"/>
      <c r="H386" s="111"/>
      <c r="I386" s="111"/>
      <c r="J386" s="111"/>
      <c r="K386" s="112"/>
      <c r="L386" s="111"/>
      <c r="M386" s="111"/>
      <c r="N386" s="111"/>
      <c r="O386" s="111"/>
      <c r="P386" s="111"/>
      <c r="Q386" s="112"/>
      <c r="R386" s="112"/>
    </row>
    <row r="387" spans="1:18" ht="15" x14ac:dyDescent="0.25">
      <c r="A387" s="109"/>
      <c r="B387" s="78"/>
      <c r="C387" s="78"/>
      <c r="D387" s="78"/>
      <c r="E387" s="78"/>
      <c r="F387" s="110"/>
      <c r="G387" s="115"/>
      <c r="H387" s="78"/>
      <c r="I387" s="78"/>
      <c r="J387" s="78"/>
      <c r="K387" s="110"/>
      <c r="L387" s="78"/>
      <c r="M387" s="78"/>
      <c r="N387" s="78"/>
      <c r="O387" s="78"/>
      <c r="P387" s="78"/>
      <c r="Q387" s="110"/>
      <c r="R387" s="110"/>
    </row>
    <row r="388" spans="1:18" ht="15" x14ac:dyDescent="0.25">
      <c r="A388" s="109"/>
      <c r="B388" s="111"/>
      <c r="C388" s="111"/>
      <c r="D388" s="111"/>
      <c r="E388" s="111"/>
      <c r="F388" s="112"/>
      <c r="G388" s="114"/>
      <c r="H388" s="111"/>
      <c r="I388" s="111"/>
      <c r="J388" s="111"/>
      <c r="K388" s="112"/>
      <c r="L388" s="111"/>
      <c r="M388" s="111"/>
      <c r="N388" s="111"/>
      <c r="O388" s="111"/>
      <c r="P388" s="111"/>
      <c r="Q388" s="112"/>
      <c r="R388" s="112"/>
    </row>
    <row r="389" spans="1:18" ht="15" x14ac:dyDescent="0.25">
      <c r="A389" s="109"/>
      <c r="B389" s="78"/>
      <c r="C389" s="78"/>
      <c r="D389" s="78"/>
      <c r="E389" s="78"/>
      <c r="F389" s="110"/>
      <c r="G389" s="115"/>
      <c r="H389" s="78"/>
      <c r="I389" s="78"/>
      <c r="J389" s="78"/>
      <c r="K389" s="110"/>
      <c r="L389" s="78"/>
      <c r="M389" s="78"/>
      <c r="N389" s="78"/>
      <c r="O389" s="78"/>
      <c r="P389" s="78"/>
      <c r="Q389" s="110"/>
      <c r="R389" s="110"/>
    </row>
    <row r="390" spans="1:18" ht="15" x14ac:dyDescent="0.25">
      <c r="A390" s="109"/>
      <c r="B390" s="111"/>
      <c r="C390" s="111"/>
      <c r="D390" s="111"/>
      <c r="E390" s="111"/>
      <c r="F390" s="112"/>
      <c r="G390" s="114"/>
      <c r="H390" s="111"/>
      <c r="I390" s="111"/>
      <c r="J390" s="111"/>
      <c r="K390" s="112"/>
      <c r="L390" s="111"/>
      <c r="M390" s="111"/>
      <c r="N390" s="111"/>
      <c r="O390" s="111"/>
      <c r="P390" s="111"/>
      <c r="Q390" s="112"/>
      <c r="R390" s="112"/>
    </row>
    <row r="391" spans="1:18" ht="15" x14ac:dyDescent="0.25">
      <c r="A391" s="109"/>
      <c r="B391" s="78"/>
      <c r="C391" s="78"/>
      <c r="D391" s="78"/>
      <c r="E391" s="78"/>
      <c r="F391" s="110"/>
      <c r="G391" s="115"/>
      <c r="H391" s="78"/>
      <c r="I391" s="78"/>
      <c r="J391" s="78"/>
      <c r="K391" s="110"/>
      <c r="L391" s="78"/>
      <c r="M391" s="78"/>
      <c r="N391" s="78"/>
      <c r="O391" s="78"/>
      <c r="P391" s="78"/>
      <c r="Q391" s="110"/>
      <c r="R391" s="110"/>
    </row>
    <row r="392" spans="1:18" ht="15" x14ac:dyDescent="0.25">
      <c r="A392" s="109"/>
      <c r="B392" s="111"/>
      <c r="C392" s="111"/>
      <c r="D392" s="111"/>
      <c r="E392" s="111"/>
      <c r="F392" s="112"/>
      <c r="G392" s="114"/>
      <c r="H392" s="111"/>
      <c r="I392" s="111"/>
      <c r="J392" s="111"/>
      <c r="K392" s="112"/>
      <c r="L392" s="111"/>
      <c r="M392" s="111"/>
      <c r="N392" s="111"/>
      <c r="O392" s="111"/>
      <c r="P392" s="111"/>
      <c r="Q392" s="112"/>
      <c r="R392" s="112"/>
    </row>
    <row r="393" spans="1:18" ht="15" x14ac:dyDescent="0.25">
      <c r="A393" s="109"/>
      <c r="B393" s="78"/>
      <c r="C393" s="78"/>
      <c r="D393" s="78"/>
      <c r="E393" s="78"/>
      <c r="F393" s="110"/>
      <c r="G393" s="115"/>
      <c r="H393" s="78"/>
      <c r="I393" s="78"/>
      <c r="J393" s="78"/>
      <c r="K393" s="110"/>
      <c r="L393" s="78"/>
      <c r="M393" s="78"/>
      <c r="N393" s="78"/>
      <c r="O393" s="78"/>
      <c r="P393" s="78"/>
      <c r="Q393" s="110"/>
      <c r="R393" s="110"/>
    </row>
    <row r="394" spans="1:18" ht="15" x14ac:dyDescent="0.25">
      <c r="A394" s="109"/>
      <c r="B394" s="111"/>
      <c r="C394" s="111"/>
      <c r="D394" s="111"/>
      <c r="E394" s="111"/>
      <c r="F394" s="112"/>
      <c r="G394" s="114"/>
      <c r="H394" s="111"/>
      <c r="I394" s="111"/>
      <c r="J394" s="111"/>
      <c r="K394" s="112"/>
      <c r="L394" s="111"/>
      <c r="M394" s="111"/>
      <c r="N394" s="111"/>
      <c r="O394" s="111"/>
      <c r="P394" s="111"/>
      <c r="Q394" s="112"/>
      <c r="R394" s="112"/>
    </row>
    <row r="395" spans="1:18" ht="15" x14ac:dyDescent="0.25">
      <c r="A395" s="109"/>
      <c r="B395" s="78"/>
      <c r="C395" s="78"/>
      <c r="D395" s="78"/>
      <c r="E395" s="78"/>
      <c r="F395" s="110"/>
      <c r="G395" s="115"/>
      <c r="H395" s="78"/>
      <c r="I395" s="78"/>
      <c r="J395" s="78"/>
      <c r="K395" s="110"/>
      <c r="L395" s="78"/>
      <c r="M395" s="78"/>
      <c r="N395" s="78"/>
      <c r="O395" s="78"/>
      <c r="P395" s="78"/>
      <c r="Q395" s="110"/>
      <c r="R395" s="110"/>
    </row>
    <row r="396" spans="1:18" ht="15" x14ac:dyDescent="0.25">
      <c r="A396" s="109"/>
      <c r="B396" s="111"/>
      <c r="C396" s="111"/>
      <c r="D396" s="111"/>
      <c r="E396" s="111"/>
      <c r="F396" s="112"/>
      <c r="G396" s="114"/>
      <c r="H396" s="111"/>
      <c r="I396" s="111"/>
      <c r="J396" s="111"/>
      <c r="K396" s="112"/>
      <c r="L396" s="111"/>
      <c r="M396" s="111"/>
      <c r="N396" s="111"/>
      <c r="O396" s="111"/>
      <c r="P396" s="111"/>
      <c r="Q396" s="112"/>
      <c r="R396" s="112"/>
    </row>
    <row r="397" spans="1:18" ht="15" x14ac:dyDescent="0.25">
      <c r="A397" s="109"/>
      <c r="B397" s="78"/>
      <c r="C397" s="78"/>
      <c r="D397" s="78"/>
      <c r="E397" s="78"/>
      <c r="F397" s="110"/>
      <c r="G397" s="115"/>
      <c r="H397" s="78"/>
      <c r="I397" s="78"/>
      <c r="J397" s="78"/>
      <c r="K397" s="110"/>
      <c r="L397" s="78"/>
      <c r="M397" s="78"/>
      <c r="N397" s="78"/>
      <c r="O397" s="78"/>
      <c r="P397" s="78"/>
      <c r="Q397" s="110"/>
      <c r="R397" s="110"/>
    </row>
    <row r="398" spans="1:18" ht="15" x14ac:dyDescent="0.25">
      <c r="A398" s="109"/>
      <c r="B398" s="111"/>
      <c r="C398" s="111"/>
      <c r="D398" s="111"/>
      <c r="E398" s="111"/>
      <c r="F398" s="112"/>
      <c r="G398" s="114"/>
      <c r="H398" s="111"/>
      <c r="I398" s="111"/>
      <c r="J398" s="111"/>
      <c r="K398" s="112"/>
      <c r="L398" s="111"/>
      <c r="M398" s="111"/>
      <c r="N398" s="111"/>
      <c r="O398" s="111"/>
      <c r="P398" s="111"/>
      <c r="Q398" s="112"/>
      <c r="R398" s="112"/>
    </row>
    <row r="399" spans="1:18" ht="15" x14ac:dyDescent="0.25">
      <c r="A399" s="109"/>
      <c r="B399" s="78"/>
      <c r="C399" s="78"/>
      <c r="D399" s="78"/>
      <c r="E399" s="78"/>
      <c r="F399" s="110"/>
      <c r="G399" s="115"/>
      <c r="H399" s="78"/>
      <c r="I399" s="78"/>
      <c r="J399" s="78"/>
      <c r="K399" s="110"/>
      <c r="L399" s="78"/>
      <c r="M399" s="78"/>
      <c r="N399" s="78"/>
      <c r="O399" s="78"/>
      <c r="P399" s="78"/>
      <c r="Q399" s="110"/>
      <c r="R399" s="110"/>
    </row>
    <row r="400" spans="1:18" ht="15" x14ac:dyDescent="0.25">
      <c r="A400" s="109"/>
      <c r="B400" s="111"/>
      <c r="C400" s="111"/>
      <c r="D400" s="111"/>
      <c r="E400" s="111"/>
      <c r="F400" s="112"/>
      <c r="G400" s="114"/>
      <c r="H400" s="111"/>
      <c r="I400" s="111"/>
      <c r="J400" s="111"/>
      <c r="K400" s="112"/>
      <c r="L400" s="111"/>
      <c r="M400" s="111"/>
      <c r="N400" s="111"/>
      <c r="O400" s="111"/>
      <c r="P400" s="111"/>
      <c r="Q400" s="112"/>
      <c r="R400" s="112"/>
    </row>
    <row r="401" spans="1:18" ht="15" x14ac:dyDescent="0.25">
      <c r="A401" s="109"/>
      <c r="B401" s="78"/>
      <c r="C401" s="78"/>
      <c r="D401" s="78"/>
      <c r="E401" s="78"/>
      <c r="F401" s="110"/>
      <c r="G401" s="115"/>
      <c r="H401" s="78"/>
      <c r="I401" s="78"/>
      <c r="J401" s="78"/>
      <c r="K401" s="110"/>
      <c r="L401" s="78"/>
      <c r="M401" s="78"/>
      <c r="N401" s="78"/>
      <c r="O401" s="78"/>
      <c r="P401" s="78"/>
      <c r="Q401" s="110"/>
      <c r="R401" s="110"/>
    </row>
    <row r="402" spans="1:18" ht="15" x14ac:dyDescent="0.25">
      <c r="A402" s="109"/>
      <c r="B402" s="111"/>
      <c r="C402" s="111"/>
      <c r="D402" s="111"/>
      <c r="E402" s="111"/>
      <c r="F402" s="112"/>
      <c r="G402" s="114"/>
      <c r="H402" s="111"/>
      <c r="I402" s="111"/>
      <c r="J402" s="111"/>
      <c r="K402" s="112"/>
      <c r="L402" s="111"/>
      <c r="M402" s="111"/>
      <c r="N402" s="111"/>
      <c r="O402" s="111"/>
      <c r="P402" s="111"/>
      <c r="Q402" s="112"/>
      <c r="R402" s="112"/>
    </row>
    <row r="403" spans="1:18" ht="15" x14ac:dyDescent="0.25">
      <c r="A403" s="109"/>
      <c r="B403" s="78"/>
      <c r="C403" s="78"/>
      <c r="D403" s="78"/>
      <c r="E403" s="78"/>
      <c r="F403" s="110"/>
      <c r="G403" s="115"/>
      <c r="H403" s="78"/>
      <c r="I403" s="78"/>
      <c r="J403" s="78"/>
      <c r="K403" s="110"/>
      <c r="L403" s="78"/>
      <c r="M403" s="78"/>
      <c r="N403" s="78"/>
      <c r="O403" s="78"/>
      <c r="P403" s="78"/>
      <c r="Q403" s="110"/>
      <c r="R403" s="110"/>
    </row>
    <row r="404" spans="1:18" ht="15" x14ac:dyDescent="0.25">
      <c r="A404" s="109"/>
      <c r="B404" s="111"/>
      <c r="C404" s="111"/>
      <c r="D404" s="111"/>
      <c r="E404" s="111"/>
      <c r="F404" s="112"/>
      <c r="G404" s="114"/>
      <c r="H404" s="111"/>
      <c r="I404" s="111"/>
      <c r="J404" s="111"/>
      <c r="K404" s="112"/>
      <c r="L404" s="111"/>
      <c r="M404" s="111"/>
      <c r="N404" s="111"/>
      <c r="O404" s="111"/>
      <c r="P404" s="111"/>
      <c r="Q404" s="112"/>
      <c r="R404" s="112"/>
    </row>
    <row r="405" spans="1:18" ht="15" x14ac:dyDescent="0.25">
      <c r="A405" s="109"/>
      <c r="B405" s="78"/>
      <c r="C405" s="78"/>
      <c r="D405" s="78"/>
      <c r="E405" s="78"/>
      <c r="F405" s="110"/>
      <c r="G405" s="115"/>
      <c r="H405" s="78"/>
      <c r="I405" s="78"/>
      <c r="J405" s="78"/>
      <c r="K405" s="110"/>
      <c r="L405" s="78"/>
      <c r="M405" s="78"/>
      <c r="N405" s="78"/>
      <c r="O405" s="78"/>
      <c r="P405" s="78"/>
      <c r="Q405" s="110"/>
      <c r="R405" s="110"/>
    </row>
    <row r="406" spans="1:18" ht="15" x14ac:dyDescent="0.25">
      <c r="A406" s="109"/>
      <c r="B406" s="111"/>
      <c r="C406" s="111"/>
      <c r="D406" s="111"/>
      <c r="E406" s="111"/>
      <c r="F406" s="112"/>
      <c r="G406" s="114"/>
      <c r="H406" s="111"/>
      <c r="I406" s="111"/>
      <c r="J406" s="111"/>
      <c r="K406" s="112"/>
      <c r="L406" s="111"/>
      <c r="M406" s="111"/>
      <c r="N406" s="111"/>
      <c r="O406" s="111"/>
      <c r="P406" s="111"/>
      <c r="Q406" s="112"/>
      <c r="R406" s="112"/>
    </row>
    <row r="407" spans="1:18" ht="15" x14ac:dyDescent="0.25">
      <c r="A407" s="109"/>
      <c r="B407" s="78"/>
      <c r="C407" s="78"/>
      <c r="D407" s="78"/>
      <c r="E407" s="78"/>
      <c r="F407" s="110"/>
      <c r="G407" s="115"/>
      <c r="H407" s="78"/>
      <c r="I407" s="78"/>
      <c r="J407" s="78"/>
      <c r="K407" s="110"/>
      <c r="L407" s="78"/>
      <c r="M407" s="78"/>
      <c r="N407" s="78"/>
      <c r="O407" s="78"/>
      <c r="P407" s="78"/>
      <c r="Q407" s="110"/>
      <c r="R407" s="110"/>
    </row>
    <row r="408" spans="1:18" ht="15" x14ac:dyDescent="0.25">
      <c r="A408" s="109"/>
      <c r="B408" s="111"/>
      <c r="C408" s="111"/>
      <c r="D408" s="111"/>
      <c r="E408" s="111"/>
      <c r="F408" s="112"/>
      <c r="G408" s="114"/>
      <c r="H408" s="111"/>
      <c r="I408" s="111"/>
      <c r="J408" s="111"/>
      <c r="K408" s="112"/>
      <c r="L408" s="111"/>
      <c r="M408" s="111"/>
      <c r="N408" s="111"/>
      <c r="O408" s="111"/>
      <c r="P408" s="111"/>
      <c r="Q408" s="112"/>
      <c r="R408" s="112"/>
    </row>
    <row r="409" spans="1:18" ht="15" x14ac:dyDescent="0.25">
      <c r="A409" s="109"/>
      <c r="B409" s="78"/>
      <c r="C409" s="78"/>
      <c r="D409" s="78"/>
      <c r="E409" s="78"/>
      <c r="F409" s="110"/>
      <c r="G409" s="115"/>
      <c r="H409" s="78"/>
      <c r="I409" s="78"/>
      <c r="J409" s="78"/>
      <c r="K409" s="110"/>
      <c r="L409" s="78"/>
      <c r="M409" s="78"/>
      <c r="N409" s="78"/>
      <c r="O409" s="78"/>
      <c r="P409" s="78"/>
      <c r="Q409" s="110"/>
      <c r="R409" s="110"/>
    </row>
    <row r="410" spans="1:18" ht="15" x14ac:dyDescent="0.25">
      <c r="A410" s="109"/>
      <c r="B410" s="111"/>
      <c r="C410" s="111"/>
      <c r="D410" s="111"/>
      <c r="E410" s="111"/>
      <c r="F410" s="112"/>
      <c r="G410" s="114"/>
      <c r="H410" s="111"/>
      <c r="I410" s="111"/>
      <c r="J410" s="111"/>
      <c r="K410" s="112"/>
      <c r="L410" s="111"/>
      <c r="M410" s="111"/>
      <c r="N410" s="111"/>
      <c r="O410" s="111"/>
      <c r="P410" s="111"/>
      <c r="Q410" s="112"/>
      <c r="R410" s="112"/>
    </row>
    <row r="411" spans="1:18" ht="15" x14ac:dyDescent="0.25">
      <c r="A411" s="109"/>
      <c r="B411" s="78"/>
      <c r="C411" s="78"/>
      <c r="D411" s="78"/>
      <c r="E411" s="78"/>
      <c r="F411" s="110"/>
      <c r="G411" s="115"/>
      <c r="H411" s="78"/>
      <c r="I411" s="78"/>
      <c r="J411" s="78"/>
      <c r="K411" s="110"/>
      <c r="L411" s="78"/>
      <c r="M411" s="78"/>
      <c r="N411" s="78"/>
      <c r="O411" s="78"/>
      <c r="P411" s="78"/>
      <c r="Q411" s="110"/>
      <c r="R411" s="110"/>
    </row>
    <row r="412" spans="1:18" ht="15" x14ac:dyDescent="0.25">
      <c r="A412" s="109"/>
      <c r="B412" s="111"/>
      <c r="C412" s="111"/>
      <c r="D412" s="111"/>
      <c r="E412" s="111"/>
      <c r="F412" s="112"/>
      <c r="G412" s="114"/>
      <c r="H412" s="111"/>
      <c r="I412" s="111"/>
      <c r="J412" s="111"/>
      <c r="K412" s="112"/>
      <c r="L412" s="111"/>
      <c r="M412" s="111"/>
      <c r="N412" s="111"/>
      <c r="O412" s="111"/>
      <c r="P412" s="111"/>
      <c r="Q412" s="112"/>
      <c r="R412" s="112"/>
    </row>
    <row r="413" spans="1:18" ht="15" x14ac:dyDescent="0.25">
      <c r="A413" s="109"/>
      <c r="B413" s="78"/>
      <c r="C413" s="78"/>
      <c r="D413" s="78"/>
      <c r="E413" s="78"/>
      <c r="F413" s="110"/>
      <c r="G413" s="115"/>
      <c r="H413" s="78"/>
      <c r="I413" s="78"/>
      <c r="J413" s="78"/>
      <c r="K413" s="110"/>
      <c r="L413" s="78"/>
      <c r="M413" s="78"/>
      <c r="N413" s="78"/>
      <c r="O413" s="78"/>
      <c r="P413" s="78"/>
      <c r="Q413" s="110"/>
      <c r="R413" s="110"/>
    </row>
    <row r="414" spans="1:18" ht="15" x14ac:dyDescent="0.25">
      <c r="A414" s="109"/>
      <c r="B414" s="111"/>
      <c r="C414" s="111"/>
      <c r="D414" s="111"/>
      <c r="E414" s="111"/>
      <c r="F414" s="112"/>
      <c r="G414" s="114"/>
      <c r="H414" s="111"/>
      <c r="I414" s="111"/>
      <c r="J414" s="111"/>
      <c r="K414" s="112"/>
      <c r="L414" s="111"/>
      <c r="M414" s="111"/>
      <c r="N414" s="111"/>
      <c r="O414" s="111"/>
      <c r="P414" s="111"/>
      <c r="Q414" s="112"/>
      <c r="R414" s="112"/>
    </row>
    <row r="415" spans="1:18" ht="15" x14ac:dyDescent="0.25">
      <c r="A415" s="109"/>
      <c r="B415" s="78"/>
      <c r="C415" s="78"/>
      <c r="D415" s="78"/>
      <c r="E415" s="78"/>
      <c r="F415" s="110"/>
      <c r="G415" s="115"/>
      <c r="H415" s="78"/>
      <c r="I415" s="78"/>
      <c r="J415" s="78"/>
      <c r="K415" s="110"/>
      <c r="L415" s="78"/>
      <c r="M415" s="78"/>
      <c r="N415" s="78"/>
      <c r="O415" s="78"/>
      <c r="P415" s="78"/>
      <c r="Q415" s="110"/>
      <c r="R415" s="110"/>
    </row>
    <row r="416" spans="1:18" ht="15" x14ac:dyDescent="0.25">
      <c r="A416" s="109"/>
      <c r="B416" s="111"/>
      <c r="C416" s="111"/>
      <c r="D416" s="111"/>
      <c r="E416" s="111"/>
      <c r="F416" s="112"/>
      <c r="G416" s="114"/>
      <c r="H416" s="111"/>
      <c r="I416" s="111"/>
      <c r="J416" s="111"/>
      <c r="K416" s="112"/>
      <c r="L416" s="111"/>
      <c r="M416" s="111"/>
      <c r="N416" s="111"/>
      <c r="O416" s="111"/>
      <c r="P416" s="111"/>
      <c r="Q416" s="112"/>
      <c r="R416" s="112"/>
    </row>
    <row r="417" spans="1:18" ht="15" x14ac:dyDescent="0.25">
      <c r="A417" s="109"/>
      <c r="B417" s="78"/>
      <c r="C417" s="78"/>
      <c r="D417" s="78"/>
      <c r="E417" s="78"/>
      <c r="F417" s="110"/>
      <c r="G417" s="115"/>
      <c r="H417" s="78"/>
      <c r="I417" s="78"/>
      <c r="J417" s="78"/>
      <c r="K417" s="110"/>
      <c r="L417" s="78"/>
      <c r="M417" s="78"/>
      <c r="N417" s="78"/>
      <c r="O417" s="78"/>
      <c r="P417" s="78"/>
      <c r="Q417" s="110"/>
      <c r="R417" s="110"/>
    </row>
    <row r="418" spans="1:18" ht="15" x14ac:dyDescent="0.25">
      <c r="A418" s="109"/>
      <c r="B418" s="111"/>
      <c r="C418" s="111"/>
      <c r="D418" s="111"/>
      <c r="E418" s="111"/>
      <c r="F418" s="112"/>
      <c r="G418" s="114"/>
      <c r="H418" s="111"/>
      <c r="I418" s="111"/>
      <c r="J418" s="111"/>
      <c r="K418" s="112"/>
      <c r="L418" s="111"/>
      <c r="M418" s="111"/>
      <c r="N418" s="111"/>
      <c r="O418" s="111"/>
      <c r="P418" s="111"/>
      <c r="Q418" s="112"/>
      <c r="R418" s="112"/>
    </row>
    <row r="419" spans="1:18" ht="15" x14ac:dyDescent="0.25">
      <c r="A419" s="109"/>
      <c r="B419" s="78"/>
      <c r="C419" s="78"/>
      <c r="D419" s="78"/>
      <c r="E419" s="78"/>
      <c r="F419" s="110"/>
      <c r="G419" s="115"/>
      <c r="H419" s="78"/>
      <c r="I419" s="78"/>
      <c r="J419" s="78"/>
      <c r="K419" s="110"/>
      <c r="L419" s="78"/>
      <c r="M419" s="78"/>
      <c r="N419" s="78"/>
      <c r="O419" s="78"/>
      <c r="P419" s="78"/>
      <c r="Q419" s="110"/>
      <c r="R419" s="110"/>
    </row>
    <row r="420" spans="1:18" ht="15" x14ac:dyDescent="0.25">
      <c r="A420" s="109"/>
      <c r="B420" s="111"/>
      <c r="C420" s="111"/>
      <c r="D420" s="111"/>
      <c r="E420" s="111"/>
      <c r="F420" s="112"/>
      <c r="G420" s="114"/>
      <c r="H420" s="111"/>
      <c r="I420" s="111"/>
      <c r="J420" s="111"/>
      <c r="K420" s="112"/>
      <c r="L420" s="111"/>
      <c r="M420" s="111"/>
      <c r="N420" s="111"/>
      <c r="O420" s="111"/>
      <c r="P420" s="111"/>
      <c r="Q420" s="112"/>
      <c r="R420" s="112"/>
    </row>
    <row r="421" spans="1:18" ht="15" x14ac:dyDescent="0.25">
      <c r="A421" s="109"/>
      <c r="B421" s="78"/>
      <c r="C421" s="78"/>
      <c r="D421" s="78"/>
      <c r="E421" s="78"/>
      <c r="F421" s="110"/>
      <c r="G421" s="115"/>
      <c r="H421" s="78"/>
      <c r="I421" s="78"/>
      <c r="J421" s="78"/>
      <c r="K421" s="110"/>
      <c r="L421" s="78"/>
      <c r="M421" s="78"/>
      <c r="N421" s="78"/>
      <c r="O421" s="78"/>
      <c r="P421" s="78"/>
      <c r="Q421" s="110"/>
      <c r="R421" s="110"/>
    </row>
    <row r="422" spans="1:18" ht="15" x14ac:dyDescent="0.25">
      <c r="A422" s="109"/>
      <c r="B422" s="111"/>
      <c r="C422" s="111"/>
      <c r="D422" s="111"/>
      <c r="E422" s="111"/>
      <c r="F422" s="112"/>
      <c r="G422" s="114"/>
      <c r="H422" s="111"/>
      <c r="I422" s="111"/>
      <c r="J422" s="111"/>
      <c r="K422" s="112"/>
      <c r="L422" s="111"/>
      <c r="M422" s="111"/>
      <c r="N422" s="111"/>
      <c r="O422" s="111"/>
      <c r="P422" s="111"/>
      <c r="Q422" s="112"/>
      <c r="R422" s="112"/>
    </row>
    <row r="423" spans="1:18" ht="15" x14ac:dyDescent="0.25">
      <c r="A423" s="109"/>
      <c r="B423" s="78"/>
      <c r="C423" s="78"/>
      <c r="D423" s="78"/>
      <c r="E423" s="78"/>
      <c r="F423" s="110"/>
      <c r="G423" s="115"/>
      <c r="H423" s="78"/>
      <c r="I423" s="78"/>
      <c r="J423" s="78"/>
      <c r="K423" s="110"/>
      <c r="L423" s="78"/>
      <c r="M423" s="78"/>
      <c r="N423" s="78"/>
      <c r="O423" s="78"/>
      <c r="P423" s="78"/>
      <c r="Q423" s="110"/>
      <c r="R423" s="110"/>
    </row>
    <row r="424" spans="1:18" ht="15" x14ac:dyDescent="0.25">
      <c r="A424" s="109"/>
      <c r="B424" s="111"/>
      <c r="C424" s="111"/>
      <c r="D424" s="111"/>
      <c r="E424" s="111"/>
      <c r="F424" s="112"/>
      <c r="G424" s="114"/>
      <c r="H424" s="111"/>
      <c r="I424" s="111"/>
      <c r="J424" s="111"/>
      <c r="K424" s="112"/>
      <c r="L424" s="111"/>
      <c r="M424" s="111"/>
      <c r="N424" s="111"/>
      <c r="O424" s="111"/>
      <c r="P424" s="111"/>
      <c r="Q424" s="112"/>
      <c r="R424" s="112"/>
    </row>
    <row r="425" spans="1:18" ht="15" x14ac:dyDescent="0.25">
      <c r="A425" s="109"/>
      <c r="B425" s="78"/>
      <c r="C425" s="78"/>
      <c r="D425" s="78"/>
      <c r="E425" s="78"/>
      <c r="F425" s="110"/>
      <c r="G425" s="115"/>
      <c r="H425" s="78"/>
      <c r="I425" s="78"/>
      <c r="J425" s="78"/>
      <c r="K425" s="110"/>
      <c r="L425" s="78"/>
      <c r="M425" s="78"/>
      <c r="N425" s="78"/>
      <c r="O425" s="78"/>
      <c r="P425" s="78"/>
      <c r="Q425" s="110"/>
      <c r="R425" s="110"/>
    </row>
    <row r="426" spans="1:18" ht="15" x14ac:dyDescent="0.25">
      <c r="A426" s="109"/>
      <c r="B426" s="111"/>
      <c r="C426" s="111"/>
      <c r="D426" s="111"/>
      <c r="E426" s="111"/>
      <c r="F426" s="112"/>
      <c r="G426" s="114"/>
      <c r="H426" s="111"/>
      <c r="I426" s="111"/>
      <c r="J426" s="111"/>
      <c r="K426" s="112"/>
      <c r="L426" s="111"/>
      <c r="M426" s="111"/>
      <c r="N426" s="111"/>
      <c r="O426" s="111"/>
      <c r="P426" s="111"/>
      <c r="Q426" s="112"/>
      <c r="R426" s="112"/>
    </row>
    <row r="427" spans="1:18" ht="15" x14ac:dyDescent="0.25">
      <c r="A427" s="109"/>
      <c r="B427" s="78"/>
      <c r="C427" s="78"/>
      <c r="D427" s="78"/>
      <c r="E427" s="78"/>
      <c r="F427" s="110"/>
      <c r="G427" s="115"/>
      <c r="H427" s="78"/>
      <c r="I427" s="78"/>
      <c r="J427" s="78"/>
      <c r="K427" s="110"/>
      <c r="L427" s="78"/>
      <c r="M427" s="78"/>
      <c r="N427" s="78"/>
      <c r="O427" s="78"/>
      <c r="P427" s="78"/>
      <c r="Q427" s="110"/>
      <c r="R427" s="110"/>
    </row>
    <row r="428" spans="1:18" ht="15" x14ac:dyDescent="0.25">
      <c r="A428" s="109"/>
      <c r="B428" s="111"/>
      <c r="C428" s="111"/>
      <c r="D428" s="111"/>
      <c r="E428" s="111"/>
      <c r="F428" s="112"/>
      <c r="G428" s="114"/>
      <c r="H428" s="111"/>
      <c r="I428" s="111"/>
      <c r="J428" s="111"/>
      <c r="K428" s="112"/>
      <c r="L428" s="111"/>
      <c r="M428" s="111"/>
      <c r="N428" s="111"/>
      <c r="O428" s="111"/>
      <c r="P428" s="111"/>
      <c r="Q428" s="112"/>
      <c r="R428" s="112"/>
    </row>
    <row r="429" spans="1:18" ht="15" x14ac:dyDescent="0.25">
      <c r="A429" s="109"/>
      <c r="B429" s="78"/>
      <c r="C429" s="78"/>
      <c r="D429" s="78"/>
      <c r="E429" s="78"/>
      <c r="F429" s="110"/>
      <c r="G429" s="115"/>
      <c r="H429" s="78"/>
      <c r="I429" s="78"/>
      <c r="J429" s="78"/>
      <c r="K429" s="110"/>
      <c r="L429" s="78"/>
      <c r="M429" s="78"/>
      <c r="N429" s="78"/>
      <c r="O429" s="78"/>
      <c r="P429" s="78"/>
      <c r="Q429" s="110"/>
      <c r="R429" s="110"/>
    </row>
    <row r="430" spans="1:18" ht="15" x14ac:dyDescent="0.25">
      <c r="A430" s="109"/>
      <c r="B430" s="111"/>
      <c r="C430" s="111"/>
      <c r="D430" s="111"/>
      <c r="E430" s="111"/>
      <c r="F430" s="112"/>
      <c r="G430" s="114"/>
      <c r="H430" s="111"/>
      <c r="I430" s="111"/>
      <c r="J430" s="111"/>
      <c r="K430" s="112"/>
      <c r="L430" s="111"/>
      <c r="M430" s="111"/>
      <c r="N430" s="111"/>
      <c r="O430" s="111"/>
      <c r="P430" s="111"/>
      <c r="Q430" s="112"/>
      <c r="R430" s="112"/>
    </row>
    <row r="431" spans="1:18" ht="15" x14ac:dyDescent="0.25">
      <c r="A431" s="109"/>
      <c r="B431" s="78"/>
      <c r="C431" s="78"/>
      <c r="D431" s="78"/>
      <c r="E431" s="78"/>
      <c r="F431" s="110"/>
      <c r="G431" s="115"/>
      <c r="H431" s="78"/>
      <c r="I431" s="78"/>
      <c r="J431" s="78"/>
      <c r="K431" s="110"/>
      <c r="L431" s="78"/>
      <c r="M431" s="78"/>
      <c r="N431" s="78"/>
      <c r="O431" s="78"/>
      <c r="P431" s="78"/>
      <c r="Q431" s="110"/>
      <c r="R431" s="110"/>
    </row>
    <row r="432" spans="1:18" ht="15" x14ac:dyDescent="0.25">
      <c r="A432" s="109"/>
      <c r="B432" s="111"/>
      <c r="C432" s="111"/>
      <c r="D432" s="111"/>
      <c r="E432" s="111"/>
      <c r="F432" s="112"/>
      <c r="G432" s="114"/>
      <c r="H432" s="111"/>
      <c r="I432" s="111"/>
      <c r="J432" s="111"/>
      <c r="K432" s="112"/>
      <c r="L432" s="111"/>
      <c r="M432" s="111"/>
      <c r="N432" s="111"/>
      <c r="O432" s="111"/>
      <c r="P432" s="111"/>
      <c r="Q432" s="112"/>
      <c r="R432" s="112"/>
    </row>
    <row r="433" spans="1:18" ht="15" x14ac:dyDescent="0.25">
      <c r="A433" s="109"/>
      <c r="B433" s="78"/>
      <c r="C433" s="78"/>
      <c r="D433" s="78"/>
      <c r="E433" s="78"/>
      <c r="F433" s="110"/>
      <c r="G433" s="115"/>
      <c r="H433" s="78"/>
      <c r="I433" s="78"/>
      <c r="J433" s="78"/>
      <c r="K433" s="110"/>
      <c r="L433" s="78"/>
      <c r="M433" s="78"/>
      <c r="N433" s="78"/>
      <c r="O433" s="78"/>
      <c r="P433" s="78"/>
      <c r="Q433" s="110"/>
      <c r="R433" s="110"/>
    </row>
    <row r="434" spans="1:18" ht="15" x14ac:dyDescent="0.25">
      <c r="A434" s="109"/>
      <c r="B434" s="111"/>
      <c r="C434" s="111"/>
      <c r="D434" s="111"/>
      <c r="E434" s="111"/>
      <c r="F434" s="112"/>
      <c r="G434" s="114"/>
      <c r="H434" s="111"/>
      <c r="I434" s="111"/>
      <c r="J434" s="111"/>
      <c r="K434" s="112"/>
      <c r="L434" s="111"/>
      <c r="M434" s="111"/>
      <c r="N434" s="111"/>
      <c r="O434" s="111"/>
      <c r="P434" s="111"/>
      <c r="Q434" s="112"/>
      <c r="R434" s="112"/>
    </row>
    <row r="435" spans="1:18" ht="15" x14ac:dyDescent="0.25">
      <c r="A435" s="109"/>
      <c r="B435" s="78"/>
      <c r="C435" s="78"/>
      <c r="D435" s="78"/>
      <c r="E435" s="78"/>
      <c r="F435" s="110"/>
      <c r="G435" s="115"/>
      <c r="H435" s="78"/>
      <c r="I435" s="78"/>
      <c r="J435" s="78"/>
      <c r="K435" s="110"/>
      <c r="L435" s="78"/>
      <c r="M435" s="78"/>
      <c r="N435" s="78"/>
      <c r="O435" s="78"/>
      <c r="P435" s="78"/>
      <c r="Q435" s="110"/>
      <c r="R435" s="110"/>
    </row>
    <row r="436" spans="1:18" ht="15" x14ac:dyDescent="0.25">
      <c r="A436" s="109"/>
      <c r="B436" s="111"/>
      <c r="C436" s="111"/>
      <c r="D436" s="111"/>
      <c r="E436" s="111"/>
      <c r="F436" s="112"/>
      <c r="G436" s="114"/>
      <c r="H436" s="111"/>
      <c r="I436" s="111"/>
      <c r="J436" s="111"/>
      <c r="K436" s="112"/>
      <c r="L436" s="111"/>
      <c r="M436" s="111"/>
      <c r="N436" s="111"/>
      <c r="O436" s="111"/>
      <c r="P436" s="111"/>
      <c r="Q436" s="112"/>
      <c r="R436" s="112"/>
    </row>
    <row r="437" spans="1:18" ht="15" x14ac:dyDescent="0.25">
      <c r="A437" s="109"/>
      <c r="B437" s="78"/>
      <c r="C437" s="78"/>
      <c r="D437" s="78"/>
      <c r="E437" s="78"/>
      <c r="F437" s="110"/>
      <c r="G437" s="115"/>
      <c r="H437" s="78"/>
      <c r="I437" s="78"/>
      <c r="J437" s="78"/>
      <c r="K437" s="110"/>
      <c r="L437" s="78"/>
      <c r="M437" s="78"/>
      <c r="N437" s="78"/>
      <c r="O437" s="78"/>
      <c r="P437" s="78"/>
      <c r="Q437" s="110"/>
      <c r="R437" s="110"/>
    </row>
    <row r="438" spans="1:18" ht="15" x14ac:dyDescent="0.25">
      <c r="A438" s="109"/>
      <c r="B438" s="111"/>
      <c r="C438" s="111"/>
      <c r="D438" s="111"/>
      <c r="E438" s="111"/>
      <c r="F438" s="112"/>
      <c r="G438" s="114"/>
      <c r="H438" s="111"/>
      <c r="I438" s="111"/>
      <c r="J438" s="111"/>
      <c r="K438" s="112"/>
      <c r="L438" s="111"/>
      <c r="M438" s="111"/>
      <c r="N438" s="111"/>
      <c r="O438" s="111"/>
      <c r="P438" s="111"/>
      <c r="Q438" s="112"/>
      <c r="R438" s="112"/>
    </row>
    <row r="439" spans="1:18" ht="15" x14ac:dyDescent="0.25">
      <c r="A439" s="109"/>
      <c r="B439" s="78"/>
      <c r="C439" s="78"/>
      <c r="D439" s="78"/>
      <c r="E439" s="78"/>
      <c r="F439" s="110"/>
      <c r="G439" s="115"/>
      <c r="H439" s="78"/>
      <c r="I439" s="78"/>
      <c r="J439" s="78"/>
      <c r="K439" s="110"/>
      <c r="L439" s="78"/>
      <c r="M439" s="78"/>
      <c r="N439" s="78"/>
      <c r="O439" s="78"/>
      <c r="P439" s="78"/>
      <c r="Q439" s="110"/>
      <c r="R439" s="110"/>
    </row>
    <row r="440" spans="1:18" ht="15" x14ac:dyDescent="0.25">
      <c r="A440" s="109"/>
      <c r="B440" s="111"/>
      <c r="C440" s="111"/>
      <c r="D440" s="111"/>
      <c r="E440" s="111"/>
      <c r="F440" s="112"/>
      <c r="G440" s="114"/>
      <c r="H440" s="111"/>
      <c r="I440" s="111"/>
      <c r="J440" s="111"/>
      <c r="K440" s="112"/>
      <c r="L440" s="111"/>
      <c r="M440" s="111"/>
      <c r="N440" s="111"/>
      <c r="O440" s="111"/>
      <c r="P440" s="111"/>
      <c r="Q440" s="112"/>
      <c r="R440" s="112"/>
    </row>
    <row r="441" spans="1:18" ht="15" x14ac:dyDescent="0.25">
      <c r="A441" s="109"/>
      <c r="B441" s="78"/>
      <c r="C441" s="78"/>
      <c r="D441" s="78"/>
      <c r="E441" s="78"/>
      <c r="F441" s="110"/>
      <c r="G441" s="115"/>
      <c r="H441" s="78"/>
      <c r="I441" s="78"/>
      <c r="J441" s="78"/>
      <c r="K441" s="110"/>
      <c r="L441" s="78"/>
      <c r="M441" s="78"/>
      <c r="N441" s="78"/>
      <c r="O441" s="78"/>
      <c r="P441" s="78"/>
      <c r="Q441" s="110"/>
      <c r="R441" s="110"/>
    </row>
    <row r="442" spans="1:18" ht="15" x14ac:dyDescent="0.25">
      <c r="A442" s="109"/>
      <c r="B442" s="111"/>
      <c r="C442" s="111"/>
      <c r="D442" s="111"/>
      <c r="E442" s="111"/>
      <c r="F442" s="112"/>
      <c r="G442" s="114"/>
      <c r="H442" s="111"/>
      <c r="I442" s="111"/>
      <c r="J442" s="111"/>
      <c r="K442" s="112"/>
      <c r="L442" s="111"/>
      <c r="M442" s="111"/>
      <c r="N442" s="111"/>
      <c r="O442" s="111"/>
      <c r="P442" s="111"/>
      <c r="Q442" s="112"/>
      <c r="R442" s="112"/>
    </row>
    <row r="443" spans="1:18" ht="15" x14ac:dyDescent="0.25">
      <c r="A443" s="109"/>
      <c r="B443" s="78"/>
      <c r="C443" s="78"/>
      <c r="D443" s="78"/>
      <c r="E443" s="78"/>
      <c r="F443" s="110"/>
      <c r="G443" s="115"/>
      <c r="H443" s="78"/>
      <c r="I443" s="78"/>
      <c r="J443" s="78"/>
      <c r="K443" s="110"/>
      <c r="L443" s="78"/>
      <c r="M443" s="78"/>
      <c r="N443" s="78"/>
      <c r="O443" s="78"/>
      <c r="P443" s="78"/>
      <c r="Q443" s="110"/>
      <c r="R443" s="110"/>
    </row>
    <row r="444" spans="1:18" ht="15" x14ac:dyDescent="0.25">
      <c r="A444" s="109"/>
      <c r="B444" s="111"/>
      <c r="C444" s="111"/>
      <c r="D444" s="111"/>
      <c r="E444" s="111"/>
      <c r="F444" s="112"/>
      <c r="G444" s="114"/>
      <c r="H444" s="111"/>
      <c r="I444" s="111"/>
      <c r="J444" s="111"/>
      <c r="K444" s="112"/>
      <c r="L444" s="111"/>
      <c r="M444" s="111"/>
      <c r="N444" s="111"/>
      <c r="O444" s="111"/>
      <c r="P444" s="111"/>
      <c r="Q444" s="112"/>
      <c r="R444" s="112"/>
    </row>
    <row r="445" spans="1:18" ht="15" x14ac:dyDescent="0.25">
      <c r="A445" s="109"/>
      <c r="B445" s="78"/>
      <c r="C445" s="78"/>
      <c r="D445" s="78"/>
      <c r="E445" s="78"/>
      <c r="F445" s="110"/>
      <c r="G445" s="115"/>
      <c r="H445" s="78"/>
      <c r="I445" s="78"/>
      <c r="J445" s="78"/>
      <c r="K445" s="110"/>
      <c r="L445" s="78"/>
      <c r="M445" s="78"/>
      <c r="N445" s="78"/>
      <c r="O445" s="78"/>
      <c r="P445" s="78"/>
      <c r="Q445" s="110"/>
      <c r="R445" s="110"/>
    </row>
    <row r="446" spans="1:18" ht="15" x14ac:dyDescent="0.25">
      <c r="A446" s="109"/>
      <c r="B446" s="111"/>
      <c r="C446" s="111"/>
      <c r="D446" s="111"/>
      <c r="E446" s="111"/>
      <c r="F446" s="112"/>
      <c r="G446" s="114"/>
      <c r="H446" s="111"/>
      <c r="I446" s="111"/>
      <c r="J446" s="111"/>
      <c r="K446" s="112"/>
      <c r="L446" s="111"/>
      <c r="M446" s="111"/>
      <c r="N446" s="111"/>
      <c r="O446" s="111"/>
      <c r="P446" s="111"/>
      <c r="Q446" s="112"/>
      <c r="R446" s="112"/>
    </row>
    <row r="447" spans="1:18" ht="15" x14ac:dyDescent="0.25">
      <c r="A447" s="109"/>
      <c r="B447" s="78"/>
      <c r="C447" s="78"/>
      <c r="D447" s="78"/>
      <c r="E447" s="78"/>
      <c r="F447" s="110"/>
      <c r="G447" s="115"/>
      <c r="H447" s="78"/>
      <c r="I447" s="78"/>
      <c r="J447" s="78"/>
      <c r="K447" s="110"/>
      <c r="L447" s="78"/>
      <c r="M447" s="78"/>
      <c r="N447" s="78"/>
      <c r="O447" s="78"/>
      <c r="P447" s="78"/>
      <c r="Q447" s="110"/>
      <c r="R447" s="110"/>
    </row>
    <row r="448" spans="1:18" ht="15" x14ac:dyDescent="0.25">
      <c r="A448" s="109"/>
      <c r="B448" s="111"/>
      <c r="C448" s="111"/>
      <c r="D448" s="111"/>
      <c r="E448" s="111"/>
      <c r="F448" s="112"/>
      <c r="G448" s="114"/>
      <c r="H448" s="111"/>
      <c r="I448" s="111"/>
      <c r="J448" s="111"/>
      <c r="K448" s="112"/>
      <c r="L448" s="111"/>
      <c r="M448" s="111"/>
      <c r="N448" s="111"/>
      <c r="O448" s="111"/>
      <c r="P448" s="111"/>
      <c r="Q448" s="112"/>
      <c r="R448" s="112"/>
    </row>
    <row r="449" spans="1:18" ht="15" x14ac:dyDescent="0.25">
      <c r="A449" s="109"/>
      <c r="B449" s="78"/>
      <c r="C449" s="78"/>
      <c r="D449" s="78"/>
      <c r="E449" s="78"/>
      <c r="F449" s="110"/>
      <c r="G449" s="115"/>
      <c r="H449" s="78"/>
      <c r="I449" s="78"/>
      <c r="J449" s="78"/>
      <c r="K449" s="110"/>
      <c r="L449" s="78"/>
      <c r="M449" s="78"/>
      <c r="N449" s="78"/>
      <c r="O449" s="78"/>
      <c r="P449" s="78"/>
      <c r="Q449" s="110"/>
      <c r="R449" s="110"/>
    </row>
    <row r="450" spans="1:18" ht="15" x14ac:dyDescent="0.25">
      <c r="A450" s="109"/>
      <c r="B450" s="111"/>
      <c r="C450" s="111"/>
      <c r="D450" s="111"/>
      <c r="E450" s="111"/>
      <c r="F450" s="112"/>
      <c r="G450" s="114"/>
      <c r="H450" s="111"/>
      <c r="I450" s="111"/>
      <c r="J450" s="111"/>
      <c r="K450" s="112"/>
      <c r="L450" s="111"/>
      <c r="M450" s="111"/>
      <c r="N450" s="111"/>
      <c r="O450" s="111"/>
      <c r="P450" s="111"/>
      <c r="Q450" s="112"/>
      <c r="R450" s="112"/>
    </row>
    <row r="451" spans="1:18" ht="15" x14ac:dyDescent="0.25">
      <c r="A451" s="109"/>
      <c r="B451" s="78"/>
      <c r="C451" s="78"/>
      <c r="D451" s="78"/>
      <c r="E451" s="78"/>
      <c r="F451" s="110"/>
      <c r="G451" s="115"/>
      <c r="H451" s="78"/>
      <c r="I451" s="78"/>
      <c r="J451" s="78"/>
      <c r="K451" s="110"/>
      <c r="L451" s="78"/>
      <c r="M451" s="78"/>
      <c r="N451" s="78"/>
      <c r="O451" s="78"/>
      <c r="P451" s="78"/>
      <c r="Q451" s="110"/>
      <c r="R451" s="110"/>
    </row>
    <row r="452" spans="1:18" ht="15" x14ac:dyDescent="0.25">
      <c r="A452" s="109"/>
      <c r="B452" s="111"/>
      <c r="C452" s="111"/>
      <c r="D452" s="111"/>
      <c r="E452" s="111"/>
      <c r="F452" s="112"/>
      <c r="G452" s="114"/>
      <c r="H452" s="111"/>
      <c r="I452" s="111"/>
      <c r="J452" s="111"/>
      <c r="K452" s="112"/>
      <c r="L452" s="111"/>
      <c r="M452" s="111"/>
      <c r="N452" s="111"/>
      <c r="O452" s="111"/>
      <c r="P452" s="111"/>
      <c r="Q452" s="112"/>
      <c r="R452" s="112"/>
    </row>
    <row r="453" spans="1:18" ht="15" x14ac:dyDescent="0.25">
      <c r="A453" s="109"/>
      <c r="B453" s="78"/>
      <c r="C453" s="78"/>
      <c r="D453" s="78"/>
      <c r="E453" s="78"/>
      <c r="F453" s="110"/>
      <c r="G453" s="115"/>
      <c r="H453" s="78"/>
      <c r="I453" s="78"/>
      <c r="J453" s="78"/>
      <c r="K453" s="110"/>
      <c r="L453" s="78"/>
      <c r="M453" s="78"/>
      <c r="N453" s="78"/>
      <c r="O453" s="78"/>
      <c r="P453" s="78"/>
      <c r="Q453" s="110"/>
      <c r="R453" s="110"/>
    </row>
    <row r="454" spans="1:18" ht="15" x14ac:dyDescent="0.25">
      <c r="A454" s="109"/>
      <c r="B454" s="111"/>
      <c r="C454" s="111"/>
      <c r="D454" s="111"/>
      <c r="E454" s="111"/>
      <c r="F454" s="112"/>
      <c r="G454" s="114"/>
      <c r="H454" s="111"/>
      <c r="I454" s="111"/>
      <c r="J454" s="111"/>
      <c r="K454" s="112"/>
      <c r="L454" s="111"/>
      <c r="M454" s="111"/>
      <c r="N454" s="111"/>
      <c r="O454" s="111"/>
      <c r="P454" s="111"/>
      <c r="Q454" s="112"/>
      <c r="R454" s="112"/>
    </row>
    <row r="455" spans="1:18" ht="15" x14ac:dyDescent="0.25">
      <c r="A455" s="109"/>
      <c r="B455" s="78"/>
      <c r="C455" s="78"/>
      <c r="D455" s="78"/>
      <c r="E455" s="78"/>
      <c r="F455" s="110"/>
      <c r="G455" s="115"/>
      <c r="H455" s="78"/>
      <c r="I455" s="78"/>
      <c r="J455" s="78"/>
      <c r="K455" s="110"/>
      <c r="L455" s="78"/>
      <c r="M455" s="78"/>
      <c r="N455" s="78"/>
      <c r="O455" s="78"/>
      <c r="P455" s="78"/>
      <c r="Q455" s="110"/>
      <c r="R455" s="110"/>
    </row>
    <row r="456" spans="1:18" ht="15" x14ac:dyDescent="0.25">
      <c r="A456" s="109"/>
      <c r="B456" s="111"/>
      <c r="C456" s="111"/>
      <c r="D456" s="111"/>
      <c r="E456" s="111"/>
      <c r="F456" s="112"/>
      <c r="G456" s="114"/>
      <c r="H456" s="111"/>
      <c r="I456" s="111"/>
      <c r="J456" s="111"/>
      <c r="K456" s="112"/>
      <c r="L456" s="111"/>
      <c r="M456" s="111"/>
      <c r="N456" s="111"/>
      <c r="O456" s="111"/>
      <c r="P456" s="111"/>
      <c r="Q456" s="112"/>
      <c r="R456" s="112"/>
    </row>
    <row r="457" spans="1:18" ht="15" x14ac:dyDescent="0.25">
      <c r="A457" s="109"/>
      <c r="B457" s="78"/>
      <c r="C457" s="78"/>
      <c r="D457" s="78"/>
      <c r="E457" s="78"/>
      <c r="F457" s="110"/>
      <c r="G457" s="115"/>
      <c r="H457" s="78"/>
      <c r="I457" s="78"/>
      <c r="J457" s="78"/>
      <c r="K457" s="110"/>
      <c r="L457" s="78"/>
      <c r="M457" s="78"/>
      <c r="N457" s="78"/>
      <c r="O457" s="78"/>
      <c r="P457" s="78"/>
      <c r="Q457" s="110"/>
      <c r="R457" s="110"/>
    </row>
    <row r="458" spans="1:18" ht="15" x14ac:dyDescent="0.25">
      <c r="A458" s="109"/>
      <c r="B458" s="111"/>
      <c r="C458" s="111"/>
      <c r="D458" s="111"/>
      <c r="E458" s="111"/>
      <c r="F458" s="112"/>
      <c r="G458" s="114"/>
      <c r="H458" s="111"/>
      <c r="I458" s="111"/>
      <c r="J458" s="111"/>
      <c r="K458" s="112"/>
      <c r="L458" s="111"/>
      <c r="M458" s="111"/>
      <c r="N458" s="111"/>
      <c r="O458" s="111"/>
      <c r="P458" s="111"/>
      <c r="Q458" s="112"/>
      <c r="R458" s="112"/>
    </row>
    <row r="459" spans="1:18" ht="15" x14ac:dyDescent="0.25">
      <c r="A459" s="109"/>
      <c r="B459" s="78"/>
      <c r="C459" s="78"/>
      <c r="D459" s="78"/>
      <c r="E459" s="78"/>
      <c r="F459" s="110"/>
      <c r="G459" s="115"/>
      <c r="H459" s="78"/>
      <c r="I459" s="78"/>
      <c r="J459" s="78"/>
      <c r="K459" s="110"/>
      <c r="L459" s="78"/>
      <c r="M459" s="78"/>
      <c r="N459" s="78"/>
      <c r="O459" s="78"/>
      <c r="P459" s="78"/>
      <c r="Q459" s="110"/>
      <c r="R459" s="110"/>
    </row>
    <row r="460" spans="1:18" ht="15" x14ac:dyDescent="0.25">
      <c r="A460" s="109"/>
      <c r="B460" s="111"/>
      <c r="C460" s="111"/>
      <c r="D460" s="111"/>
      <c r="E460" s="111"/>
      <c r="F460" s="112"/>
      <c r="G460" s="114"/>
      <c r="H460" s="111"/>
      <c r="I460" s="111"/>
      <c r="J460" s="111"/>
      <c r="K460" s="112"/>
      <c r="L460" s="111"/>
      <c r="M460" s="111"/>
      <c r="N460" s="111"/>
      <c r="O460" s="111"/>
      <c r="P460" s="111"/>
      <c r="Q460" s="112"/>
      <c r="R460" s="112"/>
    </row>
    <row r="461" spans="1:18" ht="15" x14ac:dyDescent="0.25">
      <c r="A461" s="109"/>
      <c r="B461" s="78"/>
      <c r="C461" s="78"/>
      <c r="D461" s="78"/>
      <c r="E461" s="78"/>
      <c r="F461" s="110"/>
      <c r="G461" s="115"/>
      <c r="H461" s="78"/>
      <c r="I461" s="78"/>
      <c r="J461" s="78"/>
      <c r="K461" s="110"/>
      <c r="L461" s="78"/>
      <c r="M461" s="78"/>
      <c r="N461" s="78"/>
      <c r="O461" s="78"/>
      <c r="P461" s="78"/>
      <c r="Q461" s="110"/>
      <c r="R461" s="110"/>
    </row>
    <row r="462" spans="1:18" ht="15" x14ac:dyDescent="0.25">
      <c r="A462" s="109"/>
      <c r="B462" s="111"/>
      <c r="C462" s="111"/>
      <c r="D462" s="111"/>
      <c r="E462" s="111"/>
      <c r="F462" s="112"/>
      <c r="G462" s="114"/>
      <c r="H462" s="111"/>
      <c r="I462" s="111"/>
      <c r="J462" s="111"/>
      <c r="K462" s="112"/>
      <c r="L462" s="111"/>
      <c r="M462" s="111"/>
      <c r="N462" s="111"/>
      <c r="O462" s="111"/>
      <c r="P462" s="111"/>
      <c r="Q462" s="112"/>
      <c r="R462" s="112"/>
    </row>
    <row r="463" spans="1:18" ht="15" x14ac:dyDescent="0.25">
      <c r="A463" s="109"/>
      <c r="B463" s="78"/>
      <c r="C463" s="78"/>
      <c r="D463" s="78"/>
      <c r="E463" s="78"/>
      <c r="F463" s="110"/>
      <c r="G463" s="115"/>
      <c r="H463" s="78"/>
      <c r="I463" s="78"/>
      <c r="J463" s="78"/>
      <c r="K463" s="110"/>
      <c r="L463" s="78"/>
      <c r="M463" s="78"/>
      <c r="N463" s="78"/>
      <c r="O463" s="78"/>
      <c r="P463" s="78"/>
      <c r="Q463" s="110"/>
      <c r="R463" s="110"/>
    </row>
    <row r="464" spans="1:18" ht="15" x14ac:dyDescent="0.25">
      <c r="A464" s="109"/>
      <c r="B464" s="111"/>
      <c r="C464" s="111"/>
      <c r="D464" s="111"/>
      <c r="E464" s="111"/>
      <c r="F464" s="112"/>
      <c r="G464" s="114"/>
      <c r="H464" s="111"/>
      <c r="I464" s="111"/>
      <c r="J464" s="111"/>
      <c r="K464" s="112"/>
      <c r="L464" s="111"/>
      <c r="M464" s="111"/>
      <c r="N464" s="111"/>
      <c r="O464" s="111"/>
      <c r="P464" s="111"/>
      <c r="Q464" s="112"/>
      <c r="R464" s="112"/>
    </row>
    <row r="465" spans="1:18" ht="15" x14ac:dyDescent="0.25">
      <c r="A465" s="109"/>
      <c r="B465" s="78"/>
      <c r="C465" s="78"/>
      <c r="D465" s="78"/>
      <c r="E465" s="78"/>
      <c r="F465" s="110"/>
      <c r="G465" s="115"/>
      <c r="H465" s="78"/>
      <c r="I465" s="78"/>
      <c r="J465" s="78"/>
      <c r="K465" s="110"/>
      <c r="L465" s="78"/>
      <c r="M465" s="78"/>
      <c r="N465" s="78"/>
      <c r="O465" s="78"/>
      <c r="P465" s="78"/>
      <c r="Q465" s="110"/>
      <c r="R465" s="110"/>
    </row>
    <row r="466" spans="1:18" ht="15" x14ac:dyDescent="0.25">
      <c r="A466" s="109"/>
      <c r="B466" s="111"/>
      <c r="C466" s="111"/>
      <c r="D466" s="111"/>
      <c r="E466" s="111"/>
      <c r="F466" s="112"/>
      <c r="G466" s="114"/>
      <c r="H466" s="111"/>
      <c r="I466" s="111"/>
      <c r="J466" s="111"/>
      <c r="K466" s="112"/>
      <c r="L466" s="111"/>
      <c r="M466" s="111"/>
      <c r="N466" s="111"/>
      <c r="O466" s="111"/>
      <c r="P466" s="111"/>
      <c r="Q466" s="112"/>
      <c r="R466" s="112"/>
    </row>
    <row r="467" spans="1:18" ht="15" x14ac:dyDescent="0.25">
      <c r="A467" s="109"/>
      <c r="B467" s="78"/>
      <c r="C467" s="78"/>
      <c r="D467" s="78"/>
      <c r="E467" s="78"/>
      <c r="F467" s="110"/>
      <c r="G467" s="115"/>
      <c r="H467" s="78"/>
      <c r="I467" s="78"/>
      <c r="J467" s="78"/>
      <c r="K467" s="110"/>
      <c r="L467" s="78"/>
      <c r="M467" s="78"/>
      <c r="N467" s="78"/>
      <c r="O467" s="78"/>
      <c r="P467" s="78"/>
      <c r="Q467" s="110"/>
      <c r="R467" s="110"/>
    </row>
    <row r="468" spans="1:18" ht="15" x14ac:dyDescent="0.25">
      <c r="A468" s="109"/>
      <c r="B468" s="111"/>
      <c r="C468" s="111"/>
      <c r="D468" s="111"/>
      <c r="E468" s="111"/>
      <c r="F468" s="112"/>
      <c r="G468" s="114"/>
      <c r="H468" s="111"/>
      <c r="I468" s="111"/>
      <c r="J468" s="111"/>
      <c r="K468" s="112"/>
      <c r="L468" s="111"/>
      <c r="M468" s="111"/>
      <c r="N468" s="111"/>
      <c r="O468" s="111"/>
      <c r="P468" s="111"/>
      <c r="Q468" s="112"/>
      <c r="R468" s="112"/>
    </row>
    <row r="469" spans="1:18" ht="15" x14ac:dyDescent="0.25">
      <c r="A469" s="109"/>
      <c r="B469" s="78"/>
      <c r="C469" s="78"/>
      <c r="D469" s="78"/>
      <c r="E469" s="78"/>
      <c r="F469" s="110"/>
      <c r="G469" s="115"/>
      <c r="H469" s="78"/>
      <c r="I469" s="78"/>
      <c r="J469" s="78"/>
      <c r="K469" s="110"/>
      <c r="L469" s="78"/>
      <c r="M469" s="78"/>
      <c r="N469" s="78"/>
      <c r="O469" s="78"/>
      <c r="P469" s="78"/>
      <c r="Q469" s="110"/>
      <c r="R469" s="110"/>
    </row>
    <row r="470" spans="1:18" ht="15" x14ac:dyDescent="0.25">
      <c r="A470" s="109"/>
      <c r="B470" s="111"/>
      <c r="C470" s="111"/>
      <c r="D470" s="111"/>
      <c r="E470" s="111"/>
      <c r="F470" s="112"/>
      <c r="G470" s="114"/>
      <c r="H470" s="111"/>
      <c r="I470" s="111"/>
      <c r="J470" s="111"/>
      <c r="K470" s="112"/>
      <c r="L470" s="111"/>
      <c r="M470" s="111"/>
      <c r="N470" s="111"/>
      <c r="O470" s="111"/>
      <c r="P470" s="111"/>
      <c r="Q470" s="112"/>
      <c r="R470" s="112"/>
    </row>
    <row r="471" spans="1:18" ht="15" x14ac:dyDescent="0.25">
      <c r="A471" s="109"/>
      <c r="B471" s="78"/>
      <c r="C471" s="78"/>
      <c r="D471" s="78"/>
      <c r="E471" s="78"/>
      <c r="F471" s="110"/>
      <c r="G471" s="115"/>
      <c r="H471" s="78"/>
      <c r="I471" s="78"/>
      <c r="J471" s="78"/>
      <c r="K471" s="110"/>
      <c r="L471" s="78"/>
      <c r="M471" s="78"/>
      <c r="N471" s="78"/>
      <c r="O471" s="78"/>
      <c r="P471" s="78"/>
      <c r="Q471" s="110"/>
      <c r="R471" s="110"/>
    </row>
    <row r="472" spans="1:18" ht="15" x14ac:dyDescent="0.25">
      <c r="A472" s="109"/>
      <c r="B472" s="111"/>
      <c r="C472" s="111"/>
      <c r="D472" s="111"/>
      <c r="E472" s="111"/>
      <c r="F472" s="112"/>
      <c r="G472" s="114"/>
      <c r="H472" s="111"/>
      <c r="I472" s="111"/>
      <c r="J472" s="111"/>
      <c r="K472" s="112"/>
      <c r="L472" s="111"/>
      <c r="M472" s="111"/>
      <c r="N472" s="111"/>
      <c r="O472" s="111"/>
      <c r="P472" s="111"/>
      <c r="Q472" s="112"/>
      <c r="R472" s="112"/>
    </row>
    <row r="473" spans="1:18" ht="15" x14ac:dyDescent="0.25">
      <c r="A473" s="109"/>
      <c r="B473" s="78"/>
      <c r="C473" s="78"/>
      <c r="D473" s="78"/>
      <c r="E473" s="78"/>
      <c r="F473" s="110"/>
      <c r="G473" s="115"/>
      <c r="H473" s="78"/>
      <c r="I473" s="78"/>
      <c r="J473" s="78"/>
      <c r="K473" s="110"/>
      <c r="L473" s="78"/>
      <c r="M473" s="78"/>
      <c r="N473" s="78"/>
      <c r="O473" s="78"/>
      <c r="P473" s="78"/>
      <c r="Q473" s="110"/>
      <c r="R473" s="110"/>
    </row>
    <row r="474" spans="1:18" ht="15" x14ac:dyDescent="0.25">
      <c r="A474" s="109"/>
      <c r="B474" s="111"/>
      <c r="C474" s="111"/>
      <c r="D474" s="111"/>
      <c r="E474" s="111"/>
      <c r="F474" s="112"/>
      <c r="G474" s="114"/>
      <c r="H474" s="111"/>
      <c r="I474" s="111"/>
      <c r="J474" s="111"/>
      <c r="K474" s="112"/>
      <c r="L474" s="111"/>
      <c r="M474" s="111"/>
      <c r="N474" s="111"/>
      <c r="O474" s="111"/>
      <c r="P474" s="111"/>
      <c r="Q474" s="112"/>
      <c r="R474" s="112"/>
    </row>
    <row r="475" spans="1:18" ht="15" x14ac:dyDescent="0.25">
      <c r="A475" s="109"/>
      <c r="B475" s="78"/>
      <c r="C475" s="78"/>
      <c r="D475" s="78"/>
      <c r="E475" s="78"/>
      <c r="F475" s="110"/>
      <c r="G475" s="115"/>
      <c r="H475" s="78"/>
      <c r="I475" s="78"/>
      <c r="J475" s="78"/>
      <c r="K475" s="110"/>
      <c r="L475" s="78"/>
      <c r="M475" s="78"/>
      <c r="N475" s="78"/>
      <c r="O475" s="78"/>
      <c r="P475" s="78"/>
      <c r="Q475" s="110"/>
      <c r="R475" s="110"/>
    </row>
    <row r="476" spans="1:18" ht="15" x14ac:dyDescent="0.25">
      <c r="A476" s="109"/>
      <c r="B476" s="111"/>
      <c r="C476" s="111"/>
      <c r="D476" s="111"/>
      <c r="E476" s="111"/>
      <c r="F476" s="112"/>
      <c r="G476" s="114"/>
      <c r="H476" s="111"/>
      <c r="I476" s="111"/>
      <c r="J476" s="111"/>
      <c r="K476" s="112"/>
      <c r="L476" s="111"/>
      <c r="M476" s="111"/>
      <c r="N476" s="111"/>
      <c r="O476" s="111"/>
      <c r="P476" s="111"/>
      <c r="Q476" s="112"/>
      <c r="R476" s="112"/>
    </row>
    <row r="477" spans="1:18" ht="15" x14ac:dyDescent="0.25">
      <c r="A477" s="109"/>
      <c r="B477" s="78"/>
      <c r="C477" s="78"/>
      <c r="D477" s="78"/>
      <c r="E477" s="78"/>
      <c r="F477" s="110"/>
      <c r="G477" s="115"/>
      <c r="H477" s="78"/>
      <c r="I477" s="78"/>
      <c r="J477" s="78"/>
      <c r="K477" s="110"/>
      <c r="L477" s="78"/>
      <c r="M477" s="78"/>
      <c r="N477" s="78"/>
      <c r="O477" s="78"/>
      <c r="P477" s="78"/>
      <c r="Q477" s="110"/>
      <c r="R477" s="110"/>
    </row>
    <row r="478" spans="1:18" ht="15" x14ac:dyDescent="0.25">
      <c r="A478" s="109"/>
      <c r="B478" s="111"/>
      <c r="C478" s="111"/>
      <c r="D478" s="111"/>
      <c r="E478" s="111"/>
      <c r="F478" s="112"/>
      <c r="G478" s="114"/>
      <c r="H478" s="111"/>
      <c r="I478" s="111"/>
      <c r="J478" s="111"/>
      <c r="K478" s="112"/>
      <c r="L478" s="111"/>
      <c r="M478" s="111"/>
      <c r="N478" s="111"/>
      <c r="O478" s="111"/>
      <c r="P478" s="111"/>
      <c r="Q478" s="112"/>
      <c r="R478" s="112"/>
    </row>
    <row r="479" spans="1:18" ht="15" x14ac:dyDescent="0.25">
      <c r="A479" s="109"/>
      <c r="B479" s="78"/>
      <c r="C479" s="78"/>
      <c r="D479" s="78"/>
      <c r="E479" s="78"/>
      <c r="F479" s="110"/>
      <c r="G479" s="115"/>
      <c r="H479" s="78"/>
      <c r="I479" s="78"/>
      <c r="J479" s="78"/>
      <c r="K479" s="110"/>
      <c r="L479" s="78"/>
      <c r="M479" s="78"/>
      <c r="N479" s="78"/>
      <c r="O479" s="78"/>
      <c r="P479" s="78"/>
      <c r="Q479" s="110"/>
      <c r="R479" s="110"/>
    </row>
    <row r="480" spans="1:18" ht="15" x14ac:dyDescent="0.25">
      <c r="A480" s="109"/>
      <c r="B480" s="111"/>
      <c r="C480" s="111"/>
      <c r="D480" s="111"/>
      <c r="E480" s="111"/>
      <c r="F480" s="112"/>
      <c r="G480" s="114"/>
      <c r="H480" s="111"/>
      <c r="I480" s="111"/>
      <c r="J480" s="111"/>
      <c r="K480" s="112"/>
      <c r="L480" s="111"/>
      <c r="M480" s="111"/>
      <c r="N480" s="111"/>
      <c r="O480" s="111"/>
      <c r="P480" s="111"/>
      <c r="Q480" s="112"/>
      <c r="R480" s="112"/>
    </row>
    <row r="481" spans="1:18" ht="15" x14ac:dyDescent="0.25">
      <c r="A481" s="109"/>
      <c r="B481" s="78"/>
      <c r="C481" s="78"/>
      <c r="D481" s="78"/>
      <c r="E481" s="78"/>
      <c r="F481" s="110"/>
      <c r="G481" s="115"/>
      <c r="H481" s="78"/>
      <c r="I481" s="78"/>
      <c r="J481" s="78"/>
      <c r="K481" s="110"/>
      <c r="L481" s="78"/>
      <c r="M481" s="78"/>
      <c r="N481" s="78"/>
      <c r="O481" s="78"/>
      <c r="P481" s="78"/>
      <c r="Q481" s="110"/>
      <c r="R481" s="110"/>
    </row>
    <row r="482" spans="1:18" ht="15" x14ac:dyDescent="0.25">
      <c r="A482" s="109"/>
      <c r="B482" s="111"/>
      <c r="C482" s="111"/>
      <c r="D482" s="111"/>
      <c r="E482" s="111"/>
      <c r="F482" s="112"/>
      <c r="G482" s="114"/>
      <c r="H482" s="111"/>
      <c r="I482" s="111"/>
      <c r="J482" s="111"/>
      <c r="K482" s="112"/>
      <c r="L482" s="111"/>
      <c r="M482" s="111"/>
      <c r="N482" s="111"/>
      <c r="O482" s="111"/>
      <c r="P482" s="111"/>
      <c r="Q482" s="112"/>
      <c r="R482" s="112"/>
    </row>
    <row r="483" spans="1:18" ht="15" x14ac:dyDescent="0.25">
      <c r="A483" s="109"/>
      <c r="B483" s="78"/>
      <c r="C483" s="78"/>
      <c r="D483" s="78"/>
      <c r="E483" s="78"/>
      <c r="F483" s="110"/>
      <c r="G483" s="115"/>
      <c r="H483" s="78"/>
      <c r="I483" s="78"/>
      <c r="J483" s="78"/>
      <c r="K483" s="110"/>
      <c r="L483" s="78"/>
      <c r="M483" s="78"/>
      <c r="N483" s="78"/>
      <c r="O483" s="78"/>
      <c r="P483" s="78"/>
      <c r="Q483" s="110"/>
      <c r="R483" s="110"/>
    </row>
    <row r="484" spans="1:18" ht="15" x14ac:dyDescent="0.25">
      <c r="A484" s="109"/>
      <c r="B484" s="111"/>
      <c r="C484" s="111"/>
      <c r="D484" s="111"/>
      <c r="E484" s="111"/>
      <c r="F484" s="112"/>
      <c r="G484" s="114"/>
      <c r="H484" s="111"/>
      <c r="I484" s="111"/>
      <c r="J484" s="111"/>
      <c r="K484" s="112"/>
      <c r="L484" s="111"/>
      <c r="M484" s="111"/>
      <c r="N484" s="111"/>
      <c r="O484" s="111"/>
      <c r="P484" s="111"/>
      <c r="Q484" s="112"/>
      <c r="R484" s="112"/>
    </row>
    <row r="485" spans="1:18" ht="15" x14ac:dyDescent="0.25">
      <c r="A485" s="109"/>
      <c r="B485" s="78"/>
      <c r="C485" s="78"/>
      <c r="D485" s="78"/>
      <c r="E485" s="78"/>
      <c r="F485" s="110"/>
      <c r="G485" s="115"/>
      <c r="H485" s="78"/>
      <c r="I485" s="78"/>
      <c r="J485" s="78"/>
      <c r="K485" s="110"/>
      <c r="L485" s="78"/>
      <c r="M485" s="78"/>
      <c r="N485" s="78"/>
      <c r="O485" s="78"/>
      <c r="P485" s="78"/>
      <c r="Q485" s="110"/>
      <c r="R485" s="110"/>
    </row>
    <row r="486" spans="1:18" ht="15" x14ac:dyDescent="0.25">
      <c r="A486" s="109"/>
      <c r="B486" s="111"/>
      <c r="C486" s="111"/>
      <c r="D486" s="111"/>
      <c r="E486" s="111"/>
      <c r="F486" s="112"/>
      <c r="G486" s="114"/>
      <c r="H486" s="111"/>
      <c r="I486" s="111"/>
      <c r="J486" s="111"/>
      <c r="K486" s="112"/>
      <c r="L486" s="111"/>
      <c r="M486" s="111"/>
      <c r="N486" s="111"/>
      <c r="O486" s="111"/>
      <c r="P486" s="111"/>
      <c r="Q486" s="112"/>
      <c r="R486" s="112"/>
    </row>
    <row r="487" spans="1:18" ht="15" x14ac:dyDescent="0.25">
      <c r="A487" s="109"/>
      <c r="B487" s="78"/>
      <c r="C487" s="78"/>
      <c r="D487" s="78"/>
      <c r="E487" s="78"/>
      <c r="F487" s="110"/>
      <c r="G487" s="115"/>
      <c r="H487" s="78"/>
      <c r="I487" s="78"/>
      <c r="J487" s="78"/>
      <c r="K487" s="110"/>
      <c r="L487" s="78"/>
      <c r="M487" s="78"/>
      <c r="N487" s="78"/>
      <c r="O487" s="78"/>
      <c r="P487" s="78"/>
      <c r="Q487" s="110"/>
      <c r="R487" s="110"/>
    </row>
    <row r="488" spans="1:18" ht="15" x14ac:dyDescent="0.25">
      <c r="A488" s="109"/>
      <c r="B488" s="111"/>
      <c r="C488" s="111"/>
      <c r="D488" s="111"/>
      <c r="E488" s="111"/>
      <c r="F488" s="112"/>
      <c r="G488" s="114"/>
      <c r="H488" s="111"/>
      <c r="I488" s="111"/>
      <c r="J488" s="111"/>
      <c r="K488" s="112"/>
      <c r="L488" s="111"/>
      <c r="M488" s="111"/>
      <c r="N488" s="111"/>
      <c r="O488" s="111"/>
      <c r="P488" s="111"/>
      <c r="Q488" s="112"/>
      <c r="R488" s="112"/>
    </row>
    <row r="489" spans="1:18" ht="15" x14ac:dyDescent="0.25">
      <c r="A489" s="109"/>
      <c r="B489" s="78"/>
      <c r="C489" s="78"/>
      <c r="D489" s="78"/>
      <c r="E489" s="78"/>
      <c r="F489" s="110"/>
      <c r="G489" s="115"/>
      <c r="H489" s="78"/>
      <c r="I489" s="78"/>
      <c r="J489" s="78"/>
      <c r="K489" s="110"/>
      <c r="L489" s="78"/>
      <c r="M489" s="78"/>
      <c r="N489" s="78"/>
      <c r="O489" s="78"/>
      <c r="P489" s="78"/>
      <c r="Q489" s="110"/>
      <c r="R489" s="110"/>
    </row>
    <row r="490" spans="1:18" ht="15" x14ac:dyDescent="0.25">
      <c r="A490" s="109"/>
      <c r="B490" s="111"/>
      <c r="C490" s="111"/>
      <c r="D490" s="111"/>
      <c r="E490" s="111"/>
      <c r="F490" s="112"/>
      <c r="G490" s="114"/>
      <c r="H490" s="111"/>
      <c r="I490" s="111"/>
      <c r="J490" s="111"/>
      <c r="K490" s="112"/>
      <c r="L490" s="111"/>
      <c r="M490" s="111"/>
      <c r="N490" s="111"/>
      <c r="O490" s="111"/>
      <c r="P490" s="111"/>
      <c r="Q490" s="112"/>
      <c r="R490" s="112"/>
    </row>
    <row r="491" spans="1:18" ht="15" x14ac:dyDescent="0.25">
      <c r="A491" s="109"/>
      <c r="B491" s="78"/>
      <c r="C491" s="78"/>
      <c r="D491" s="78"/>
      <c r="E491" s="78"/>
      <c r="F491" s="110"/>
      <c r="G491" s="115"/>
      <c r="H491" s="78"/>
      <c r="I491" s="78"/>
      <c r="J491" s="78"/>
      <c r="K491" s="110"/>
      <c r="L491" s="78"/>
      <c r="M491" s="78"/>
      <c r="N491" s="78"/>
      <c r="O491" s="78"/>
      <c r="P491" s="78"/>
      <c r="Q491" s="110"/>
      <c r="R491" s="110"/>
    </row>
    <row r="492" spans="1:18" ht="15" x14ac:dyDescent="0.25">
      <c r="A492" s="109"/>
      <c r="B492" s="111"/>
      <c r="C492" s="111"/>
      <c r="D492" s="111"/>
      <c r="E492" s="111"/>
      <c r="F492" s="112"/>
      <c r="G492" s="114"/>
      <c r="H492" s="111"/>
      <c r="I492" s="111"/>
      <c r="J492" s="111"/>
      <c r="K492" s="112"/>
      <c r="L492" s="111"/>
      <c r="M492" s="111"/>
      <c r="N492" s="111"/>
      <c r="O492" s="111"/>
      <c r="P492" s="111"/>
      <c r="Q492" s="112"/>
      <c r="R492" s="112"/>
    </row>
    <row r="493" spans="1:18" ht="15" x14ac:dyDescent="0.25">
      <c r="A493" s="109"/>
      <c r="B493" s="78"/>
      <c r="C493" s="78"/>
      <c r="D493" s="78"/>
      <c r="E493" s="78"/>
      <c r="F493" s="110"/>
      <c r="G493" s="115"/>
      <c r="H493" s="78"/>
      <c r="I493" s="78"/>
      <c r="J493" s="78"/>
      <c r="K493" s="110"/>
      <c r="L493" s="78"/>
      <c r="M493" s="78"/>
      <c r="N493" s="78"/>
      <c r="O493" s="78"/>
      <c r="P493" s="78"/>
      <c r="Q493" s="110"/>
      <c r="R493" s="110"/>
    </row>
    <row r="494" spans="1:18" ht="15" x14ac:dyDescent="0.25">
      <c r="A494" s="109"/>
      <c r="B494" s="111"/>
      <c r="C494" s="111"/>
      <c r="D494" s="111"/>
      <c r="E494" s="111"/>
      <c r="F494" s="112"/>
      <c r="G494" s="114"/>
      <c r="H494" s="111"/>
      <c r="I494" s="111"/>
      <c r="J494" s="111"/>
      <c r="K494" s="112"/>
      <c r="L494" s="111"/>
      <c r="M494" s="111"/>
      <c r="N494" s="111"/>
      <c r="O494" s="111"/>
      <c r="P494" s="111"/>
      <c r="Q494" s="112"/>
      <c r="R494" s="112"/>
    </row>
    <row r="495" spans="1:18" ht="15" x14ac:dyDescent="0.25">
      <c r="A495" s="109"/>
      <c r="B495" s="78"/>
      <c r="C495" s="78"/>
      <c r="D495" s="78"/>
      <c r="E495" s="78"/>
      <c r="F495" s="110"/>
      <c r="G495" s="115"/>
      <c r="H495" s="78"/>
      <c r="I495" s="78"/>
      <c r="J495" s="78"/>
      <c r="K495" s="110"/>
      <c r="L495" s="78"/>
      <c r="M495" s="78"/>
      <c r="N495" s="78"/>
      <c r="O495" s="78"/>
      <c r="P495" s="78"/>
      <c r="Q495" s="110"/>
      <c r="R495" s="110"/>
    </row>
    <row r="496" spans="1:18" ht="15" x14ac:dyDescent="0.25">
      <c r="A496" s="109"/>
      <c r="B496" s="111"/>
      <c r="C496" s="111"/>
      <c r="D496" s="111"/>
      <c r="E496" s="111"/>
      <c r="F496" s="112"/>
      <c r="G496" s="114"/>
      <c r="H496" s="111"/>
      <c r="I496" s="111"/>
      <c r="J496" s="111"/>
      <c r="K496" s="112"/>
      <c r="L496" s="111"/>
      <c r="M496" s="111"/>
      <c r="N496" s="111"/>
      <c r="O496" s="111"/>
      <c r="P496" s="111"/>
      <c r="Q496" s="112"/>
      <c r="R496" s="112"/>
    </row>
    <row r="497" spans="1:18" ht="15" x14ac:dyDescent="0.25">
      <c r="A497" s="109"/>
      <c r="B497" s="78"/>
      <c r="C497" s="78"/>
      <c r="D497" s="78"/>
      <c r="E497" s="78"/>
      <c r="F497" s="110"/>
      <c r="G497" s="115"/>
      <c r="H497" s="78"/>
      <c r="I497" s="78"/>
      <c r="J497" s="78"/>
      <c r="K497" s="110"/>
      <c r="L497" s="78"/>
      <c r="M497" s="78"/>
      <c r="N497" s="78"/>
      <c r="O497" s="78"/>
      <c r="P497" s="78"/>
      <c r="Q497" s="110"/>
      <c r="R497" s="110"/>
    </row>
    <row r="498" spans="1:18" ht="15" x14ac:dyDescent="0.25">
      <c r="A498" s="109"/>
      <c r="B498" s="111"/>
      <c r="C498" s="111"/>
      <c r="D498" s="111"/>
      <c r="E498" s="111"/>
      <c r="F498" s="112"/>
      <c r="G498" s="114"/>
      <c r="H498" s="111"/>
      <c r="I498" s="111"/>
      <c r="J498" s="111"/>
      <c r="K498" s="112"/>
      <c r="L498" s="111"/>
      <c r="M498" s="111"/>
      <c r="N498" s="111"/>
      <c r="O498" s="111"/>
      <c r="P498" s="111"/>
      <c r="Q498" s="112"/>
      <c r="R498" s="112"/>
    </row>
    <row r="499" spans="1:18" ht="15" x14ac:dyDescent="0.25">
      <c r="A499" s="109"/>
      <c r="B499" s="78"/>
      <c r="C499" s="78"/>
      <c r="D499" s="78"/>
      <c r="E499" s="78"/>
      <c r="F499" s="110"/>
      <c r="G499" s="115"/>
      <c r="H499" s="78"/>
      <c r="I499" s="78"/>
      <c r="J499" s="78"/>
      <c r="K499" s="110"/>
      <c r="L499" s="78"/>
      <c r="M499" s="78"/>
      <c r="N499" s="78"/>
      <c r="O499" s="78"/>
      <c r="P499" s="78"/>
      <c r="Q499" s="110"/>
      <c r="R499" s="110"/>
    </row>
    <row r="500" spans="1:18" ht="15" x14ac:dyDescent="0.25">
      <c r="A500" s="109"/>
      <c r="B500" s="111"/>
      <c r="C500" s="111"/>
      <c r="D500" s="111"/>
      <c r="E500" s="111"/>
      <c r="F500" s="112"/>
      <c r="G500" s="114"/>
      <c r="H500" s="111"/>
      <c r="I500" s="111"/>
      <c r="J500" s="111"/>
      <c r="K500" s="112"/>
      <c r="L500" s="111"/>
      <c r="M500" s="111"/>
      <c r="N500" s="111"/>
      <c r="O500" s="111"/>
      <c r="P500" s="111"/>
      <c r="Q500" s="112"/>
      <c r="R500" s="112"/>
    </row>
    <row r="501" spans="1:18" ht="15" x14ac:dyDescent="0.25">
      <c r="A501" s="109"/>
      <c r="B501" s="78"/>
      <c r="C501" s="78"/>
      <c r="D501" s="78"/>
      <c r="E501" s="78"/>
      <c r="F501" s="110"/>
      <c r="G501" s="115"/>
      <c r="H501" s="78"/>
      <c r="I501" s="78"/>
      <c r="J501" s="78"/>
      <c r="K501" s="110"/>
      <c r="L501" s="78"/>
      <c r="M501" s="78"/>
      <c r="N501" s="78"/>
      <c r="O501" s="78"/>
      <c r="P501" s="78"/>
      <c r="Q501" s="110"/>
      <c r="R501" s="110"/>
    </row>
    <row r="502" spans="1:18" ht="15" x14ac:dyDescent="0.25">
      <c r="A502" s="109"/>
      <c r="B502" s="111"/>
      <c r="C502" s="111"/>
      <c r="D502" s="111"/>
      <c r="E502" s="111"/>
      <c r="F502" s="112"/>
      <c r="G502" s="114"/>
      <c r="H502" s="111"/>
      <c r="I502" s="111"/>
      <c r="J502" s="111"/>
      <c r="K502" s="112"/>
      <c r="L502" s="111"/>
      <c r="M502" s="111"/>
      <c r="N502" s="111"/>
      <c r="O502" s="111"/>
      <c r="P502" s="111"/>
      <c r="Q502" s="112"/>
      <c r="R502" s="112"/>
    </row>
    <row r="503" spans="1:18" ht="15" x14ac:dyDescent="0.25">
      <c r="A503" s="109"/>
      <c r="B503" s="78"/>
      <c r="C503" s="78"/>
      <c r="D503" s="78"/>
      <c r="E503" s="78"/>
      <c r="F503" s="110"/>
      <c r="G503" s="115"/>
      <c r="H503" s="78"/>
      <c r="I503" s="78"/>
      <c r="J503" s="78"/>
      <c r="K503" s="110"/>
      <c r="L503" s="78"/>
      <c r="M503" s="78"/>
      <c r="N503" s="78"/>
      <c r="O503" s="78"/>
      <c r="P503" s="78"/>
      <c r="Q503" s="110"/>
      <c r="R503" s="110"/>
    </row>
    <row r="504" spans="1:18" ht="15" x14ac:dyDescent="0.25">
      <c r="A504" s="109"/>
      <c r="B504" s="111"/>
      <c r="C504" s="111"/>
      <c r="D504" s="111"/>
      <c r="E504" s="111"/>
      <c r="F504" s="112"/>
      <c r="G504" s="114"/>
      <c r="H504" s="111"/>
      <c r="I504" s="111"/>
      <c r="J504" s="111"/>
      <c r="K504" s="112"/>
      <c r="L504" s="111"/>
      <c r="M504" s="111"/>
      <c r="N504" s="111"/>
      <c r="O504" s="111"/>
      <c r="P504" s="111"/>
      <c r="Q504" s="112"/>
      <c r="R504" s="112"/>
    </row>
    <row r="505" spans="1:18" ht="15" x14ac:dyDescent="0.25">
      <c r="A505" s="109"/>
      <c r="B505" s="78"/>
      <c r="C505" s="78"/>
      <c r="D505" s="78"/>
      <c r="E505" s="78"/>
      <c r="F505" s="110"/>
      <c r="G505" s="115"/>
      <c r="H505" s="78"/>
      <c r="I505" s="78"/>
      <c r="J505" s="78"/>
      <c r="K505" s="110"/>
      <c r="L505" s="78"/>
      <c r="M505" s="78"/>
      <c r="N505" s="78"/>
      <c r="O505" s="78"/>
      <c r="P505" s="78"/>
      <c r="Q505" s="110"/>
      <c r="R505" s="110"/>
    </row>
    <row r="506" spans="1:18" ht="15" x14ac:dyDescent="0.25">
      <c r="A506" s="109"/>
      <c r="B506" s="111"/>
      <c r="C506" s="111"/>
      <c r="D506" s="111"/>
      <c r="E506" s="111"/>
      <c r="F506" s="112"/>
      <c r="G506" s="114"/>
      <c r="H506" s="111"/>
      <c r="I506" s="111"/>
      <c r="J506" s="111"/>
      <c r="K506" s="112"/>
      <c r="L506" s="111"/>
      <c r="M506" s="111"/>
      <c r="N506" s="111"/>
      <c r="O506" s="111"/>
      <c r="P506" s="111"/>
      <c r="Q506" s="112"/>
      <c r="R506" s="112"/>
    </row>
    <row r="507" spans="1:18" ht="15" x14ac:dyDescent="0.25">
      <c r="A507" s="109"/>
      <c r="B507" s="78"/>
      <c r="C507" s="78"/>
      <c r="D507" s="78"/>
      <c r="E507" s="78"/>
      <c r="F507" s="110"/>
      <c r="G507" s="115"/>
      <c r="H507" s="78"/>
      <c r="I507" s="78"/>
      <c r="J507" s="78"/>
      <c r="K507" s="110"/>
      <c r="L507" s="78"/>
      <c r="M507" s="78"/>
      <c r="N507" s="78"/>
      <c r="O507" s="78"/>
      <c r="P507" s="78"/>
      <c r="Q507" s="110"/>
      <c r="R507" s="110"/>
    </row>
    <row r="508" spans="1:18" ht="15" x14ac:dyDescent="0.25">
      <c r="A508" s="109"/>
      <c r="B508" s="111"/>
      <c r="C508" s="111"/>
      <c r="D508" s="111"/>
      <c r="E508" s="111"/>
      <c r="F508" s="112"/>
      <c r="G508" s="114"/>
      <c r="H508" s="111"/>
      <c r="I508" s="111"/>
      <c r="J508" s="111"/>
      <c r="K508" s="112"/>
      <c r="L508" s="111"/>
      <c r="M508" s="111"/>
      <c r="N508" s="111"/>
      <c r="O508" s="111"/>
      <c r="P508" s="111"/>
      <c r="Q508" s="112"/>
      <c r="R508" s="112"/>
    </row>
    <row r="509" spans="1:18" ht="15" x14ac:dyDescent="0.25">
      <c r="A509" s="109"/>
      <c r="B509" s="78"/>
      <c r="C509" s="78"/>
      <c r="D509" s="78"/>
      <c r="E509" s="78"/>
      <c r="F509" s="110"/>
      <c r="G509" s="115"/>
      <c r="H509" s="78"/>
      <c r="I509" s="78"/>
      <c r="J509" s="78"/>
      <c r="K509" s="110"/>
      <c r="L509" s="78"/>
      <c r="M509" s="78"/>
      <c r="N509" s="78"/>
      <c r="O509" s="78"/>
      <c r="P509" s="78"/>
      <c r="Q509" s="110"/>
      <c r="R509" s="110"/>
    </row>
    <row r="510" spans="1:18" ht="15" x14ac:dyDescent="0.25">
      <c r="A510" s="109"/>
      <c r="B510" s="111"/>
      <c r="C510" s="111"/>
      <c r="D510" s="111"/>
      <c r="E510" s="111"/>
      <c r="F510" s="112"/>
      <c r="G510" s="114"/>
      <c r="H510" s="111"/>
      <c r="I510" s="111"/>
      <c r="J510" s="111"/>
      <c r="K510" s="112"/>
      <c r="L510" s="111"/>
      <c r="M510" s="111"/>
      <c r="N510" s="111"/>
      <c r="O510" s="111"/>
      <c r="P510" s="111"/>
      <c r="Q510" s="112"/>
      <c r="R510" s="112"/>
    </row>
    <row r="511" spans="1:18" ht="15" x14ac:dyDescent="0.25">
      <c r="A511" s="109"/>
      <c r="B511" s="78"/>
      <c r="C511" s="78"/>
      <c r="D511" s="78"/>
      <c r="E511" s="78"/>
      <c r="F511" s="110"/>
      <c r="G511" s="115"/>
      <c r="H511" s="78"/>
      <c r="I511" s="78"/>
      <c r="J511" s="78"/>
      <c r="K511" s="110"/>
      <c r="L511" s="78"/>
      <c r="M511" s="78"/>
      <c r="N511" s="78"/>
      <c r="O511" s="78"/>
      <c r="P511" s="78"/>
      <c r="Q511" s="110"/>
      <c r="R511" s="110"/>
    </row>
    <row r="512" spans="1:18" ht="15" x14ac:dyDescent="0.25">
      <c r="A512" s="109"/>
      <c r="B512" s="111"/>
      <c r="C512" s="111"/>
      <c r="D512" s="111"/>
      <c r="E512" s="111"/>
      <c r="F512" s="112"/>
      <c r="G512" s="114"/>
      <c r="H512" s="111"/>
      <c r="I512" s="111"/>
      <c r="J512" s="111"/>
      <c r="K512" s="112"/>
      <c r="L512" s="111"/>
      <c r="M512" s="111"/>
      <c r="N512" s="111"/>
      <c r="O512" s="111"/>
      <c r="P512" s="111"/>
      <c r="Q512" s="112"/>
      <c r="R512" s="112"/>
    </row>
    <row r="513" spans="1:18" ht="15" x14ac:dyDescent="0.25">
      <c r="A513" s="109"/>
      <c r="B513" s="78"/>
      <c r="C513" s="78"/>
      <c r="D513" s="78"/>
      <c r="E513" s="78"/>
      <c r="F513" s="110"/>
      <c r="G513" s="115"/>
      <c r="H513" s="78"/>
      <c r="I513" s="78"/>
      <c r="J513" s="78"/>
      <c r="K513" s="110"/>
      <c r="L513" s="78"/>
      <c r="M513" s="78"/>
      <c r="N513" s="78"/>
      <c r="O513" s="78"/>
      <c r="P513" s="78"/>
      <c r="Q513" s="110"/>
      <c r="R513" s="110"/>
    </row>
    <row r="514" spans="1:18" ht="15" x14ac:dyDescent="0.25">
      <c r="A514" s="109"/>
      <c r="B514" s="111"/>
      <c r="C514" s="111"/>
      <c r="D514" s="111"/>
      <c r="E514" s="111"/>
      <c r="F514" s="112"/>
      <c r="G514" s="114"/>
      <c r="H514" s="111"/>
      <c r="I514" s="111"/>
      <c r="J514" s="111"/>
      <c r="K514" s="112"/>
      <c r="L514" s="111"/>
      <c r="M514" s="111"/>
      <c r="N514" s="111"/>
      <c r="O514" s="111"/>
      <c r="P514" s="111"/>
      <c r="Q514" s="112"/>
      <c r="R514" s="112"/>
    </row>
    <row r="515" spans="1:18" ht="15" x14ac:dyDescent="0.25">
      <c r="A515" s="109"/>
      <c r="B515" s="78"/>
      <c r="C515" s="78"/>
      <c r="D515" s="78"/>
      <c r="E515" s="78"/>
      <c r="F515" s="110"/>
      <c r="G515" s="115"/>
      <c r="H515" s="78"/>
      <c r="I515" s="78"/>
      <c r="J515" s="78"/>
      <c r="K515" s="110"/>
      <c r="L515" s="78"/>
      <c r="M515" s="78"/>
      <c r="N515" s="78"/>
      <c r="O515" s="78"/>
      <c r="P515" s="78"/>
      <c r="Q515" s="110"/>
      <c r="R515" s="110"/>
    </row>
    <row r="516" spans="1:18" ht="15" x14ac:dyDescent="0.25">
      <c r="A516" s="109"/>
      <c r="B516" s="111"/>
      <c r="C516" s="111"/>
      <c r="D516" s="111"/>
      <c r="E516" s="111"/>
      <c r="F516" s="112"/>
      <c r="G516" s="114"/>
      <c r="H516" s="111"/>
      <c r="I516" s="111"/>
      <c r="J516" s="111"/>
      <c r="K516" s="112"/>
      <c r="L516" s="111"/>
      <c r="M516" s="111"/>
      <c r="N516" s="111"/>
      <c r="O516" s="111"/>
      <c r="P516" s="111"/>
      <c r="Q516" s="112"/>
      <c r="R516" s="112"/>
    </row>
    <row r="517" spans="1:18" ht="15" x14ac:dyDescent="0.25">
      <c r="A517" s="109"/>
      <c r="B517" s="78"/>
      <c r="C517" s="78"/>
      <c r="D517" s="78"/>
      <c r="E517" s="78"/>
      <c r="F517" s="110"/>
      <c r="G517" s="115"/>
      <c r="H517" s="78"/>
      <c r="I517" s="78"/>
      <c r="J517" s="78"/>
      <c r="K517" s="110"/>
      <c r="L517" s="78"/>
      <c r="M517" s="78"/>
      <c r="N517" s="78"/>
      <c r="O517" s="78"/>
      <c r="P517" s="78"/>
      <c r="Q517" s="110"/>
      <c r="R517" s="110"/>
    </row>
    <row r="518" spans="1:18" ht="15" x14ac:dyDescent="0.25">
      <c r="A518" s="109"/>
      <c r="B518" s="111"/>
      <c r="C518" s="111"/>
      <c r="D518" s="111"/>
      <c r="E518" s="111"/>
      <c r="F518" s="112"/>
      <c r="G518" s="114"/>
      <c r="H518" s="111"/>
      <c r="I518" s="111"/>
      <c r="J518" s="111"/>
      <c r="K518" s="112"/>
      <c r="L518" s="111"/>
      <c r="M518" s="111"/>
      <c r="N518" s="111"/>
      <c r="O518" s="111"/>
      <c r="P518" s="111"/>
      <c r="Q518" s="112"/>
      <c r="R518" s="112"/>
    </row>
    <row r="519" spans="1:18" ht="15" x14ac:dyDescent="0.25">
      <c r="A519" s="109"/>
      <c r="B519" s="78"/>
      <c r="C519" s="78"/>
      <c r="D519" s="78"/>
      <c r="E519" s="78"/>
      <c r="F519" s="110"/>
      <c r="G519" s="115"/>
      <c r="H519" s="78"/>
      <c r="I519" s="78"/>
      <c r="J519" s="78"/>
      <c r="K519" s="110"/>
      <c r="L519" s="78"/>
      <c r="M519" s="78"/>
      <c r="N519" s="78"/>
      <c r="O519" s="78"/>
      <c r="P519" s="78"/>
      <c r="Q519" s="110"/>
      <c r="R519" s="110"/>
    </row>
    <row r="520" spans="1:18" ht="15" x14ac:dyDescent="0.25">
      <c r="A520" s="109"/>
      <c r="B520" s="111"/>
      <c r="C520" s="111"/>
      <c r="D520" s="111"/>
      <c r="E520" s="111"/>
      <c r="F520" s="112"/>
      <c r="G520" s="114"/>
      <c r="H520" s="111"/>
      <c r="I520" s="111"/>
      <c r="J520" s="111"/>
      <c r="K520" s="112"/>
      <c r="L520" s="111"/>
      <c r="M520" s="111"/>
      <c r="N520" s="111"/>
      <c r="O520" s="111"/>
      <c r="P520" s="111"/>
      <c r="Q520" s="112"/>
      <c r="R520" s="112"/>
    </row>
    <row r="521" spans="1:18" ht="15" x14ac:dyDescent="0.25">
      <c r="A521" s="109"/>
      <c r="B521" s="78"/>
      <c r="C521" s="78"/>
      <c r="D521" s="78"/>
      <c r="E521" s="78"/>
      <c r="F521" s="110"/>
      <c r="G521" s="115"/>
      <c r="H521" s="78"/>
      <c r="I521" s="78"/>
      <c r="J521" s="78"/>
      <c r="K521" s="110"/>
      <c r="L521" s="78"/>
      <c r="M521" s="78"/>
      <c r="N521" s="78"/>
      <c r="O521" s="78"/>
      <c r="P521" s="78"/>
      <c r="Q521" s="110"/>
      <c r="R521" s="110"/>
    </row>
    <row r="522" spans="1:18" ht="15" x14ac:dyDescent="0.25">
      <c r="A522" s="109"/>
      <c r="B522" s="111"/>
      <c r="C522" s="111"/>
      <c r="D522" s="111"/>
      <c r="E522" s="111"/>
      <c r="F522" s="112"/>
      <c r="G522" s="114"/>
      <c r="H522" s="111"/>
      <c r="I522" s="111"/>
      <c r="J522" s="111"/>
      <c r="K522" s="112"/>
      <c r="L522" s="111"/>
      <c r="M522" s="111"/>
      <c r="N522" s="111"/>
      <c r="O522" s="111"/>
      <c r="P522" s="111"/>
      <c r="Q522" s="112"/>
      <c r="R522" s="112"/>
    </row>
    <row r="523" spans="1:18" ht="15" x14ac:dyDescent="0.25">
      <c r="A523" s="109"/>
      <c r="B523" s="78"/>
      <c r="C523" s="78"/>
      <c r="D523" s="78"/>
      <c r="E523" s="78"/>
      <c r="F523" s="110"/>
      <c r="G523" s="115"/>
      <c r="H523" s="78"/>
      <c r="I523" s="78"/>
      <c r="J523" s="78"/>
      <c r="K523" s="110"/>
      <c r="L523" s="78"/>
      <c r="M523" s="78"/>
      <c r="N523" s="78"/>
      <c r="O523" s="78"/>
      <c r="P523" s="78"/>
      <c r="Q523" s="110"/>
      <c r="R523" s="110"/>
    </row>
    <row r="524" spans="1:18" ht="15" x14ac:dyDescent="0.25">
      <c r="A524" s="109"/>
      <c r="B524" s="111"/>
      <c r="C524" s="111"/>
      <c r="D524" s="111"/>
      <c r="E524" s="111"/>
      <c r="F524" s="112"/>
      <c r="G524" s="114"/>
      <c r="H524" s="111"/>
      <c r="I524" s="111"/>
      <c r="J524" s="111"/>
      <c r="K524" s="112"/>
      <c r="L524" s="111"/>
      <c r="M524" s="111"/>
      <c r="N524" s="111"/>
      <c r="O524" s="111"/>
      <c r="P524" s="111"/>
      <c r="Q524" s="112"/>
      <c r="R524" s="112"/>
    </row>
    <row r="525" spans="1:18" ht="15" x14ac:dyDescent="0.25">
      <c r="A525" s="109"/>
      <c r="B525" s="78"/>
      <c r="C525" s="78"/>
      <c r="D525" s="78"/>
      <c r="E525" s="78"/>
      <c r="F525" s="110"/>
      <c r="G525" s="115"/>
      <c r="H525" s="78"/>
      <c r="I525" s="78"/>
      <c r="J525" s="78"/>
      <c r="K525" s="110"/>
      <c r="L525" s="78"/>
      <c r="M525" s="78"/>
      <c r="N525" s="78"/>
      <c r="O525" s="78"/>
      <c r="P525" s="78"/>
      <c r="Q525" s="110"/>
      <c r="R525" s="110"/>
    </row>
    <row r="526" spans="1:18" ht="15" x14ac:dyDescent="0.25">
      <c r="A526" s="109"/>
      <c r="B526" s="111"/>
      <c r="C526" s="111"/>
      <c r="D526" s="111"/>
      <c r="E526" s="111"/>
      <c r="F526" s="112"/>
      <c r="G526" s="114"/>
      <c r="H526" s="111"/>
      <c r="I526" s="111"/>
      <c r="J526" s="111"/>
      <c r="K526" s="112"/>
      <c r="L526" s="111"/>
      <c r="M526" s="111"/>
      <c r="N526" s="111"/>
      <c r="O526" s="111"/>
      <c r="P526" s="111"/>
      <c r="Q526" s="112"/>
      <c r="R526" s="112"/>
    </row>
    <row r="527" spans="1:18" ht="15" x14ac:dyDescent="0.25">
      <c r="A527" s="109"/>
      <c r="B527" s="78"/>
      <c r="C527" s="78"/>
      <c r="D527" s="78"/>
      <c r="E527" s="78"/>
      <c r="F527" s="110"/>
      <c r="G527" s="115"/>
      <c r="H527" s="78"/>
      <c r="I527" s="78"/>
      <c r="J527" s="78"/>
      <c r="K527" s="110"/>
      <c r="L527" s="78"/>
      <c r="M527" s="78"/>
      <c r="N527" s="78"/>
      <c r="O527" s="78"/>
      <c r="P527" s="78"/>
      <c r="Q527" s="110"/>
      <c r="R527" s="110"/>
    </row>
    <row r="528" spans="1:18" ht="15" x14ac:dyDescent="0.25">
      <c r="A528" s="109"/>
      <c r="B528" s="111"/>
      <c r="C528" s="111"/>
      <c r="D528" s="111"/>
      <c r="E528" s="111"/>
      <c r="F528" s="112"/>
      <c r="G528" s="114"/>
      <c r="H528" s="111"/>
      <c r="I528" s="111"/>
      <c r="J528" s="111"/>
      <c r="K528" s="112"/>
      <c r="L528" s="111"/>
      <c r="M528" s="111"/>
      <c r="N528" s="111"/>
      <c r="O528" s="111"/>
      <c r="P528" s="111"/>
      <c r="Q528" s="112"/>
      <c r="R528" s="112"/>
    </row>
    <row r="529" spans="1:18" ht="15" x14ac:dyDescent="0.25">
      <c r="A529" s="109"/>
      <c r="B529" s="78"/>
      <c r="C529" s="78"/>
      <c r="D529" s="78"/>
      <c r="E529" s="78"/>
      <c r="F529" s="110"/>
      <c r="G529" s="115"/>
      <c r="H529" s="78"/>
      <c r="I529" s="78"/>
      <c r="J529" s="78"/>
      <c r="K529" s="110"/>
      <c r="L529" s="78"/>
      <c r="M529" s="78"/>
      <c r="N529" s="78"/>
      <c r="O529" s="78"/>
      <c r="P529" s="78"/>
      <c r="Q529" s="110"/>
      <c r="R529" s="110"/>
    </row>
    <row r="530" spans="1:18" ht="15" x14ac:dyDescent="0.25">
      <c r="A530" s="109"/>
      <c r="B530" s="111"/>
      <c r="C530" s="111"/>
      <c r="D530" s="111"/>
      <c r="E530" s="111"/>
      <c r="F530" s="112"/>
      <c r="G530" s="114"/>
      <c r="H530" s="111"/>
      <c r="I530" s="111"/>
      <c r="J530" s="111"/>
      <c r="K530" s="112"/>
      <c r="L530" s="111"/>
      <c r="M530" s="111"/>
      <c r="N530" s="111"/>
      <c r="O530" s="111"/>
      <c r="P530" s="111"/>
      <c r="Q530" s="112"/>
      <c r="R530" s="112"/>
    </row>
    <row r="531" spans="1:18" ht="15" x14ac:dyDescent="0.25">
      <c r="A531" s="109"/>
      <c r="B531" s="78"/>
      <c r="C531" s="78"/>
      <c r="D531" s="78"/>
      <c r="E531" s="78"/>
      <c r="F531" s="110"/>
      <c r="G531" s="115"/>
      <c r="H531" s="78"/>
      <c r="I531" s="78"/>
      <c r="J531" s="78"/>
      <c r="K531" s="110"/>
      <c r="L531" s="78"/>
      <c r="M531" s="78"/>
      <c r="N531" s="78"/>
      <c r="O531" s="78"/>
      <c r="P531" s="78"/>
      <c r="Q531" s="110"/>
      <c r="R531" s="110"/>
    </row>
    <row r="532" spans="1:18" ht="15" x14ac:dyDescent="0.25">
      <c r="A532" s="109"/>
      <c r="B532" s="111"/>
      <c r="C532" s="111"/>
      <c r="D532" s="111"/>
      <c r="E532" s="111"/>
      <c r="F532" s="112"/>
      <c r="G532" s="114"/>
      <c r="H532" s="111"/>
      <c r="I532" s="111"/>
      <c r="J532" s="111"/>
      <c r="K532" s="112"/>
      <c r="L532" s="111"/>
      <c r="M532" s="111"/>
      <c r="N532" s="111"/>
      <c r="O532" s="111"/>
      <c r="P532" s="111"/>
      <c r="Q532" s="112"/>
      <c r="R532" s="112"/>
    </row>
    <row r="533" spans="1:18" ht="15" x14ac:dyDescent="0.25">
      <c r="A533" s="109"/>
      <c r="B533" s="78"/>
      <c r="C533" s="78"/>
      <c r="D533" s="78"/>
      <c r="E533" s="78"/>
      <c r="F533" s="110"/>
      <c r="G533" s="115"/>
      <c r="H533" s="78"/>
      <c r="I533" s="78"/>
      <c r="J533" s="78"/>
      <c r="K533" s="110"/>
      <c r="L533" s="78"/>
      <c r="M533" s="78"/>
      <c r="N533" s="78"/>
      <c r="O533" s="78"/>
      <c r="P533" s="78"/>
      <c r="Q533" s="110"/>
      <c r="R533" s="110"/>
    </row>
    <row r="534" spans="1:18" ht="15" x14ac:dyDescent="0.25">
      <c r="A534" s="109"/>
      <c r="B534" s="111"/>
      <c r="C534" s="111"/>
      <c r="D534" s="111"/>
      <c r="E534" s="111"/>
      <c r="F534" s="112"/>
      <c r="G534" s="114"/>
      <c r="H534" s="111"/>
      <c r="I534" s="111"/>
      <c r="J534" s="111"/>
      <c r="K534" s="112"/>
      <c r="L534" s="111"/>
      <c r="M534" s="111"/>
      <c r="N534" s="111"/>
      <c r="O534" s="111"/>
      <c r="P534" s="111"/>
      <c r="Q534" s="112"/>
      <c r="R534" s="112"/>
    </row>
    <row r="535" spans="1:18" ht="15" x14ac:dyDescent="0.25">
      <c r="A535" s="109"/>
      <c r="B535" s="78"/>
      <c r="C535" s="78"/>
      <c r="D535" s="78"/>
      <c r="E535" s="78"/>
      <c r="F535" s="110"/>
      <c r="G535" s="115"/>
      <c r="H535" s="78"/>
      <c r="I535" s="78"/>
      <c r="J535" s="78"/>
      <c r="K535" s="110"/>
      <c r="L535" s="78"/>
      <c r="M535" s="78"/>
      <c r="N535" s="78"/>
      <c r="O535" s="78"/>
      <c r="P535" s="78"/>
      <c r="Q535" s="110"/>
      <c r="R535" s="110"/>
    </row>
    <row r="536" spans="1:18" ht="15" x14ac:dyDescent="0.25">
      <c r="A536" s="109"/>
      <c r="B536" s="111"/>
      <c r="C536" s="111"/>
      <c r="D536" s="111"/>
      <c r="E536" s="111"/>
      <c r="F536" s="112"/>
      <c r="G536" s="114"/>
      <c r="H536" s="111"/>
      <c r="I536" s="111"/>
      <c r="J536" s="111"/>
      <c r="K536" s="112"/>
      <c r="L536" s="111"/>
      <c r="M536" s="111"/>
      <c r="N536" s="111"/>
      <c r="O536" s="111"/>
      <c r="P536" s="111"/>
      <c r="Q536" s="112"/>
      <c r="R536" s="112"/>
    </row>
    <row r="537" spans="1:18" ht="15" x14ac:dyDescent="0.25">
      <c r="A537" s="109"/>
      <c r="B537" s="78"/>
      <c r="C537" s="78"/>
      <c r="D537" s="78"/>
      <c r="E537" s="78"/>
      <c r="F537" s="110"/>
      <c r="G537" s="115"/>
      <c r="H537" s="78"/>
      <c r="I537" s="78"/>
      <c r="J537" s="78"/>
      <c r="K537" s="110"/>
      <c r="L537" s="78"/>
      <c r="M537" s="78"/>
      <c r="N537" s="78"/>
      <c r="O537" s="78"/>
      <c r="P537" s="78"/>
      <c r="Q537" s="110"/>
      <c r="R537" s="110"/>
    </row>
    <row r="538" spans="1:18" ht="15" x14ac:dyDescent="0.25">
      <c r="A538" s="109"/>
      <c r="B538" s="111"/>
      <c r="C538" s="111"/>
      <c r="D538" s="111"/>
      <c r="E538" s="111"/>
      <c r="F538" s="112"/>
      <c r="G538" s="114"/>
      <c r="H538" s="111"/>
      <c r="I538" s="111"/>
      <c r="J538" s="111"/>
      <c r="K538" s="112"/>
      <c r="L538" s="111"/>
      <c r="M538" s="111"/>
      <c r="N538" s="111"/>
      <c r="O538" s="111"/>
      <c r="P538" s="111"/>
      <c r="Q538" s="112"/>
      <c r="R538" s="112"/>
    </row>
    <row r="539" spans="1:18" ht="15" x14ac:dyDescent="0.25">
      <c r="A539" s="109"/>
      <c r="B539" s="78"/>
      <c r="C539" s="78"/>
      <c r="D539" s="78"/>
      <c r="E539" s="78"/>
      <c r="F539" s="110"/>
      <c r="G539" s="115"/>
      <c r="H539" s="78"/>
      <c r="I539" s="78"/>
      <c r="J539" s="78"/>
      <c r="K539" s="110"/>
      <c r="L539" s="78"/>
      <c r="M539" s="78"/>
      <c r="N539" s="78"/>
      <c r="O539" s="78"/>
      <c r="P539" s="78"/>
      <c r="Q539" s="110"/>
      <c r="R539" s="110"/>
    </row>
    <row r="540" spans="1:18" ht="15" x14ac:dyDescent="0.25">
      <c r="A540" s="109"/>
      <c r="B540" s="111"/>
      <c r="C540" s="111"/>
      <c r="D540" s="111"/>
      <c r="E540" s="111"/>
      <c r="F540" s="112"/>
      <c r="G540" s="114"/>
      <c r="H540" s="111"/>
      <c r="I540" s="111"/>
      <c r="J540" s="111"/>
      <c r="K540" s="112"/>
      <c r="L540" s="111"/>
      <c r="M540" s="111"/>
      <c r="N540" s="111"/>
      <c r="O540" s="111"/>
      <c r="P540" s="111"/>
      <c r="Q540" s="112"/>
      <c r="R540" s="112"/>
    </row>
    <row r="541" spans="1:18" ht="15" x14ac:dyDescent="0.25">
      <c r="A541" s="109"/>
      <c r="B541" s="78"/>
      <c r="C541" s="78"/>
      <c r="D541" s="78"/>
      <c r="E541" s="78"/>
      <c r="F541" s="110"/>
      <c r="G541" s="115"/>
      <c r="H541" s="78"/>
      <c r="I541" s="78"/>
      <c r="J541" s="78"/>
      <c r="K541" s="110"/>
      <c r="L541" s="78"/>
      <c r="M541" s="78"/>
      <c r="N541" s="78"/>
      <c r="O541" s="78"/>
      <c r="P541" s="78"/>
      <c r="Q541" s="110"/>
      <c r="R541" s="110"/>
    </row>
    <row r="542" spans="1:18" ht="15" x14ac:dyDescent="0.25">
      <c r="A542" s="109"/>
      <c r="B542" s="111"/>
      <c r="C542" s="111"/>
      <c r="D542" s="111"/>
      <c r="E542" s="111"/>
      <c r="F542" s="112"/>
      <c r="G542" s="114"/>
      <c r="H542" s="111"/>
      <c r="I542" s="111"/>
      <c r="J542" s="111"/>
      <c r="K542" s="112"/>
      <c r="L542" s="111"/>
      <c r="M542" s="111"/>
      <c r="N542" s="111"/>
      <c r="O542" s="111"/>
      <c r="P542" s="111"/>
      <c r="Q542" s="112"/>
      <c r="R542" s="112"/>
    </row>
    <row r="543" spans="1:18" ht="15" x14ac:dyDescent="0.25">
      <c r="A543" s="109"/>
      <c r="B543" s="78"/>
      <c r="C543" s="78"/>
      <c r="D543" s="78"/>
      <c r="E543" s="78"/>
      <c r="F543" s="110"/>
      <c r="G543" s="115"/>
      <c r="H543" s="78"/>
      <c r="I543" s="78"/>
      <c r="J543" s="78"/>
      <c r="K543" s="110"/>
      <c r="L543" s="78"/>
      <c r="M543" s="78"/>
      <c r="N543" s="78"/>
      <c r="O543" s="78"/>
      <c r="P543" s="78"/>
      <c r="Q543" s="110"/>
      <c r="R543" s="110"/>
    </row>
    <row r="544" spans="1:18" ht="15" x14ac:dyDescent="0.25">
      <c r="A544" s="109"/>
      <c r="B544" s="111"/>
      <c r="C544" s="111"/>
      <c r="D544" s="111"/>
      <c r="E544" s="111"/>
      <c r="F544" s="112"/>
      <c r="G544" s="114"/>
      <c r="H544" s="111"/>
      <c r="I544" s="111"/>
      <c r="J544" s="111"/>
      <c r="K544" s="112"/>
      <c r="L544" s="111"/>
      <c r="M544" s="111"/>
      <c r="N544" s="111"/>
      <c r="O544" s="111"/>
      <c r="P544" s="111"/>
      <c r="Q544" s="112"/>
      <c r="R544" s="112"/>
    </row>
    <row r="545" spans="1:18" ht="15" x14ac:dyDescent="0.25">
      <c r="A545" s="109"/>
      <c r="B545" s="78"/>
      <c r="C545" s="78"/>
      <c r="D545" s="78"/>
      <c r="E545" s="78"/>
      <c r="F545" s="110"/>
      <c r="G545" s="115"/>
      <c r="H545" s="78"/>
      <c r="I545" s="78"/>
      <c r="J545" s="78"/>
      <c r="K545" s="110"/>
      <c r="L545" s="78"/>
      <c r="M545" s="78"/>
      <c r="N545" s="78"/>
      <c r="O545" s="78"/>
      <c r="P545" s="78"/>
      <c r="Q545" s="110"/>
      <c r="R545" s="110"/>
    </row>
    <row r="546" spans="1:18" ht="15" x14ac:dyDescent="0.25">
      <c r="A546" s="109"/>
      <c r="B546" s="111"/>
      <c r="C546" s="111"/>
      <c r="D546" s="111"/>
      <c r="E546" s="111"/>
      <c r="F546" s="112"/>
      <c r="G546" s="114"/>
      <c r="H546" s="111"/>
      <c r="I546" s="111"/>
      <c r="J546" s="111"/>
      <c r="K546" s="112"/>
      <c r="L546" s="111"/>
      <c r="M546" s="111"/>
      <c r="N546" s="111"/>
      <c r="O546" s="111"/>
      <c r="P546" s="111"/>
      <c r="Q546" s="112"/>
      <c r="R546" s="112"/>
    </row>
    <row r="547" spans="1:18" ht="15" x14ac:dyDescent="0.25">
      <c r="A547" s="109"/>
      <c r="B547" s="78"/>
      <c r="C547" s="78"/>
      <c r="D547" s="78"/>
      <c r="E547" s="78"/>
      <c r="F547" s="110"/>
      <c r="G547" s="115"/>
      <c r="H547" s="78"/>
      <c r="I547" s="78"/>
      <c r="J547" s="78"/>
      <c r="K547" s="110"/>
      <c r="L547" s="78"/>
      <c r="M547" s="78"/>
      <c r="N547" s="78"/>
      <c r="O547" s="78"/>
      <c r="P547" s="78"/>
      <c r="Q547" s="110"/>
      <c r="R547" s="110"/>
    </row>
    <row r="548" spans="1:18" ht="15" x14ac:dyDescent="0.25">
      <c r="A548" s="109"/>
      <c r="B548" s="111"/>
      <c r="C548" s="111"/>
      <c r="D548" s="111"/>
      <c r="E548" s="111"/>
      <c r="F548" s="112"/>
      <c r="G548" s="114"/>
      <c r="H548" s="111"/>
      <c r="I548" s="111"/>
      <c r="J548" s="111"/>
      <c r="K548" s="112"/>
      <c r="L548" s="111"/>
      <c r="M548" s="111"/>
      <c r="N548" s="111"/>
      <c r="O548" s="111"/>
      <c r="P548" s="111"/>
      <c r="Q548" s="112"/>
      <c r="R548" s="112"/>
    </row>
    <row r="549" spans="1:18" ht="15" x14ac:dyDescent="0.25">
      <c r="A549" s="109"/>
      <c r="B549" s="78"/>
      <c r="C549" s="78"/>
      <c r="D549" s="78"/>
      <c r="E549" s="78"/>
      <c r="F549" s="110"/>
      <c r="G549" s="115"/>
      <c r="H549" s="78"/>
      <c r="I549" s="78"/>
      <c r="J549" s="78"/>
      <c r="K549" s="110"/>
      <c r="L549" s="78"/>
      <c r="M549" s="78"/>
      <c r="N549" s="78"/>
      <c r="O549" s="78"/>
      <c r="P549" s="78"/>
      <c r="Q549" s="110"/>
      <c r="R549" s="110"/>
    </row>
    <row r="550" spans="1:18" ht="15" x14ac:dyDescent="0.25">
      <c r="A550" s="109"/>
      <c r="B550" s="111"/>
      <c r="C550" s="111"/>
      <c r="D550" s="111"/>
      <c r="E550" s="111"/>
      <c r="F550" s="112"/>
      <c r="G550" s="114"/>
      <c r="H550" s="111"/>
      <c r="I550" s="111"/>
      <c r="J550" s="111"/>
      <c r="K550" s="112"/>
      <c r="L550" s="111"/>
      <c r="M550" s="111"/>
      <c r="N550" s="111"/>
      <c r="O550" s="111"/>
      <c r="P550" s="111"/>
      <c r="Q550" s="112"/>
      <c r="R550" s="112"/>
    </row>
    <row r="551" spans="1:18" ht="15" x14ac:dyDescent="0.25">
      <c r="A551" s="109"/>
      <c r="B551" s="78"/>
      <c r="C551" s="78"/>
      <c r="D551" s="78"/>
      <c r="E551" s="78"/>
      <c r="F551" s="110"/>
      <c r="G551" s="115"/>
      <c r="H551" s="78"/>
      <c r="I551" s="78"/>
      <c r="J551" s="78"/>
      <c r="K551" s="110"/>
      <c r="L551" s="78"/>
      <c r="M551" s="78"/>
      <c r="N551" s="78"/>
      <c r="O551" s="78"/>
      <c r="P551" s="78"/>
      <c r="Q551" s="110"/>
      <c r="R551" s="110"/>
    </row>
    <row r="552" spans="1:18" ht="15" x14ac:dyDescent="0.25">
      <c r="A552" s="109"/>
      <c r="B552" s="111"/>
      <c r="C552" s="111"/>
      <c r="D552" s="111"/>
      <c r="E552" s="111"/>
      <c r="F552" s="112"/>
      <c r="G552" s="114"/>
      <c r="H552" s="111"/>
      <c r="I552" s="111"/>
      <c r="J552" s="111"/>
      <c r="K552" s="112"/>
      <c r="L552" s="111"/>
      <c r="M552" s="111"/>
      <c r="N552" s="111"/>
      <c r="O552" s="111"/>
      <c r="P552" s="111"/>
      <c r="Q552" s="112"/>
      <c r="R552" s="112"/>
    </row>
    <row r="553" spans="1:18" ht="15" x14ac:dyDescent="0.25">
      <c r="A553" s="109"/>
      <c r="B553" s="78"/>
      <c r="C553" s="78"/>
      <c r="D553" s="78"/>
      <c r="E553" s="78"/>
      <c r="F553" s="110"/>
      <c r="G553" s="115"/>
      <c r="H553" s="78"/>
      <c r="I553" s="78"/>
      <c r="J553" s="78"/>
      <c r="K553" s="110"/>
      <c r="L553" s="78"/>
      <c r="M553" s="78"/>
      <c r="N553" s="78"/>
      <c r="O553" s="78"/>
      <c r="P553" s="78"/>
      <c r="Q553" s="110"/>
      <c r="R553" s="110"/>
    </row>
    <row r="554" spans="1:18" ht="15" x14ac:dyDescent="0.25">
      <c r="A554" s="109"/>
      <c r="B554" s="111"/>
      <c r="C554" s="111"/>
      <c r="D554" s="111"/>
      <c r="E554" s="111"/>
      <c r="F554" s="112"/>
      <c r="G554" s="114"/>
      <c r="H554" s="111"/>
      <c r="I554" s="111"/>
      <c r="J554" s="111"/>
      <c r="K554" s="112"/>
      <c r="L554" s="111"/>
      <c r="M554" s="111"/>
      <c r="N554" s="111"/>
      <c r="O554" s="111"/>
      <c r="P554" s="111"/>
      <c r="Q554" s="112"/>
      <c r="R554" s="112"/>
    </row>
    <row r="555" spans="1:18" ht="15" x14ac:dyDescent="0.25">
      <c r="A555" s="109"/>
      <c r="B555" s="78"/>
      <c r="C555" s="78"/>
      <c r="D555" s="78"/>
      <c r="E555" s="78"/>
      <c r="F555" s="110"/>
      <c r="G555" s="115"/>
      <c r="H555" s="78"/>
      <c r="I555" s="78"/>
      <c r="J555" s="78"/>
      <c r="K555" s="110"/>
      <c r="L555" s="78"/>
      <c r="M555" s="78"/>
      <c r="N555" s="78"/>
      <c r="O555" s="78"/>
      <c r="P555" s="78"/>
      <c r="Q555" s="110"/>
      <c r="R555" s="110"/>
    </row>
    <row r="556" spans="1:18" ht="15" x14ac:dyDescent="0.25">
      <c r="A556" s="109"/>
      <c r="B556" s="111"/>
      <c r="C556" s="111"/>
      <c r="D556" s="111"/>
      <c r="E556" s="111"/>
      <c r="F556" s="112"/>
      <c r="G556" s="114"/>
      <c r="H556" s="111"/>
      <c r="I556" s="111"/>
      <c r="J556" s="111"/>
      <c r="K556" s="112"/>
      <c r="L556" s="111"/>
      <c r="M556" s="111"/>
      <c r="N556" s="111"/>
      <c r="O556" s="111"/>
      <c r="P556" s="111"/>
      <c r="Q556" s="112"/>
      <c r="R556" s="112"/>
    </row>
    <row r="557" spans="1:18" ht="15" x14ac:dyDescent="0.25">
      <c r="A557" s="109"/>
      <c r="B557" s="78"/>
      <c r="C557" s="78"/>
      <c r="D557" s="78"/>
      <c r="E557" s="78"/>
      <c r="F557" s="110"/>
      <c r="G557" s="115"/>
      <c r="H557" s="78"/>
      <c r="I557" s="78"/>
      <c r="J557" s="78"/>
      <c r="K557" s="110"/>
      <c r="L557" s="78"/>
      <c r="M557" s="78"/>
      <c r="N557" s="78"/>
      <c r="O557" s="78"/>
      <c r="P557" s="78"/>
      <c r="Q557" s="110"/>
      <c r="R557" s="110"/>
    </row>
    <row r="558" spans="1:18" ht="15" x14ac:dyDescent="0.25">
      <c r="A558" s="109"/>
      <c r="B558" s="111"/>
      <c r="C558" s="111"/>
      <c r="D558" s="111"/>
      <c r="E558" s="111"/>
      <c r="F558" s="112"/>
      <c r="G558" s="114"/>
      <c r="H558" s="111"/>
      <c r="I558" s="111"/>
      <c r="J558" s="111"/>
      <c r="K558" s="112"/>
      <c r="L558" s="111"/>
      <c r="M558" s="111"/>
      <c r="N558" s="111"/>
      <c r="O558" s="111"/>
      <c r="P558" s="111"/>
      <c r="Q558" s="112"/>
      <c r="R558" s="112"/>
    </row>
    <row r="559" spans="1:18" ht="15" x14ac:dyDescent="0.25">
      <c r="A559" s="109"/>
      <c r="B559" s="78"/>
      <c r="C559" s="78"/>
      <c r="D559" s="78"/>
      <c r="E559" s="78"/>
      <c r="F559" s="110"/>
      <c r="G559" s="115"/>
      <c r="H559" s="78"/>
      <c r="I559" s="78"/>
      <c r="J559" s="78"/>
      <c r="K559" s="110"/>
      <c r="L559" s="78"/>
      <c r="M559" s="78"/>
      <c r="N559" s="78"/>
      <c r="O559" s="78"/>
      <c r="P559" s="78"/>
      <c r="Q559" s="110"/>
      <c r="R559" s="110"/>
    </row>
    <row r="560" spans="1:18" ht="15" x14ac:dyDescent="0.25">
      <c r="A560" s="109"/>
      <c r="B560" s="111"/>
      <c r="C560" s="111"/>
      <c r="D560" s="111"/>
      <c r="E560" s="111"/>
      <c r="F560" s="112"/>
      <c r="G560" s="114"/>
      <c r="H560" s="111"/>
      <c r="I560" s="111"/>
      <c r="J560" s="111"/>
      <c r="K560" s="112"/>
      <c r="L560" s="111"/>
      <c r="M560" s="111"/>
      <c r="N560" s="111"/>
      <c r="O560" s="111"/>
      <c r="P560" s="111"/>
      <c r="Q560" s="112"/>
      <c r="R560" s="112"/>
    </row>
    <row r="561" spans="1:18" ht="15" x14ac:dyDescent="0.25">
      <c r="A561" s="109"/>
      <c r="B561" s="78"/>
      <c r="C561" s="78"/>
      <c r="D561" s="78"/>
      <c r="E561" s="78"/>
      <c r="F561" s="110"/>
      <c r="G561" s="115"/>
      <c r="H561" s="78"/>
      <c r="I561" s="78"/>
      <c r="J561" s="78"/>
      <c r="K561" s="110"/>
      <c r="L561" s="78"/>
      <c r="M561" s="78"/>
      <c r="N561" s="78"/>
      <c r="O561" s="78"/>
      <c r="P561" s="78"/>
      <c r="Q561" s="110"/>
      <c r="R561" s="110"/>
    </row>
    <row r="562" spans="1:18" ht="15" x14ac:dyDescent="0.25">
      <c r="A562" s="109"/>
      <c r="B562" s="111"/>
      <c r="C562" s="111"/>
      <c r="D562" s="111"/>
      <c r="E562" s="111"/>
      <c r="F562" s="112"/>
      <c r="G562" s="114"/>
      <c r="H562" s="111"/>
      <c r="I562" s="111"/>
      <c r="J562" s="111"/>
      <c r="K562" s="112"/>
      <c r="L562" s="111"/>
      <c r="M562" s="111"/>
      <c r="N562" s="111"/>
      <c r="O562" s="111"/>
      <c r="P562" s="111"/>
      <c r="Q562" s="112"/>
      <c r="R562" s="112"/>
    </row>
    <row r="563" spans="1:18" ht="15" x14ac:dyDescent="0.25">
      <c r="A563" s="109"/>
      <c r="B563" s="78"/>
      <c r="C563" s="78"/>
      <c r="D563" s="78"/>
      <c r="E563" s="78"/>
      <c r="F563" s="110"/>
      <c r="G563" s="115"/>
      <c r="H563" s="78"/>
      <c r="I563" s="78"/>
      <c r="J563" s="78"/>
      <c r="K563" s="110"/>
      <c r="L563" s="78"/>
      <c r="M563" s="78"/>
      <c r="N563" s="78"/>
      <c r="O563" s="78"/>
      <c r="P563" s="78"/>
      <c r="Q563" s="110"/>
      <c r="R563" s="110"/>
    </row>
    <row r="564" spans="1:18" ht="15" x14ac:dyDescent="0.25">
      <c r="A564" s="109"/>
      <c r="B564" s="111"/>
      <c r="C564" s="111"/>
      <c r="D564" s="111"/>
      <c r="E564" s="111"/>
      <c r="F564" s="112"/>
      <c r="G564" s="114"/>
      <c r="H564" s="111"/>
      <c r="I564" s="111"/>
      <c r="J564" s="111"/>
      <c r="K564" s="112"/>
      <c r="L564" s="111"/>
      <c r="M564" s="111"/>
      <c r="N564" s="111"/>
      <c r="O564" s="111"/>
      <c r="P564" s="111"/>
      <c r="Q564" s="112"/>
      <c r="R564" s="112"/>
    </row>
    <row r="565" spans="1:18" ht="15" x14ac:dyDescent="0.25">
      <c r="A565" s="109"/>
      <c r="B565" s="78"/>
      <c r="C565" s="78"/>
      <c r="D565" s="78"/>
      <c r="E565" s="78"/>
      <c r="F565" s="110"/>
      <c r="G565" s="115"/>
      <c r="H565" s="78"/>
      <c r="I565" s="78"/>
      <c r="J565" s="78"/>
      <c r="K565" s="110"/>
      <c r="L565" s="78"/>
      <c r="M565" s="78"/>
      <c r="N565" s="78"/>
      <c r="O565" s="78"/>
      <c r="P565" s="78"/>
      <c r="Q565" s="110"/>
      <c r="R565" s="110"/>
    </row>
    <row r="566" spans="1:18" ht="15" x14ac:dyDescent="0.25">
      <c r="A566" s="109"/>
      <c r="B566" s="111"/>
      <c r="C566" s="111"/>
      <c r="D566" s="111"/>
      <c r="E566" s="111"/>
      <c r="F566" s="112"/>
      <c r="G566" s="114"/>
      <c r="H566" s="111"/>
      <c r="I566" s="111"/>
      <c r="J566" s="111"/>
      <c r="K566" s="112"/>
      <c r="L566" s="111"/>
      <c r="M566" s="111"/>
      <c r="N566" s="111"/>
      <c r="O566" s="111"/>
      <c r="P566" s="111"/>
      <c r="Q566" s="112"/>
      <c r="R566" s="112"/>
    </row>
    <row r="567" spans="1:18" ht="15" x14ac:dyDescent="0.25">
      <c r="A567" s="109"/>
      <c r="B567" s="78"/>
      <c r="C567" s="78"/>
      <c r="D567" s="78"/>
      <c r="E567" s="78"/>
      <c r="F567" s="110"/>
      <c r="G567" s="115"/>
      <c r="H567" s="78"/>
      <c r="I567" s="78"/>
      <c r="J567" s="78"/>
      <c r="K567" s="110"/>
      <c r="L567" s="78"/>
      <c r="M567" s="78"/>
      <c r="N567" s="78"/>
      <c r="O567" s="78"/>
      <c r="P567" s="78"/>
      <c r="Q567" s="110"/>
      <c r="R567" s="110"/>
    </row>
    <row r="568" spans="1:18" ht="15" x14ac:dyDescent="0.25">
      <c r="A568" s="109"/>
      <c r="B568" s="111"/>
      <c r="C568" s="111"/>
      <c r="D568" s="111"/>
      <c r="E568" s="111"/>
      <c r="F568" s="112"/>
      <c r="G568" s="114"/>
      <c r="H568" s="111"/>
      <c r="I568" s="111"/>
      <c r="J568" s="111"/>
      <c r="K568" s="112"/>
      <c r="L568" s="111"/>
      <c r="M568" s="111"/>
      <c r="N568" s="111"/>
      <c r="O568" s="111"/>
      <c r="P568" s="111"/>
      <c r="Q568" s="112"/>
      <c r="R568" s="112"/>
    </row>
    <row r="569" spans="1:18" ht="15" x14ac:dyDescent="0.25">
      <c r="A569" s="109"/>
      <c r="B569" s="78"/>
      <c r="C569" s="78"/>
      <c r="D569" s="78"/>
      <c r="E569" s="78"/>
      <c r="F569" s="110"/>
      <c r="G569" s="115"/>
      <c r="H569" s="78"/>
      <c r="I569" s="78"/>
      <c r="J569" s="78"/>
      <c r="K569" s="110"/>
      <c r="L569" s="78"/>
      <c r="M569" s="78"/>
      <c r="N569" s="78"/>
      <c r="O569" s="78"/>
      <c r="P569" s="78"/>
      <c r="Q569" s="110"/>
      <c r="R569" s="110"/>
    </row>
    <row r="570" spans="1:18" ht="15" x14ac:dyDescent="0.25">
      <c r="A570" s="109"/>
      <c r="B570" s="111"/>
      <c r="C570" s="111"/>
      <c r="D570" s="111"/>
      <c r="E570" s="111"/>
      <c r="F570" s="112"/>
      <c r="G570" s="114"/>
      <c r="H570" s="111"/>
      <c r="I570" s="111"/>
      <c r="J570" s="111"/>
      <c r="K570" s="112"/>
      <c r="L570" s="111"/>
      <c r="M570" s="111"/>
      <c r="N570" s="111"/>
      <c r="O570" s="111"/>
      <c r="P570" s="111"/>
      <c r="Q570" s="112"/>
      <c r="R570" s="112"/>
    </row>
    <row r="571" spans="1:18" ht="15" x14ac:dyDescent="0.25">
      <c r="A571" s="109"/>
      <c r="B571" s="78"/>
      <c r="C571" s="78"/>
      <c r="D571" s="78"/>
      <c r="E571" s="78"/>
      <c r="F571" s="110"/>
      <c r="G571" s="115"/>
      <c r="H571" s="78"/>
      <c r="I571" s="78"/>
      <c r="J571" s="78"/>
      <c r="K571" s="110"/>
      <c r="L571" s="78"/>
      <c r="M571" s="78"/>
      <c r="N571" s="78"/>
      <c r="O571" s="78"/>
      <c r="P571" s="78"/>
      <c r="Q571" s="110"/>
      <c r="R571" s="110"/>
    </row>
    <row r="572" spans="1:18" ht="15" x14ac:dyDescent="0.25">
      <c r="A572" s="109"/>
      <c r="B572" s="111"/>
      <c r="C572" s="111"/>
      <c r="D572" s="111"/>
      <c r="E572" s="111"/>
      <c r="F572" s="112"/>
      <c r="G572" s="114"/>
      <c r="H572" s="111"/>
      <c r="I572" s="111"/>
      <c r="J572" s="111"/>
      <c r="K572" s="112"/>
      <c r="L572" s="111"/>
      <c r="M572" s="111"/>
      <c r="N572" s="111"/>
      <c r="O572" s="111"/>
      <c r="P572" s="111"/>
      <c r="Q572" s="112"/>
      <c r="R572" s="112"/>
    </row>
    <row r="573" spans="1:18" ht="15" x14ac:dyDescent="0.25">
      <c r="A573" s="109"/>
      <c r="B573" s="78"/>
      <c r="C573" s="78"/>
      <c r="D573" s="78"/>
      <c r="E573" s="78"/>
      <c r="F573" s="110"/>
      <c r="G573" s="115"/>
      <c r="H573" s="78"/>
      <c r="I573" s="78"/>
      <c r="J573" s="78"/>
      <c r="K573" s="110"/>
      <c r="L573" s="78"/>
      <c r="M573" s="78"/>
      <c r="N573" s="78"/>
      <c r="O573" s="78"/>
      <c r="P573" s="78"/>
      <c r="Q573" s="110"/>
      <c r="R573" s="110"/>
    </row>
    <row r="574" spans="1:18" ht="15" x14ac:dyDescent="0.25">
      <c r="A574" s="109"/>
      <c r="B574" s="111"/>
      <c r="C574" s="111"/>
      <c r="D574" s="111"/>
      <c r="E574" s="111"/>
      <c r="F574" s="112"/>
      <c r="G574" s="114"/>
      <c r="H574" s="111"/>
      <c r="I574" s="111"/>
      <c r="J574" s="111"/>
      <c r="K574" s="112"/>
      <c r="L574" s="111"/>
      <c r="M574" s="111"/>
      <c r="N574" s="111"/>
      <c r="O574" s="111"/>
      <c r="P574" s="111"/>
      <c r="Q574" s="112"/>
      <c r="R574" s="112"/>
    </row>
    <row r="575" spans="1:18" ht="15" x14ac:dyDescent="0.25">
      <c r="A575" s="109"/>
      <c r="B575" s="78"/>
      <c r="C575" s="78"/>
      <c r="D575" s="78"/>
      <c r="E575" s="78"/>
      <c r="F575" s="110"/>
      <c r="G575" s="115"/>
      <c r="H575" s="78"/>
      <c r="I575" s="78"/>
      <c r="J575" s="78"/>
      <c r="K575" s="110"/>
      <c r="L575" s="78"/>
      <c r="M575" s="78"/>
      <c r="N575" s="78"/>
      <c r="O575" s="78"/>
      <c r="P575" s="78"/>
      <c r="Q575" s="110"/>
      <c r="R575" s="110"/>
    </row>
    <row r="576" spans="1:18" ht="15" x14ac:dyDescent="0.25">
      <c r="A576" s="109"/>
      <c r="B576" s="111"/>
      <c r="C576" s="111"/>
      <c r="D576" s="111"/>
      <c r="E576" s="111"/>
      <c r="F576" s="112"/>
      <c r="G576" s="114"/>
      <c r="H576" s="111"/>
      <c r="I576" s="111"/>
      <c r="J576" s="111"/>
      <c r="K576" s="112"/>
      <c r="L576" s="111"/>
      <c r="M576" s="111"/>
      <c r="N576" s="111"/>
      <c r="O576" s="111"/>
      <c r="P576" s="111"/>
      <c r="Q576" s="112"/>
      <c r="R576" s="112"/>
    </row>
    <row r="577" spans="1:18" ht="15" x14ac:dyDescent="0.25">
      <c r="A577" s="109"/>
      <c r="B577" s="78"/>
      <c r="C577" s="78"/>
      <c r="D577" s="78"/>
      <c r="E577" s="78"/>
      <c r="F577" s="110"/>
      <c r="G577" s="115"/>
      <c r="H577" s="78"/>
      <c r="I577" s="78"/>
      <c r="J577" s="78"/>
      <c r="K577" s="110"/>
      <c r="L577" s="78"/>
      <c r="M577" s="78"/>
      <c r="N577" s="78"/>
      <c r="O577" s="78"/>
      <c r="P577" s="78"/>
      <c r="Q577" s="110"/>
      <c r="R577" s="110"/>
    </row>
    <row r="578" spans="1:18" ht="15" x14ac:dyDescent="0.25">
      <c r="A578" s="109"/>
      <c r="B578" s="111"/>
      <c r="C578" s="111"/>
      <c r="D578" s="111"/>
      <c r="E578" s="111"/>
      <c r="F578" s="112"/>
      <c r="G578" s="114"/>
      <c r="H578" s="111"/>
      <c r="I578" s="111"/>
      <c r="J578" s="111"/>
      <c r="K578" s="112"/>
      <c r="L578" s="111"/>
      <c r="M578" s="111"/>
      <c r="N578" s="111"/>
      <c r="O578" s="111"/>
      <c r="P578" s="111"/>
      <c r="Q578" s="112"/>
      <c r="R578" s="112"/>
    </row>
    <row r="579" spans="1:18" ht="15" x14ac:dyDescent="0.25">
      <c r="A579" s="109"/>
      <c r="B579" s="78"/>
      <c r="C579" s="78"/>
      <c r="D579" s="78"/>
      <c r="E579" s="78"/>
      <c r="F579" s="110"/>
      <c r="G579" s="115"/>
      <c r="H579" s="78"/>
      <c r="I579" s="78"/>
      <c r="J579" s="78"/>
      <c r="K579" s="110"/>
      <c r="L579" s="78"/>
      <c r="M579" s="78"/>
      <c r="N579" s="78"/>
      <c r="O579" s="78"/>
      <c r="P579" s="78"/>
      <c r="Q579" s="110"/>
      <c r="R579" s="110"/>
    </row>
    <row r="580" spans="1:18" ht="15" x14ac:dyDescent="0.25">
      <c r="A580" s="109"/>
      <c r="B580" s="111"/>
      <c r="C580" s="111"/>
      <c r="D580" s="111"/>
      <c r="E580" s="111"/>
      <c r="F580" s="112"/>
      <c r="G580" s="114"/>
      <c r="H580" s="111"/>
      <c r="I580" s="111"/>
      <c r="J580" s="111"/>
      <c r="K580" s="112"/>
      <c r="L580" s="111"/>
      <c r="M580" s="111"/>
      <c r="N580" s="111"/>
      <c r="O580" s="111"/>
      <c r="P580" s="111"/>
      <c r="Q580" s="112"/>
      <c r="R580" s="112"/>
    </row>
    <row r="581" spans="1:18" ht="15" x14ac:dyDescent="0.25">
      <c r="A581" s="109"/>
      <c r="B581" s="78"/>
      <c r="C581" s="78"/>
      <c r="D581" s="78"/>
      <c r="E581" s="78"/>
      <c r="F581" s="110"/>
      <c r="G581" s="115"/>
      <c r="H581" s="78"/>
      <c r="I581" s="78"/>
      <c r="J581" s="78"/>
      <c r="K581" s="110"/>
      <c r="L581" s="78"/>
      <c r="M581" s="78"/>
      <c r="N581" s="78"/>
      <c r="O581" s="78"/>
      <c r="P581" s="78"/>
      <c r="Q581" s="110"/>
      <c r="R581" s="110"/>
    </row>
    <row r="582" spans="1:18" ht="15" x14ac:dyDescent="0.25">
      <c r="A582" s="109"/>
      <c r="B582" s="111"/>
      <c r="C582" s="111"/>
      <c r="D582" s="111"/>
      <c r="E582" s="111"/>
      <c r="F582" s="112"/>
      <c r="G582" s="114"/>
      <c r="H582" s="111"/>
      <c r="I582" s="111"/>
      <c r="J582" s="111"/>
      <c r="K582" s="112"/>
      <c r="L582" s="111"/>
      <c r="M582" s="111"/>
      <c r="N582" s="111"/>
      <c r="O582" s="111"/>
      <c r="P582" s="111"/>
      <c r="Q582" s="112"/>
      <c r="R582" s="112"/>
    </row>
    <row r="583" spans="1:18" ht="15" x14ac:dyDescent="0.25">
      <c r="A583" s="109"/>
      <c r="B583" s="78"/>
      <c r="C583" s="78"/>
      <c r="D583" s="78"/>
      <c r="E583" s="78"/>
      <c r="F583" s="110"/>
      <c r="G583" s="115"/>
      <c r="H583" s="78"/>
      <c r="I583" s="78"/>
      <c r="J583" s="78"/>
      <c r="K583" s="110"/>
      <c r="L583" s="78"/>
      <c r="M583" s="78"/>
      <c r="N583" s="78"/>
      <c r="O583" s="78"/>
      <c r="P583" s="78"/>
      <c r="Q583" s="110"/>
      <c r="R583" s="110"/>
    </row>
    <row r="584" spans="1:18" ht="15" x14ac:dyDescent="0.25">
      <c r="A584" s="109"/>
      <c r="B584" s="111"/>
      <c r="C584" s="111"/>
      <c r="D584" s="111"/>
      <c r="E584" s="111"/>
      <c r="F584" s="112"/>
      <c r="G584" s="114"/>
      <c r="H584" s="111"/>
      <c r="I584" s="111"/>
      <c r="J584" s="111"/>
      <c r="K584" s="112"/>
      <c r="L584" s="111"/>
      <c r="M584" s="111"/>
      <c r="N584" s="111"/>
      <c r="O584" s="111"/>
      <c r="P584" s="111"/>
      <c r="Q584" s="112"/>
      <c r="R584" s="112"/>
    </row>
    <row r="585" spans="1:18" ht="15" x14ac:dyDescent="0.25">
      <c r="A585" s="109"/>
      <c r="B585" s="78"/>
      <c r="C585" s="78"/>
      <c r="D585" s="78"/>
      <c r="E585" s="78"/>
      <c r="F585" s="110"/>
      <c r="G585" s="115"/>
      <c r="H585" s="78"/>
      <c r="I585" s="78"/>
      <c r="J585" s="78"/>
      <c r="K585" s="110"/>
      <c r="L585" s="78"/>
      <c r="M585" s="78"/>
      <c r="N585" s="78"/>
      <c r="O585" s="78"/>
      <c r="P585" s="78"/>
      <c r="Q585" s="110"/>
      <c r="R585" s="110"/>
    </row>
    <row r="586" spans="1:18" ht="15" x14ac:dyDescent="0.25">
      <c r="A586" s="109"/>
      <c r="B586" s="111"/>
      <c r="C586" s="111"/>
      <c r="D586" s="111"/>
      <c r="E586" s="111"/>
      <c r="F586" s="112"/>
      <c r="G586" s="114"/>
      <c r="H586" s="111"/>
      <c r="I586" s="111"/>
      <c r="J586" s="111"/>
      <c r="K586" s="112"/>
      <c r="L586" s="111"/>
      <c r="M586" s="111"/>
      <c r="N586" s="111"/>
      <c r="O586" s="111"/>
      <c r="P586" s="111"/>
      <c r="Q586" s="112"/>
      <c r="R586" s="112"/>
    </row>
    <row r="587" spans="1:18" ht="15" x14ac:dyDescent="0.25">
      <c r="A587" s="109"/>
      <c r="B587" s="78"/>
      <c r="C587" s="78"/>
      <c r="D587" s="78"/>
      <c r="E587" s="78"/>
      <c r="F587" s="110"/>
      <c r="G587" s="115"/>
      <c r="H587" s="78"/>
      <c r="I587" s="78"/>
      <c r="J587" s="78"/>
      <c r="K587" s="110"/>
      <c r="L587" s="78"/>
      <c r="M587" s="78"/>
      <c r="N587" s="78"/>
      <c r="O587" s="78"/>
      <c r="P587" s="78"/>
      <c r="Q587" s="110"/>
      <c r="R587" s="110"/>
    </row>
    <row r="588" spans="1:18" ht="15" x14ac:dyDescent="0.25">
      <c r="A588" s="109"/>
      <c r="B588" s="111"/>
      <c r="C588" s="111"/>
      <c r="D588" s="111"/>
      <c r="E588" s="111"/>
      <c r="F588" s="112"/>
      <c r="G588" s="114"/>
      <c r="H588" s="111"/>
      <c r="I588" s="111"/>
      <c r="J588" s="111"/>
      <c r="K588" s="112"/>
      <c r="L588" s="111"/>
      <c r="M588" s="111"/>
      <c r="N588" s="111"/>
      <c r="O588" s="111"/>
      <c r="P588" s="111"/>
      <c r="Q588" s="112"/>
      <c r="R588" s="112"/>
    </row>
    <row r="589" spans="1:18" ht="15" x14ac:dyDescent="0.25">
      <c r="A589" s="109"/>
      <c r="B589" s="78"/>
      <c r="C589" s="78"/>
      <c r="D589" s="78"/>
      <c r="E589" s="78"/>
      <c r="F589" s="110"/>
      <c r="G589" s="115"/>
      <c r="H589" s="78"/>
      <c r="I589" s="78"/>
      <c r="J589" s="78"/>
      <c r="K589" s="110"/>
      <c r="L589" s="78"/>
      <c r="M589" s="78"/>
      <c r="N589" s="78"/>
      <c r="O589" s="78"/>
      <c r="P589" s="78"/>
      <c r="Q589" s="110"/>
      <c r="R589" s="110"/>
    </row>
    <row r="590" spans="1:18" ht="15" x14ac:dyDescent="0.25">
      <c r="A590" s="109"/>
      <c r="B590" s="111"/>
      <c r="C590" s="111"/>
      <c r="D590" s="111"/>
      <c r="E590" s="111"/>
      <c r="F590" s="112"/>
      <c r="G590" s="114"/>
      <c r="H590" s="111"/>
      <c r="I590" s="111"/>
      <c r="J590" s="111"/>
      <c r="K590" s="112"/>
      <c r="L590" s="111"/>
      <c r="M590" s="111"/>
      <c r="N590" s="111"/>
      <c r="O590" s="111"/>
      <c r="P590" s="111"/>
      <c r="Q590" s="112"/>
      <c r="R590" s="112"/>
    </row>
    <row r="591" spans="1:18" ht="15" x14ac:dyDescent="0.25">
      <c r="A591" s="109"/>
      <c r="B591" s="78"/>
      <c r="C591" s="78"/>
      <c r="D591" s="78"/>
      <c r="E591" s="78"/>
      <c r="F591" s="110"/>
      <c r="G591" s="115"/>
      <c r="H591" s="78"/>
      <c r="I591" s="78"/>
      <c r="J591" s="78"/>
      <c r="K591" s="110"/>
      <c r="L591" s="78"/>
      <c r="M591" s="78"/>
      <c r="N591" s="78"/>
      <c r="O591" s="78"/>
      <c r="P591" s="78"/>
      <c r="Q591" s="110"/>
      <c r="R591" s="110"/>
    </row>
    <row r="592" spans="1:18" ht="15" x14ac:dyDescent="0.25">
      <c r="A592" s="109"/>
      <c r="B592" s="111"/>
      <c r="C592" s="111"/>
      <c r="D592" s="111"/>
      <c r="E592" s="111"/>
      <c r="F592" s="112"/>
      <c r="G592" s="114"/>
      <c r="H592" s="111"/>
      <c r="I592" s="111"/>
      <c r="J592" s="111"/>
      <c r="K592" s="112"/>
      <c r="L592" s="111"/>
      <c r="M592" s="111"/>
      <c r="N592" s="111"/>
      <c r="O592" s="111"/>
      <c r="P592" s="111"/>
      <c r="Q592" s="112"/>
      <c r="R592" s="112"/>
    </row>
    <row r="593" spans="1:18" ht="15" x14ac:dyDescent="0.25">
      <c r="A593" s="109"/>
      <c r="B593" s="78"/>
      <c r="C593" s="78"/>
      <c r="D593" s="78"/>
      <c r="E593" s="78"/>
      <c r="F593" s="110"/>
      <c r="G593" s="115"/>
      <c r="H593" s="78"/>
      <c r="I593" s="78"/>
      <c r="J593" s="78"/>
      <c r="K593" s="110"/>
      <c r="L593" s="78"/>
      <c r="M593" s="78"/>
      <c r="N593" s="78"/>
      <c r="O593" s="78"/>
      <c r="P593" s="78"/>
      <c r="Q593" s="110"/>
      <c r="R593" s="110"/>
    </row>
    <row r="594" spans="1:18" ht="15" x14ac:dyDescent="0.25">
      <c r="A594" s="109"/>
      <c r="B594" s="111"/>
      <c r="C594" s="111"/>
      <c r="D594" s="111"/>
      <c r="E594" s="111"/>
      <c r="F594" s="112"/>
      <c r="G594" s="114"/>
      <c r="H594" s="111"/>
      <c r="I594" s="111"/>
      <c r="J594" s="111"/>
      <c r="K594" s="112"/>
      <c r="L594" s="111"/>
      <c r="M594" s="111"/>
      <c r="N594" s="111"/>
      <c r="O594" s="111"/>
      <c r="P594" s="111"/>
      <c r="Q594" s="112"/>
      <c r="R594" s="112"/>
    </row>
    <row r="595" spans="1:18" ht="15" x14ac:dyDescent="0.25">
      <c r="A595" s="109"/>
      <c r="B595" s="78"/>
      <c r="C595" s="78"/>
      <c r="D595" s="78"/>
      <c r="E595" s="78"/>
      <c r="F595" s="110"/>
      <c r="G595" s="115"/>
      <c r="H595" s="78"/>
      <c r="I595" s="78"/>
      <c r="J595" s="78"/>
      <c r="K595" s="110"/>
      <c r="L595" s="78"/>
      <c r="M595" s="78"/>
      <c r="N595" s="78"/>
      <c r="O595" s="78"/>
      <c r="P595" s="78"/>
      <c r="Q595" s="110"/>
      <c r="R595" s="110"/>
    </row>
    <row r="596" spans="1:18" ht="15" x14ac:dyDescent="0.25">
      <c r="A596" s="109"/>
      <c r="B596" s="111"/>
      <c r="C596" s="111"/>
      <c r="D596" s="111"/>
      <c r="E596" s="111"/>
      <c r="F596" s="112"/>
      <c r="G596" s="114"/>
      <c r="H596" s="111"/>
      <c r="I596" s="111"/>
      <c r="J596" s="111"/>
      <c r="K596" s="112"/>
      <c r="L596" s="111"/>
      <c r="M596" s="111"/>
      <c r="N596" s="111"/>
      <c r="O596" s="111"/>
      <c r="P596" s="111"/>
      <c r="Q596" s="112"/>
      <c r="R596" s="112"/>
    </row>
    <row r="597" spans="1:18" ht="15" x14ac:dyDescent="0.25">
      <c r="A597" s="109"/>
      <c r="B597" s="78"/>
      <c r="C597" s="78"/>
      <c r="D597" s="78"/>
      <c r="E597" s="78"/>
      <c r="F597" s="110"/>
      <c r="G597" s="115"/>
      <c r="H597" s="78"/>
      <c r="I597" s="78"/>
      <c r="J597" s="78"/>
      <c r="K597" s="110"/>
      <c r="L597" s="78"/>
      <c r="M597" s="78"/>
      <c r="N597" s="78"/>
      <c r="O597" s="78"/>
      <c r="P597" s="78"/>
      <c r="Q597" s="110"/>
      <c r="R597" s="110"/>
    </row>
    <row r="598" spans="1:18" ht="15" x14ac:dyDescent="0.25">
      <c r="A598" s="109"/>
      <c r="B598" s="111"/>
      <c r="C598" s="111"/>
      <c r="D598" s="111"/>
      <c r="E598" s="111"/>
      <c r="F598" s="112"/>
      <c r="G598" s="114"/>
      <c r="H598" s="111"/>
      <c r="I598" s="111"/>
      <c r="J598" s="111"/>
      <c r="K598" s="112"/>
      <c r="L598" s="111"/>
      <c r="M598" s="111"/>
      <c r="N598" s="111"/>
      <c r="O598" s="111"/>
      <c r="P598" s="111"/>
      <c r="Q598" s="112"/>
      <c r="R598" s="112"/>
    </row>
    <row r="599" spans="1:18" ht="15" x14ac:dyDescent="0.25">
      <c r="A599" s="109"/>
      <c r="B599" s="78"/>
      <c r="C599" s="78"/>
      <c r="D599" s="78"/>
      <c r="E599" s="78"/>
      <c r="F599" s="110"/>
      <c r="G599" s="115"/>
      <c r="H599" s="78"/>
      <c r="I599" s="78"/>
      <c r="J599" s="78"/>
      <c r="K599" s="110"/>
      <c r="L599" s="78"/>
      <c r="M599" s="78"/>
      <c r="N599" s="78"/>
      <c r="O599" s="78"/>
      <c r="P599" s="78"/>
      <c r="Q599" s="110"/>
      <c r="R599" s="110"/>
    </row>
    <row r="600" spans="1:18" ht="15" x14ac:dyDescent="0.25">
      <c r="A600" s="109"/>
      <c r="B600" s="111"/>
      <c r="C600" s="111"/>
      <c r="D600" s="111"/>
      <c r="E600" s="111"/>
      <c r="F600" s="112"/>
      <c r="G600" s="114"/>
      <c r="H600" s="111"/>
      <c r="I600" s="111"/>
      <c r="J600" s="111"/>
      <c r="K600" s="112"/>
      <c r="L600" s="111"/>
      <c r="M600" s="111"/>
      <c r="N600" s="111"/>
      <c r="O600" s="111"/>
      <c r="P600" s="111"/>
      <c r="Q600" s="112"/>
      <c r="R600" s="112"/>
    </row>
    <row r="601" spans="1:18" ht="15" x14ac:dyDescent="0.25">
      <c r="A601" s="109"/>
      <c r="B601" s="78"/>
      <c r="C601" s="78"/>
      <c r="D601" s="78"/>
      <c r="E601" s="78"/>
      <c r="F601" s="110"/>
      <c r="G601" s="115"/>
      <c r="H601" s="78"/>
      <c r="I601" s="78"/>
      <c r="J601" s="78"/>
      <c r="K601" s="110"/>
      <c r="L601" s="78"/>
      <c r="M601" s="78"/>
      <c r="N601" s="78"/>
      <c r="O601" s="78"/>
      <c r="P601" s="78"/>
      <c r="Q601" s="110"/>
      <c r="R601" s="110"/>
    </row>
    <row r="602" spans="1:18" ht="15" x14ac:dyDescent="0.25">
      <c r="A602" s="109"/>
      <c r="B602" s="111"/>
      <c r="C602" s="111"/>
      <c r="D602" s="111"/>
      <c r="E602" s="111"/>
      <c r="F602" s="112"/>
      <c r="G602" s="114"/>
      <c r="H602" s="111"/>
      <c r="I602" s="111"/>
      <c r="J602" s="111"/>
      <c r="K602" s="112"/>
      <c r="L602" s="111"/>
      <c r="M602" s="111"/>
      <c r="N602" s="111"/>
      <c r="O602" s="111"/>
      <c r="P602" s="111"/>
      <c r="Q602" s="112"/>
      <c r="R602" s="112"/>
    </row>
    <row r="603" spans="1:18" ht="15" x14ac:dyDescent="0.25">
      <c r="A603" s="109"/>
      <c r="B603" s="78"/>
      <c r="C603" s="78"/>
      <c r="D603" s="78"/>
      <c r="E603" s="78"/>
      <c r="F603" s="110"/>
      <c r="G603" s="115"/>
      <c r="H603" s="78"/>
      <c r="I603" s="78"/>
      <c r="J603" s="78"/>
      <c r="K603" s="110"/>
      <c r="L603" s="78"/>
      <c r="M603" s="78"/>
      <c r="N603" s="78"/>
      <c r="O603" s="78"/>
      <c r="P603" s="78"/>
      <c r="Q603" s="110"/>
      <c r="R603" s="110"/>
    </row>
    <row r="604" spans="1:18" ht="15" x14ac:dyDescent="0.25">
      <c r="A604" s="109"/>
      <c r="B604" s="111"/>
      <c r="C604" s="111"/>
      <c r="D604" s="111"/>
      <c r="E604" s="111"/>
      <c r="F604" s="112"/>
      <c r="G604" s="114"/>
      <c r="H604" s="111"/>
      <c r="I604" s="111"/>
      <c r="J604" s="111"/>
      <c r="K604" s="112"/>
      <c r="L604" s="111"/>
      <c r="M604" s="111"/>
      <c r="N604" s="111"/>
      <c r="O604" s="111"/>
      <c r="P604" s="111"/>
      <c r="Q604" s="112"/>
      <c r="R604" s="112"/>
    </row>
    <row r="605" spans="1:18" ht="15" x14ac:dyDescent="0.25">
      <c r="A605" s="109"/>
      <c r="B605" s="78"/>
      <c r="C605" s="78"/>
      <c r="D605" s="78"/>
      <c r="E605" s="78"/>
      <c r="F605" s="110"/>
      <c r="G605" s="115"/>
      <c r="H605" s="78"/>
      <c r="I605" s="78"/>
      <c r="J605" s="78"/>
      <c r="K605" s="110"/>
      <c r="L605" s="78"/>
      <c r="M605" s="78"/>
      <c r="N605" s="78"/>
      <c r="O605" s="78"/>
      <c r="P605" s="78"/>
      <c r="Q605" s="110"/>
      <c r="R605" s="110"/>
    </row>
    <row r="606" spans="1:18" ht="15" x14ac:dyDescent="0.25">
      <c r="A606" s="109"/>
      <c r="B606" s="111"/>
      <c r="C606" s="111"/>
      <c r="D606" s="111"/>
      <c r="E606" s="111"/>
      <c r="F606" s="112"/>
      <c r="G606" s="114"/>
      <c r="H606" s="111"/>
      <c r="I606" s="111"/>
      <c r="J606" s="111"/>
      <c r="K606" s="112"/>
      <c r="L606" s="111"/>
      <c r="M606" s="111"/>
      <c r="N606" s="111"/>
      <c r="O606" s="111"/>
      <c r="P606" s="111"/>
      <c r="Q606" s="112"/>
      <c r="R606" s="112"/>
    </row>
    <row r="607" spans="1:18" ht="15" x14ac:dyDescent="0.25">
      <c r="A607" s="109"/>
      <c r="B607" s="78"/>
      <c r="C607" s="78"/>
      <c r="D607" s="78"/>
      <c r="E607" s="78"/>
      <c r="F607" s="110"/>
      <c r="G607" s="115"/>
      <c r="H607" s="78"/>
      <c r="I607" s="78"/>
      <c r="J607" s="78"/>
      <c r="K607" s="110"/>
      <c r="L607" s="78"/>
      <c r="M607" s="78"/>
      <c r="N607" s="78"/>
      <c r="O607" s="78"/>
      <c r="P607" s="78"/>
      <c r="Q607" s="110"/>
      <c r="R607" s="110"/>
    </row>
    <row r="608" spans="1:18" ht="15" x14ac:dyDescent="0.25">
      <c r="A608" s="109"/>
      <c r="B608" s="111"/>
      <c r="C608" s="111"/>
      <c r="D608" s="111"/>
      <c r="E608" s="111"/>
      <c r="F608" s="112"/>
      <c r="G608" s="114"/>
      <c r="H608" s="111"/>
      <c r="I608" s="111"/>
      <c r="J608" s="111"/>
      <c r="K608" s="112"/>
      <c r="L608" s="111"/>
      <c r="M608" s="111"/>
      <c r="N608" s="111"/>
      <c r="O608" s="111"/>
      <c r="P608" s="111"/>
      <c r="Q608" s="112"/>
      <c r="R608" s="112"/>
    </row>
    <row r="609" spans="1:18" ht="15" x14ac:dyDescent="0.25">
      <c r="A609" s="109"/>
      <c r="B609" s="78"/>
      <c r="C609" s="78"/>
      <c r="D609" s="78"/>
      <c r="E609" s="78"/>
      <c r="F609" s="110"/>
      <c r="G609" s="115"/>
      <c r="H609" s="78"/>
      <c r="I609" s="78"/>
      <c r="J609" s="78"/>
      <c r="K609" s="110"/>
      <c r="L609" s="78"/>
      <c r="M609" s="78"/>
      <c r="N609" s="78"/>
      <c r="O609" s="78"/>
      <c r="P609" s="78"/>
      <c r="Q609" s="110"/>
      <c r="R609" s="110"/>
    </row>
    <row r="610" spans="1:18" ht="15" x14ac:dyDescent="0.25">
      <c r="A610" s="109"/>
      <c r="B610" s="111"/>
      <c r="C610" s="111"/>
      <c r="D610" s="111"/>
      <c r="E610" s="111"/>
      <c r="F610" s="112"/>
      <c r="G610" s="114"/>
      <c r="H610" s="111"/>
      <c r="I610" s="111"/>
      <c r="J610" s="111"/>
      <c r="K610" s="112"/>
      <c r="L610" s="111"/>
      <c r="M610" s="111"/>
      <c r="N610" s="111"/>
      <c r="O610" s="111"/>
      <c r="P610" s="111"/>
      <c r="Q610" s="112"/>
      <c r="R610" s="112"/>
    </row>
    <row r="611" spans="1:18" ht="15" x14ac:dyDescent="0.25">
      <c r="A611" s="109"/>
      <c r="B611" s="78"/>
      <c r="C611" s="78"/>
      <c r="D611" s="78"/>
      <c r="E611" s="78"/>
      <c r="F611" s="110"/>
      <c r="G611" s="115"/>
      <c r="H611" s="78"/>
      <c r="I611" s="78"/>
      <c r="J611" s="78"/>
      <c r="K611" s="110"/>
      <c r="L611" s="78"/>
      <c r="M611" s="78"/>
      <c r="N611" s="78"/>
      <c r="O611" s="78"/>
      <c r="P611" s="78"/>
      <c r="Q611" s="110"/>
      <c r="R611" s="110"/>
    </row>
    <row r="612" spans="1:18" ht="15" x14ac:dyDescent="0.25">
      <c r="A612" s="109"/>
      <c r="B612" s="111"/>
      <c r="C612" s="111"/>
      <c r="D612" s="111"/>
      <c r="E612" s="111"/>
      <c r="F612" s="112"/>
      <c r="G612" s="114"/>
      <c r="H612" s="111"/>
      <c r="I612" s="111"/>
      <c r="J612" s="111"/>
      <c r="K612" s="112"/>
      <c r="L612" s="111"/>
      <c r="M612" s="111"/>
      <c r="N612" s="111"/>
      <c r="O612" s="111"/>
      <c r="P612" s="111"/>
      <c r="Q612" s="112"/>
      <c r="R612" s="112"/>
    </row>
    <row r="613" spans="1:18" ht="15" x14ac:dyDescent="0.25">
      <c r="A613" s="109"/>
      <c r="B613" s="78"/>
      <c r="C613" s="78"/>
      <c r="D613" s="78"/>
      <c r="E613" s="78"/>
      <c r="F613" s="110"/>
      <c r="G613" s="115"/>
      <c r="H613" s="78"/>
      <c r="I613" s="78"/>
      <c r="J613" s="78"/>
      <c r="K613" s="110"/>
      <c r="L613" s="78"/>
      <c r="M613" s="78"/>
      <c r="N613" s="78"/>
      <c r="O613" s="78"/>
      <c r="P613" s="78"/>
      <c r="Q613" s="110"/>
      <c r="R613" s="110"/>
    </row>
    <row r="614" spans="1:18" ht="15" x14ac:dyDescent="0.25">
      <c r="A614" s="109"/>
      <c r="B614" s="111"/>
      <c r="C614" s="111"/>
      <c r="D614" s="111"/>
      <c r="E614" s="111"/>
      <c r="F614" s="112"/>
      <c r="G614" s="114"/>
      <c r="H614" s="111"/>
      <c r="I614" s="111"/>
      <c r="J614" s="111"/>
      <c r="K614" s="112"/>
      <c r="L614" s="111"/>
      <c r="M614" s="111"/>
      <c r="N614" s="111"/>
      <c r="O614" s="111"/>
      <c r="P614" s="111"/>
      <c r="Q614" s="112"/>
      <c r="R614" s="112"/>
    </row>
    <row r="615" spans="1:18" ht="15" x14ac:dyDescent="0.25">
      <c r="A615" s="109"/>
      <c r="B615" s="78"/>
      <c r="C615" s="78"/>
      <c r="D615" s="78"/>
      <c r="E615" s="78"/>
      <c r="F615" s="110"/>
      <c r="G615" s="115"/>
      <c r="H615" s="78"/>
      <c r="I615" s="78"/>
      <c r="J615" s="78"/>
      <c r="K615" s="110"/>
      <c r="L615" s="78"/>
      <c r="M615" s="78"/>
      <c r="N615" s="78"/>
      <c r="O615" s="78"/>
      <c r="P615" s="78"/>
      <c r="Q615" s="110"/>
      <c r="R615" s="110"/>
    </row>
    <row r="616" spans="1:18" ht="15" x14ac:dyDescent="0.25">
      <c r="A616" s="109"/>
      <c r="B616" s="111"/>
      <c r="C616" s="111"/>
      <c r="D616" s="111"/>
      <c r="E616" s="111"/>
      <c r="F616" s="112"/>
      <c r="G616" s="114"/>
      <c r="H616" s="111"/>
      <c r="I616" s="111"/>
      <c r="J616" s="111"/>
      <c r="K616" s="112"/>
      <c r="L616" s="111"/>
      <c r="M616" s="111"/>
      <c r="N616" s="111"/>
      <c r="O616" s="111"/>
      <c r="P616" s="111"/>
      <c r="Q616" s="112"/>
      <c r="R616" s="112"/>
    </row>
    <row r="617" spans="1:18" ht="15" x14ac:dyDescent="0.25">
      <c r="A617" s="109"/>
      <c r="B617" s="78"/>
      <c r="C617" s="78"/>
      <c r="D617" s="78"/>
      <c r="E617" s="78"/>
      <c r="F617" s="110"/>
      <c r="G617" s="115"/>
      <c r="H617" s="78"/>
      <c r="I617" s="78"/>
      <c r="J617" s="78"/>
      <c r="K617" s="110"/>
      <c r="L617" s="78"/>
      <c r="M617" s="78"/>
      <c r="N617" s="78"/>
      <c r="O617" s="78"/>
      <c r="P617" s="78"/>
      <c r="Q617" s="110"/>
      <c r="R617" s="110"/>
    </row>
    <row r="618" spans="1:18" ht="15" x14ac:dyDescent="0.25">
      <c r="A618" s="109"/>
      <c r="B618" s="111"/>
      <c r="C618" s="111"/>
      <c r="D618" s="111"/>
      <c r="E618" s="111"/>
      <c r="F618" s="112"/>
      <c r="G618" s="114"/>
      <c r="H618" s="111"/>
      <c r="I618" s="111"/>
      <c r="J618" s="111"/>
      <c r="K618" s="112"/>
      <c r="L618" s="111"/>
      <c r="M618" s="111"/>
      <c r="N618" s="111"/>
      <c r="O618" s="111"/>
      <c r="P618" s="111"/>
      <c r="Q618" s="112"/>
      <c r="R618" s="112"/>
    </row>
    <row r="619" spans="1:18" ht="15" x14ac:dyDescent="0.25">
      <c r="A619" s="109"/>
      <c r="B619" s="78"/>
      <c r="C619" s="78"/>
      <c r="D619" s="78"/>
      <c r="E619" s="78"/>
      <c r="F619" s="110"/>
      <c r="G619" s="115"/>
      <c r="H619" s="78"/>
      <c r="I619" s="78"/>
      <c r="J619" s="78"/>
      <c r="K619" s="110"/>
      <c r="L619" s="78"/>
      <c r="M619" s="78"/>
      <c r="N619" s="78"/>
      <c r="O619" s="78"/>
      <c r="P619" s="78"/>
      <c r="Q619" s="110"/>
      <c r="R619" s="110"/>
    </row>
    <row r="620" spans="1:18" ht="15" x14ac:dyDescent="0.25">
      <c r="A620" s="109"/>
      <c r="B620" s="111"/>
      <c r="C620" s="111"/>
      <c r="D620" s="111"/>
      <c r="E620" s="111"/>
      <c r="F620" s="112"/>
      <c r="G620" s="114"/>
      <c r="H620" s="111"/>
      <c r="I620" s="111"/>
      <c r="J620" s="111"/>
      <c r="K620" s="112"/>
      <c r="L620" s="111"/>
      <c r="M620" s="111"/>
      <c r="N620" s="111"/>
      <c r="O620" s="111"/>
      <c r="P620" s="111"/>
      <c r="Q620" s="112"/>
      <c r="R620" s="112"/>
    </row>
    <row r="621" spans="1:18" ht="15" x14ac:dyDescent="0.25">
      <c r="A621" s="109"/>
      <c r="B621" s="78"/>
      <c r="C621" s="78"/>
      <c r="D621" s="78"/>
      <c r="E621" s="78"/>
      <c r="F621" s="110"/>
      <c r="G621" s="115"/>
      <c r="H621" s="78"/>
      <c r="I621" s="78"/>
      <c r="J621" s="78"/>
      <c r="K621" s="110"/>
      <c r="L621" s="78"/>
      <c r="M621" s="78"/>
      <c r="N621" s="78"/>
      <c r="O621" s="78"/>
      <c r="P621" s="78"/>
      <c r="Q621" s="110"/>
      <c r="R621" s="110"/>
    </row>
    <row r="622" spans="1:18" ht="15" x14ac:dyDescent="0.25">
      <c r="A622" s="109"/>
      <c r="B622" s="111"/>
      <c r="C622" s="111"/>
      <c r="D622" s="111"/>
      <c r="E622" s="111"/>
      <c r="F622" s="112"/>
      <c r="G622" s="114"/>
      <c r="H622" s="111"/>
      <c r="I622" s="111"/>
      <c r="J622" s="111"/>
      <c r="K622" s="112"/>
      <c r="L622" s="111"/>
      <c r="M622" s="111"/>
      <c r="N622" s="111"/>
      <c r="O622" s="111"/>
      <c r="P622" s="111"/>
      <c r="Q622" s="112"/>
      <c r="R622" s="112"/>
    </row>
    <row r="623" spans="1:18" ht="15" x14ac:dyDescent="0.25">
      <c r="A623" s="109"/>
      <c r="B623" s="78"/>
      <c r="C623" s="78"/>
      <c r="D623" s="78"/>
      <c r="E623" s="78"/>
      <c r="F623" s="110"/>
      <c r="G623" s="115"/>
      <c r="H623" s="78"/>
      <c r="I623" s="78"/>
      <c r="J623" s="78"/>
      <c r="K623" s="110"/>
      <c r="L623" s="78"/>
      <c r="M623" s="78"/>
      <c r="N623" s="78"/>
      <c r="O623" s="78"/>
      <c r="P623" s="78"/>
      <c r="Q623" s="110"/>
      <c r="R623" s="110"/>
    </row>
    <row r="624" spans="1:18" ht="15" x14ac:dyDescent="0.25">
      <c r="A624" s="109"/>
      <c r="B624" s="111"/>
      <c r="C624" s="111"/>
      <c r="D624" s="111"/>
      <c r="E624" s="111"/>
      <c r="F624" s="112"/>
      <c r="G624" s="114"/>
      <c r="H624" s="111"/>
      <c r="I624" s="111"/>
      <c r="J624" s="111"/>
      <c r="K624" s="112"/>
      <c r="L624" s="111"/>
      <c r="M624" s="111"/>
      <c r="N624" s="111"/>
      <c r="O624" s="111"/>
      <c r="P624" s="111"/>
      <c r="Q624" s="112"/>
      <c r="R624" s="112"/>
    </row>
    <row r="625" spans="1:18" ht="15" x14ac:dyDescent="0.25">
      <c r="A625" s="109"/>
      <c r="B625" s="78"/>
      <c r="C625" s="78"/>
      <c r="D625" s="78"/>
      <c r="E625" s="78"/>
      <c r="F625" s="110"/>
      <c r="G625" s="115"/>
      <c r="H625" s="78"/>
      <c r="I625" s="78"/>
      <c r="J625" s="78"/>
      <c r="K625" s="110"/>
      <c r="L625" s="78"/>
      <c r="M625" s="78"/>
      <c r="N625" s="78"/>
      <c r="O625" s="78"/>
      <c r="P625" s="78"/>
      <c r="Q625" s="110"/>
      <c r="R625" s="110"/>
    </row>
    <row r="626" spans="1:18" ht="15" x14ac:dyDescent="0.25">
      <c r="A626" s="109"/>
      <c r="B626" s="111"/>
      <c r="C626" s="111"/>
      <c r="D626" s="111"/>
      <c r="E626" s="111"/>
      <c r="F626" s="112"/>
      <c r="G626" s="114"/>
      <c r="H626" s="111"/>
      <c r="I626" s="111"/>
      <c r="J626" s="111"/>
      <c r="K626" s="112"/>
      <c r="L626" s="111"/>
      <c r="M626" s="111"/>
      <c r="N626" s="111"/>
      <c r="O626" s="111"/>
      <c r="P626" s="111"/>
      <c r="Q626" s="112"/>
      <c r="R626" s="112"/>
    </row>
    <row r="627" spans="1:18" ht="15" x14ac:dyDescent="0.25">
      <c r="A627" s="109"/>
      <c r="B627" s="78"/>
      <c r="C627" s="78"/>
      <c r="D627" s="78"/>
      <c r="E627" s="78"/>
      <c r="F627" s="110"/>
      <c r="G627" s="115"/>
      <c r="H627" s="78"/>
      <c r="I627" s="78"/>
      <c r="J627" s="78"/>
      <c r="K627" s="110"/>
      <c r="L627" s="78"/>
      <c r="M627" s="78"/>
      <c r="N627" s="78"/>
      <c r="O627" s="78"/>
      <c r="P627" s="78"/>
      <c r="Q627" s="110"/>
      <c r="R627" s="110"/>
    </row>
    <row r="628" spans="1:18" ht="15" x14ac:dyDescent="0.25">
      <c r="A628" s="109"/>
      <c r="B628" s="111"/>
      <c r="C628" s="111"/>
      <c r="D628" s="111"/>
      <c r="E628" s="111"/>
      <c r="F628" s="112"/>
      <c r="G628" s="114"/>
      <c r="H628" s="111"/>
      <c r="I628" s="111"/>
      <c r="J628" s="111"/>
      <c r="K628" s="112"/>
      <c r="L628" s="111"/>
      <c r="M628" s="111"/>
      <c r="N628" s="111"/>
      <c r="O628" s="111"/>
      <c r="P628" s="111"/>
      <c r="Q628" s="112"/>
      <c r="R628" s="112"/>
    </row>
    <row r="629" spans="1:18" ht="15" x14ac:dyDescent="0.25">
      <c r="A629" s="109"/>
      <c r="B629" s="78"/>
      <c r="C629" s="78"/>
      <c r="D629" s="78"/>
      <c r="E629" s="78"/>
      <c r="F629" s="110"/>
      <c r="G629" s="115"/>
      <c r="H629" s="78"/>
      <c r="I629" s="78"/>
      <c r="J629" s="78"/>
      <c r="K629" s="110"/>
      <c r="L629" s="78"/>
      <c r="M629" s="78"/>
      <c r="N629" s="78"/>
      <c r="O629" s="78"/>
      <c r="P629" s="78"/>
      <c r="Q629" s="110"/>
      <c r="R629" s="110"/>
    </row>
    <row r="630" spans="1:18" ht="15" x14ac:dyDescent="0.25">
      <c r="A630" s="109"/>
      <c r="B630" s="111"/>
      <c r="C630" s="111"/>
      <c r="D630" s="111"/>
      <c r="E630" s="111"/>
      <c r="F630" s="112"/>
      <c r="G630" s="114"/>
      <c r="H630" s="111"/>
      <c r="I630" s="111"/>
      <c r="J630" s="111"/>
      <c r="K630" s="112"/>
      <c r="L630" s="111"/>
      <c r="M630" s="111"/>
      <c r="N630" s="111"/>
      <c r="O630" s="111"/>
      <c r="P630" s="111"/>
      <c r="Q630" s="112"/>
      <c r="R630" s="112"/>
    </row>
    <row r="631" spans="1:18" ht="15" x14ac:dyDescent="0.25">
      <c r="A631" s="109"/>
      <c r="B631" s="78"/>
      <c r="C631" s="78"/>
      <c r="D631" s="78"/>
      <c r="E631" s="78"/>
      <c r="F631" s="110"/>
      <c r="G631" s="115"/>
      <c r="H631" s="78"/>
      <c r="I631" s="78"/>
      <c r="J631" s="78"/>
      <c r="K631" s="110"/>
      <c r="L631" s="78"/>
      <c r="M631" s="78"/>
      <c r="N631" s="78"/>
      <c r="O631" s="78"/>
      <c r="P631" s="78"/>
      <c r="Q631" s="110"/>
      <c r="R631" s="110"/>
    </row>
    <row r="632" spans="1:18" ht="15" x14ac:dyDescent="0.25">
      <c r="A632" s="109"/>
      <c r="B632" s="111"/>
      <c r="C632" s="111"/>
      <c r="D632" s="111"/>
      <c r="E632" s="111"/>
      <c r="F632" s="112"/>
      <c r="G632" s="114"/>
      <c r="H632" s="111"/>
      <c r="I632" s="111"/>
      <c r="J632" s="111"/>
      <c r="K632" s="112"/>
      <c r="L632" s="111"/>
      <c r="M632" s="111"/>
      <c r="N632" s="111"/>
      <c r="O632" s="111"/>
      <c r="P632" s="111"/>
      <c r="Q632" s="112"/>
      <c r="R632" s="112"/>
    </row>
    <row r="633" spans="1:18" ht="15" x14ac:dyDescent="0.25">
      <c r="A633" s="109"/>
      <c r="B633" s="78"/>
      <c r="C633" s="78"/>
      <c r="D633" s="78"/>
      <c r="E633" s="78"/>
      <c r="F633" s="110"/>
      <c r="G633" s="115"/>
      <c r="H633" s="78"/>
      <c r="I633" s="78"/>
      <c r="J633" s="78"/>
      <c r="K633" s="110"/>
      <c r="L633" s="78"/>
      <c r="M633" s="78"/>
      <c r="N633" s="78"/>
      <c r="O633" s="78"/>
      <c r="P633" s="78"/>
      <c r="Q633" s="110"/>
      <c r="R633" s="110"/>
    </row>
    <row r="634" spans="1:18" ht="15" x14ac:dyDescent="0.25">
      <c r="A634" s="109"/>
      <c r="B634" s="111"/>
      <c r="C634" s="111"/>
      <c r="D634" s="111"/>
      <c r="E634" s="111"/>
      <c r="F634" s="112"/>
      <c r="G634" s="114"/>
      <c r="H634" s="111"/>
      <c r="I634" s="111"/>
      <c r="J634" s="111"/>
      <c r="K634" s="112"/>
      <c r="L634" s="111"/>
      <c r="M634" s="111"/>
      <c r="N634" s="111"/>
      <c r="O634" s="111"/>
      <c r="P634" s="111"/>
      <c r="Q634" s="112"/>
      <c r="R634" s="112"/>
    </row>
    <row r="635" spans="1:18" ht="15" x14ac:dyDescent="0.25">
      <c r="A635" s="109"/>
      <c r="B635" s="78"/>
      <c r="C635" s="78"/>
      <c r="D635" s="78"/>
      <c r="E635" s="78"/>
      <c r="F635" s="110"/>
      <c r="G635" s="115"/>
      <c r="H635" s="78"/>
      <c r="I635" s="78"/>
      <c r="J635" s="78"/>
      <c r="K635" s="110"/>
      <c r="L635" s="78"/>
      <c r="M635" s="78"/>
      <c r="N635" s="78"/>
      <c r="O635" s="78"/>
      <c r="P635" s="78"/>
      <c r="Q635" s="110"/>
      <c r="R635" s="110"/>
    </row>
    <row r="636" spans="1:18" ht="15" x14ac:dyDescent="0.25">
      <c r="A636" s="109"/>
      <c r="B636" s="111"/>
      <c r="C636" s="111"/>
      <c r="D636" s="111"/>
      <c r="E636" s="111"/>
      <c r="F636" s="112"/>
      <c r="G636" s="114"/>
      <c r="H636" s="111"/>
      <c r="I636" s="111"/>
      <c r="J636" s="111"/>
      <c r="K636" s="112"/>
      <c r="L636" s="111"/>
      <c r="M636" s="111"/>
      <c r="N636" s="111"/>
      <c r="O636" s="111"/>
      <c r="P636" s="111"/>
      <c r="Q636" s="112"/>
      <c r="R636" s="112"/>
    </row>
    <row r="637" spans="1:18" ht="15" x14ac:dyDescent="0.25">
      <c r="A637" s="109"/>
      <c r="B637" s="78"/>
      <c r="C637" s="78"/>
      <c r="D637" s="78"/>
      <c r="E637" s="78"/>
      <c r="F637" s="110"/>
      <c r="G637" s="115"/>
      <c r="H637" s="78"/>
      <c r="I637" s="78"/>
      <c r="J637" s="78"/>
      <c r="K637" s="110"/>
      <c r="L637" s="78"/>
      <c r="M637" s="78"/>
      <c r="N637" s="78"/>
      <c r="O637" s="78"/>
      <c r="P637" s="78"/>
      <c r="Q637" s="110"/>
      <c r="R637" s="110"/>
    </row>
    <row r="638" spans="1:18" ht="15" x14ac:dyDescent="0.25">
      <c r="A638" s="109"/>
      <c r="B638" s="111"/>
      <c r="C638" s="111"/>
      <c r="D638" s="111"/>
      <c r="E638" s="111"/>
      <c r="F638" s="112"/>
      <c r="G638" s="114"/>
      <c r="H638" s="111"/>
      <c r="I638" s="111"/>
      <c r="J638" s="111"/>
      <c r="K638" s="112"/>
      <c r="L638" s="111"/>
      <c r="M638" s="111"/>
      <c r="N638" s="111"/>
      <c r="O638" s="111"/>
      <c r="P638" s="111"/>
      <c r="Q638" s="112"/>
      <c r="R638" s="112"/>
    </row>
    <row r="639" spans="1:18" ht="15" x14ac:dyDescent="0.25">
      <c r="A639" s="109"/>
      <c r="B639" s="78"/>
      <c r="C639" s="78"/>
      <c r="D639" s="78"/>
      <c r="E639" s="78"/>
      <c r="F639" s="110"/>
      <c r="G639" s="115"/>
      <c r="H639" s="78"/>
      <c r="I639" s="78"/>
      <c r="J639" s="78"/>
      <c r="K639" s="110"/>
      <c r="L639" s="78"/>
      <c r="M639" s="78"/>
      <c r="N639" s="78"/>
      <c r="O639" s="78"/>
      <c r="P639" s="78"/>
      <c r="Q639" s="110"/>
      <c r="R639" s="110"/>
    </row>
    <row r="640" spans="1:18" ht="15" x14ac:dyDescent="0.25">
      <c r="A640" s="109"/>
      <c r="B640" s="111"/>
      <c r="C640" s="111"/>
      <c r="D640" s="111"/>
      <c r="E640" s="111"/>
      <c r="F640" s="112"/>
      <c r="G640" s="114"/>
      <c r="H640" s="111"/>
      <c r="I640" s="111"/>
      <c r="J640" s="111"/>
      <c r="K640" s="112"/>
      <c r="L640" s="111"/>
      <c r="M640" s="111"/>
      <c r="N640" s="111"/>
      <c r="O640" s="111"/>
      <c r="P640" s="111"/>
      <c r="Q640" s="112"/>
      <c r="R640" s="112"/>
    </row>
    <row r="641" spans="1:18" ht="15" x14ac:dyDescent="0.25">
      <c r="A641" s="109"/>
      <c r="B641" s="78"/>
      <c r="C641" s="78"/>
      <c r="D641" s="78"/>
      <c r="E641" s="78"/>
      <c r="F641" s="110"/>
      <c r="G641" s="115"/>
      <c r="H641" s="78"/>
      <c r="I641" s="78"/>
      <c r="J641" s="78"/>
      <c r="K641" s="110"/>
      <c r="L641" s="78"/>
      <c r="M641" s="78"/>
      <c r="N641" s="78"/>
      <c r="O641" s="78"/>
      <c r="P641" s="78"/>
      <c r="Q641" s="110"/>
      <c r="R641" s="110"/>
    </row>
    <row r="642" spans="1:18" ht="15" x14ac:dyDescent="0.25">
      <c r="A642" s="109"/>
      <c r="B642" s="111"/>
      <c r="C642" s="111"/>
      <c r="D642" s="111"/>
      <c r="E642" s="111"/>
      <c r="F642" s="112"/>
      <c r="G642" s="114"/>
      <c r="H642" s="111"/>
      <c r="I642" s="111"/>
      <c r="J642" s="111"/>
      <c r="K642" s="112"/>
      <c r="L642" s="111"/>
      <c r="M642" s="111"/>
      <c r="N642" s="111"/>
      <c r="O642" s="111"/>
      <c r="P642" s="111"/>
      <c r="Q642" s="112"/>
      <c r="R642" s="112"/>
    </row>
    <row r="643" spans="1:18" ht="15" x14ac:dyDescent="0.25">
      <c r="A643" s="109"/>
      <c r="B643" s="78"/>
      <c r="C643" s="78"/>
      <c r="D643" s="78"/>
      <c r="E643" s="78"/>
      <c r="F643" s="110"/>
      <c r="G643" s="115"/>
      <c r="H643" s="78"/>
      <c r="I643" s="78"/>
      <c r="J643" s="78"/>
      <c r="K643" s="110"/>
      <c r="L643" s="78"/>
      <c r="M643" s="78"/>
      <c r="N643" s="78"/>
      <c r="O643" s="78"/>
      <c r="P643" s="78"/>
      <c r="Q643" s="110"/>
      <c r="R643" s="110"/>
    </row>
    <row r="644" spans="1:18" ht="15" x14ac:dyDescent="0.25">
      <c r="A644" s="109"/>
      <c r="B644" s="111"/>
      <c r="C644" s="111"/>
      <c r="D644" s="111"/>
      <c r="E644" s="111"/>
      <c r="F644" s="112"/>
      <c r="G644" s="114"/>
      <c r="H644" s="111"/>
      <c r="I644" s="111"/>
      <c r="J644" s="111"/>
      <c r="K644" s="112"/>
      <c r="L644" s="111"/>
      <c r="M644" s="111"/>
      <c r="N644" s="111"/>
      <c r="O644" s="111"/>
      <c r="P644" s="111"/>
      <c r="Q644" s="112"/>
      <c r="R644" s="112"/>
    </row>
    <row r="645" spans="1:18" ht="15" x14ac:dyDescent="0.25">
      <c r="A645" s="109"/>
      <c r="B645" s="78"/>
      <c r="C645" s="78"/>
      <c r="D645" s="78"/>
      <c r="E645" s="78"/>
      <c r="F645" s="110"/>
      <c r="G645" s="115"/>
      <c r="H645" s="78"/>
      <c r="I645" s="78"/>
      <c r="J645" s="78"/>
      <c r="K645" s="110"/>
      <c r="L645" s="78"/>
      <c r="M645" s="78"/>
      <c r="N645" s="78"/>
      <c r="O645" s="78"/>
      <c r="P645" s="78"/>
      <c r="Q645" s="110"/>
      <c r="R645" s="110"/>
    </row>
    <row r="646" spans="1:18" ht="15" x14ac:dyDescent="0.25">
      <c r="A646" s="109"/>
      <c r="B646" s="111"/>
      <c r="C646" s="111"/>
      <c r="D646" s="111"/>
      <c r="E646" s="111"/>
      <c r="F646" s="112"/>
      <c r="G646" s="114"/>
      <c r="H646" s="111"/>
      <c r="I646" s="111"/>
      <c r="J646" s="111"/>
      <c r="K646" s="112"/>
      <c r="L646" s="111"/>
      <c r="M646" s="111"/>
      <c r="N646" s="111"/>
      <c r="O646" s="111"/>
      <c r="P646" s="111"/>
      <c r="Q646" s="112"/>
      <c r="R646" s="112"/>
    </row>
    <row r="647" spans="1:18" ht="15" x14ac:dyDescent="0.25">
      <c r="A647" s="109"/>
      <c r="B647" s="78"/>
      <c r="C647" s="78"/>
      <c r="D647" s="78"/>
      <c r="E647" s="78"/>
      <c r="F647" s="110"/>
      <c r="G647" s="115"/>
      <c r="H647" s="78"/>
      <c r="I647" s="78"/>
      <c r="J647" s="78"/>
      <c r="K647" s="110"/>
      <c r="L647" s="78"/>
      <c r="M647" s="78"/>
      <c r="N647" s="78"/>
      <c r="O647" s="78"/>
      <c r="P647" s="78"/>
      <c r="Q647" s="110"/>
      <c r="R647" s="110"/>
    </row>
    <row r="648" spans="1:18" ht="15" x14ac:dyDescent="0.25">
      <c r="A648" s="109"/>
      <c r="B648" s="111"/>
      <c r="C648" s="111"/>
      <c r="D648" s="111"/>
      <c r="E648" s="111"/>
      <c r="F648" s="112"/>
      <c r="G648" s="114"/>
      <c r="H648" s="111"/>
      <c r="I648" s="111"/>
      <c r="J648" s="111"/>
      <c r="K648" s="112"/>
      <c r="L648" s="111"/>
      <c r="M648" s="111"/>
      <c r="N648" s="111"/>
      <c r="O648" s="111"/>
      <c r="P648" s="111"/>
      <c r="Q648" s="112"/>
      <c r="R648" s="112"/>
    </row>
    <row r="649" spans="1:18" ht="15" x14ac:dyDescent="0.25">
      <c r="A649" s="109"/>
      <c r="B649" s="78"/>
      <c r="C649" s="78"/>
      <c r="D649" s="78"/>
      <c r="E649" s="78"/>
      <c r="F649" s="110"/>
      <c r="G649" s="115"/>
      <c r="H649" s="78"/>
      <c r="I649" s="78"/>
      <c r="J649" s="78"/>
      <c r="K649" s="110"/>
      <c r="L649" s="78"/>
      <c r="M649" s="78"/>
      <c r="N649" s="78"/>
      <c r="O649" s="78"/>
      <c r="P649" s="78"/>
      <c r="Q649" s="110"/>
      <c r="R649" s="110"/>
    </row>
    <row r="650" spans="1:18" ht="15" x14ac:dyDescent="0.25">
      <c r="A650" s="109"/>
      <c r="B650" s="111"/>
      <c r="C650" s="111"/>
      <c r="D650" s="111"/>
      <c r="E650" s="111"/>
      <c r="F650" s="112"/>
      <c r="G650" s="114"/>
      <c r="H650" s="111"/>
      <c r="I650" s="111"/>
      <c r="J650" s="111"/>
      <c r="K650" s="112"/>
      <c r="L650" s="111"/>
      <c r="M650" s="111"/>
      <c r="N650" s="111"/>
      <c r="O650" s="111"/>
      <c r="P650" s="111"/>
      <c r="Q650" s="112"/>
      <c r="R650" s="112"/>
    </row>
    <row r="651" spans="1:18" ht="15" x14ac:dyDescent="0.25">
      <c r="A651" s="109"/>
      <c r="B651" s="78"/>
      <c r="C651" s="78"/>
      <c r="D651" s="78"/>
      <c r="E651" s="78"/>
      <c r="F651" s="110"/>
      <c r="G651" s="115"/>
      <c r="H651" s="78"/>
      <c r="I651" s="78"/>
      <c r="J651" s="78"/>
      <c r="K651" s="110"/>
      <c r="L651" s="78"/>
      <c r="M651" s="78"/>
      <c r="N651" s="78"/>
      <c r="O651" s="78"/>
      <c r="P651" s="78"/>
      <c r="Q651" s="110"/>
      <c r="R651" s="110"/>
    </row>
    <row r="652" spans="1:18" ht="15" x14ac:dyDescent="0.25">
      <c r="A652" s="109"/>
      <c r="B652" s="111"/>
      <c r="C652" s="111"/>
      <c r="D652" s="111"/>
      <c r="E652" s="111"/>
      <c r="F652" s="112"/>
      <c r="G652" s="114"/>
      <c r="H652" s="111"/>
      <c r="I652" s="111"/>
      <c r="J652" s="111"/>
      <c r="K652" s="112"/>
      <c r="L652" s="111"/>
      <c r="M652" s="111"/>
      <c r="N652" s="111"/>
      <c r="O652" s="111"/>
      <c r="P652" s="111"/>
      <c r="Q652" s="112"/>
      <c r="R652" s="112"/>
    </row>
    <row r="653" spans="1:18" ht="15" x14ac:dyDescent="0.25">
      <c r="A653" s="109"/>
      <c r="B653" s="78"/>
      <c r="C653" s="78"/>
      <c r="D653" s="78"/>
      <c r="E653" s="78"/>
      <c r="F653" s="110"/>
      <c r="G653" s="115"/>
      <c r="H653" s="78"/>
      <c r="I653" s="78"/>
      <c r="J653" s="78"/>
      <c r="K653" s="110"/>
      <c r="L653" s="78"/>
      <c r="M653" s="78"/>
      <c r="N653" s="78"/>
      <c r="O653" s="78"/>
      <c r="P653" s="78"/>
      <c r="Q653" s="110"/>
      <c r="R653" s="110"/>
    </row>
    <row r="654" spans="1:18" ht="15" x14ac:dyDescent="0.25">
      <c r="A654" s="109"/>
      <c r="B654" s="111"/>
      <c r="C654" s="111"/>
      <c r="D654" s="111"/>
      <c r="E654" s="111"/>
      <c r="F654" s="112"/>
      <c r="G654" s="114"/>
      <c r="H654" s="111"/>
      <c r="I654" s="111"/>
      <c r="J654" s="111"/>
      <c r="K654" s="112"/>
      <c r="L654" s="111"/>
      <c r="M654" s="111"/>
      <c r="N654" s="111"/>
      <c r="O654" s="111"/>
      <c r="P654" s="111"/>
      <c r="Q654" s="112"/>
      <c r="R654" s="112"/>
    </row>
    <row r="655" spans="1:18" ht="15" x14ac:dyDescent="0.25">
      <c r="A655" s="109"/>
      <c r="B655" s="78"/>
      <c r="C655" s="78"/>
      <c r="D655" s="78"/>
      <c r="E655" s="78"/>
      <c r="F655" s="110"/>
      <c r="G655" s="115"/>
      <c r="H655" s="78"/>
      <c r="I655" s="78"/>
      <c r="J655" s="78"/>
      <c r="K655" s="110"/>
      <c r="L655" s="78"/>
      <c r="M655" s="78"/>
      <c r="N655" s="78"/>
      <c r="O655" s="78"/>
      <c r="P655" s="78"/>
      <c r="Q655" s="110"/>
      <c r="R655" s="110"/>
    </row>
    <row r="656" spans="1:18" ht="15" x14ac:dyDescent="0.25">
      <c r="A656" s="109"/>
      <c r="B656" s="111"/>
      <c r="C656" s="111"/>
      <c r="D656" s="111"/>
      <c r="E656" s="111"/>
      <c r="F656" s="112"/>
      <c r="G656" s="114"/>
      <c r="H656" s="111"/>
      <c r="I656" s="111"/>
      <c r="J656" s="111"/>
      <c r="K656" s="112"/>
      <c r="L656" s="111"/>
      <c r="M656" s="111"/>
      <c r="N656" s="111"/>
      <c r="O656" s="111"/>
      <c r="P656" s="111"/>
      <c r="Q656" s="112"/>
      <c r="R656" s="112"/>
    </row>
    <row r="657" spans="1:18" ht="15" x14ac:dyDescent="0.25">
      <c r="A657" s="109"/>
      <c r="B657" s="78"/>
      <c r="C657" s="78"/>
      <c r="D657" s="78"/>
      <c r="E657" s="78"/>
      <c r="F657" s="110"/>
      <c r="G657" s="115"/>
      <c r="H657" s="78"/>
      <c r="I657" s="78"/>
      <c r="J657" s="78"/>
      <c r="K657" s="110"/>
      <c r="L657" s="78"/>
      <c r="M657" s="78"/>
      <c r="N657" s="78"/>
      <c r="O657" s="78"/>
      <c r="P657" s="78"/>
      <c r="Q657" s="110"/>
      <c r="R657" s="110"/>
    </row>
    <row r="658" spans="1:18" ht="15" x14ac:dyDescent="0.25">
      <c r="A658" s="109"/>
      <c r="B658" s="111"/>
      <c r="C658" s="111"/>
      <c r="D658" s="111"/>
      <c r="E658" s="111"/>
      <c r="F658" s="112"/>
      <c r="G658" s="114"/>
      <c r="H658" s="111"/>
      <c r="I658" s="111"/>
      <c r="J658" s="111"/>
      <c r="K658" s="112"/>
      <c r="L658" s="111"/>
      <c r="M658" s="111"/>
      <c r="N658" s="111"/>
      <c r="O658" s="111"/>
      <c r="P658" s="111"/>
      <c r="Q658" s="112"/>
      <c r="R658" s="112"/>
    </row>
    <row r="659" spans="1:18" ht="15" x14ac:dyDescent="0.25">
      <c r="A659" s="109"/>
      <c r="B659" s="78"/>
      <c r="C659" s="78"/>
      <c r="D659" s="78"/>
      <c r="E659" s="78"/>
      <c r="F659" s="110"/>
      <c r="G659" s="115"/>
      <c r="H659" s="78"/>
      <c r="I659" s="78"/>
      <c r="J659" s="78"/>
      <c r="K659" s="110"/>
      <c r="L659" s="78"/>
      <c r="M659" s="78"/>
      <c r="N659" s="78"/>
      <c r="O659" s="78"/>
      <c r="P659" s="78"/>
      <c r="Q659" s="110"/>
      <c r="R659" s="110"/>
    </row>
    <row r="660" spans="1:18" ht="15" x14ac:dyDescent="0.25">
      <c r="A660" s="109"/>
      <c r="B660" s="111"/>
      <c r="C660" s="111"/>
      <c r="D660" s="111"/>
      <c r="E660" s="111"/>
      <c r="F660" s="112"/>
      <c r="G660" s="114"/>
      <c r="H660" s="111"/>
      <c r="I660" s="111"/>
      <c r="J660" s="111"/>
      <c r="K660" s="112"/>
      <c r="L660" s="111"/>
      <c r="M660" s="111"/>
      <c r="N660" s="111"/>
      <c r="O660" s="111"/>
      <c r="P660" s="111"/>
      <c r="Q660" s="112"/>
      <c r="R660" s="112"/>
    </row>
    <row r="661" spans="1:18" ht="15" x14ac:dyDescent="0.25">
      <c r="A661" s="109"/>
      <c r="B661" s="78"/>
      <c r="C661" s="78"/>
      <c r="D661" s="78"/>
      <c r="E661" s="78"/>
      <c r="F661" s="110"/>
      <c r="G661" s="115"/>
      <c r="H661" s="78"/>
      <c r="I661" s="78"/>
      <c r="J661" s="78"/>
      <c r="K661" s="110"/>
      <c r="L661" s="78"/>
      <c r="M661" s="78"/>
      <c r="N661" s="78"/>
      <c r="O661" s="78"/>
      <c r="P661" s="78"/>
      <c r="Q661" s="110"/>
      <c r="R661" s="110"/>
    </row>
    <row r="662" spans="1:18" ht="15" x14ac:dyDescent="0.25">
      <c r="A662" s="109"/>
      <c r="B662" s="111"/>
      <c r="C662" s="111"/>
      <c r="D662" s="111"/>
      <c r="E662" s="111"/>
      <c r="F662" s="112"/>
      <c r="G662" s="114"/>
      <c r="H662" s="111"/>
      <c r="I662" s="111"/>
      <c r="J662" s="111"/>
      <c r="K662" s="112"/>
      <c r="L662" s="111"/>
      <c r="M662" s="111"/>
      <c r="N662" s="111"/>
      <c r="O662" s="111"/>
      <c r="P662" s="111"/>
      <c r="Q662" s="112"/>
      <c r="R662" s="112"/>
    </row>
    <row r="663" spans="1:18" ht="15" x14ac:dyDescent="0.25">
      <c r="A663" s="109"/>
      <c r="B663" s="78"/>
      <c r="C663" s="78"/>
      <c r="D663" s="78"/>
      <c r="E663" s="78"/>
      <c r="F663" s="110"/>
      <c r="G663" s="115"/>
      <c r="H663" s="78"/>
      <c r="I663" s="78"/>
      <c r="J663" s="78"/>
      <c r="K663" s="110"/>
      <c r="L663" s="78"/>
      <c r="M663" s="78"/>
      <c r="N663" s="78"/>
      <c r="O663" s="78"/>
      <c r="P663" s="78"/>
      <c r="Q663" s="110"/>
      <c r="R663" s="110"/>
    </row>
    <row r="664" spans="1:18" ht="15" x14ac:dyDescent="0.25">
      <c r="A664" s="109"/>
      <c r="B664" s="111"/>
      <c r="C664" s="111"/>
      <c r="D664" s="111"/>
      <c r="E664" s="111"/>
      <c r="F664" s="112"/>
      <c r="G664" s="114"/>
      <c r="H664" s="111"/>
      <c r="I664" s="111"/>
      <c r="J664" s="111"/>
      <c r="K664" s="112"/>
      <c r="L664" s="111"/>
      <c r="M664" s="111"/>
      <c r="N664" s="111"/>
      <c r="O664" s="111"/>
      <c r="P664" s="111"/>
      <c r="Q664" s="112"/>
      <c r="R664" s="112"/>
    </row>
    <row r="665" spans="1:18" ht="15" x14ac:dyDescent="0.25">
      <c r="A665" s="109"/>
      <c r="B665" s="78"/>
      <c r="C665" s="78"/>
      <c r="D665" s="78"/>
      <c r="E665" s="78"/>
      <c r="F665" s="110"/>
      <c r="G665" s="115"/>
      <c r="H665" s="78"/>
      <c r="I665" s="78"/>
      <c r="J665" s="78"/>
      <c r="K665" s="110"/>
      <c r="L665" s="78"/>
      <c r="M665" s="78"/>
      <c r="N665" s="78"/>
      <c r="O665" s="78"/>
      <c r="P665" s="78"/>
      <c r="Q665" s="110"/>
      <c r="R665" s="110"/>
    </row>
    <row r="666" spans="1:18" ht="15" x14ac:dyDescent="0.25">
      <c r="A666" s="109"/>
      <c r="B666" s="111"/>
      <c r="C666" s="111"/>
      <c r="D666" s="111"/>
      <c r="E666" s="111"/>
      <c r="F666" s="112"/>
      <c r="G666" s="114"/>
      <c r="H666" s="111"/>
      <c r="I666" s="111"/>
      <c r="J666" s="111"/>
      <c r="K666" s="112"/>
      <c r="L666" s="111"/>
      <c r="M666" s="111"/>
      <c r="N666" s="111"/>
      <c r="O666" s="111"/>
      <c r="P666" s="111"/>
      <c r="Q666" s="112"/>
      <c r="R666" s="112"/>
    </row>
    <row r="667" spans="1:18" ht="15" x14ac:dyDescent="0.25">
      <c r="A667" s="109"/>
      <c r="B667" s="78"/>
      <c r="C667" s="78"/>
      <c r="D667" s="78"/>
      <c r="E667" s="78"/>
      <c r="F667" s="110"/>
      <c r="G667" s="115"/>
      <c r="H667" s="78"/>
      <c r="I667" s="78"/>
      <c r="J667" s="78"/>
      <c r="K667" s="110"/>
      <c r="L667" s="78"/>
      <c r="M667" s="78"/>
      <c r="N667" s="78"/>
      <c r="O667" s="78"/>
      <c r="P667" s="78"/>
      <c r="Q667" s="110"/>
      <c r="R667" s="110"/>
    </row>
    <row r="668" spans="1:18" ht="15" x14ac:dyDescent="0.25">
      <c r="A668" s="109"/>
      <c r="B668" s="111"/>
      <c r="C668" s="111"/>
      <c r="D668" s="111"/>
      <c r="E668" s="111"/>
      <c r="F668" s="112"/>
      <c r="G668" s="114"/>
      <c r="H668" s="111"/>
      <c r="I668" s="111"/>
      <c r="J668" s="111"/>
      <c r="K668" s="112"/>
      <c r="L668" s="111"/>
      <c r="M668" s="111"/>
      <c r="N668" s="111"/>
      <c r="O668" s="111"/>
      <c r="P668" s="111"/>
      <c r="Q668" s="112"/>
      <c r="R668" s="112"/>
    </row>
    <row r="669" spans="1:18" ht="15" x14ac:dyDescent="0.25">
      <c r="A669" s="109"/>
      <c r="B669" s="78"/>
      <c r="C669" s="78"/>
      <c r="D669" s="78"/>
      <c r="E669" s="78"/>
      <c r="F669" s="110"/>
      <c r="G669" s="115"/>
      <c r="H669" s="78"/>
      <c r="I669" s="78"/>
      <c r="J669" s="78"/>
      <c r="K669" s="110"/>
      <c r="L669" s="78"/>
      <c r="M669" s="78"/>
      <c r="N669" s="78"/>
      <c r="O669" s="78"/>
      <c r="P669" s="78"/>
      <c r="Q669" s="110"/>
      <c r="R669" s="110"/>
    </row>
    <row r="670" spans="1:18" ht="15" x14ac:dyDescent="0.25">
      <c r="A670" s="109"/>
      <c r="B670" s="111"/>
      <c r="C670" s="111"/>
      <c r="D670" s="111"/>
      <c r="E670" s="111"/>
      <c r="F670" s="112"/>
      <c r="G670" s="114"/>
      <c r="H670" s="111"/>
      <c r="I670" s="111"/>
      <c r="J670" s="111"/>
      <c r="K670" s="112"/>
      <c r="L670" s="111"/>
      <c r="M670" s="111"/>
      <c r="N670" s="111"/>
      <c r="O670" s="111"/>
      <c r="P670" s="111"/>
      <c r="Q670" s="112"/>
      <c r="R670" s="112"/>
    </row>
    <row r="671" spans="1:18" ht="15" x14ac:dyDescent="0.25">
      <c r="A671" s="109"/>
      <c r="B671" s="78"/>
      <c r="C671" s="78"/>
      <c r="D671" s="78"/>
      <c r="E671" s="78"/>
      <c r="F671" s="110"/>
      <c r="G671" s="115"/>
      <c r="H671" s="78"/>
      <c r="I671" s="78"/>
      <c r="J671" s="78"/>
      <c r="K671" s="110"/>
      <c r="L671" s="78"/>
      <c r="M671" s="78"/>
      <c r="N671" s="78"/>
      <c r="O671" s="78"/>
      <c r="P671" s="78"/>
      <c r="Q671" s="110"/>
      <c r="R671" s="110"/>
    </row>
    <row r="672" spans="1:18" ht="15" x14ac:dyDescent="0.25">
      <c r="A672" s="109"/>
      <c r="B672" s="111"/>
      <c r="C672" s="111"/>
      <c r="D672" s="111"/>
      <c r="E672" s="111"/>
      <c r="F672" s="112"/>
      <c r="G672" s="114"/>
      <c r="H672" s="111"/>
      <c r="I672" s="111"/>
      <c r="J672" s="111"/>
      <c r="K672" s="112"/>
      <c r="L672" s="111"/>
      <c r="M672" s="111"/>
      <c r="N672" s="111"/>
      <c r="O672" s="111"/>
      <c r="P672" s="111"/>
      <c r="Q672" s="112"/>
      <c r="R672" s="112"/>
    </row>
    <row r="673" spans="1:18" ht="15" x14ac:dyDescent="0.25">
      <c r="A673" s="109"/>
      <c r="B673" s="78"/>
      <c r="C673" s="78"/>
      <c r="D673" s="78"/>
      <c r="E673" s="78"/>
      <c r="F673" s="110"/>
      <c r="G673" s="115"/>
      <c r="H673" s="78"/>
      <c r="I673" s="78"/>
      <c r="J673" s="78"/>
      <c r="K673" s="110"/>
      <c r="L673" s="78"/>
      <c r="M673" s="78"/>
      <c r="N673" s="78"/>
      <c r="O673" s="78"/>
      <c r="P673" s="78"/>
      <c r="Q673" s="110"/>
      <c r="R673" s="110"/>
    </row>
    <row r="674" spans="1:18" ht="15" x14ac:dyDescent="0.25">
      <c r="A674" s="109"/>
      <c r="B674" s="111"/>
      <c r="C674" s="111"/>
      <c r="D674" s="111"/>
      <c r="E674" s="111"/>
      <c r="F674" s="112"/>
      <c r="G674" s="114"/>
      <c r="H674" s="111"/>
      <c r="I674" s="111"/>
      <c r="J674" s="111"/>
      <c r="K674" s="112"/>
      <c r="L674" s="111"/>
      <c r="M674" s="111"/>
      <c r="N674" s="111"/>
      <c r="O674" s="111"/>
      <c r="P674" s="111"/>
      <c r="Q674" s="112"/>
      <c r="R674" s="112"/>
    </row>
    <row r="675" spans="1:18" ht="15" x14ac:dyDescent="0.25">
      <c r="A675" s="109"/>
      <c r="B675" s="78"/>
      <c r="C675" s="78"/>
      <c r="D675" s="78"/>
      <c r="E675" s="78"/>
      <c r="F675" s="110"/>
      <c r="G675" s="115"/>
      <c r="H675" s="78"/>
      <c r="I675" s="78"/>
      <c r="J675" s="78"/>
      <c r="K675" s="110"/>
      <c r="L675" s="78"/>
      <c r="M675" s="78"/>
      <c r="N675" s="78"/>
      <c r="O675" s="78"/>
      <c r="P675" s="78"/>
      <c r="Q675" s="110"/>
      <c r="R675" s="110"/>
    </row>
    <row r="676" spans="1:18" ht="15" x14ac:dyDescent="0.25">
      <c r="A676" s="109"/>
      <c r="B676" s="111"/>
      <c r="C676" s="111"/>
      <c r="D676" s="111"/>
      <c r="E676" s="111"/>
      <c r="F676" s="112"/>
      <c r="G676" s="114"/>
      <c r="H676" s="111"/>
      <c r="I676" s="111"/>
      <c r="J676" s="111"/>
      <c r="K676" s="112"/>
      <c r="L676" s="111"/>
      <c r="M676" s="111"/>
      <c r="N676" s="111"/>
      <c r="O676" s="111"/>
      <c r="P676" s="111"/>
      <c r="Q676" s="112"/>
      <c r="R676" s="112"/>
    </row>
    <row r="677" spans="1:18" ht="15" x14ac:dyDescent="0.25">
      <c r="A677" s="109"/>
      <c r="B677" s="78"/>
      <c r="C677" s="78"/>
      <c r="D677" s="78"/>
      <c r="E677" s="78"/>
      <c r="F677" s="110"/>
      <c r="G677" s="115"/>
      <c r="H677" s="78"/>
      <c r="I677" s="78"/>
      <c r="J677" s="78"/>
      <c r="K677" s="110"/>
      <c r="L677" s="78"/>
      <c r="M677" s="78"/>
      <c r="N677" s="78"/>
      <c r="O677" s="78"/>
      <c r="P677" s="78"/>
      <c r="Q677" s="110"/>
      <c r="R677" s="110"/>
    </row>
    <row r="678" spans="1:18" ht="15" x14ac:dyDescent="0.25">
      <c r="A678" s="109"/>
      <c r="B678" s="111"/>
      <c r="C678" s="111"/>
      <c r="D678" s="111"/>
      <c r="E678" s="111"/>
      <c r="F678" s="112"/>
      <c r="G678" s="114"/>
      <c r="H678" s="111"/>
      <c r="I678" s="111"/>
      <c r="J678" s="111"/>
      <c r="K678" s="112"/>
      <c r="L678" s="111"/>
      <c r="M678" s="111"/>
      <c r="N678" s="111"/>
      <c r="O678" s="111"/>
      <c r="P678" s="111"/>
      <c r="Q678" s="112"/>
      <c r="R678" s="112"/>
    </row>
    <row r="679" spans="1:18" ht="15" x14ac:dyDescent="0.25">
      <c r="A679" s="109"/>
      <c r="B679" s="78"/>
      <c r="C679" s="78"/>
      <c r="D679" s="78"/>
      <c r="E679" s="78"/>
      <c r="F679" s="110"/>
      <c r="G679" s="115"/>
      <c r="H679" s="78"/>
      <c r="I679" s="78"/>
      <c r="J679" s="78"/>
      <c r="K679" s="110"/>
      <c r="L679" s="78"/>
      <c r="M679" s="78"/>
      <c r="N679" s="78"/>
      <c r="O679" s="78"/>
      <c r="P679" s="78"/>
      <c r="Q679" s="110"/>
      <c r="R679" s="110"/>
    </row>
    <row r="680" spans="1:18" ht="15" x14ac:dyDescent="0.25">
      <c r="A680" s="109"/>
      <c r="B680" s="111"/>
      <c r="C680" s="111"/>
      <c r="D680" s="111"/>
      <c r="E680" s="111"/>
      <c r="F680" s="112"/>
      <c r="G680" s="114"/>
      <c r="H680" s="111"/>
      <c r="I680" s="111"/>
      <c r="J680" s="111"/>
      <c r="K680" s="112"/>
      <c r="L680" s="111"/>
      <c r="M680" s="111"/>
      <c r="N680" s="111"/>
      <c r="O680" s="111"/>
      <c r="P680" s="111"/>
      <c r="Q680" s="112"/>
      <c r="R680" s="112"/>
    </row>
    <row r="681" spans="1:18" ht="15" x14ac:dyDescent="0.25">
      <c r="A681" s="109"/>
      <c r="B681" s="78"/>
      <c r="C681" s="78"/>
      <c r="D681" s="78"/>
      <c r="E681" s="78"/>
      <c r="F681" s="110"/>
      <c r="G681" s="115"/>
      <c r="H681" s="78"/>
      <c r="I681" s="78"/>
      <c r="J681" s="78"/>
      <c r="K681" s="110"/>
      <c r="L681" s="78"/>
      <c r="M681" s="78"/>
      <c r="N681" s="78"/>
      <c r="O681" s="78"/>
      <c r="P681" s="78"/>
      <c r="Q681" s="110"/>
      <c r="R681" s="110"/>
    </row>
    <row r="682" spans="1:18" ht="15" x14ac:dyDescent="0.25">
      <c r="A682" s="109"/>
      <c r="B682" s="111"/>
      <c r="C682" s="111"/>
      <c r="D682" s="111"/>
      <c r="E682" s="111"/>
      <c r="F682" s="112"/>
      <c r="G682" s="114"/>
      <c r="H682" s="111"/>
      <c r="I682" s="111"/>
      <c r="J682" s="111"/>
      <c r="K682" s="112"/>
      <c r="L682" s="111"/>
      <c r="M682" s="111"/>
      <c r="N682" s="111"/>
      <c r="O682" s="111"/>
      <c r="P682" s="111"/>
      <c r="Q682" s="112"/>
      <c r="R682" s="112"/>
    </row>
    <row r="683" spans="1:18" ht="15" x14ac:dyDescent="0.25">
      <c r="A683" s="109"/>
      <c r="B683" s="78"/>
      <c r="C683" s="78"/>
      <c r="D683" s="78"/>
      <c r="E683" s="78"/>
      <c r="F683" s="110"/>
      <c r="G683" s="115"/>
      <c r="H683" s="78"/>
      <c r="I683" s="78"/>
      <c r="J683" s="78"/>
      <c r="K683" s="110"/>
      <c r="L683" s="78"/>
      <c r="M683" s="78"/>
      <c r="N683" s="78"/>
      <c r="O683" s="78"/>
      <c r="P683" s="78"/>
      <c r="Q683" s="110"/>
      <c r="R683" s="110"/>
    </row>
    <row r="684" spans="1:18" ht="15" x14ac:dyDescent="0.25">
      <c r="A684" s="109"/>
      <c r="B684" s="111"/>
      <c r="C684" s="111"/>
      <c r="D684" s="111"/>
      <c r="E684" s="111"/>
      <c r="F684" s="112"/>
      <c r="G684" s="114"/>
      <c r="H684" s="111"/>
      <c r="I684" s="111"/>
      <c r="J684" s="111"/>
      <c r="K684" s="112"/>
      <c r="L684" s="111"/>
      <c r="M684" s="111"/>
      <c r="N684" s="111"/>
      <c r="O684" s="111"/>
      <c r="P684" s="111"/>
      <c r="Q684" s="112"/>
      <c r="R684" s="112"/>
    </row>
    <row r="685" spans="1:18" ht="15" x14ac:dyDescent="0.25">
      <c r="A685" s="109"/>
      <c r="B685" s="78"/>
      <c r="C685" s="78"/>
      <c r="D685" s="78"/>
      <c r="E685" s="78"/>
      <c r="F685" s="110"/>
      <c r="G685" s="115"/>
      <c r="H685" s="78"/>
      <c r="I685" s="78"/>
      <c r="J685" s="78"/>
      <c r="K685" s="110"/>
      <c r="L685" s="78"/>
      <c r="M685" s="78"/>
      <c r="N685" s="78"/>
      <c r="O685" s="78"/>
      <c r="P685" s="78"/>
      <c r="Q685" s="110"/>
      <c r="R685" s="110"/>
    </row>
    <row r="686" spans="1:18" ht="15" x14ac:dyDescent="0.25">
      <c r="A686" s="109"/>
      <c r="B686" s="111"/>
      <c r="C686" s="111"/>
      <c r="D686" s="111"/>
      <c r="E686" s="111"/>
      <c r="F686" s="112"/>
      <c r="G686" s="114"/>
      <c r="H686" s="111"/>
      <c r="I686" s="111"/>
      <c r="J686" s="111"/>
      <c r="K686" s="112"/>
      <c r="L686" s="111"/>
      <c r="M686" s="111"/>
      <c r="N686" s="111"/>
      <c r="O686" s="111"/>
      <c r="P686" s="111"/>
      <c r="Q686" s="112"/>
      <c r="R686" s="112"/>
    </row>
    <row r="687" spans="1:18" ht="15" x14ac:dyDescent="0.25">
      <c r="A687" s="109"/>
      <c r="B687" s="78"/>
      <c r="C687" s="78"/>
      <c r="D687" s="78"/>
      <c r="E687" s="78"/>
      <c r="F687" s="110"/>
      <c r="G687" s="115"/>
      <c r="H687" s="78"/>
      <c r="I687" s="78"/>
      <c r="J687" s="78"/>
      <c r="K687" s="110"/>
      <c r="L687" s="78"/>
      <c r="M687" s="78"/>
      <c r="N687" s="78"/>
      <c r="O687" s="78"/>
      <c r="P687" s="78"/>
      <c r="Q687" s="110"/>
      <c r="R687" s="110"/>
    </row>
    <row r="688" spans="1:18" ht="15" x14ac:dyDescent="0.25">
      <c r="A688" s="109"/>
      <c r="B688" s="111"/>
      <c r="C688" s="111"/>
      <c r="D688" s="111"/>
      <c r="E688" s="111"/>
      <c r="F688" s="112"/>
      <c r="G688" s="114"/>
      <c r="H688" s="111"/>
      <c r="I688" s="111"/>
      <c r="J688" s="111"/>
      <c r="K688" s="112"/>
      <c r="L688" s="111"/>
      <c r="M688" s="111"/>
      <c r="N688" s="111"/>
      <c r="O688" s="111"/>
      <c r="P688" s="111"/>
      <c r="Q688" s="112"/>
      <c r="R688" s="112"/>
    </row>
    <row r="689" spans="1:18" ht="15" x14ac:dyDescent="0.25">
      <c r="A689" s="109"/>
      <c r="B689" s="78"/>
      <c r="C689" s="78"/>
      <c r="D689" s="78"/>
      <c r="E689" s="78"/>
      <c r="F689" s="110"/>
      <c r="G689" s="115"/>
      <c r="H689" s="78"/>
      <c r="I689" s="78"/>
      <c r="J689" s="78"/>
      <c r="K689" s="110"/>
      <c r="L689" s="78"/>
      <c r="M689" s="78"/>
      <c r="N689" s="78"/>
      <c r="O689" s="78"/>
      <c r="P689" s="78"/>
      <c r="Q689" s="110"/>
      <c r="R689" s="110"/>
    </row>
    <row r="690" spans="1:18" ht="15" x14ac:dyDescent="0.25">
      <c r="A690" s="109"/>
      <c r="B690" s="111"/>
      <c r="C690" s="111"/>
      <c r="D690" s="111"/>
      <c r="E690" s="111"/>
      <c r="F690" s="112"/>
      <c r="G690" s="114"/>
      <c r="H690" s="111"/>
      <c r="I690" s="111"/>
      <c r="J690" s="111"/>
      <c r="K690" s="112"/>
      <c r="L690" s="111"/>
      <c r="M690" s="111"/>
      <c r="N690" s="111"/>
      <c r="O690" s="111"/>
      <c r="P690" s="111"/>
      <c r="Q690" s="112"/>
      <c r="R690" s="112"/>
    </row>
    <row r="691" spans="1:18" ht="15" x14ac:dyDescent="0.25">
      <c r="A691" s="109"/>
      <c r="B691" s="78"/>
      <c r="C691" s="78"/>
      <c r="D691" s="78"/>
      <c r="E691" s="78"/>
      <c r="F691" s="110"/>
      <c r="G691" s="115"/>
      <c r="H691" s="78"/>
      <c r="I691" s="78"/>
      <c r="J691" s="78"/>
      <c r="K691" s="110"/>
      <c r="L691" s="78"/>
      <c r="M691" s="78"/>
      <c r="N691" s="78"/>
      <c r="O691" s="78"/>
      <c r="P691" s="78"/>
      <c r="Q691" s="110"/>
      <c r="R691" s="110"/>
    </row>
    <row r="692" spans="1:18" ht="15" x14ac:dyDescent="0.25">
      <c r="A692" s="109"/>
      <c r="B692" s="111"/>
      <c r="C692" s="111"/>
      <c r="D692" s="111"/>
      <c r="E692" s="111"/>
      <c r="F692" s="112"/>
      <c r="G692" s="114"/>
      <c r="H692" s="111"/>
      <c r="I692" s="111"/>
      <c r="J692" s="111"/>
      <c r="K692" s="112"/>
      <c r="L692" s="111"/>
      <c r="M692" s="111"/>
      <c r="N692" s="111"/>
      <c r="O692" s="111"/>
      <c r="P692" s="111"/>
      <c r="Q692" s="112"/>
      <c r="R692" s="112"/>
    </row>
    <row r="693" spans="1:18" ht="15" x14ac:dyDescent="0.25">
      <c r="A693" s="109"/>
      <c r="B693" s="78"/>
      <c r="C693" s="78"/>
      <c r="D693" s="78"/>
      <c r="E693" s="78"/>
      <c r="F693" s="110"/>
      <c r="G693" s="115"/>
      <c r="H693" s="78"/>
      <c r="I693" s="78"/>
      <c r="J693" s="78"/>
      <c r="K693" s="110"/>
      <c r="L693" s="78"/>
      <c r="M693" s="78"/>
      <c r="N693" s="78"/>
      <c r="O693" s="78"/>
      <c r="P693" s="78"/>
      <c r="Q693" s="110"/>
      <c r="R693" s="110"/>
    </row>
    <row r="694" spans="1:18" ht="15" x14ac:dyDescent="0.25">
      <c r="A694" s="109"/>
      <c r="B694" s="111"/>
      <c r="C694" s="111"/>
      <c r="D694" s="111"/>
      <c r="E694" s="111"/>
      <c r="F694" s="112"/>
      <c r="G694" s="114"/>
      <c r="H694" s="111"/>
      <c r="I694" s="111"/>
      <c r="J694" s="111"/>
      <c r="K694" s="112"/>
      <c r="L694" s="111"/>
      <c r="M694" s="111"/>
      <c r="N694" s="111"/>
      <c r="O694" s="111"/>
      <c r="P694" s="111"/>
      <c r="Q694" s="112"/>
      <c r="R694" s="112"/>
    </row>
    <row r="695" spans="1:18" ht="15" x14ac:dyDescent="0.25">
      <c r="A695" s="109"/>
      <c r="B695" s="78"/>
      <c r="C695" s="78"/>
      <c r="D695" s="78"/>
      <c r="E695" s="78"/>
      <c r="F695" s="110"/>
      <c r="G695" s="115"/>
      <c r="H695" s="78"/>
      <c r="I695" s="78"/>
      <c r="J695" s="78"/>
      <c r="K695" s="110"/>
      <c r="L695" s="78"/>
      <c r="M695" s="78"/>
      <c r="N695" s="78"/>
      <c r="O695" s="78"/>
      <c r="P695" s="78"/>
      <c r="Q695" s="110"/>
      <c r="R695" s="110"/>
    </row>
    <row r="696" spans="1:18" ht="15" x14ac:dyDescent="0.25">
      <c r="A696" s="109"/>
      <c r="B696" s="111"/>
      <c r="C696" s="111"/>
      <c r="D696" s="111"/>
      <c r="E696" s="111"/>
      <c r="F696" s="112"/>
      <c r="G696" s="114"/>
      <c r="H696" s="111"/>
      <c r="I696" s="111"/>
      <c r="J696" s="111"/>
      <c r="K696" s="112"/>
      <c r="L696" s="111"/>
      <c r="M696" s="111"/>
      <c r="N696" s="111"/>
      <c r="O696" s="111"/>
      <c r="P696" s="111"/>
      <c r="Q696" s="112"/>
      <c r="R696" s="112"/>
    </row>
    <row r="697" spans="1:18" ht="15" x14ac:dyDescent="0.25">
      <c r="A697" s="109"/>
      <c r="B697" s="78"/>
      <c r="C697" s="78"/>
      <c r="D697" s="78"/>
      <c r="E697" s="78"/>
      <c r="F697" s="110"/>
      <c r="G697" s="115"/>
      <c r="H697" s="78"/>
      <c r="I697" s="78"/>
      <c r="J697" s="78"/>
      <c r="K697" s="110"/>
      <c r="L697" s="78"/>
      <c r="M697" s="78"/>
      <c r="N697" s="78"/>
      <c r="O697" s="78"/>
      <c r="P697" s="78"/>
      <c r="Q697" s="110"/>
      <c r="R697" s="110"/>
    </row>
    <row r="698" spans="1:18" ht="15" x14ac:dyDescent="0.25">
      <c r="A698" s="109"/>
      <c r="B698" s="111"/>
      <c r="C698" s="111"/>
      <c r="D698" s="111"/>
      <c r="E698" s="111"/>
      <c r="F698" s="112"/>
      <c r="G698" s="114"/>
      <c r="H698" s="111"/>
      <c r="I698" s="111"/>
      <c r="J698" s="111"/>
      <c r="K698" s="112"/>
      <c r="L698" s="111"/>
      <c r="M698" s="111"/>
      <c r="N698" s="111"/>
      <c r="O698" s="111"/>
      <c r="P698" s="111"/>
      <c r="Q698" s="112"/>
      <c r="R698" s="112"/>
    </row>
    <row r="699" spans="1:18" ht="15" x14ac:dyDescent="0.25">
      <c r="A699" s="109"/>
      <c r="B699" s="78"/>
      <c r="C699" s="78"/>
      <c r="D699" s="78"/>
      <c r="E699" s="78"/>
      <c r="F699" s="110"/>
      <c r="G699" s="115"/>
      <c r="H699" s="78"/>
      <c r="I699" s="78"/>
      <c r="J699" s="78"/>
      <c r="K699" s="110"/>
      <c r="L699" s="78"/>
      <c r="M699" s="78"/>
      <c r="N699" s="78"/>
      <c r="O699" s="78"/>
      <c r="P699" s="78"/>
      <c r="Q699" s="110"/>
      <c r="R699" s="110"/>
    </row>
    <row r="700" spans="1:18" ht="15" x14ac:dyDescent="0.25">
      <c r="A700" s="109"/>
      <c r="B700" s="111"/>
      <c r="C700" s="111"/>
      <c r="D700" s="111"/>
      <c r="E700" s="111"/>
      <c r="F700" s="112"/>
      <c r="G700" s="114"/>
      <c r="H700" s="111"/>
      <c r="I700" s="111"/>
      <c r="J700" s="111"/>
      <c r="K700" s="112"/>
      <c r="L700" s="111"/>
      <c r="M700" s="111"/>
      <c r="N700" s="111"/>
      <c r="O700" s="111"/>
      <c r="P700" s="111"/>
      <c r="Q700" s="112"/>
      <c r="R700" s="112"/>
    </row>
    <row r="701" spans="1:18" ht="15" x14ac:dyDescent="0.25">
      <c r="A701" s="109"/>
      <c r="B701" s="78"/>
      <c r="C701" s="78"/>
      <c r="D701" s="78"/>
      <c r="E701" s="78"/>
      <c r="F701" s="110"/>
      <c r="G701" s="115"/>
      <c r="H701" s="78"/>
      <c r="I701" s="78"/>
      <c r="J701" s="78"/>
      <c r="K701" s="110"/>
      <c r="L701" s="78"/>
      <c r="M701" s="78"/>
      <c r="N701" s="78"/>
      <c r="O701" s="78"/>
      <c r="P701" s="78"/>
      <c r="Q701" s="110"/>
      <c r="R701" s="110"/>
    </row>
    <row r="702" spans="1:18" ht="15" x14ac:dyDescent="0.25">
      <c r="A702" s="109"/>
      <c r="B702" s="111"/>
      <c r="C702" s="111"/>
      <c r="D702" s="111"/>
      <c r="E702" s="111"/>
      <c r="F702" s="112"/>
      <c r="G702" s="114"/>
      <c r="H702" s="111"/>
      <c r="I702" s="111"/>
      <c r="J702" s="111"/>
      <c r="K702" s="112"/>
      <c r="L702" s="111"/>
      <c r="M702" s="111"/>
      <c r="N702" s="111"/>
      <c r="O702" s="111"/>
      <c r="P702" s="111"/>
      <c r="Q702" s="112"/>
      <c r="R702" s="112"/>
    </row>
    <row r="703" spans="1:18" ht="15" x14ac:dyDescent="0.25">
      <c r="A703" s="109"/>
      <c r="B703" s="78"/>
      <c r="C703" s="78"/>
      <c r="D703" s="78"/>
      <c r="E703" s="78"/>
      <c r="F703" s="110"/>
      <c r="G703" s="115"/>
      <c r="H703" s="78"/>
      <c r="I703" s="78"/>
      <c r="J703" s="78"/>
      <c r="K703" s="110"/>
      <c r="L703" s="78"/>
      <c r="M703" s="78"/>
      <c r="N703" s="78"/>
      <c r="O703" s="78"/>
      <c r="P703" s="78"/>
      <c r="Q703" s="110"/>
      <c r="R703" s="110"/>
    </row>
    <row r="704" spans="1:18" ht="15" x14ac:dyDescent="0.25">
      <c r="A704" s="109"/>
      <c r="B704" s="111"/>
      <c r="C704" s="111"/>
      <c r="D704" s="111"/>
      <c r="E704" s="111"/>
      <c r="F704" s="112"/>
      <c r="G704" s="114"/>
      <c r="H704" s="111"/>
      <c r="I704" s="111"/>
      <c r="J704" s="111"/>
      <c r="K704" s="112"/>
      <c r="L704" s="111"/>
      <c r="M704" s="111"/>
      <c r="N704" s="111"/>
      <c r="O704" s="111"/>
      <c r="P704" s="111"/>
      <c r="Q704" s="112"/>
      <c r="R704" s="112"/>
    </row>
    <row r="705" spans="1:18" ht="15" x14ac:dyDescent="0.25">
      <c r="A705" s="109"/>
      <c r="B705" s="78"/>
      <c r="C705" s="78"/>
      <c r="D705" s="78"/>
      <c r="E705" s="78"/>
      <c r="F705" s="110"/>
      <c r="G705" s="115"/>
      <c r="H705" s="78"/>
      <c r="I705" s="78"/>
      <c r="J705" s="78"/>
      <c r="K705" s="110"/>
      <c r="L705" s="78"/>
      <c r="M705" s="78"/>
      <c r="N705" s="78"/>
      <c r="O705" s="78"/>
      <c r="P705" s="78"/>
      <c r="Q705" s="110"/>
      <c r="R705" s="110"/>
    </row>
    <row r="706" spans="1:18" ht="15" x14ac:dyDescent="0.25">
      <c r="A706" s="109"/>
      <c r="B706" s="111"/>
      <c r="C706" s="111"/>
      <c r="D706" s="111"/>
      <c r="E706" s="111"/>
      <c r="F706" s="112"/>
      <c r="G706" s="114"/>
      <c r="H706" s="111"/>
      <c r="I706" s="111"/>
      <c r="J706" s="111"/>
      <c r="K706" s="112"/>
      <c r="L706" s="111"/>
      <c r="M706" s="111"/>
      <c r="N706" s="111"/>
      <c r="O706" s="111"/>
      <c r="P706" s="111"/>
      <c r="Q706" s="112"/>
      <c r="R706" s="112"/>
    </row>
    <row r="707" spans="1:18" ht="15" x14ac:dyDescent="0.25">
      <c r="A707" s="109"/>
      <c r="B707" s="78"/>
      <c r="C707" s="78"/>
      <c r="D707" s="78"/>
      <c r="E707" s="78"/>
      <c r="F707" s="110"/>
      <c r="G707" s="115"/>
      <c r="H707" s="78"/>
      <c r="I707" s="78"/>
      <c r="J707" s="78"/>
      <c r="K707" s="110"/>
      <c r="L707" s="78"/>
      <c r="M707" s="78"/>
      <c r="N707" s="78"/>
      <c r="O707" s="78"/>
      <c r="P707" s="78"/>
      <c r="Q707" s="110"/>
      <c r="R707" s="110"/>
    </row>
    <row r="708" spans="1:18" ht="15" x14ac:dyDescent="0.25">
      <c r="A708" s="109"/>
      <c r="B708" s="111"/>
      <c r="C708" s="111"/>
      <c r="D708" s="111"/>
      <c r="E708" s="111"/>
      <c r="F708" s="112"/>
      <c r="G708" s="114"/>
      <c r="H708" s="111"/>
      <c r="I708" s="111"/>
      <c r="J708" s="111"/>
      <c r="K708" s="112"/>
      <c r="L708" s="111"/>
      <c r="M708" s="111"/>
      <c r="N708" s="111"/>
      <c r="O708" s="111"/>
      <c r="P708" s="111"/>
      <c r="Q708" s="112"/>
      <c r="R708" s="112"/>
    </row>
    <row r="709" spans="1:18" ht="15" x14ac:dyDescent="0.25">
      <c r="A709" s="109"/>
      <c r="B709" s="78"/>
      <c r="C709" s="78"/>
      <c r="D709" s="78"/>
      <c r="E709" s="78"/>
      <c r="F709" s="110"/>
      <c r="G709" s="115"/>
      <c r="H709" s="78"/>
      <c r="I709" s="78"/>
      <c r="J709" s="78"/>
      <c r="K709" s="110"/>
      <c r="L709" s="78"/>
      <c r="M709" s="78"/>
      <c r="N709" s="78"/>
      <c r="O709" s="78"/>
      <c r="P709" s="78"/>
      <c r="Q709" s="110"/>
      <c r="R709" s="110"/>
    </row>
    <row r="710" spans="1:18" ht="15" x14ac:dyDescent="0.25">
      <c r="A710" s="109"/>
      <c r="B710" s="111"/>
      <c r="C710" s="111"/>
      <c r="D710" s="111"/>
      <c r="E710" s="111"/>
      <c r="F710" s="112"/>
      <c r="G710" s="114"/>
      <c r="H710" s="111"/>
      <c r="I710" s="111"/>
      <c r="J710" s="111"/>
      <c r="K710" s="112"/>
      <c r="L710" s="111"/>
      <c r="M710" s="111"/>
      <c r="N710" s="111"/>
      <c r="O710" s="111"/>
      <c r="P710" s="111"/>
      <c r="Q710" s="112"/>
      <c r="R710" s="112"/>
    </row>
    <row r="711" spans="1:18" ht="15" x14ac:dyDescent="0.25">
      <c r="A711" s="109"/>
      <c r="B711" s="78"/>
      <c r="C711" s="78"/>
      <c r="D711" s="78"/>
      <c r="E711" s="78"/>
      <c r="F711" s="110"/>
      <c r="G711" s="115"/>
      <c r="H711" s="78"/>
      <c r="I711" s="78"/>
      <c r="J711" s="78"/>
      <c r="K711" s="110"/>
      <c r="L711" s="78"/>
      <c r="M711" s="78"/>
      <c r="N711" s="78"/>
      <c r="O711" s="78"/>
      <c r="P711" s="78"/>
      <c r="Q711" s="110"/>
      <c r="R711" s="110"/>
    </row>
    <row r="712" spans="1:18" ht="15" x14ac:dyDescent="0.25">
      <c r="A712" s="109"/>
      <c r="B712" s="111"/>
      <c r="C712" s="111"/>
      <c r="D712" s="111"/>
      <c r="E712" s="111"/>
      <c r="F712" s="112"/>
      <c r="G712" s="114"/>
      <c r="H712" s="111"/>
      <c r="I712" s="111"/>
      <c r="J712" s="111"/>
      <c r="K712" s="112"/>
      <c r="L712" s="111"/>
      <c r="M712" s="111"/>
      <c r="N712" s="111"/>
      <c r="O712" s="111"/>
      <c r="P712" s="111"/>
      <c r="Q712" s="112"/>
      <c r="R712" s="112"/>
    </row>
    <row r="713" spans="1:18" ht="15" x14ac:dyDescent="0.25">
      <c r="A713" s="109"/>
      <c r="B713" s="78"/>
      <c r="C713" s="78"/>
      <c r="D713" s="78"/>
      <c r="E713" s="78"/>
      <c r="F713" s="110"/>
      <c r="G713" s="115"/>
      <c r="H713" s="78"/>
      <c r="I713" s="78"/>
      <c r="J713" s="78"/>
      <c r="K713" s="110"/>
      <c r="L713" s="78"/>
      <c r="M713" s="78"/>
      <c r="N713" s="78"/>
      <c r="O713" s="78"/>
      <c r="P713" s="78"/>
      <c r="Q713" s="110"/>
      <c r="R713" s="110"/>
    </row>
    <row r="714" spans="1:18" ht="15" x14ac:dyDescent="0.25">
      <c r="A714" s="109"/>
      <c r="B714" s="111"/>
      <c r="C714" s="111"/>
      <c r="D714" s="111"/>
      <c r="E714" s="111"/>
      <c r="F714" s="112"/>
      <c r="G714" s="114"/>
      <c r="H714" s="111"/>
      <c r="I714" s="111"/>
      <c r="J714" s="111"/>
      <c r="K714" s="112"/>
      <c r="L714" s="111"/>
      <c r="M714" s="111"/>
      <c r="N714" s="111"/>
      <c r="O714" s="111"/>
      <c r="P714" s="111"/>
      <c r="Q714" s="112"/>
      <c r="R714" s="112"/>
    </row>
    <row r="715" spans="1:18" ht="15" x14ac:dyDescent="0.25">
      <c r="A715" s="109"/>
      <c r="B715" s="78"/>
      <c r="C715" s="78"/>
      <c r="D715" s="78"/>
      <c r="E715" s="78"/>
      <c r="F715" s="110"/>
      <c r="G715" s="115"/>
      <c r="H715" s="78"/>
      <c r="I715" s="78"/>
      <c r="J715" s="78"/>
      <c r="K715" s="110"/>
      <c r="L715" s="78"/>
      <c r="M715" s="78"/>
      <c r="N715" s="78"/>
      <c r="O715" s="78"/>
      <c r="P715" s="78"/>
      <c r="Q715" s="110"/>
      <c r="R715" s="110"/>
    </row>
    <row r="716" spans="1:18" ht="15" x14ac:dyDescent="0.25">
      <c r="A716" s="109"/>
      <c r="B716" s="111"/>
      <c r="C716" s="111"/>
      <c r="D716" s="111"/>
      <c r="E716" s="111"/>
      <c r="F716" s="112"/>
      <c r="G716" s="114"/>
      <c r="H716" s="111"/>
      <c r="I716" s="111"/>
      <c r="J716" s="111"/>
      <c r="K716" s="112"/>
      <c r="L716" s="111"/>
      <c r="M716" s="111"/>
      <c r="N716" s="111"/>
      <c r="O716" s="111"/>
      <c r="P716" s="111"/>
      <c r="Q716" s="112"/>
      <c r="R716" s="112"/>
    </row>
    <row r="717" spans="1:18" ht="15" x14ac:dyDescent="0.25">
      <c r="A717" s="109"/>
      <c r="B717" s="78"/>
      <c r="C717" s="78"/>
      <c r="D717" s="78"/>
      <c r="E717" s="78"/>
      <c r="F717" s="110"/>
      <c r="G717" s="115"/>
      <c r="H717" s="78"/>
      <c r="I717" s="78"/>
      <c r="J717" s="78"/>
      <c r="K717" s="110"/>
      <c r="L717" s="78"/>
      <c r="M717" s="78"/>
      <c r="N717" s="78"/>
      <c r="O717" s="78"/>
      <c r="P717" s="78"/>
      <c r="Q717" s="110"/>
      <c r="R717" s="110"/>
    </row>
    <row r="718" spans="1:18" ht="15" x14ac:dyDescent="0.25">
      <c r="A718" s="109"/>
      <c r="B718" s="111"/>
      <c r="C718" s="111"/>
      <c r="D718" s="111"/>
      <c r="E718" s="111"/>
      <c r="F718" s="112"/>
      <c r="G718" s="114"/>
      <c r="H718" s="111"/>
      <c r="I718" s="111"/>
      <c r="J718" s="111"/>
      <c r="K718" s="112"/>
      <c r="L718" s="111"/>
      <c r="M718" s="111"/>
      <c r="N718" s="111"/>
      <c r="O718" s="111"/>
      <c r="P718" s="111"/>
      <c r="Q718" s="112"/>
      <c r="R718" s="112"/>
    </row>
    <row r="719" spans="1:18" ht="15" x14ac:dyDescent="0.25">
      <c r="A719" s="109"/>
      <c r="B719" s="78"/>
      <c r="C719" s="78"/>
      <c r="D719" s="78"/>
      <c r="E719" s="78"/>
      <c r="F719" s="110"/>
      <c r="G719" s="115"/>
      <c r="H719" s="78"/>
      <c r="I719" s="78"/>
      <c r="J719" s="78"/>
      <c r="K719" s="110"/>
      <c r="L719" s="78"/>
      <c r="M719" s="78"/>
      <c r="N719" s="78"/>
      <c r="O719" s="78"/>
      <c r="P719" s="78"/>
      <c r="Q719" s="110"/>
      <c r="R719" s="110"/>
    </row>
    <row r="720" spans="1:18" ht="15" x14ac:dyDescent="0.25">
      <c r="A720" s="109"/>
      <c r="B720" s="111"/>
      <c r="C720" s="111"/>
      <c r="D720" s="111"/>
      <c r="E720" s="111"/>
      <c r="F720" s="112"/>
      <c r="G720" s="114"/>
      <c r="H720" s="111"/>
      <c r="I720" s="111"/>
      <c r="J720" s="111"/>
      <c r="K720" s="112"/>
      <c r="L720" s="111"/>
      <c r="M720" s="111"/>
      <c r="N720" s="111"/>
      <c r="O720" s="111"/>
      <c r="P720" s="111"/>
      <c r="Q720" s="112"/>
      <c r="R720" s="112"/>
    </row>
    <row r="721" spans="1:18" ht="15" x14ac:dyDescent="0.25">
      <c r="A721" s="109"/>
      <c r="B721" s="78"/>
      <c r="C721" s="78"/>
      <c r="D721" s="78"/>
      <c r="E721" s="78"/>
      <c r="F721" s="110"/>
      <c r="G721" s="115"/>
      <c r="H721" s="78"/>
      <c r="I721" s="78"/>
      <c r="J721" s="78"/>
      <c r="K721" s="110"/>
      <c r="L721" s="78"/>
      <c r="M721" s="78"/>
      <c r="N721" s="78"/>
      <c r="O721" s="78"/>
      <c r="P721" s="78"/>
      <c r="Q721" s="110"/>
      <c r="R721" s="110"/>
    </row>
    <row r="722" spans="1:18" ht="15" x14ac:dyDescent="0.25">
      <c r="A722" s="109"/>
      <c r="B722" s="111"/>
      <c r="C722" s="111"/>
      <c r="D722" s="111"/>
      <c r="E722" s="111"/>
      <c r="F722" s="112"/>
      <c r="G722" s="114"/>
      <c r="H722" s="111"/>
      <c r="I722" s="111"/>
      <c r="J722" s="111"/>
      <c r="K722" s="112"/>
      <c r="L722" s="111"/>
      <c r="M722" s="111"/>
      <c r="N722" s="111"/>
      <c r="O722" s="111"/>
      <c r="P722" s="111"/>
      <c r="Q722" s="112"/>
      <c r="R722" s="112"/>
    </row>
    <row r="723" spans="1:18" ht="15" x14ac:dyDescent="0.25">
      <c r="A723" s="109"/>
      <c r="B723" s="78"/>
      <c r="C723" s="78"/>
      <c r="D723" s="78"/>
      <c r="E723" s="78"/>
      <c r="F723" s="110"/>
      <c r="G723" s="115"/>
      <c r="H723" s="78"/>
      <c r="I723" s="78"/>
      <c r="J723" s="78"/>
      <c r="K723" s="110"/>
      <c r="L723" s="78"/>
      <c r="M723" s="78"/>
      <c r="N723" s="78"/>
      <c r="O723" s="78"/>
      <c r="P723" s="78"/>
      <c r="Q723" s="110"/>
      <c r="R723" s="110"/>
    </row>
    <row r="724" spans="1:18" ht="15" x14ac:dyDescent="0.25">
      <c r="A724" s="109"/>
      <c r="B724" s="111"/>
      <c r="C724" s="111"/>
      <c r="D724" s="111"/>
      <c r="E724" s="111"/>
      <c r="F724" s="112"/>
      <c r="G724" s="114"/>
      <c r="H724" s="111"/>
      <c r="I724" s="111"/>
      <c r="J724" s="111"/>
      <c r="K724" s="112"/>
      <c r="L724" s="111"/>
      <c r="M724" s="111"/>
      <c r="N724" s="111"/>
      <c r="O724" s="111"/>
      <c r="P724" s="111"/>
      <c r="Q724" s="112"/>
      <c r="R724" s="112"/>
    </row>
    <row r="725" spans="1:18" ht="15" x14ac:dyDescent="0.25">
      <c r="A725" s="109"/>
      <c r="B725" s="78"/>
      <c r="C725" s="78"/>
      <c r="D725" s="78"/>
      <c r="E725" s="78"/>
      <c r="F725" s="110"/>
      <c r="G725" s="115"/>
      <c r="H725" s="78"/>
      <c r="I725" s="78"/>
      <c r="J725" s="78"/>
      <c r="K725" s="110"/>
      <c r="L725" s="78"/>
      <c r="M725" s="78"/>
      <c r="N725" s="78"/>
      <c r="O725" s="78"/>
      <c r="P725" s="78"/>
      <c r="Q725" s="110"/>
      <c r="R725" s="110"/>
    </row>
    <row r="726" spans="1:18" ht="15" x14ac:dyDescent="0.25">
      <c r="A726" s="109"/>
      <c r="B726" s="111"/>
      <c r="C726" s="111"/>
      <c r="D726" s="111"/>
      <c r="E726" s="111"/>
      <c r="F726" s="112"/>
      <c r="G726" s="114"/>
      <c r="H726" s="111"/>
      <c r="I726" s="111"/>
      <c r="J726" s="111"/>
      <c r="K726" s="112"/>
      <c r="L726" s="111"/>
      <c r="M726" s="111"/>
      <c r="N726" s="111"/>
      <c r="O726" s="111"/>
      <c r="P726" s="111"/>
      <c r="Q726" s="112"/>
      <c r="R726" s="112"/>
    </row>
    <row r="727" spans="1:18" ht="15" x14ac:dyDescent="0.25">
      <c r="A727" s="109"/>
      <c r="B727" s="78"/>
      <c r="C727" s="78"/>
      <c r="D727" s="78"/>
      <c r="E727" s="78"/>
      <c r="F727" s="110"/>
      <c r="G727" s="115"/>
      <c r="H727" s="78"/>
      <c r="I727" s="78"/>
      <c r="J727" s="78"/>
      <c r="K727" s="110"/>
      <c r="L727" s="78"/>
      <c r="M727" s="78"/>
      <c r="N727" s="78"/>
      <c r="O727" s="78"/>
      <c r="P727" s="78"/>
      <c r="Q727" s="110"/>
      <c r="R727" s="110"/>
    </row>
    <row r="728" spans="1:18" ht="15" x14ac:dyDescent="0.25">
      <c r="A728" s="109"/>
      <c r="B728" s="111"/>
      <c r="C728" s="111"/>
      <c r="D728" s="111"/>
      <c r="E728" s="111"/>
      <c r="F728" s="112"/>
      <c r="G728" s="114"/>
      <c r="H728" s="111"/>
      <c r="I728" s="111"/>
      <c r="J728" s="111"/>
      <c r="K728" s="112"/>
      <c r="L728" s="111"/>
      <c r="M728" s="111"/>
      <c r="N728" s="111"/>
      <c r="O728" s="111"/>
      <c r="P728" s="111"/>
      <c r="Q728" s="112"/>
      <c r="R728" s="112"/>
    </row>
    <row r="729" spans="1:18" ht="15" x14ac:dyDescent="0.25">
      <c r="A729" s="109"/>
      <c r="B729" s="78"/>
      <c r="C729" s="78"/>
      <c r="D729" s="78"/>
      <c r="E729" s="78"/>
      <c r="F729" s="110"/>
      <c r="G729" s="115"/>
      <c r="H729" s="78"/>
      <c r="I729" s="78"/>
      <c r="J729" s="78"/>
      <c r="K729" s="110"/>
      <c r="L729" s="78"/>
      <c r="M729" s="78"/>
      <c r="N729" s="78"/>
      <c r="O729" s="78"/>
      <c r="P729" s="78"/>
      <c r="Q729" s="110"/>
      <c r="R729" s="110"/>
    </row>
    <row r="730" spans="1:18" ht="15" x14ac:dyDescent="0.25">
      <c r="A730" s="109"/>
      <c r="B730" s="111"/>
      <c r="C730" s="111"/>
      <c r="D730" s="111"/>
      <c r="E730" s="111"/>
      <c r="F730" s="112"/>
      <c r="G730" s="114"/>
      <c r="H730" s="111"/>
      <c r="I730" s="111"/>
      <c r="J730" s="111"/>
      <c r="K730" s="112"/>
      <c r="L730" s="111"/>
      <c r="M730" s="111"/>
      <c r="N730" s="111"/>
      <c r="O730" s="111"/>
      <c r="P730" s="111"/>
      <c r="Q730" s="112"/>
      <c r="R730" s="112"/>
    </row>
    <row r="731" spans="1:18" ht="15" x14ac:dyDescent="0.25">
      <c r="A731" s="109"/>
      <c r="B731" s="78"/>
      <c r="C731" s="78"/>
      <c r="D731" s="78"/>
      <c r="E731" s="78"/>
      <c r="F731" s="110"/>
      <c r="G731" s="115"/>
      <c r="H731" s="78"/>
      <c r="I731" s="78"/>
      <c r="J731" s="78"/>
      <c r="K731" s="110"/>
      <c r="L731" s="78"/>
      <c r="M731" s="78"/>
      <c r="N731" s="78"/>
      <c r="O731" s="78"/>
      <c r="P731" s="78"/>
      <c r="Q731" s="110"/>
      <c r="R731" s="110"/>
    </row>
    <row r="732" spans="1:18" ht="15" x14ac:dyDescent="0.25">
      <c r="A732" s="109"/>
      <c r="B732" s="111"/>
      <c r="C732" s="111"/>
      <c r="D732" s="111"/>
      <c r="E732" s="111"/>
      <c r="F732" s="112"/>
      <c r="G732" s="114"/>
      <c r="H732" s="111"/>
      <c r="I732" s="111"/>
      <c r="J732" s="111"/>
      <c r="K732" s="112"/>
      <c r="L732" s="111"/>
      <c r="M732" s="111"/>
      <c r="N732" s="111"/>
      <c r="O732" s="111"/>
      <c r="P732" s="111"/>
      <c r="Q732" s="112"/>
      <c r="R732" s="112"/>
    </row>
    <row r="733" spans="1:18" ht="15" x14ac:dyDescent="0.25">
      <c r="A733" s="109"/>
      <c r="B733" s="78"/>
      <c r="C733" s="78"/>
      <c r="D733" s="78"/>
      <c r="E733" s="78"/>
      <c r="F733" s="110"/>
      <c r="G733" s="115"/>
      <c r="H733" s="78"/>
      <c r="I733" s="78"/>
      <c r="J733" s="78"/>
      <c r="K733" s="110"/>
      <c r="L733" s="78"/>
      <c r="M733" s="78"/>
      <c r="N733" s="78"/>
      <c r="O733" s="78"/>
      <c r="P733" s="78"/>
      <c r="Q733" s="110"/>
      <c r="R733" s="110"/>
    </row>
    <row r="734" spans="1:18" ht="15" x14ac:dyDescent="0.25">
      <c r="A734" s="109"/>
      <c r="B734" s="111"/>
      <c r="C734" s="111"/>
      <c r="D734" s="111"/>
      <c r="E734" s="111"/>
      <c r="F734" s="112"/>
      <c r="G734" s="114"/>
      <c r="H734" s="111"/>
      <c r="I734" s="111"/>
      <c r="J734" s="111"/>
      <c r="K734" s="112"/>
      <c r="L734" s="111"/>
      <c r="M734" s="111"/>
      <c r="N734" s="111"/>
      <c r="O734" s="111"/>
      <c r="P734" s="111"/>
      <c r="Q734" s="112"/>
      <c r="R734" s="112"/>
    </row>
    <row r="735" spans="1:18" ht="15" x14ac:dyDescent="0.25">
      <c r="A735" s="109"/>
      <c r="B735" s="78"/>
      <c r="C735" s="78"/>
      <c r="D735" s="78"/>
      <c r="E735" s="78"/>
      <c r="F735" s="110"/>
      <c r="G735" s="115"/>
      <c r="H735" s="78"/>
      <c r="I735" s="78"/>
      <c r="J735" s="78"/>
      <c r="K735" s="110"/>
      <c r="L735" s="78"/>
      <c r="M735" s="78"/>
      <c r="N735" s="78"/>
      <c r="O735" s="78"/>
      <c r="P735" s="78"/>
      <c r="Q735" s="110"/>
      <c r="R735" s="110"/>
    </row>
    <row r="736" spans="1:18" ht="15" x14ac:dyDescent="0.25">
      <c r="A736" s="109"/>
      <c r="B736" s="111"/>
      <c r="C736" s="111"/>
      <c r="D736" s="111"/>
      <c r="E736" s="111"/>
      <c r="F736" s="112"/>
      <c r="G736" s="114"/>
      <c r="H736" s="111"/>
      <c r="I736" s="111"/>
      <c r="J736" s="111"/>
      <c r="K736" s="112"/>
      <c r="L736" s="111"/>
      <c r="M736" s="111"/>
      <c r="N736" s="111"/>
      <c r="O736" s="111"/>
      <c r="P736" s="111"/>
      <c r="Q736" s="112"/>
      <c r="R736" s="112"/>
    </row>
    <row r="737" spans="1:18" ht="15" x14ac:dyDescent="0.25">
      <c r="A737" s="109"/>
      <c r="B737" s="78"/>
      <c r="C737" s="78"/>
      <c r="D737" s="78"/>
      <c r="E737" s="78"/>
      <c r="F737" s="110"/>
      <c r="G737" s="115"/>
      <c r="H737" s="78"/>
      <c r="I737" s="78"/>
      <c r="J737" s="78"/>
      <c r="K737" s="110"/>
      <c r="L737" s="78"/>
      <c r="M737" s="78"/>
      <c r="N737" s="78"/>
      <c r="O737" s="78"/>
      <c r="P737" s="78"/>
      <c r="Q737" s="110"/>
      <c r="R737" s="110"/>
    </row>
    <row r="738" spans="1:18" ht="15" x14ac:dyDescent="0.25">
      <c r="A738" s="109"/>
      <c r="B738" s="111"/>
      <c r="C738" s="111"/>
      <c r="D738" s="111"/>
      <c r="E738" s="111"/>
      <c r="F738" s="112"/>
      <c r="G738" s="114"/>
      <c r="H738" s="111"/>
      <c r="I738" s="111"/>
      <c r="J738" s="111"/>
      <c r="K738" s="112"/>
      <c r="L738" s="111"/>
      <c r="M738" s="111"/>
      <c r="N738" s="111"/>
      <c r="O738" s="111"/>
      <c r="P738" s="111"/>
      <c r="Q738" s="112"/>
      <c r="R738" s="112"/>
    </row>
    <row r="739" spans="1:18" ht="15" x14ac:dyDescent="0.25">
      <c r="A739" s="109"/>
      <c r="B739" s="78"/>
      <c r="C739" s="78"/>
      <c r="D739" s="78"/>
      <c r="E739" s="78"/>
      <c r="F739" s="110"/>
      <c r="G739" s="115"/>
      <c r="H739" s="78"/>
      <c r="I739" s="78"/>
      <c r="J739" s="78"/>
      <c r="K739" s="110"/>
      <c r="L739" s="78"/>
      <c r="M739" s="78"/>
      <c r="N739" s="78"/>
      <c r="O739" s="78"/>
      <c r="P739" s="78"/>
      <c r="Q739" s="110"/>
      <c r="R739" s="110"/>
    </row>
    <row r="740" spans="1:18" ht="15" x14ac:dyDescent="0.25">
      <c r="A740" s="109"/>
      <c r="B740" s="111"/>
      <c r="C740" s="111"/>
      <c r="D740" s="111"/>
      <c r="E740" s="111"/>
      <c r="F740" s="112"/>
      <c r="G740" s="114"/>
      <c r="H740" s="111"/>
      <c r="I740" s="111"/>
      <c r="J740" s="111"/>
      <c r="K740" s="112"/>
      <c r="L740" s="111"/>
      <c r="M740" s="111"/>
      <c r="N740" s="111"/>
      <c r="O740" s="111"/>
      <c r="P740" s="111"/>
      <c r="Q740" s="112"/>
      <c r="R740" s="112"/>
    </row>
    <row r="741" spans="1:18" ht="15" x14ac:dyDescent="0.25">
      <c r="A741" s="109"/>
      <c r="B741" s="78"/>
      <c r="C741" s="78"/>
      <c r="D741" s="78"/>
      <c r="E741" s="78"/>
      <c r="F741" s="110"/>
      <c r="G741" s="115"/>
      <c r="H741" s="78"/>
      <c r="I741" s="78"/>
      <c r="J741" s="78"/>
      <c r="K741" s="110"/>
      <c r="L741" s="78"/>
      <c r="M741" s="78"/>
      <c r="N741" s="78"/>
      <c r="O741" s="78"/>
      <c r="P741" s="78"/>
      <c r="Q741" s="110"/>
      <c r="R741" s="110"/>
    </row>
    <row r="742" spans="1:18" ht="15" x14ac:dyDescent="0.25">
      <c r="A742" s="109"/>
      <c r="B742" s="111"/>
      <c r="C742" s="111"/>
      <c r="D742" s="111"/>
      <c r="E742" s="111"/>
      <c r="F742" s="112"/>
      <c r="G742" s="114"/>
      <c r="H742" s="111"/>
      <c r="I742" s="111"/>
      <c r="J742" s="111"/>
      <c r="K742" s="112"/>
      <c r="L742" s="111"/>
      <c r="M742" s="111"/>
      <c r="N742" s="111"/>
      <c r="O742" s="111"/>
      <c r="P742" s="111"/>
      <c r="Q742" s="112"/>
      <c r="R742" s="112"/>
    </row>
    <row r="743" spans="1:18" ht="15" x14ac:dyDescent="0.25">
      <c r="A743" s="109"/>
      <c r="B743" s="78"/>
      <c r="C743" s="78"/>
      <c r="D743" s="78"/>
      <c r="E743" s="78"/>
      <c r="F743" s="110"/>
      <c r="G743" s="115"/>
      <c r="H743" s="78"/>
      <c r="I743" s="78"/>
      <c r="J743" s="78"/>
      <c r="K743" s="110"/>
      <c r="L743" s="78"/>
      <c r="M743" s="78"/>
      <c r="N743" s="78"/>
      <c r="O743" s="78"/>
      <c r="P743" s="78"/>
      <c r="Q743" s="110"/>
      <c r="R743" s="110"/>
    </row>
    <row r="744" spans="1:18" ht="15" x14ac:dyDescent="0.25">
      <c r="A744" s="109"/>
      <c r="B744" s="111"/>
      <c r="C744" s="111"/>
      <c r="D744" s="111"/>
      <c r="E744" s="111"/>
      <c r="F744" s="112"/>
      <c r="G744" s="114"/>
      <c r="H744" s="111"/>
      <c r="I744" s="111"/>
      <c r="J744" s="111"/>
      <c r="K744" s="112"/>
      <c r="L744" s="111"/>
      <c r="M744" s="111"/>
      <c r="N744" s="111"/>
      <c r="O744" s="111"/>
      <c r="P744" s="111"/>
      <c r="Q744" s="112"/>
      <c r="R744" s="112"/>
    </row>
    <row r="745" spans="1:18" ht="15" x14ac:dyDescent="0.25">
      <c r="A745" s="109"/>
      <c r="B745" s="78"/>
      <c r="C745" s="78"/>
      <c r="D745" s="78"/>
      <c r="E745" s="78"/>
      <c r="F745" s="110"/>
      <c r="G745" s="115"/>
      <c r="H745" s="78"/>
      <c r="I745" s="78"/>
      <c r="J745" s="78"/>
      <c r="K745" s="110"/>
      <c r="L745" s="78"/>
      <c r="M745" s="78"/>
      <c r="N745" s="78"/>
      <c r="O745" s="78"/>
      <c r="P745" s="78"/>
      <c r="Q745" s="110"/>
      <c r="R745" s="110"/>
    </row>
    <row r="746" spans="1:18" ht="15" x14ac:dyDescent="0.25">
      <c r="A746" s="109"/>
      <c r="B746" s="111"/>
      <c r="C746" s="111"/>
      <c r="D746" s="111"/>
      <c r="E746" s="111"/>
      <c r="F746" s="112"/>
      <c r="G746" s="114"/>
      <c r="H746" s="111"/>
      <c r="I746" s="111"/>
      <c r="J746" s="111"/>
      <c r="K746" s="112"/>
      <c r="L746" s="111"/>
      <c r="M746" s="111"/>
      <c r="N746" s="111"/>
      <c r="O746" s="111"/>
      <c r="P746" s="111"/>
      <c r="Q746" s="112"/>
      <c r="R746" s="112"/>
    </row>
    <row r="747" spans="1:18" ht="15" x14ac:dyDescent="0.25">
      <c r="A747" s="109"/>
      <c r="B747" s="78"/>
      <c r="C747" s="78"/>
      <c r="D747" s="78"/>
      <c r="E747" s="78"/>
      <c r="F747" s="110"/>
      <c r="G747" s="115"/>
      <c r="H747" s="78"/>
      <c r="I747" s="78"/>
      <c r="J747" s="78"/>
      <c r="K747" s="110"/>
      <c r="L747" s="78"/>
      <c r="M747" s="78"/>
      <c r="N747" s="78"/>
      <c r="O747" s="78"/>
      <c r="P747" s="78"/>
      <c r="Q747" s="110"/>
      <c r="R747" s="110"/>
    </row>
    <row r="748" spans="1:18" ht="15" x14ac:dyDescent="0.25">
      <c r="A748" s="109"/>
      <c r="B748" s="111"/>
      <c r="C748" s="111"/>
      <c r="D748" s="111"/>
      <c r="E748" s="111"/>
      <c r="F748" s="112"/>
      <c r="G748" s="114"/>
      <c r="H748" s="111"/>
      <c r="I748" s="111"/>
      <c r="J748" s="111"/>
      <c r="K748" s="112"/>
      <c r="L748" s="111"/>
      <c r="M748" s="111"/>
      <c r="N748" s="111"/>
      <c r="O748" s="111"/>
      <c r="P748" s="111"/>
      <c r="Q748" s="112"/>
      <c r="R748" s="112"/>
    </row>
    <row r="749" spans="1:18" ht="15" x14ac:dyDescent="0.25">
      <c r="A749" s="109"/>
      <c r="B749" s="78"/>
      <c r="C749" s="78"/>
      <c r="D749" s="78"/>
      <c r="E749" s="78"/>
      <c r="F749" s="110"/>
      <c r="G749" s="115"/>
      <c r="H749" s="78"/>
      <c r="I749" s="78"/>
      <c r="J749" s="78"/>
      <c r="K749" s="110"/>
      <c r="L749" s="78"/>
      <c r="M749" s="78"/>
      <c r="N749" s="78"/>
      <c r="O749" s="78"/>
      <c r="P749" s="78"/>
      <c r="Q749" s="110"/>
      <c r="R749" s="110"/>
    </row>
    <row r="750" spans="1:18" ht="15" x14ac:dyDescent="0.25">
      <c r="A750" s="109"/>
      <c r="B750" s="111"/>
      <c r="C750" s="111"/>
      <c r="D750" s="111"/>
      <c r="E750" s="111"/>
      <c r="F750" s="112"/>
      <c r="G750" s="114"/>
      <c r="H750" s="111"/>
      <c r="I750" s="111"/>
      <c r="J750" s="111"/>
      <c r="K750" s="112"/>
      <c r="L750" s="111"/>
      <c r="M750" s="111"/>
      <c r="N750" s="111"/>
      <c r="O750" s="111"/>
      <c r="P750" s="111"/>
      <c r="Q750" s="112"/>
      <c r="R750" s="112"/>
    </row>
    <row r="751" spans="1:18" ht="15" x14ac:dyDescent="0.25">
      <c r="A751" s="109"/>
      <c r="B751" s="78"/>
      <c r="C751" s="78"/>
      <c r="D751" s="78"/>
      <c r="E751" s="78"/>
      <c r="F751" s="110"/>
      <c r="G751" s="115"/>
      <c r="H751" s="78"/>
      <c r="I751" s="78"/>
      <c r="J751" s="78"/>
      <c r="K751" s="110"/>
      <c r="L751" s="78"/>
      <c r="M751" s="78"/>
      <c r="N751" s="78"/>
      <c r="O751" s="78"/>
      <c r="P751" s="78"/>
      <c r="Q751" s="110"/>
      <c r="R751" s="110"/>
    </row>
    <row r="752" spans="1:18" ht="15" x14ac:dyDescent="0.25">
      <c r="A752" s="109"/>
      <c r="B752" s="111"/>
      <c r="C752" s="111"/>
      <c r="D752" s="111"/>
      <c r="E752" s="111"/>
      <c r="F752" s="112"/>
      <c r="G752" s="114"/>
      <c r="H752" s="111"/>
      <c r="I752" s="111"/>
      <c r="J752" s="111"/>
      <c r="K752" s="112"/>
      <c r="L752" s="111"/>
      <c r="M752" s="111"/>
      <c r="N752" s="111"/>
      <c r="O752" s="111"/>
      <c r="P752" s="111"/>
      <c r="Q752" s="112"/>
      <c r="R752" s="112"/>
    </row>
    <row r="753" spans="1:18" ht="15" x14ac:dyDescent="0.25">
      <c r="A753" s="109"/>
      <c r="B753" s="78"/>
      <c r="C753" s="78"/>
      <c r="D753" s="78"/>
      <c r="E753" s="78"/>
      <c r="F753" s="110"/>
      <c r="G753" s="115"/>
      <c r="H753" s="78"/>
      <c r="I753" s="78"/>
      <c r="J753" s="78"/>
      <c r="K753" s="110"/>
      <c r="L753" s="78"/>
      <c r="M753" s="78"/>
      <c r="N753" s="78"/>
      <c r="O753" s="78"/>
      <c r="P753" s="78"/>
      <c r="Q753" s="110"/>
      <c r="R753" s="110"/>
    </row>
    <row r="754" spans="1:18" ht="15" x14ac:dyDescent="0.25">
      <c r="A754" s="109"/>
      <c r="B754" s="111"/>
      <c r="C754" s="111"/>
      <c r="D754" s="111"/>
      <c r="E754" s="111"/>
      <c r="F754" s="112"/>
      <c r="G754" s="114"/>
      <c r="H754" s="111"/>
      <c r="I754" s="111"/>
      <c r="J754" s="111"/>
      <c r="K754" s="112"/>
      <c r="L754" s="111"/>
      <c r="M754" s="111"/>
      <c r="N754" s="111"/>
      <c r="O754" s="111"/>
      <c r="P754" s="111"/>
      <c r="Q754" s="112"/>
      <c r="R754" s="112"/>
    </row>
    <row r="755" spans="1:18" ht="15" x14ac:dyDescent="0.25">
      <c r="A755" s="109"/>
      <c r="B755" s="78"/>
      <c r="C755" s="78"/>
      <c r="D755" s="78"/>
      <c r="E755" s="78"/>
      <c r="F755" s="110"/>
      <c r="G755" s="115"/>
      <c r="H755" s="78"/>
      <c r="I755" s="78"/>
      <c r="J755" s="78"/>
      <c r="K755" s="110"/>
      <c r="L755" s="78"/>
      <c r="M755" s="78"/>
      <c r="N755" s="78"/>
      <c r="O755" s="78"/>
      <c r="P755" s="78"/>
      <c r="Q755" s="110"/>
      <c r="R755" s="110"/>
    </row>
    <row r="756" spans="1:18" ht="15" x14ac:dyDescent="0.25">
      <c r="A756" s="109"/>
      <c r="B756" s="111"/>
      <c r="C756" s="111"/>
      <c r="D756" s="111"/>
      <c r="E756" s="111"/>
      <c r="F756" s="112"/>
      <c r="G756" s="114"/>
      <c r="H756" s="111"/>
      <c r="I756" s="111"/>
      <c r="J756" s="111"/>
      <c r="K756" s="112"/>
      <c r="L756" s="111"/>
      <c r="M756" s="111"/>
      <c r="N756" s="111"/>
      <c r="O756" s="111"/>
      <c r="P756" s="111"/>
      <c r="Q756" s="112"/>
      <c r="R756" s="112"/>
    </row>
    <row r="757" spans="1:18" ht="15" x14ac:dyDescent="0.25">
      <c r="A757" s="109"/>
      <c r="B757" s="78"/>
      <c r="C757" s="78"/>
      <c r="D757" s="78"/>
      <c r="E757" s="78"/>
      <c r="F757" s="110"/>
      <c r="G757" s="115"/>
      <c r="H757" s="78"/>
      <c r="I757" s="78"/>
      <c r="J757" s="78"/>
      <c r="K757" s="110"/>
      <c r="L757" s="78"/>
      <c r="M757" s="78"/>
      <c r="N757" s="78"/>
      <c r="O757" s="78"/>
      <c r="P757" s="78"/>
      <c r="Q757" s="110"/>
      <c r="R757" s="110"/>
    </row>
    <row r="758" spans="1:18" ht="15" x14ac:dyDescent="0.25">
      <c r="A758" s="109"/>
      <c r="B758" s="111"/>
      <c r="C758" s="111"/>
      <c r="D758" s="111"/>
      <c r="E758" s="111"/>
      <c r="F758" s="112"/>
      <c r="G758" s="114"/>
      <c r="H758" s="111"/>
      <c r="I758" s="111"/>
      <c r="J758" s="111"/>
      <c r="K758" s="112"/>
      <c r="L758" s="111"/>
      <c r="M758" s="111"/>
      <c r="N758" s="111"/>
      <c r="O758" s="111"/>
      <c r="P758" s="111"/>
      <c r="Q758" s="112"/>
      <c r="R758" s="112"/>
    </row>
    <row r="759" spans="1:18" ht="15" x14ac:dyDescent="0.25">
      <c r="A759" s="109"/>
      <c r="B759" s="78"/>
      <c r="C759" s="78"/>
      <c r="D759" s="78"/>
      <c r="E759" s="78"/>
      <c r="F759" s="110"/>
      <c r="G759" s="115"/>
      <c r="H759" s="78"/>
      <c r="I759" s="78"/>
      <c r="J759" s="78"/>
      <c r="K759" s="110"/>
      <c r="L759" s="78"/>
      <c r="M759" s="78"/>
      <c r="N759" s="78"/>
      <c r="O759" s="78"/>
      <c r="P759" s="78"/>
      <c r="Q759" s="110"/>
      <c r="R759" s="110"/>
    </row>
    <row r="760" spans="1:18" ht="15" x14ac:dyDescent="0.25">
      <c r="A760" s="109"/>
      <c r="B760" s="111"/>
      <c r="C760" s="111"/>
      <c r="D760" s="111"/>
      <c r="E760" s="111"/>
      <c r="F760" s="112"/>
      <c r="G760" s="114"/>
      <c r="H760" s="111"/>
      <c r="I760" s="111"/>
      <c r="J760" s="111"/>
      <c r="K760" s="112"/>
      <c r="L760" s="111"/>
      <c r="M760" s="111"/>
      <c r="N760" s="111"/>
      <c r="O760" s="111"/>
      <c r="P760" s="111"/>
      <c r="Q760" s="112"/>
      <c r="R760" s="112"/>
    </row>
    <row r="761" spans="1:18" ht="15" x14ac:dyDescent="0.25">
      <c r="A761" s="109"/>
      <c r="B761" s="78"/>
      <c r="C761" s="78"/>
      <c r="D761" s="78"/>
      <c r="E761" s="78"/>
      <c r="F761" s="110"/>
      <c r="G761" s="115"/>
      <c r="H761" s="78"/>
      <c r="I761" s="78"/>
      <c r="J761" s="78"/>
      <c r="K761" s="110"/>
      <c r="L761" s="78"/>
      <c r="M761" s="78"/>
      <c r="N761" s="78"/>
      <c r="O761" s="78"/>
      <c r="P761" s="78"/>
      <c r="Q761" s="110"/>
      <c r="R761" s="110"/>
    </row>
    <row r="762" spans="1:18" ht="15" x14ac:dyDescent="0.25">
      <c r="A762" s="109"/>
      <c r="B762" s="111"/>
      <c r="C762" s="111"/>
      <c r="D762" s="111"/>
      <c r="E762" s="111"/>
      <c r="F762" s="112"/>
      <c r="G762" s="114"/>
      <c r="H762" s="111"/>
      <c r="I762" s="111"/>
      <c r="J762" s="111"/>
      <c r="K762" s="112"/>
      <c r="L762" s="111"/>
      <c r="M762" s="111"/>
      <c r="N762" s="111"/>
      <c r="O762" s="111"/>
      <c r="P762" s="111"/>
      <c r="Q762" s="112"/>
      <c r="R762" s="112"/>
    </row>
    <row r="763" spans="1:18" ht="15" x14ac:dyDescent="0.25">
      <c r="A763" s="109"/>
      <c r="B763" s="78"/>
      <c r="C763" s="78"/>
      <c r="D763" s="78"/>
      <c r="E763" s="78"/>
      <c r="F763" s="110"/>
      <c r="G763" s="115"/>
      <c r="H763" s="78"/>
      <c r="I763" s="78"/>
      <c r="J763" s="78"/>
      <c r="K763" s="110"/>
      <c r="L763" s="78"/>
      <c r="M763" s="78"/>
      <c r="N763" s="78"/>
      <c r="O763" s="78"/>
      <c r="P763" s="78"/>
      <c r="Q763" s="110"/>
      <c r="R763" s="110"/>
    </row>
    <row r="764" spans="1:18" ht="15" x14ac:dyDescent="0.25">
      <c r="A764" s="109"/>
      <c r="B764" s="111"/>
      <c r="C764" s="111"/>
      <c r="D764" s="111"/>
      <c r="E764" s="111"/>
      <c r="F764" s="112"/>
      <c r="G764" s="114"/>
      <c r="H764" s="111"/>
      <c r="I764" s="111"/>
      <c r="J764" s="111"/>
      <c r="K764" s="112"/>
      <c r="L764" s="111"/>
      <c r="M764" s="111"/>
      <c r="N764" s="111"/>
      <c r="O764" s="111"/>
      <c r="P764" s="111"/>
      <c r="Q764" s="112"/>
      <c r="R764" s="112"/>
    </row>
    <row r="765" spans="1:18" ht="15" x14ac:dyDescent="0.25">
      <c r="A765" s="109"/>
      <c r="B765" s="78"/>
      <c r="C765" s="78"/>
      <c r="D765" s="78"/>
      <c r="E765" s="78"/>
      <c r="F765" s="110"/>
      <c r="G765" s="115"/>
      <c r="H765" s="78"/>
      <c r="I765" s="78"/>
      <c r="J765" s="78"/>
      <c r="K765" s="110"/>
      <c r="L765" s="78"/>
      <c r="M765" s="78"/>
      <c r="N765" s="78"/>
      <c r="O765" s="78"/>
      <c r="P765" s="78"/>
      <c r="Q765" s="110"/>
      <c r="R765" s="110"/>
    </row>
    <row r="766" spans="1:18" ht="15" x14ac:dyDescent="0.25">
      <c r="A766" s="109"/>
      <c r="B766" s="111"/>
      <c r="C766" s="111"/>
      <c r="D766" s="111"/>
      <c r="E766" s="111"/>
      <c r="F766" s="112"/>
      <c r="G766" s="114"/>
      <c r="H766" s="111"/>
      <c r="I766" s="111"/>
      <c r="J766" s="111"/>
      <c r="K766" s="112"/>
      <c r="L766" s="111"/>
      <c r="M766" s="111"/>
      <c r="N766" s="111"/>
      <c r="O766" s="111"/>
      <c r="P766" s="111"/>
      <c r="Q766" s="112"/>
      <c r="R766" s="112"/>
    </row>
    <row r="767" spans="1:18" ht="15" x14ac:dyDescent="0.25">
      <c r="A767" s="109"/>
      <c r="B767" s="78"/>
      <c r="C767" s="78"/>
      <c r="D767" s="78"/>
      <c r="E767" s="78"/>
      <c r="F767" s="110"/>
      <c r="G767" s="115"/>
      <c r="H767" s="78"/>
      <c r="I767" s="78"/>
      <c r="J767" s="78"/>
      <c r="K767" s="110"/>
      <c r="L767" s="78"/>
      <c r="M767" s="78"/>
      <c r="N767" s="78"/>
      <c r="O767" s="78"/>
      <c r="P767" s="78"/>
      <c r="Q767" s="110"/>
      <c r="R767" s="110"/>
    </row>
    <row r="768" spans="1:18" ht="15" x14ac:dyDescent="0.25">
      <c r="A768" s="109"/>
      <c r="B768" s="111"/>
      <c r="C768" s="111"/>
      <c r="D768" s="111"/>
      <c r="E768" s="111"/>
      <c r="F768" s="112"/>
      <c r="G768" s="114"/>
      <c r="H768" s="111"/>
      <c r="I768" s="111"/>
      <c r="J768" s="111"/>
      <c r="K768" s="112"/>
      <c r="L768" s="111"/>
      <c r="M768" s="111"/>
      <c r="N768" s="111"/>
      <c r="O768" s="111"/>
      <c r="P768" s="111"/>
      <c r="Q768" s="112"/>
      <c r="R768" s="112"/>
    </row>
    <row r="769" spans="1:18" ht="15" x14ac:dyDescent="0.25">
      <c r="A769" s="109"/>
      <c r="B769" s="78"/>
      <c r="C769" s="78"/>
      <c r="D769" s="78"/>
      <c r="E769" s="78"/>
      <c r="F769" s="110"/>
      <c r="G769" s="115"/>
      <c r="H769" s="78"/>
      <c r="I769" s="78"/>
      <c r="J769" s="78"/>
      <c r="K769" s="110"/>
      <c r="L769" s="78"/>
      <c r="M769" s="78"/>
      <c r="N769" s="78"/>
      <c r="O769" s="78"/>
      <c r="P769" s="78"/>
      <c r="Q769" s="110"/>
      <c r="R769" s="110"/>
    </row>
    <row r="770" spans="1:18" ht="15" x14ac:dyDescent="0.25">
      <c r="A770" s="109"/>
      <c r="B770" s="111"/>
      <c r="C770" s="111"/>
      <c r="D770" s="111"/>
      <c r="E770" s="111"/>
      <c r="F770" s="112"/>
      <c r="G770" s="114"/>
      <c r="H770" s="111"/>
      <c r="I770" s="111"/>
      <c r="J770" s="111"/>
      <c r="K770" s="112"/>
      <c r="L770" s="111"/>
      <c r="M770" s="111"/>
      <c r="N770" s="111"/>
      <c r="O770" s="111"/>
      <c r="P770" s="111"/>
      <c r="Q770" s="112"/>
      <c r="R770" s="112"/>
    </row>
    <row r="771" spans="1:18" ht="15" x14ac:dyDescent="0.25">
      <c r="A771" s="109"/>
      <c r="B771" s="78"/>
      <c r="C771" s="78"/>
      <c r="D771" s="78"/>
      <c r="E771" s="78"/>
      <c r="F771" s="110"/>
      <c r="G771" s="115"/>
      <c r="H771" s="78"/>
      <c r="I771" s="78"/>
      <c r="J771" s="78"/>
      <c r="K771" s="110"/>
      <c r="L771" s="78"/>
      <c r="M771" s="78"/>
      <c r="N771" s="78"/>
      <c r="O771" s="78"/>
      <c r="P771" s="78"/>
      <c r="Q771" s="110"/>
      <c r="R771" s="110"/>
    </row>
    <row r="772" spans="1:18" ht="15" x14ac:dyDescent="0.25">
      <c r="A772" s="109"/>
      <c r="B772" s="111"/>
      <c r="C772" s="111"/>
      <c r="D772" s="111"/>
      <c r="E772" s="111"/>
      <c r="F772" s="112"/>
      <c r="G772" s="114"/>
      <c r="H772" s="111"/>
      <c r="I772" s="111"/>
      <c r="J772" s="111"/>
      <c r="K772" s="112"/>
      <c r="L772" s="111"/>
      <c r="M772" s="111"/>
      <c r="N772" s="111"/>
      <c r="O772" s="111"/>
      <c r="P772" s="111"/>
      <c r="Q772" s="112"/>
      <c r="R772" s="112"/>
    </row>
    <row r="773" spans="1:18" ht="15" x14ac:dyDescent="0.25">
      <c r="A773" s="109"/>
      <c r="B773" s="78"/>
      <c r="C773" s="78"/>
      <c r="D773" s="78"/>
      <c r="E773" s="78"/>
      <c r="F773" s="110"/>
      <c r="G773" s="115"/>
      <c r="H773" s="78"/>
      <c r="I773" s="78"/>
      <c r="J773" s="78"/>
      <c r="K773" s="110"/>
      <c r="L773" s="78"/>
      <c r="M773" s="78"/>
      <c r="N773" s="78"/>
      <c r="O773" s="78"/>
      <c r="P773" s="78"/>
      <c r="Q773" s="110"/>
      <c r="R773" s="110"/>
    </row>
    <row r="774" spans="1:18" ht="15" x14ac:dyDescent="0.25">
      <c r="A774" s="109"/>
      <c r="B774" s="111"/>
      <c r="C774" s="111"/>
      <c r="D774" s="111"/>
      <c r="E774" s="111"/>
      <c r="F774" s="112"/>
      <c r="G774" s="114"/>
      <c r="H774" s="111"/>
      <c r="I774" s="111"/>
      <c r="J774" s="111"/>
      <c r="K774" s="112"/>
      <c r="L774" s="111"/>
      <c r="M774" s="111"/>
      <c r="N774" s="111"/>
      <c r="O774" s="111"/>
      <c r="P774" s="111"/>
      <c r="Q774" s="112"/>
      <c r="R774" s="112"/>
    </row>
    <row r="775" spans="1:18" ht="15" x14ac:dyDescent="0.25">
      <c r="A775" s="109"/>
      <c r="B775" s="78"/>
      <c r="C775" s="78"/>
      <c r="D775" s="78"/>
      <c r="E775" s="78"/>
      <c r="F775" s="110"/>
      <c r="G775" s="115"/>
      <c r="H775" s="78"/>
      <c r="I775" s="78"/>
      <c r="J775" s="78"/>
      <c r="K775" s="110"/>
      <c r="L775" s="78"/>
      <c r="M775" s="78"/>
      <c r="N775" s="78"/>
      <c r="O775" s="78"/>
      <c r="P775" s="78"/>
      <c r="Q775" s="110"/>
      <c r="R775" s="110"/>
    </row>
    <row r="776" spans="1:18" ht="15" x14ac:dyDescent="0.25">
      <c r="A776" s="109"/>
      <c r="B776" s="111"/>
      <c r="C776" s="111"/>
      <c r="D776" s="111"/>
      <c r="E776" s="111"/>
      <c r="F776" s="112"/>
      <c r="G776" s="114"/>
      <c r="H776" s="111"/>
      <c r="I776" s="111"/>
      <c r="J776" s="111"/>
      <c r="K776" s="112"/>
      <c r="L776" s="111"/>
      <c r="M776" s="111"/>
      <c r="N776" s="111"/>
      <c r="O776" s="111"/>
      <c r="P776" s="111"/>
      <c r="Q776" s="112"/>
      <c r="R776" s="112"/>
    </row>
    <row r="777" spans="1:18" ht="15" x14ac:dyDescent="0.25">
      <c r="A777" s="109"/>
      <c r="B777" s="78"/>
      <c r="C777" s="78"/>
      <c r="D777" s="78"/>
      <c r="E777" s="78"/>
      <c r="F777" s="110"/>
      <c r="G777" s="115"/>
      <c r="H777" s="78"/>
      <c r="I777" s="78"/>
      <c r="J777" s="78"/>
      <c r="K777" s="110"/>
      <c r="L777" s="78"/>
      <c r="M777" s="78"/>
      <c r="N777" s="78"/>
      <c r="O777" s="78"/>
      <c r="P777" s="78"/>
      <c r="Q777" s="110"/>
      <c r="R777" s="110"/>
    </row>
    <row r="778" spans="1:18" ht="15" x14ac:dyDescent="0.25">
      <c r="A778" s="109"/>
      <c r="B778" s="111"/>
      <c r="C778" s="111"/>
      <c r="D778" s="111"/>
      <c r="E778" s="111"/>
      <c r="F778" s="112"/>
      <c r="G778" s="114"/>
      <c r="H778" s="111"/>
      <c r="I778" s="111"/>
      <c r="J778" s="111"/>
      <c r="K778" s="112"/>
      <c r="L778" s="111"/>
      <c r="M778" s="111"/>
      <c r="N778" s="111"/>
      <c r="O778" s="111"/>
      <c r="P778" s="111"/>
      <c r="Q778" s="112"/>
      <c r="R778" s="112"/>
    </row>
    <row r="779" spans="1:18" ht="15" x14ac:dyDescent="0.25">
      <c r="A779" s="109"/>
      <c r="B779" s="78"/>
      <c r="C779" s="78"/>
      <c r="D779" s="78"/>
      <c r="E779" s="78"/>
      <c r="F779" s="110"/>
      <c r="G779" s="115"/>
      <c r="H779" s="78"/>
      <c r="I779" s="78"/>
      <c r="J779" s="78"/>
      <c r="K779" s="110"/>
      <c r="L779" s="78"/>
      <c r="M779" s="78"/>
      <c r="N779" s="78"/>
      <c r="O779" s="78"/>
      <c r="P779" s="78"/>
      <c r="Q779" s="110"/>
      <c r="R779" s="110"/>
    </row>
    <row r="780" spans="1:18" ht="15" x14ac:dyDescent="0.25">
      <c r="A780" s="109"/>
      <c r="B780" s="111"/>
      <c r="C780" s="111"/>
      <c r="D780" s="111"/>
      <c r="E780" s="111"/>
      <c r="F780" s="112"/>
      <c r="G780" s="114"/>
      <c r="H780" s="111"/>
      <c r="I780" s="111"/>
      <c r="J780" s="111"/>
      <c r="K780" s="112"/>
      <c r="L780" s="111"/>
      <c r="M780" s="111"/>
      <c r="N780" s="111"/>
      <c r="O780" s="111"/>
      <c r="P780" s="111"/>
      <c r="Q780" s="112"/>
      <c r="R780" s="112"/>
    </row>
    <row r="781" spans="1:18" ht="15" x14ac:dyDescent="0.25">
      <c r="A781" s="109"/>
      <c r="B781" s="78"/>
      <c r="C781" s="78"/>
      <c r="D781" s="78"/>
      <c r="E781" s="78"/>
      <c r="F781" s="110"/>
      <c r="G781" s="115"/>
      <c r="H781" s="78"/>
      <c r="I781" s="78"/>
      <c r="J781" s="78"/>
      <c r="K781" s="110"/>
      <c r="L781" s="78"/>
      <c r="M781" s="78"/>
      <c r="N781" s="78"/>
      <c r="O781" s="78"/>
      <c r="P781" s="78"/>
      <c r="Q781" s="110"/>
      <c r="R781" s="110"/>
    </row>
    <row r="782" spans="1:18" ht="15" x14ac:dyDescent="0.25">
      <c r="A782" s="109"/>
      <c r="B782" s="111"/>
      <c r="C782" s="111"/>
      <c r="D782" s="111"/>
      <c r="E782" s="111"/>
      <c r="F782" s="112"/>
      <c r="G782" s="114"/>
      <c r="H782" s="111"/>
      <c r="I782" s="111"/>
      <c r="J782" s="111"/>
      <c r="K782" s="112"/>
      <c r="L782" s="111"/>
      <c r="M782" s="111"/>
      <c r="N782" s="111"/>
      <c r="O782" s="111"/>
      <c r="P782" s="111"/>
      <c r="Q782" s="112"/>
      <c r="R782" s="112"/>
    </row>
    <row r="783" spans="1:18" ht="15" x14ac:dyDescent="0.25">
      <c r="A783" s="109"/>
      <c r="B783" s="78"/>
      <c r="C783" s="78"/>
      <c r="D783" s="78"/>
      <c r="E783" s="78"/>
      <c r="F783" s="110"/>
      <c r="G783" s="115"/>
      <c r="H783" s="78"/>
      <c r="I783" s="78"/>
      <c r="J783" s="78"/>
      <c r="K783" s="110"/>
      <c r="L783" s="78"/>
      <c r="M783" s="78"/>
      <c r="N783" s="78"/>
      <c r="O783" s="78"/>
      <c r="P783" s="78"/>
      <c r="Q783" s="110"/>
      <c r="R783" s="110"/>
    </row>
    <row r="784" spans="1:18" ht="15" x14ac:dyDescent="0.25">
      <c r="A784" s="109"/>
      <c r="B784" s="111"/>
      <c r="C784" s="111"/>
      <c r="D784" s="111"/>
      <c r="E784" s="111"/>
      <c r="F784" s="112"/>
      <c r="G784" s="114"/>
      <c r="H784" s="111"/>
      <c r="I784" s="111"/>
      <c r="J784" s="111"/>
      <c r="K784" s="112"/>
      <c r="L784" s="111"/>
      <c r="M784" s="111"/>
      <c r="N784" s="111"/>
      <c r="O784" s="111"/>
      <c r="P784" s="111"/>
      <c r="Q784" s="112"/>
      <c r="R784" s="112"/>
    </row>
    <row r="785" spans="1:18" ht="15" x14ac:dyDescent="0.25">
      <c r="A785" s="109"/>
      <c r="B785" s="78"/>
      <c r="C785" s="78"/>
      <c r="D785" s="78"/>
      <c r="E785" s="78"/>
      <c r="F785" s="110"/>
      <c r="G785" s="115"/>
      <c r="H785" s="78"/>
      <c r="I785" s="78"/>
      <c r="J785" s="78"/>
      <c r="K785" s="110"/>
      <c r="L785" s="78"/>
      <c r="M785" s="78"/>
      <c r="N785" s="78"/>
      <c r="O785" s="78"/>
      <c r="P785" s="78"/>
      <c r="Q785" s="110"/>
      <c r="R785" s="110"/>
    </row>
    <row r="786" spans="1:18" ht="15" x14ac:dyDescent="0.25">
      <c r="A786" s="109"/>
      <c r="B786" s="111"/>
      <c r="C786" s="111"/>
      <c r="D786" s="111"/>
      <c r="E786" s="111"/>
      <c r="F786" s="112"/>
      <c r="G786" s="114"/>
      <c r="H786" s="111"/>
      <c r="I786" s="111"/>
      <c r="J786" s="111"/>
      <c r="K786" s="112"/>
      <c r="L786" s="111"/>
      <c r="M786" s="111"/>
      <c r="N786" s="111"/>
      <c r="O786" s="111"/>
      <c r="P786" s="111"/>
      <c r="Q786" s="112"/>
      <c r="R786" s="112"/>
    </row>
    <row r="787" spans="1:18" ht="15" x14ac:dyDescent="0.25">
      <c r="A787" s="109"/>
      <c r="B787" s="78"/>
      <c r="C787" s="78"/>
      <c r="D787" s="78"/>
      <c r="E787" s="78"/>
      <c r="F787" s="110"/>
      <c r="G787" s="115"/>
      <c r="H787" s="78"/>
      <c r="I787" s="78"/>
      <c r="J787" s="78"/>
      <c r="K787" s="110"/>
      <c r="L787" s="78"/>
      <c r="M787" s="78"/>
      <c r="N787" s="78"/>
      <c r="O787" s="78"/>
      <c r="P787" s="78"/>
      <c r="Q787" s="110"/>
      <c r="R787" s="110"/>
    </row>
    <row r="788" spans="1:18" ht="15" x14ac:dyDescent="0.25">
      <c r="A788" s="109"/>
      <c r="B788" s="111"/>
      <c r="C788" s="111"/>
      <c r="D788" s="111"/>
      <c r="E788" s="111"/>
      <c r="F788" s="112"/>
      <c r="G788" s="114"/>
      <c r="H788" s="111"/>
      <c r="I788" s="111"/>
      <c r="J788" s="111"/>
      <c r="K788" s="112"/>
      <c r="L788" s="111"/>
      <c r="M788" s="111"/>
      <c r="N788" s="111"/>
      <c r="O788" s="111"/>
      <c r="P788" s="111"/>
      <c r="Q788" s="112"/>
      <c r="R788" s="112"/>
    </row>
    <row r="789" spans="1:18" ht="15" x14ac:dyDescent="0.25">
      <c r="A789" s="109"/>
      <c r="B789" s="78"/>
      <c r="C789" s="78"/>
      <c r="D789" s="78"/>
      <c r="E789" s="78"/>
      <c r="F789" s="110"/>
      <c r="G789" s="115"/>
      <c r="H789" s="78"/>
      <c r="I789" s="78"/>
      <c r="J789" s="78"/>
      <c r="K789" s="110"/>
      <c r="L789" s="78"/>
      <c r="M789" s="78"/>
      <c r="N789" s="78"/>
      <c r="O789" s="78"/>
      <c r="P789" s="78"/>
      <c r="Q789" s="110"/>
      <c r="R789" s="110"/>
    </row>
    <row r="790" spans="1:18" ht="15" x14ac:dyDescent="0.25">
      <c r="A790" s="109"/>
      <c r="B790" s="111"/>
      <c r="C790" s="111"/>
      <c r="D790" s="111"/>
      <c r="E790" s="111"/>
      <c r="F790" s="112"/>
      <c r="G790" s="114"/>
      <c r="H790" s="111"/>
      <c r="I790" s="111"/>
      <c r="J790" s="111"/>
      <c r="K790" s="112"/>
      <c r="L790" s="111"/>
      <c r="M790" s="111"/>
      <c r="N790" s="111"/>
      <c r="O790" s="111"/>
      <c r="P790" s="111"/>
      <c r="Q790" s="112"/>
      <c r="R790" s="112"/>
    </row>
    <row r="791" spans="1:18" ht="15" x14ac:dyDescent="0.25">
      <c r="A791" s="109"/>
      <c r="B791" s="78"/>
      <c r="C791" s="78"/>
      <c r="D791" s="78"/>
      <c r="E791" s="78"/>
      <c r="F791" s="110"/>
      <c r="G791" s="115"/>
      <c r="H791" s="78"/>
      <c r="I791" s="78"/>
      <c r="J791" s="78"/>
      <c r="K791" s="110"/>
      <c r="L791" s="78"/>
      <c r="M791" s="78"/>
      <c r="N791" s="78"/>
      <c r="O791" s="78"/>
      <c r="P791" s="78"/>
      <c r="Q791" s="110"/>
      <c r="R791" s="110"/>
    </row>
    <row r="792" spans="1:18" ht="15" x14ac:dyDescent="0.25">
      <c r="A792" s="109"/>
      <c r="B792" s="111"/>
      <c r="C792" s="111"/>
      <c r="D792" s="111"/>
      <c r="E792" s="111"/>
      <c r="F792" s="112"/>
      <c r="G792" s="114"/>
      <c r="H792" s="111"/>
      <c r="I792" s="111"/>
      <c r="J792" s="111"/>
      <c r="K792" s="112"/>
      <c r="L792" s="111"/>
      <c r="M792" s="111"/>
      <c r="N792" s="111"/>
      <c r="O792" s="111"/>
      <c r="P792" s="111"/>
      <c r="Q792" s="112"/>
      <c r="R792" s="112"/>
    </row>
    <row r="793" spans="1:18" ht="15" x14ac:dyDescent="0.25">
      <c r="A793" s="109"/>
      <c r="B793" s="78"/>
      <c r="C793" s="78"/>
      <c r="D793" s="78"/>
      <c r="E793" s="78"/>
      <c r="F793" s="110"/>
      <c r="G793" s="115"/>
      <c r="H793" s="78"/>
      <c r="I793" s="78"/>
      <c r="J793" s="78"/>
      <c r="K793" s="110"/>
      <c r="L793" s="78"/>
      <c r="M793" s="78"/>
      <c r="N793" s="78"/>
      <c r="O793" s="78"/>
      <c r="P793" s="78"/>
      <c r="Q793" s="110"/>
      <c r="R793" s="110"/>
    </row>
    <row r="794" spans="1:18" ht="15" x14ac:dyDescent="0.25">
      <c r="A794" s="109"/>
      <c r="B794" s="111"/>
      <c r="C794" s="111"/>
      <c r="D794" s="111"/>
      <c r="E794" s="111"/>
      <c r="F794" s="112"/>
      <c r="G794" s="114"/>
      <c r="H794" s="111"/>
      <c r="I794" s="111"/>
      <c r="J794" s="111"/>
      <c r="K794" s="112"/>
      <c r="L794" s="111"/>
      <c r="M794" s="111"/>
      <c r="N794" s="111"/>
      <c r="O794" s="111"/>
      <c r="P794" s="111"/>
      <c r="Q794" s="112"/>
      <c r="R794" s="112"/>
    </row>
    <row r="795" spans="1:18" ht="15" x14ac:dyDescent="0.25">
      <c r="A795" s="109"/>
      <c r="B795" s="78"/>
      <c r="C795" s="78"/>
      <c r="D795" s="78"/>
      <c r="E795" s="78"/>
      <c r="F795" s="110"/>
      <c r="G795" s="115"/>
      <c r="H795" s="78"/>
      <c r="I795" s="78"/>
      <c r="J795" s="78"/>
      <c r="K795" s="110"/>
      <c r="L795" s="78"/>
      <c r="M795" s="78"/>
      <c r="N795" s="78"/>
      <c r="O795" s="78"/>
      <c r="P795" s="78"/>
      <c r="Q795" s="110"/>
      <c r="R795" s="110"/>
    </row>
    <row r="796" spans="1:18" ht="15" x14ac:dyDescent="0.25">
      <c r="A796" s="109"/>
      <c r="B796" s="111"/>
      <c r="C796" s="111"/>
      <c r="D796" s="111"/>
      <c r="E796" s="111"/>
      <c r="F796" s="112"/>
      <c r="G796" s="114"/>
      <c r="H796" s="111"/>
      <c r="I796" s="111"/>
      <c r="J796" s="111"/>
      <c r="K796" s="112"/>
      <c r="L796" s="111"/>
      <c r="M796" s="111"/>
      <c r="N796" s="111"/>
      <c r="O796" s="111"/>
      <c r="P796" s="111"/>
      <c r="Q796" s="112"/>
      <c r="R796" s="112"/>
    </row>
    <row r="797" spans="1:18" ht="15" x14ac:dyDescent="0.25">
      <c r="A797" s="109"/>
      <c r="B797" s="78"/>
      <c r="C797" s="78"/>
      <c r="D797" s="78"/>
      <c r="E797" s="78"/>
      <c r="F797" s="110"/>
      <c r="G797" s="115"/>
      <c r="H797" s="78"/>
      <c r="I797" s="78"/>
      <c r="J797" s="78"/>
      <c r="K797" s="110"/>
      <c r="L797" s="78"/>
      <c r="M797" s="78"/>
      <c r="N797" s="78"/>
      <c r="O797" s="78"/>
      <c r="P797" s="78"/>
      <c r="Q797" s="110"/>
      <c r="R797" s="110"/>
    </row>
    <row r="798" spans="1:18" ht="15" x14ac:dyDescent="0.25">
      <c r="A798" s="109"/>
      <c r="B798" s="111"/>
      <c r="C798" s="111"/>
      <c r="D798" s="111"/>
      <c r="E798" s="111"/>
      <c r="F798" s="112"/>
      <c r="G798" s="114"/>
      <c r="H798" s="111"/>
      <c r="I798" s="111"/>
      <c r="J798" s="111"/>
      <c r="K798" s="112"/>
      <c r="L798" s="111"/>
      <c r="M798" s="111"/>
      <c r="N798" s="111"/>
      <c r="O798" s="111"/>
      <c r="P798" s="111"/>
      <c r="Q798" s="112"/>
      <c r="R798" s="112"/>
    </row>
    <row r="799" spans="1:18" ht="15" x14ac:dyDescent="0.25">
      <c r="A799" s="109"/>
      <c r="B799" s="78"/>
      <c r="C799" s="78"/>
      <c r="D799" s="78"/>
      <c r="E799" s="78"/>
      <c r="F799" s="110"/>
      <c r="G799" s="115"/>
      <c r="H799" s="78"/>
      <c r="I799" s="78"/>
      <c r="J799" s="78"/>
      <c r="K799" s="110"/>
      <c r="L799" s="78"/>
      <c r="M799" s="78"/>
      <c r="N799" s="78"/>
      <c r="O799" s="78"/>
      <c r="P799" s="78"/>
      <c r="Q799" s="110"/>
      <c r="R799" s="110"/>
    </row>
    <row r="800" spans="1:18" ht="15" x14ac:dyDescent="0.25">
      <c r="A800" s="109"/>
      <c r="B800" s="111"/>
      <c r="C800" s="111"/>
      <c r="D800" s="111"/>
      <c r="E800" s="111"/>
      <c r="F800" s="112"/>
      <c r="G800" s="114"/>
      <c r="H800" s="111"/>
      <c r="I800" s="111"/>
      <c r="J800" s="111"/>
      <c r="K800" s="112"/>
      <c r="L800" s="111"/>
      <c r="M800" s="111"/>
      <c r="N800" s="111"/>
      <c r="O800" s="111"/>
      <c r="P800" s="111"/>
      <c r="Q800" s="112"/>
      <c r="R800" s="112"/>
    </row>
    <row r="801" spans="1:18" ht="15" x14ac:dyDescent="0.25">
      <c r="A801" s="109"/>
      <c r="B801" s="78"/>
      <c r="C801" s="78"/>
      <c r="D801" s="78"/>
      <c r="E801" s="78"/>
      <c r="F801" s="110"/>
      <c r="G801" s="115"/>
      <c r="H801" s="78"/>
      <c r="I801" s="78"/>
      <c r="J801" s="78"/>
      <c r="K801" s="110"/>
      <c r="L801" s="78"/>
      <c r="M801" s="78"/>
      <c r="N801" s="78"/>
      <c r="O801" s="78"/>
      <c r="P801" s="78"/>
      <c r="Q801" s="110"/>
      <c r="R801" s="110"/>
    </row>
    <row r="802" spans="1:18" ht="15" x14ac:dyDescent="0.25">
      <c r="A802" s="109"/>
      <c r="B802" s="111"/>
      <c r="C802" s="111"/>
      <c r="D802" s="111"/>
      <c r="E802" s="111"/>
      <c r="F802" s="112"/>
      <c r="G802" s="114"/>
      <c r="H802" s="111"/>
      <c r="I802" s="111"/>
      <c r="J802" s="111"/>
      <c r="K802" s="112"/>
      <c r="L802" s="111"/>
      <c r="M802" s="111"/>
      <c r="N802" s="111"/>
      <c r="O802" s="111"/>
      <c r="P802" s="111"/>
      <c r="Q802" s="112"/>
      <c r="R802" s="112"/>
    </row>
    <row r="803" spans="1:18" ht="15" x14ac:dyDescent="0.25">
      <c r="A803" s="109"/>
      <c r="B803" s="78"/>
      <c r="C803" s="78"/>
      <c r="D803" s="78"/>
      <c r="E803" s="78"/>
      <c r="F803" s="110"/>
      <c r="G803" s="115"/>
      <c r="H803" s="78"/>
      <c r="I803" s="78"/>
      <c r="J803" s="78"/>
      <c r="K803" s="110"/>
      <c r="L803" s="78"/>
      <c r="M803" s="78"/>
      <c r="N803" s="78"/>
      <c r="O803" s="78"/>
      <c r="P803" s="78"/>
      <c r="Q803" s="110"/>
      <c r="R803" s="110"/>
    </row>
    <row r="804" spans="1:18" ht="15" x14ac:dyDescent="0.25">
      <c r="A804" s="109"/>
      <c r="B804" s="111"/>
      <c r="C804" s="111"/>
      <c r="D804" s="111"/>
      <c r="E804" s="111"/>
      <c r="F804" s="112"/>
      <c r="G804" s="114"/>
      <c r="H804" s="111"/>
      <c r="I804" s="111"/>
      <c r="J804" s="111"/>
      <c r="K804" s="112"/>
      <c r="L804" s="111"/>
      <c r="M804" s="111"/>
      <c r="N804" s="111"/>
      <c r="O804" s="111"/>
      <c r="P804" s="111"/>
      <c r="Q804" s="112"/>
      <c r="R804" s="112"/>
    </row>
    <row r="805" spans="1:18" ht="15" x14ac:dyDescent="0.25">
      <c r="A805" s="109"/>
      <c r="B805" s="78"/>
      <c r="C805" s="78"/>
      <c r="D805" s="78"/>
      <c r="E805" s="78"/>
      <c r="F805" s="110"/>
      <c r="G805" s="115"/>
      <c r="H805" s="78"/>
      <c r="I805" s="78"/>
      <c r="J805" s="78"/>
      <c r="K805" s="110"/>
      <c r="L805" s="78"/>
      <c r="M805" s="78"/>
      <c r="N805" s="78"/>
      <c r="O805" s="78"/>
      <c r="P805" s="78"/>
      <c r="Q805" s="110"/>
      <c r="R805" s="110"/>
    </row>
    <row r="806" spans="1:18" ht="15" x14ac:dyDescent="0.25">
      <c r="A806" s="109"/>
      <c r="B806" s="111"/>
      <c r="C806" s="111"/>
      <c r="D806" s="111"/>
      <c r="E806" s="111"/>
      <c r="F806" s="112"/>
      <c r="G806" s="114"/>
      <c r="H806" s="111"/>
      <c r="I806" s="111"/>
      <c r="J806" s="111"/>
      <c r="K806" s="112"/>
      <c r="L806" s="111"/>
      <c r="M806" s="111"/>
      <c r="N806" s="111"/>
      <c r="O806" s="111"/>
      <c r="P806" s="111"/>
      <c r="Q806" s="112"/>
      <c r="R806" s="112"/>
    </row>
    <row r="807" spans="1:18" ht="15" x14ac:dyDescent="0.25">
      <c r="A807" s="109"/>
      <c r="B807" s="78"/>
      <c r="C807" s="78"/>
      <c r="D807" s="78"/>
      <c r="E807" s="78"/>
      <c r="F807" s="110"/>
      <c r="G807" s="115"/>
      <c r="H807" s="78"/>
      <c r="I807" s="78"/>
      <c r="J807" s="78"/>
      <c r="K807" s="110"/>
      <c r="L807" s="78"/>
      <c r="M807" s="78"/>
      <c r="N807" s="78"/>
      <c r="O807" s="78"/>
      <c r="P807" s="78"/>
      <c r="Q807" s="110"/>
      <c r="R807" s="110"/>
    </row>
    <row r="808" spans="1:18" ht="15" x14ac:dyDescent="0.25">
      <c r="A808" s="109"/>
      <c r="B808" s="111"/>
      <c r="C808" s="111"/>
      <c r="D808" s="111"/>
      <c r="E808" s="111"/>
      <c r="F808" s="112"/>
      <c r="G808" s="114"/>
      <c r="H808" s="111"/>
      <c r="I808" s="111"/>
      <c r="J808" s="111"/>
      <c r="K808" s="112"/>
      <c r="L808" s="111"/>
      <c r="M808" s="111"/>
      <c r="N808" s="111"/>
      <c r="O808" s="111"/>
      <c r="P808" s="111"/>
      <c r="Q808" s="112"/>
      <c r="R808" s="112"/>
    </row>
    <row r="809" spans="1:18" ht="15" x14ac:dyDescent="0.25">
      <c r="A809" s="109"/>
      <c r="B809" s="78"/>
      <c r="C809" s="78"/>
      <c r="D809" s="78"/>
      <c r="E809" s="78"/>
      <c r="F809" s="110"/>
      <c r="G809" s="115"/>
      <c r="H809" s="78"/>
      <c r="I809" s="78"/>
      <c r="J809" s="78"/>
      <c r="K809" s="110"/>
      <c r="L809" s="78"/>
      <c r="M809" s="78"/>
      <c r="N809" s="78"/>
      <c r="O809" s="78"/>
      <c r="P809" s="78"/>
      <c r="Q809" s="110"/>
      <c r="R809" s="110"/>
    </row>
    <row r="810" spans="1:18" ht="15" x14ac:dyDescent="0.25">
      <c r="A810" s="109"/>
      <c r="B810" s="111"/>
      <c r="C810" s="111"/>
      <c r="D810" s="111"/>
      <c r="E810" s="111"/>
      <c r="F810" s="112"/>
      <c r="G810" s="114"/>
      <c r="H810" s="111"/>
      <c r="I810" s="111"/>
      <c r="J810" s="111"/>
      <c r="K810" s="112"/>
      <c r="L810" s="111"/>
      <c r="M810" s="111"/>
      <c r="N810" s="111"/>
      <c r="O810" s="111"/>
      <c r="P810" s="111"/>
      <c r="Q810" s="112"/>
      <c r="R810" s="112"/>
    </row>
    <row r="811" spans="1:18" ht="15" x14ac:dyDescent="0.25">
      <c r="A811" s="109"/>
      <c r="B811" s="78"/>
      <c r="C811" s="78"/>
      <c r="D811" s="78"/>
      <c r="E811" s="78"/>
      <c r="F811" s="110"/>
      <c r="G811" s="115"/>
      <c r="H811" s="78"/>
      <c r="I811" s="78"/>
      <c r="J811" s="78"/>
      <c r="K811" s="110"/>
      <c r="L811" s="78"/>
      <c r="M811" s="78"/>
      <c r="N811" s="78"/>
      <c r="O811" s="78"/>
      <c r="P811" s="78"/>
      <c r="Q811" s="110"/>
      <c r="R811" s="110"/>
    </row>
    <row r="812" spans="1:18" ht="15" x14ac:dyDescent="0.25">
      <c r="A812" s="109"/>
      <c r="B812" s="111"/>
      <c r="C812" s="111"/>
      <c r="D812" s="111"/>
      <c r="E812" s="111"/>
      <c r="F812" s="112"/>
      <c r="G812" s="114"/>
      <c r="H812" s="111"/>
      <c r="I812" s="111"/>
      <c r="J812" s="111"/>
      <c r="K812" s="112"/>
      <c r="L812" s="111"/>
      <c r="M812" s="111"/>
      <c r="N812" s="111"/>
      <c r="O812" s="111"/>
      <c r="P812" s="111"/>
      <c r="Q812" s="112"/>
      <c r="R812" s="112"/>
    </row>
    <row r="813" spans="1:18" ht="15" x14ac:dyDescent="0.25">
      <c r="A813" s="109"/>
      <c r="B813" s="78"/>
      <c r="C813" s="78"/>
      <c r="D813" s="78"/>
      <c r="E813" s="78"/>
      <c r="F813" s="110"/>
      <c r="G813" s="115"/>
      <c r="H813" s="78"/>
      <c r="I813" s="78"/>
      <c r="J813" s="78"/>
      <c r="K813" s="110"/>
      <c r="L813" s="78"/>
      <c r="M813" s="78"/>
      <c r="N813" s="78"/>
      <c r="O813" s="78"/>
      <c r="P813" s="78"/>
      <c r="Q813" s="110"/>
      <c r="R813" s="110"/>
    </row>
    <row r="814" spans="1:18" ht="15" x14ac:dyDescent="0.25">
      <c r="A814" s="109"/>
      <c r="B814" s="111"/>
      <c r="C814" s="111"/>
      <c r="D814" s="111"/>
      <c r="E814" s="111"/>
      <c r="F814" s="112"/>
      <c r="G814" s="114"/>
      <c r="H814" s="111"/>
      <c r="I814" s="111"/>
      <c r="J814" s="111"/>
      <c r="K814" s="112"/>
      <c r="L814" s="111"/>
      <c r="M814" s="111"/>
      <c r="N814" s="111"/>
      <c r="O814" s="111"/>
      <c r="P814" s="111"/>
      <c r="Q814" s="112"/>
      <c r="R814" s="112"/>
    </row>
    <row r="815" spans="1:18" ht="15" x14ac:dyDescent="0.25">
      <c r="A815" s="109"/>
      <c r="B815" s="78"/>
      <c r="C815" s="78"/>
      <c r="D815" s="78"/>
      <c r="E815" s="78"/>
      <c r="F815" s="110"/>
      <c r="G815" s="115"/>
      <c r="H815" s="78"/>
      <c r="I815" s="78"/>
      <c r="J815" s="78"/>
      <c r="K815" s="110"/>
      <c r="L815" s="78"/>
      <c r="M815" s="78"/>
      <c r="N815" s="78"/>
      <c r="O815" s="78"/>
      <c r="P815" s="78"/>
      <c r="Q815" s="110"/>
      <c r="R815" s="110"/>
    </row>
    <row r="816" spans="1:18" ht="15" x14ac:dyDescent="0.25">
      <c r="A816" s="109"/>
      <c r="B816" s="111"/>
      <c r="C816" s="111"/>
      <c r="D816" s="111"/>
      <c r="E816" s="111"/>
      <c r="F816" s="112"/>
      <c r="G816" s="114"/>
      <c r="H816" s="111"/>
      <c r="I816" s="111"/>
      <c r="J816" s="111"/>
      <c r="K816" s="112"/>
      <c r="L816" s="111"/>
      <c r="M816" s="111"/>
      <c r="N816" s="111"/>
      <c r="O816" s="111"/>
      <c r="P816" s="111"/>
      <c r="Q816" s="112"/>
      <c r="R816" s="112"/>
    </row>
    <row r="817" spans="1:18" ht="15" x14ac:dyDescent="0.25">
      <c r="A817" s="109"/>
      <c r="B817" s="78"/>
      <c r="C817" s="78"/>
      <c r="D817" s="78"/>
      <c r="E817" s="78"/>
      <c r="F817" s="110"/>
      <c r="G817" s="115"/>
      <c r="H817" s="78"/>
      <c r="I817" s="78"/>
      <c r="J817" s="78"/>
      <c r="K817" s="110"/>
      <c r="L817" s="78"/>
      <c r="M817" s="78"/>
      <c r="N817" s="78"/>
      <c r="O817" s="78"/>
      <c r="P817" s="78"/>
      <c r="Q817" s="110"/>
      <c r="R817" s="110"/>
    </row>
    <row r="818" spans="1:18" ht="15" x14ac:dyDescent="0.25">
      <c r="A818" s="109"/>
      <c r="B818" s="111"/>
      <c r="C818" s="111"/>
      <c r="D818" s="111"/>
      <c r="E818" s="111"/>
      <c r="F818" s="112"/>
      <c r="G818" s="114"/>
      <c r="H818" s="111"/>
      <c r="I818" s="111"/>
      <c r="J818" s="111"/>
      <c r="K818" s="112"/>
      <c r="L818" s="111"/>
      <c r="M818" s="111"/>
      <c r="N818" s="111"/>
      <c r="O818" s="111"/>
      <c r="P818" s="111"/>
      <c r="Q818" s="112"/>
      <c r="R818" s="112"/>
    </row>
    <row r="819" spans="1:18" ht="15" x14ac:dyDescent="0.25">
      <c r="A819" s="109"/>
      <c r="B819" s="78"/>
      <c r="C819" s="78"/>
      <c r="D819" s="78"/>
      <c r="E819" s="78"/>
      <c r="F819" s="110"/>
      <c r="G819" s="115"/>
      <c r="H819" s="78"/>
      <c r="I819" s="78"/>
      <c r="J819" s="78"/>
      <c r="K819" s="110"/>
      <c r="L819" s="78"/>
      <c r="M819" s="78"/>
      <c r="N819" s="78"/>
      <c r="O819" s="78"/>
      <c r="P819" s="78"/>
      <c r="Q819" s="110"/>
      <c r="R819" s="110"/>
    </row>
    <row r="820" spans="1:18" ht="15" x14ac:dyDescent="0.25">
      <c r="A820" s="109"/>
      <c r="B820" s="111"/>
      <c r="C820" s="111"/>
      <c r="D820" s="111"/>
      <c r="E820" s="111"/>
      <c r="F820" s="112"/>
      <c r="G820" s="114"/>
      <c r="H820" s="111"/>
      <c r="I820" s="111"/>
      <c r="J820" s="111"/>
      <c r="K820" s="112"/>
      <c r="L820" s="111"/>
      <c r="M820" s="111"/>
      <c r="N820" s="111"/>
      <c r="O820" s="111"/>
      <c r="P820" s="111"/>
      <c r="Q820" s="112"/>
      <c r="R820" s="112"/>
    </row>
    <row r="821" spans="1:18" ht="15" x14ac:dyDescent="0.25">
      <c r="A821" s="109"/>
      <c r="B821" s="78"/>
      <c r="C821" s="78"/>
      <c r="D821" s="78"/>
      <c r="E821" s="78"/>
      <c r="F821" s="110"/>
      <c r="G821" s="115"/>
      <c r="H821" s="78"/>
      <c r="I821" s="78"/>
      <c r="J821" s="78"/>
      <c r="K821" s="110"/>
      <c r="L821" s="78"/>
      <c r="M821" s="78"/>
      <c r="N821" s="78"/>
      <c r="O821" s="78"/>
      <c r="P821" s="78"/>
      <c r="Q821" s="110"/>
      <c r="R821" s="110"/>
    </row>
    <row r="822" spans="1:18" ht="15" x14ac:dyDescent="0.25">
      <c r="A822" s="109"/>
      <c r="B822" s="111"/>
      <c r="C822" s="111"/>
      <c r="D822" s="111"/>
      <c r="E822" s="111"/>
      <c r="F822" s="112"/>
      <c r="G822" s="114"/>
      <c r="H822" s="111"/>
      <c r="I822" s="111"/>
      <c r="J822" s="111"/>
      <c r="K822" s="112"/>
      <c r="L822" s="111"/>
      <c r="M822" s="111"/>
      <c r="N822" s="111"/>
      <c r="O822" s="111"/>
      <c r="P822" s="111"/>
      <c r="Q822" s="112"/>
      <c r="R822" s="112"/>
    </row>
    <row r="823" spans="1:18" ht="15" x14ac:dyDescent="0.25">
      <c r="A823" s="109"/>
      <c r="B823" s="78"/>
      <c r="C823" s="78"/>
      <c r="D823" s="78"/>
      <c r="E823" s="78"/>
      <c r="F823" s="110"/>
      <c r="G823" s="115"/>
      <c r="H823" s="78"/>
      <c r="I823" s="78"/>
      <c r="J823" s="78"/>
      <c r="K823" s="110"/>
      <c r="L823" s="78"/>
      <c r="M823" s="78"/>
      <c r="N823" s="78"/>
      <c r="O823" s="78"/>
      <c r="P823" s="78"/>
      <c r="Q823" s="110"/>
      <c r="R823" s="110"/>
    </row>
    <row r="824" spans="1:18" ht="15" x14ac:dyDescent="0.25">
      <c r="A824" s="109"/>
      <c r="B824" s="111"/>
      <c r="C824" s="111"/>
      <c r="D824" s="111"/>
      <c r="E824" s="111"/>
      <c r="F824" s="112"/>
      <c r="G824" s="114"/>
      <c r="H824" s="111"/>
      <c r="I824" s="111"/>
      <c r="J824" s="111"/>
      <c r="K824" s="112"/>
      <c r="L824" s="111"/>
      <c r="M824" s="111"/>
      <c r="N824" s="111"/>
      <c r="O824" s="111"/>
      <c r="P824" s="111"/>
      <c r="Q824" s="112"/>
      <c r="R824" s="112"/>
    </row>
    <row r="825" spans="1:18" ht="15" x14ac:dyDescent="0.25">
      <c r="A825" s="109"/>
      <c r="B825" s="78"/>
      <c r="C825" s="78"/>
      <c r="D825" s="78"/>
      <c r="E825" s="78"/>
      <c r="F825" s="110"/>
      <c r="G825" s="115"/>
      <c r="H825" s="78"/>
      <c r="I825" s="78"/>
      <c r="J825" s="78"/>
      <c r="K825" s="110"/>
      <c r="L825" s="78"/>
      <c r="M825" s="78"/>
      <c r="N825" s="78"/>
      <c r="O825" s="78"/>
      <c r="P825" s="78"/>
      <c r="Q825" s="110"/>
      <c r="R825" s="110"/>
    </row>
    <row r="826" spans="1:18" ht="15" x14ac:dyDescent="0.25">
      <c r="A826" s="109"/>
      <c r="B826" s="111"/>
      <c r="C826" s="111"/>
      <c r="D826" s="111"/>
      <c r="E826" s="111"/>
      <c r="F826" s="112"/>
      <c r="G826" s="114"/>
      <c r="H826" s="111"/>
      <c r="I826" s="111"/>
      <c r="J826" s="111"/>
      <c r="K826" s="112"/>
      <c r="L826" s="111"/>
      <c r="M826" s="111"/>
      <c r="N826" s="111"/>
      <c r="O826" s="111"/>
      <c r="P826" s="111"/>
      <c r="Q826" s="112"/>
      <c r="R826" s="112"/>
    </row>
    <row r="827" spans="1:18" ht="15" x14ac:dyDescent="0.25">
      <c r="A827" s="109"/>
      <c r="B827" s="78"/>
      <c r="C827" s="78"/>
      <c r="D827" s="78"/>
      <c r="E827" s="78"/>
      <c r="F827" s="110"/>
      <c r="G827" s="115"/>
      <c r="H827" s="78"/>
      <c r="I827" s="78"/>
      <c r="J827" s="78"/>
      <c r="K827" s="110"/>
      <c r="L827" s="78"/>
      <c r="M827" s="78"/>
      <c r="N827" s="78"/>
      <c r="O827" s="78"/>
      <c r="P827" s="78"/>
      <c r="Q827" s="110"/>
      <c r="R827" s="110"/>
    </row>
    <row r="828" spans="1:18" ht="15" x14ac:dyDescent="0.25">
      <c r="A828" s="109"/>
      <c r="B828" s="111"/>
      <c r="C828" s="111"/>
      <c r="D828" s="111"/>
      <c r="E828" s="111"/>
      <c r="F828" s="112"/>
      <c r="G828" s="114"/>
      <c r="H828" s="111"/>
      <c r="I828" s="111"/>
      <c r="J828" s="111"/>
      <c r="K828" s="112"/>
      <c r="L828" s="111"/>
      <c r="M828" s="111"/>
      <c r="N828" s="111"/>
      <c r="O828" s="111"/>
      <c r="P828" s="111"/>
      <c r="Q828" s="112"/>
      <c r="R828" s="112"/>
    </row>
    <row r="829" spans="1:18" ht="15" x14ac:dyDescent="0.25">
      <c r="A829" s="109"/>
      <c r="B829" s="78"/>
      <c r="C829" s="78"/>
      <c r="D829" s="78"/>
      <c r="E829" s="78"/>
      <c r="F829" s="110"/>
      <c r="G829" s="115"/>
      <c r="H829" s="78"/>
      <c r="I829" s="78"/>
      <c r="J829" s="78"/>
      <c r="K829" s="110"/>
      <c r="L829" s="78"/>
      <c r="M829" s="78"/>
      <c r="N829" s="78"/>
      <c r="O829" s="78"/>
      <c r="P829" s="78"/>
      <c r="Q829" s="110"/>
      <c r="R829" s="110"/>
    </row>
    <row r="830" spans="1:18" ht="15" x14ac:dyDescent="0.25">
      <c r="A830" s="109"/>
      <c r="B830" s="111"/>
      <c r="C830" s="111"/>
      <c r="D830" s="111"/>
      <c r="E830" s="111"/>
      <c r="F830" s="112"/>
      <c r="G830" s="114"/>
      <c r="H830" s="111"/>
      <c r="I830" s="111"/>
      <c r="J830" s="111"/>
      <c r="K830" s="112"/>
      <c r="L830" s="111"/>
      <c r="M830" s="111"/>
      <c r="N830" s="111"/>
      <c r="O830" s="111"/>
      <c r="P830" s="111"/>
      <c r="Q830" s="112"/>
      <c r="R830" s="112"/>
    </row>
    <row r="831" spans="1:18" ht="15" x14ac:dyDescent="0.25">
      <c r="A831" s="109"/>
      <c r="B831" s="78"/>
      <c r="C831" s="78"/>
      <c r="D831" s="78"/>
      <c r="E831" s="78"/>
      <c r="F831" s="110"/>
      <c r="G831" s="115"/>
      <c r="H831" s="78"/>
      <c r="I831" s="78"/>
      <c r="J831" s="78"/>
      <c r="K831" s="110"/>
      <c r="L831" s="78"/>
      <c r="M831" s="78"/>
      <c r="N831" s="78"/>
      <c r="O831" s="78"/>
      <c r="P831" s="78"/>
      <c r="Q831" s="110"/>
      <c r="R831" s="110"/>
    </row>
    <row r="832" spans="1:18" ht="15" x14ac:dyDescent="0.25">
      <c r="A832" s="109"/>
      <c r="B832" s="111"/>
      <c r="C832" s="111"/>
      <c r="D832" s="111"/>
      <c r="E832" s="111"/>
      <c r="F832" s="112"/>
      <c r="G832" s="114"/>
      <c r="H832" s="111"/>
      <c r="I832" s="111"/>
      <c r="J832" s="111"/>
      <c r="K832" s="112"/>
      <c r="L832" s="111"/>
      <c r="M832" s="111"/>
      <c r="N832" s="111"/>
      <c r="O832" s="111"/>
      <c r="P832" s="111"/>
      <c r="Q832" s="112"/>
      <c r="R832" s="112"/>
    </row>
    <row r="833" spans="1:18" ht="15" x14ac:dyDescent="0.25">
      <c r="A833" s="109"/>
      <c r="B833" s="78"/>
      <c r="C833" s="78"/>
      <c r="D833" s="78"/>
      <c r="E833" s="78"/>
      <c r="F833" s="110"/>
      <c r="G833" s="115"/>
      <c r="H833" s="78"/>
      <c r="I833" s="78"/>
      <c r="J833" s="78"/>
      <c r="K833" s="110"/>
      <c r="L833" s="78"/>
      <c r="M833" s="78"/>
      <c r="N833" s="78"/>
      <c r="O833" s="78"/>
      <c r="P833" s="78"/>
      <c r="Q833" s="110"/>
      <c r="R833" s="110"/>
    </row>
    <row r="834" spans="1:18" ht="15" x14ac:dyDescent="0.25">
      <c r="A834" s="109"/>
      <c r="B834" s="111"/>
      <c r="C834" s="111"/>
      <c r="D834" s="111"/>
      <c r="E834" s="111"/>
      <c r="F834" s="112"/>
      <c r="G834" s="114"/>
      <c r="H834" s="111"/>
      <c r="I834" s="111"/>
      <c r="J834" s="111"/>
      <c r="K834" s="112"/>
      <c r="L834" s="111"/>
      <c r="M834" s="111"/>
      <c r="N834" s="111"/>
      <c r="O834" s="111"/>
      <c r="P834" s="111"/>
      <c r="Q834" s="112"/>
      <c r="R834" s="112"/>
    </row>
    <row r="835" spans="1:18" ht="15" x14ac:dyDescent="0.25">
      <c r="A835" s="109"/>
      <c r="B835" s="78"/>
      <c r="C835" s="78"/>
      <c r="D835" s="78"/>
      <c r="E835" s="78"/>
      <c r="F835" s="110"/>
      <c r="G835" s="115"/>
      <c r="H835" s="78"/>
      <c r="I835" s="78"/>
      <c r="J835" s="78"/>
      <c r="K835" s="110"/>
      <c r="L835" s="78"/>
      <c r="M835" s="78"/>
      <c r="N835" s="78"/>
      <c r="O835" s="78"/>
      <c r="P835" s="78"/>
      <c r="Q835" s="110"/>
      <c r="R835" s="110"/>
    </row>
    <row r="836" spans="1:18" ht="15" x14ac:dyDescent="0.25">
      <c r="A836" s="109"/>
      <c r="B836" s="111"/>
      <c r="C836" s="111"/>
      <c r="D836" s="111"/>
      <c r="E836" s="111"/>
      <c r="F836" s="112"/>
      <c r="G836" s="114"/>
      <c r="H836" s="111"/>
      <c r="I836" s="111"/>
      <c r="J836" s="111"/>
      <c r="K836" s="112"/>
      <c r="L836" s="111"/>
      <c r="M836" s="111"/>
      <c r="N836" s="111"/>
      <c r="O836" s="111"/>
      <c r="P836" s="111"/>
      <c r="Q836" s="112"/>
      <c r="R836" s="112"/>
    </row>
    <row r="837" spans="1:18" ht="15" x14ac:dyDescent="0.25">
      <c r="A837" s="109"/>
      <c r="B837" s="78"/>
      <c r="C837" s="78"/>
      <c r="D837" s="78"/>
      <c r="E837" s="78"/>
      <c r="F837" s="110"/>
      <c r="G837" s="115"/>
      <c r="H837" s="78"/>
      <c r="I837" s="78"/>
      <c r="J837" s="78"/>
      <c r="K837" s="110"/>
      <c r="L837" s="78"/>
      <c r="M837" s="78"/>
      <c r="N837" s="78"/>
      <c r="O837" s="78"/>
      <c r="P837" s="78"/>
      <c r="Q837" s="110"/>
      <c r="R837" s="110"/>
    </row>
    <row r="838" spans="1:18" ht="15" x14ac:dyDescent="0.25">
      <c r="A838" s="109"/>
      <c r="B838" s="111"/>
      <c r="C838" s="111"/>
      <c r="D838" s="111"/>
      <c r="E838" s="111"/>
      <c r="F838" s="112"/>
      <c r="G838" s="114"/>
      <c r="H838" s="111"/>
      <c r="I838" s="111"/>
      <c r="J838" s="111"/>
      <c r="K838" s="112"/>
      <c r="L838" s="111"/>
      <c r="M838" s="111"/>
      <c r="N838" s="111"/>
      <c r="O838" s="111"/>
      <c r="P838" s="111"/>
      <c r="Q838" s="112"/>
      <c r="R838" s="112"/>
    </row>
    <row r="839" spans="1:18" ht="15" x14ac:dyDescent="0.25">
      <c r="A839" s="109"/>
      <c r="B839" s="78"/>
      <c r="C839" s="78"/>
      <c r="D839" s="78"/>
      <c r="E839" s="78"/>
      <c r="F839" s="110"/>
      <c r="G839" s="115"/>
      <c r="H839" s="78"/>
      <c r="I839" s="78"/>
      <c r="J839" s="78"/>
      <c r="K839" s="110"/>
      <c r="L839" s="78"/>
      <c r="M839" s="78"/>
      <c r="N839" s="78"/>
      <c r="O839" s="78"/>
      <c r="P839" s="78"/>
      <c r="Q839" s="110"/>
      <c r="R839" s="110"/>
    </row>
    <row r="840" spans="1:18" ht="15" x14ac:dyDescent="0.25">
      <c r="A840" s="109"/>
      <c r="B840" s="111"/>
      <c r="C840" s="111"/>
      <c r="D840" s="111"/>
      <c r="E840" s="111"/>
      <c r="F840" s="112"/>
      <c r="G840" s="114"/>
      <c r="H840" s="111"/>
      <c r="I840" s="111"/>
      <c r="J840" s="111"/>
      <c r="K840" s="112"/>
      <c r="L840" s="111"/>
      <c r="M840" s="111"/>
      <c r="N840" s="111"/>
      <c r="O840" s="111"/>
      <c r="P840" s="111"/>
      <c r="Q840" s="112"/>
      <c r="R840" s="112"/>
    </row>
    <row r="841" spans="1:18" ht="15" x14ac:dyDescent="0.25">
      <c r="A841" s="109"/>
      <c r="B841" s="78"/>
      <c r="C841" s="78"/>
      <c r="D841" s="78"/>
      <c r="E841" s="78"/>
      <c r="F841" s="110"/>
      <c r="G841" s="115"/>
      <c r="H841" s="78"/>
      <c r="I841" s="78"/>
      <c r="J841" s="78"/>
      <c r="K841" s="110"/>
      <c r="L841" s="78"/>
      <c r="M841" s="78"/>
      <c r="N841" s="78"/>
      <c r="O841" s="78"/>
      <c r="P841" s="78"/>
      <c r="Q841" s="110"/>
      <c r="R841" s="110"/>
    </row>
    <row r="842" spans="1:18" ht="15" x14ac:dyDescent="0.25">
      <c r="A842" s="109"/>
      <c r="B842" s="111"/>
      <c r="C842" s="111"/>
      <c r="D842" s="111"/>
      <c r="E842" s="111"/>
      <c r="F842" s="112"/>
      <c r="G842" s="114"/>
      <c r="H842" s="111"/>
      <c r="I842" s="111"/>
      <c r="J842" s="111"/>
      <c r="K842" s="112"/>
      <c r="L842" s="111"/>
      <c r="M842" s="111"/>
      <c r="N842" s="111"/>
      <c r="O842" s="111"/>
      <c r="P842" s="111"/>
      <c r="Q842" s="112"/>
      <c r="R842" s="112"/>
    </row>
    <row r="843" spans="1:18" ht="15" x14ac:dyDescent="0.25">
      <c r="A843" s="109"/>
      <c r="B843" s="78"/>
      <c r="C843" s="78"/>
      <c r="D843" s="78"/>
      <c r="E843" s="78"/>
      <c r="F843" s="110"/>
      <c r="G843" s="115"/>
      <c r="H843" s="78"/>
      <c r="I843" s="78"/>
      <c r="J843" s="78"/>
      <c r="K843" s="110"/>
      <c r="L843" s="78"/>
      <c r="M843" s="78"/>
      <c r="N843" s="78"/>
      <c r="O843" s="78"/>
      <c r="P843" s="78"/>
      <c r="Q843" s="110"/>
      <c r="R843" s="110"/>
    </row>
    <row r="844" spans="1:18" ht="15" x14ac:dyDescent="0.25">
      <c r="A844" s="109"/>
      <c r="B844" s="111"/>
      <c r="C844" s="111"/>
      <c r="D844" s="111"/>
      <c r="E844" s="111"/>
      <c r="F844" s="112"/>
      <c r="G844" s="114"/>
      <c r="H844" s="111"/>
      <c r="I844" s="111"/>
      <c r="J844" s="111"/>
      <c r="K844" s="112"/>
      <c r="L844" s="111"/>
      <c r="M844" s="111"/>
      <c r="N844" s="111"/>
      <c r="O844" s="111"/>
      <c r="P844" s="111"/>
      <c r="Q844" s="112"/>
      <c r="R844" s="112"/>
    </row>
    <row r="845" spans="1:18" ht="15" x14ac:dyDescent="0.25">
      <c r="A845" s="109"/>
      <c r="B845" s="78"/>
      <c r="C845" s="78"/>
      <c r="D845" s="78"/>
      <c r="E845" s="78"/>
      <c r="F845" s="110"/>
      <c r="G845" s="115"/>
      <c r="H845" s="78"/>
      <c r="I845" s="78"/>
      <c r="J845" s="78"/>
      <c r="K845" s="110"/>
      <c r="L845" s="78"/>
      <c r="M845" s="78"/>
      <c r="N845" s="78"/>
      <c r="O845" s="78"/>
      <c r="P845" s="78"/>
      <c r="Q845" s="110"/>
      <c r="R845" s="110"/>
    </row>
    <row r="846" spans="1:18" ht="15" x14ac:dyDescent="0.25">
      <c r="A846" s="109"/>
      <c r="B846" s="111"/>
      <c r="C846" s="111"/>
      <c r="D846" s="111"/>
      <c r="E846" s="111"/>
      <c r="F846" s="112"/>
      <c r="G846" s="114"/>
      <c r="H846" s="111"/>
      <c r="I846" s="111"/>
      <c r="J846" s="111"/>
      <c r="K846" s="112"/>
      <c r="L846" s="111"/>
      <c r="M846" s="111"/>
      <c r="N846" s="111"/>
      <c r="O846" s="111"/>
      <c r="P846" s="111"/>
      <c r="Q846" s="112"/>
      <c r="R846" s="112"/>
    </row>
    <row r="847" spans="1:18" ht="15" x14ac:dyDescent="0.25">
      <c r="A847" s="109"/>
      <c r="B847" s="78"/>
      <c r="C847" s="78"/>
      <c r="D847" s="78"/>
      <c r="E847" s="78"/>
      <c r="F847" s="110"/>
      <c r="G847" s="115"/>
      <c r="H847" s="78"/>
      <c r="I847" s="78"/>
      <c r="J847" s="78"/>
      <c r="K847" s="110"/>
      <c r="L847" s="78"/>
      <c r="M847" s="78"/>
      <c r="N847" s="78"/>
      <c r="O847" s="78"/>
      <c r="P847" s="78"/>
      <c r="Q847" s="110"/>
      <c r="R847" s="110"/>
    </row>
    <row r="848" spans="1:18" ht="15" x14ac:dyDescent="0.25">
      <c r="A848" s="109"/>
      <c r="B848" s="111"/>
      <c r="C848" s="111"/>
      <c r="D848" s="111"/>
      <c r="E848" s="111"/>
      <c r="F848" s="112"/>
      <c r="G848" s="114"/>
      <c r="H848" s="111"/>
      <c r="I848" s="111"/>
      <c r="J848" s="111"/>
      <c r="K848" s="112"/>
      <c r="L848" s="111"/>
      <c r="M848" s="111"/>
      <c r="N848" s="111"/>
      <c r="O848" s="111"/>
      <c r="P848" s="111"/>
      <c r="Q848" s="112"/>
      <c r="R848" s="112"/>
    </row>
    <row r="849" spans="1:18" ht="15" x14ac:dyDescent="0.25">
      <c r="A849" s="109"/>
      <c r="B849" s="78"/>
      <c r="C849" s="78"/>
      <c r="D849" s="78"/>
      <c r="E849" s="78"/>
      <c r="F849" s="110"/>
      <c r="G849" s="115"/>
      <c r="H849" s="78"/>
      <c r="I849" s="78"/>
      <c r="J849" s="78"/>
      <c r="K849" s="110"/>
      <c r="L849" s="78"/>
      <c r="M849" s="78"/>
      <c r="N849" s="78"/>
      <c r="O849" s="78"/>
      <c r="P849" s="78"/>
      <c r="Q849" s="110"/>
      <c r="R849" s="110"/>
    </row>
    <row r="850" spans="1:18" ht="15" x14ac:dyDescent="0.25">
      <c r="A850" s="109"/>
      <c r="B850" s="111"/>
      <c r="C850" s="111"/>
      <c r="D850" s="111"/>
      <c r="E850" s="111"/>
      <c r="F850" s="112"/>
      <c r="G850" s="114"/>
      <c r="H850" s="111"/>
      <c r="I850" s="111"/>
      <c r="J850" s="111"/>
      <c r="K850" s="112"/>
      <c r="L850" s="111"/>
      <c r="M850" s="111"/>
      <c r="N850" s="111"/>
      <c r="O850" s="111"/>
      <c r="P850" s="111"/>
      <c r="Q850" s="112"/>
      <c r="R850" s="112"/>
    </row>
    <row r="851" spans="1:18" ht="15" x14ac:dyDescent="0.25">
      <c r="A851" s="109"/>
      <c r="B851" s="78"/>
      <c r="C851" s="78"/>
      <c r="D851" s="78"/>
      <c r="E851" s="78"/>
      <c r="F851" s="110"/>
      <c r="G851" s="115"/>
      <c r="H851" s="78"/>
      <c r="I851" s="78"/>
      <c r="J851" s="78"/>
      <c r="K851" s="110"/>
      <c r="L851" s="78"/>
      <c r="M851" s="78"/>
      <c r="N851" s="78"/>
      <c r="O851" s="78"/>
      <c r="P851" s="78"/>
      <c r="Q851" s="110"/>
      <c r="R851" s="110"/>
    </row>
    <row r="852" spans="1:18" ht="15" x14ac:dyDescent="0.25">
      <c r="A852" s="109"/>
      <c r="B852" s="111"/>
      <c r="C852" s="111"/>
      <c r="D852" s="111"/>
      <c r="E852" s="111"/>
      <c r="F852" s="112"/>
      <c r="G852" s="114"/>
      <c r="H852" s="111"/>
      <c r="I852" s="111"/>
      <c r="J852" s="111"/>
      <c r="K852" s="112"/>
      <c r="L852" s="111"/>
      <c r="M852" s="111"/>
      <c r="N852" s="111"/>
      <c r="O852" s="111"/>
      <c r="P852" s="111"/>
      <c r="Q852" s="112"/>
      <c r="R852" s="112"/>
    </row>
    <row r="853" spans="1:18" ht="15" x14ac:dyDescent="0.25">
      <c r="A853" s="109"/>
      <c r="B853" s="78"/>
      <c r="C853" s="78"/>
      <c r="D853" s="78"/>
      <c r="E853" s="78"/>
      <c r="F853" s="110"/>
      <c r="G853" s="115"/>
      <c r="H853" s="78"/>
      <c r="I853" s="78"/>
      <c r="J853" s="78"/>
      <c r="K853" s="110"/>
      <c r="L853" s="78"/>
      <c r="M853" s="78"/>
      <c r="N853" s="78"/>
      <c r="O853" s="78"/>
      <c r="P853" s="78"/>
      <c r="Q853" s="110"/>
      <c r="R853" s="110"/>
    </row>
    <row r="854" spans="1:18" ht="15" x14ac:dyDescent="0.25">
      <c r="A854" s="109"/>
      <c r="B854" s="111"/>
      <c r="C854" s="111"/>
      <c r="D854" s="111"/>
      <c r="E854" s="111"/>
      <c r="F854" s="112"/>
      <c r="G854" s="114"/>
      <c r="H854" s="111"/>
      <c r="I854" s="111"/>
      <c r="J854" s="111"/>
      <c r="K854" s="112"/>
      <c r="L854" s="111"/>
      <c r="M854" s="111"/>
      <c r="N854" s="111"/>
      <c r="O854" s="111"/>
      <c r="P854" s="111"/>
      <c r="Q854" s="112"/>
      <c r="R854" s="112"/>
    </row>
    <row r="855" spans="1:18" ht="15" x14ac:dyDescent="0.25">
      <c r="A855" s="109"/>
      <c r="B855" s="78"/>
      <c r="C855" s="78"/>
      <c r="D855" s="78"/>
      <c r="E855" s="78"/>
      <c r="F855" s="110"/>
      <c r="G855" s="115"/>
      <c r="H855" s="78"/>
      <c r="I855" s="78"/>
      <c r="J855" s="78"/>
      <c r="K855" s="110"/>
      <c r="L855" s="78"/>
      <c r="M855" s="78"/>
      <c r="N855" s="78"/>
      <c r="O855" s="78"/>
      <c r="P855" s="78"/>
      <c r="Q855" s="110"/>
      <c r="R855" s="110"/>
    </row>
    <row r="856" spans="1:18" ht="15" x14ac:dyDescent="0.25">
      <c r="A856" s="109"/>
      <c r="B856" s="111"/>
      <c r="C856" s="111"/>
      <c r="D856" s="111"/>
      <c r="E856" s="111"/>
      <c r="F856" s="112"/>
      <c r="G856" s="114"/>
      <c r="H856" s="111"/>
      <c r="I856" s="111"/>
      <c r="J856" s="111"/>
      <c r="K856" s="112"/>
      <c r="L856" s="111"/>
      <c r="M856" s="111"/>
      <c r="N856" s="111"/>
      <c r="O856" s="111"/>
      <c r="P856" s="111"/>
      <c r="Q856" s="112"/>
      <c r="R856" s="112"/>
    </row>
    <row r="857" spans="1:18" ht="15" x14ac:dyDescent="0.25">
      <c r="A857" s="109"/>
      <c r="B857" s="78"/>
      <c r="C857" s="78"/>
      <c r="D857" s="78"/>
      <c r="E857" s="78"/>
      <c r="F857" s="110"/>
      <c r="G857" s="115"/>
      <c r="H857" s="78"/>
      <c r="I857" s="78"/>
      <c r="J857" s="78"/>
      <c r="K857" s="110"/>
      <c r="L857" s="78"/>
      <c r="M857" s="78"/>
      <c r="N857" s="78"/>
      <c r="O857" s="78"/>
      <c r="P857" s="78"/>
      <c r="Q857" s="110"/>
      <c r="R857" s="110"/>
    </row>
    <row r="858" spans="1:18" ht="15" x14ac:dyDescent="0.25">
      <c r="A858" s="109"/>
      <c r="B858" s="111"/>
      <c r="C858" s="111"/>
      <c r="D858" s="111"/>
      <c r="E858" s="111"/>
      <c r="F858" s="112"/>
      <c r="G858" s="114"/>
      <c r="H858" s="111"/>
      <c r="I858" s="111"/>
      <c r="J858" s="111"/>
      <c r="K858" s="112"/>
      <c r="L858" s="111"/>
      <c r="M858" s="111"/>
      <c r="N858" s="111"/>
      <c r="O858" s="111"/>
      <c r="P858" s="111"/>
      <c r="Q858" s="112"/>
      <c r="R858" s="112"/>
    </row>
    <row r="859" spans="1:18" ht="15" x14ac:dyDescent="0.25">
      <c r="A859" s="109"/>
      <c r="B859" s="78"/>
      <c r="C859" s="78"/>
      <c r="D859" s="78"/>
      <c r="E859" s="78"/>
      <c r="F859" s="110"/>
      <c r="G859" s="115"/>
      <c r="H859" s="78"/>
      <c r="I859" s="78"/>
      <c r="J859" s="78"/>
      <c r="K859" s="110"/>
      <c r="L859" s="78"/>
      <c r="M859" s="78"/>
      <c r="N859" s="78"/>
      <c r="O859" s="78"/>
      <c r="P859" s="78"/>
      <c r="Q859" s="110"/>
      <c r="R859" s="110"/>
    </row>
    <row r="860" spans="1:18" ht="15" x14ac:dyDescent="0.25">
      <c r="A860" s="109"/>
      <c r="B860" s="111"/>
      <c r="C860" s="111"/>
      <c r="D860" s="111"/>
      <c r="E860" s="111"/>
      <c r="F860" s="112"/>
      <c r="G860" s="114"/>
      <c r="H860" s="111"/>
      <c r="I860" s="111"/>
      <c r="J860" s="111"/>
      <c r="K860" s="112"/>
      <c r="L860" s="111"/>
      <c r="M860" s="111"/>
      <c r="N860" s="111"/>
      <c r="O860" s="111"/>
      <c r="P860" s="111"/>
      <c r="Q860" s="112"/>
      <c r="R860" s="112"/>
    </row>
    <row r="861" spans="1:18" ht="15" x14ac:dyDescent="0.25">
      <c r="A861" s="109"/>
      <c r="B861" s="78"/>
      <c r="C861" s="78"/>
      <c r="D861" s="78"/>
      <c r="E861" s="78"/>
      <c r="F861" s="110"/>
      <c r="G861" s="115"/>
      <c r="H861" s="78"/>
      <c r="I861" s="78"/>
      <c r="J861" s="78"/>
      <c r="K861" s="110"/>
      <c r="L861" s="78"/>
      <c r="M861" s="78"/>
      <c r="N861" s="78"/>
      <c r="O861" s="78"/>
      <c r="P861" s="78"/>
      <c r="Q861" s="110"/>
      <c r="R861" s="110"/>
    </row>
    <row r="862" spans="1:18" ht="15" x14ac:dyDescent="0.25">
      <c r="A862" s="109"/>
      <c r="B862" s="111"/>
      <c r="C862" s="111"/>
      <c r="D862" s="111"/>
      <c r="E862" s="111"/>
      <c r="F862" s="112"/>
      <c r="G862" s="114"/>
      <c r="H862" s="111"/>
      <c r="I862" s="111"/>
      <c r="J862" s="111"/>
      <c r="K862" s="112"/>
      <c r="L862" s="111"/>
      <c r="M862" s="111"/>
      <c r="N862" s="111"/>
      <c r="O862" s="111"/>
      <c r="P862" s="111"/>
      <c r="Q862" s="112"/>
      <c r="R862" s="112"/>
    </row>
    <row r="863" spans="1:18" ht="15" x14ac:dyDescent="0.25">
      <c r="A863" s="109"/>
      <c r="B863" s="78"/>
      <c r="C863" s="78"/>
      <c r="D863" s="78"/>
      <c r="E863" s="78"/>
      <c r="F863" s="110"/>
      <c r="G863" s="115"/>
      <c r="H863" s="78"/>
      <c r="I863" s="78"/>
      <c r="J863" s="78"/>
      <c r="K863" s="110"/>
      <c r="L863" s="78"/>
      <c r="M863" s="78"/>
      <c r="N863" s="78"/>
      <c r="O863" s="78"/>
      <c r="P863" s="78"/>
      <c r="Q863" s="110"/>
      <c r="R863" s="110"/>
    </row>
    <row r="864" spans="1:18" ht="15" x14ac:dyDescent="0.25">
      <c r="A864" s="109"/>
      <c r="B864" s="111"/>
      <c r="C864" s="111"/>
      <c r="D864" s="111"/>
      <c r="E864" s="111"/>
      <c r="F864" s="112"/>
      <c r="G864" s="114"/>
      <c r="H864" s="111"/>
      <c r="I864" s="111"/>
      <c r="J864" s="111"/>
      <c r="K864" s="112"/>
      <c r="L864" s="111"/>
      <c r="M864" s="111"/>
      <c r="N864" s="111"/>
      <c r="O864" s="111"/>
      <c r="P864" s="111"/>
      <c r="Q864" s="112"/>
      <c r="R864" s="112"/>
    </row>
    <row r="865" spans="1:18" ht="15" x14ac:dyDescent="0.25">
      <c r="A865" s="109"/>
      <c r="B865" s="78"/>
      <c r="C865" s="78"/>
      <c r="D865" s="78"/>
      <c r="E865" s="78"/>
      <c r="F865" s="110"/>
      <c r="G865" s="115"/>
      <c r="H865" s="78"/>
      <c r="I865" s="78"/>
      <c r="J865" s="78"/>
      <c r="K865" s="110"/>
      <c r="L865" s="78"/>
      <c r="M865" s="78"/>
      <c r="N865" s="78"/>
      <c r="O865" s="78"/>
      <c r="P865" s="78"/>
      <c r="Q865" s="110"/>
      <c r="R865" s="110"/>
    </row>
    <row r="866" spans="1:18" ht="15" x14ac:dyDescent="0.25">
      <c r="A866" s="109"/>
      <c r="B866" s="111"/>
      <c r="C866" s="111"/>
      <c r="D866" s="111"/>
      <c r="E866" s="111"/>
      <c r="F866" s="112"/>
      <c r="G866" s="114"/>
      <c r="H866" s="111"/>
      <c r="I866" s="111"/>
      <c r="J866" s="111"/>
      <c r="K866" s="112"/>
      <c r="L866" s="111"/>
      <c r="M866" s="111"/>
      <c r="N866" s="111"/>
      <c r="O866" s="111"/>
      <c r="P866" s="111"/>
      <c r="Q866" s="112"/>
      <c r="R866" s="112"/>
    </row>
    <row r="867" spans="1:18" ht="15" x14ac:dyDescent="0.25">
      <c r="A867" s="109"/>
      <c r="B867" s="78"/>
      <c r="C867" s="78"/>
      <c r="D867" s="78"/>
      <c r="E867" s="78"/>
      <c r="F867" s="110"/>
      <c r="G867" s="115"/>
      <c r="H867" s="78"/>
      <c r="I867" s="78"/>
      <c r="J867" s="78"/>
      <c r="K867" s="110"/>
      <c r="L867" s="78"/>
      <c r="M867" s="78"/>
      <c r="N867" s="78"/>
      <c r="O867" s="78"/>
      <c r="P867" s="78"/>
      <c r="Q867" s="110"/>
      <c r="R867" s="110"/>
    </row>
    <row r="868" spans="1:18" ht="15" x14ac:dyDescent="0.25">
      <c r="A868" s="109"/>
      <c r="B868" s="111"/>
      <c r="C868" s="111"/>
      <c r="D868" s="111"/>
      <c r="E868" s="111"/>
      <c r="F868" s="112"/>
      <c r="G868" s="114"/>
      <c r="H868" s="111"/>
      <c r="I868" s="111"/>
      <c r="J868" s="111"/>
      <c r="K868" s="112"/>
      <c r="L868" s="111"/>
      <c r="M868" s="111"/>
      <c r="N868" s="111"/>
      <c r="O868" s="111"/>
      <c r="P868" s="111"/>
      <c r="Q868" s="112"/>
      <c r="R868" s="112"/>
    </row>
    <row r="869" spans="1:18" ht="15" x14ac:dyDescent="0.25">
      <c r="A869" s="109"/>
      <c r="B869" s="78"/>
      <c r="C869" s="78"/>
      <c r="D869" s="78"/>
      <c r="E869" s="78"/>
      <c r="F869" s="110"/>
      <c r="G869" s="115"/>
      <c r="H869" s="78"/>
      <c r="I869" s="78"/>
      <c r="J869" s="78"/>
      <c r="K869" s="110"/>
      <c r="L869" s="78"/>
      <c r="M869" s="78"/>
      <c r="N869" s="78"/>
      <c r="O869" s="78"/>
      <c r="P869" s="78"/>
      <c r="Q869" s="110"/>
      <c r="R869" s="110"/>
    </row>
    <row r="870" spans="1:18" ht="15" x14ac:dyDescent="0.25">
      <c r="A870" s="109"/>
      <c r="B870" s="111"/>
      <c r="C870" s="111"/>
      <c r="D870" s="111"/>
      <c r="E870" s="111"/>
      <c r="F870" s="112"/>
      <c r="G870" s="114"/>
      <c r="H870" s="111"/>
      <c r="I870" s="111"/>
      <c r="J870" s="111"/>
      <c r="K870" s="112"/>
      <c r="L870" s="111"/>
      <c r="M870" s="111"/>
      <c r="N870" s="111"/>
      <c r="O870" s="111"/>
      <c r="P870" s="111"/>
      <c r="Q870" s="112"/>
      <c r="R870" s="112"/>
    </row>
    <row r="871" spans="1:18" ht="15" x14ac:dyDescent="0.25">
      <c r="A871" s="109"/>
      <c r="B871" s="78"/>
      <c r="C871" s="78"/>
      <c r="D871" s="78"/>
      <c r="E871" s="78"/>
      <c r="F871" s="110"/>
      <c r="G871" s="115"/>
      <c r="H871" s="78"/>
      <c r="I871" s="78"/>
      <c r="J871" s="78"/>
      <c r="K871" s="110"/>
      <c r="L871" s="78"/>
      <c r="M871" s="78"/>
      <c r="N871" s="78"/>
      <c r="O871" s="78"/>
      <c r="P871" s="78"/>
      <c r="Q871" s="110"/>
      <c r="R871" s="110"/>
    </row>
    <row r="872" spans="1:18" ht="15" x14ac:dyDescent="0.25">
      <c r="A872" s="109"/>
      <c r="B872" s="111"/>
      <c r="C872" s="111"/>
      <c r="D872" s="111"/>
      <c r="E872" s="111"/>
      <c r="F872" s="112"/>
      <c r="G872" s="114"/>
      <c r="H872" s="111"/>
      <c r="I872" s="111"/>
      <c r="J872" s="111"/>
      <c r="K872" s="112"/>
      <c r="L872" s="111"/>
      <c r="M872" s="111"/>
      <c r="N872" s="111"/>
      <c r="O872" s="111"/>
      <c r="P872" s="111"/>
      <c r="Q872" s="112"/>
      <c r="R872" s="112"/>
    </row>
    <row r="873" spans="1:18" ht="15" x14ac:dyDescent="0.25">
      <c r="A873" s="109"/>
      <c r="B873" s="78"/>
      <c r="C873" s="78"/>
      <c r="D873" s="78"/>
      <c r="E873" s="78"/>
      <c r="F873" s="110"/>
      <c r="G873" s="115"/>
      <c r="H873" s="78"/>
      <c r="I873" s="78"/>
      <c r="J873" s="78"/>
      <c r="K873" s="110"/>
      <c r="L873" s="78"/>
      <c r="M873" s="78"/>
      <c r="N873" s="78"/>
      <c r="O873" s="78"/>
      <c r="P873" s="78"/>
      <c r="Q873" s="110"/>
      <c r="R873" s="110"/>
    </row>
    <row r="874" spans="1:18" ht="15" x14ac:dyDescent="0.25">
      <c r="A874" s="109"/>
      <c r="B874" s="111"/>
      <c r="C874" s="111"/>
      <c r="D874" s="111"/>
      <c r="E874" s="111"/>
      <c r="F874" s="112"/>
      <c r="G874" s="114"/>
      <c r="H874" s="111"/>
      <c r="I874" s="111"/>
      <c r="J874" s="111"/>
      <c r="K874" s="112"/>
      <c r="L874" s="111"/>
      <c r="M874" s="111"/>
      <c r="N874" s="111"/>
      <c r="O874" s="111"/>
      <c r="P874" s="111"/>
      <c r="Q874" s="112"/>
      <c r="R874" s="112"/>
    </row>
    <row r="875" spans="1:18" ht="15" x14ac:dyDescent="0.25">
      <c r="A875" s="109"/>
      <c r="B875" s="78"/>
      <c r="C875" s="78"/>
      <c r="D875" s="78"/>
      <c r="E875" s="78"/>
      <c r="F875" s="110"/>
      <c r="G875" s="115"/>
      <c r="H875" s="78"/>
      <c r="I875" s="78"/>
      <c r="J875" s="78"/>
      <c r="K875" s="110"/>
      <c r="L875" s="78"/>
      <c r="M875" s="78"/>
      <c r="N875" s="78"/>
      <c r="O875" s="78"/>
      <c r="P875" s="78"/>
      <c r="Q875" s="110"/>
      <c r="R875" s="110"/>
    </row>
    <row r="876" spans="1:18" ht="15" x14ac:dyDescent="0.25">
      <c r="A876" s="109"/>
      <c r="B876" s="111"/>
      <c r="C876" s="111"/>
      <c r="D876" s="111"/>
      <c r="E876" s="111"/>
      <c r="F876" s="112"/>
      <c r="G876" s="114"/>
      <c r="H876" s="111"/>
      <c r="I876" s="111"/>
      <c r="J876" s="111"/>
      <c r="K876" s="112"/>
      <c r="L876" s="111"/>
      <c r="M876" s="111"/>
      <c r="N876" s="111"/>
      <c r="O876" s="111"/>
      <c r="P876" s="111"/>
      <c r="Q876" s="112"/>
      <c r="R876" s="112"/>
    </row>
    <row r="877" spans="1:18" ht="15" x14ac:dyDescent="0.25">
      <c r="A877" s="109"/>
      <c r="B877" s="78"/>
      <c r="C877" s="78"/>
      <c r="D877" s="78"/>
      <c r="E877" s="78"/>
      <c r="F877" s="110"/>
      <c r="G877" s="115"/>
      <c r="H877" s="78"/>
      <c r="I877" s="78"/>
      <c r="J877" s="78"/>
      <c r="K877" s="110"/>
      <c r="L877" s="78"/>
      <c r="M877" s="78"/>
      <c r="N877" s="78"/>
      <c r="O877" s="78"/>
      <c r="P877" s="78"/>
      <c r="Q877" s="110"/>
      <c r="R877" s="110"/>
    </row>
    <row r="878" spans="1:18" ht="15" x14ac:dyDescent="0.25">
      <c r="A878" s="109"/>
      <c r="B878" s="111"/>
      <c r="C878" s="111"/>
      <c r="D878" s="111"/>
      <c r="E878" s="111"/>
      <c r="F878" s="112"/>
      <c r="G878" s="114"/>
      <c r="H878" s="111"/>
      <c r="I878" s="111"/>
      <c r="J878" s="111"/>
      <c r="K878" s="112"/>
      <c r="L878" s="111"/>
      <c r="M878" s="111"/>
      <c r="N878" s="111"/>
      <c r="O878" s="111"/>
      <c r="P878" s="111"/>
      <c r="Q878" s="112"/>
      <c r="R878" s="112"/>
    </row>
    <row r="879" spans="1:18" ht="15" x14ac:dyDescent="0.25">
      <c r="A879" s="109"/>
      <c r="B879" s="78"/>
      <c r="C879" s="78"/>
      <c r="D879" s="78"/>
      <c r="E879" s="78"/>
      <c r="F879" s="110"/>
      <c r="G879" s="115"/>
      <c r="H879" s="78"/>
      <c r="I879" s="78"/>
      <c r="J879" s="78"/>
      <c r="K879" s="110"/>
      <c r="L879" s="78"/>
      <c r="M879" s="78"/>
      <c r="N879" s="78"/>
      <c r="O879" s="78"/>
      <c r="P879" s="78"/>
      <c r="Q879" s="110"/>
      <c r="R879" s="110"/>
    </row>
    <row r="880" spans="1:18" ht="15" x14ac:dyDescent="0.25">
      <c r="A880" s="109"/>
      <c r="B880" s="111"/>
      <c r="C880" s="111"/>
      <c r="D880" s="111"/>
      <c r="E880" s="111"/>
      <c r="F880" s="112"/>
      <c r="G880" s="114"/>
      <c r="H880" s="111"/>
      <c r="I880" s="111"/>
      <c r="J880" s="111"/>
      <c r="K880" s="112"/>
      <c r="L880" s="111"/>
      <c r="M880" s="111"/>
      <c r="N880" s="111"/>
      <c r="O880" s="111"/>
      <c r="P880" s="111"/>
      <c r="Q880" s="112"/>
      <c r="R880" s="112"/>
    </row>
    <row r="881" spans="1:18" ht="15" x14ac:dyDescent="0.25">
      <c r="A881" s="109"/>
      <c r="B881" s="78"/>
      <c r="C881" s="78"/>
      <c r="D881" s="78"/>
      <c r="E881" s="78"/>
      <c r="F881" s="110"/>
      <c r="G881" s="115"/>
      <c r="H881" s="78"/>
      <c r="I881" s="78"/>
      <c r="J881" s="78"/>
      <c r="K881" s="110"/>
      <c r="L881" s="78"/>
      <c r="M881" s="78"/>
      <c r="N881" s="78"/>
      <c r="O881" s="78"/>
      <c r="P881" s="78"/>
      <c r="Q881" s="110"/>
      <c r="R881" s="110"/>
    </row>
    <row r="882" spans="1:18" ht="15" x14ac:dyDescent="0.25">
      <c r="A882" s="109"/>
      <c r="B882" s="111"/>
      <c r="C882" s="111"/>
      <c r="D882" s="111"/>
      <c r="E882" s="111"/>
      <c r="F882" s="112"/>
      <c r="G882" s="114"/>
      <c r="H882" s="111"/>
      <c r="I882" s="111"/>
      <c r="J882" s="111"/>
      <c r="K882" s="112"/>
      <c r="L882" s="111"/>
      <c r="M882" s="111"/>
      <c r="N882" s="111"/>
      <c r="O882" s="111"/>
      <c r="P882" s="111"/>
      <c r="Q882" s="112"/>
      <c r="R882" s="112"/>
    </row>
    <row r="883" spans="1:18" ht="15" x14ac:dyDescent="0.25">
      <c r="A883" s="109"/>
      <c r="B883" s="78"/>
      <c r="C883" s="78"/>
      <c r="D883" s="78"/>
      <c r="E883" s="78"/>
      <c r="F883" s="110"/>
      <c r="G883" s="115"/>
      <c r="H883" s="78"/>
      <c r="I883" s="78"/>
      <c r="J883" s="78"/>
      <c r="K883" s="110"/>
      <c r="L883" s="78"/>
      <c r="M883" s="78"/>
      <c r="N883" s="78"/>
      <c r="O883" s="78"/>
      <c r="P883" s="78"/>
      <c r="Q883" s="110"/>
      <c r="R883" s="110"/>
    </row>
    <row r="884" spans="1:18" ht="15" x14ac:dyDescent="0.25">
      <c r="A884" s="109"/>
      <c r="B884" s="111"/>
      <c r="C884" s="111"/>
      <c r="D884" s="111"/>
      <c r="E884" s="111"/>
      <c r="F884" s="112"/>
      <c r="G884" s="114"/>
      <c r="H884" s="111"/>
      <c r="I884" s="111"/>
      <c r="J884" s="111"/>
      <c r="K884" s="112"/>
      <c r="L884" s="111"/>
      <c r="M884" s="111"/>
      <c r="N884" s="111"/>
      <c r="O884" s="111"/>
      <c r="P884" s="111"/>
      <c r="Q884" s="112"/>
      <c r="R884" s="112"/>
    </row>
    <row r="885" spans="1:18" ht="15" x14ac:dyDescent="0.25">
      <c r="A885" s="109"/>
      <c r="B885" s="78"/>
      <c r="C885" s="78"/>
      <c r="D885" s="78"/>
      <c r="E885" s="78"/>
      <c r="F885" s="110"/>
      <c r="G885" s="115"/>
      <c r="H885" s="78"/>
      <c r="I885" s="78"/>
      <c r="J885" s="78"/>
      <c r="K885" s="110"/>
      <c r="L885" s="78"/>
      <c r="M885" s="78"/>
      <c r="N885" s="78"/>
      <c r="O885" s="78"/>
      <c r="P885" s="78"/>
      <c r="Q885" s="110"/>
      <c r="R885" s="110"/>
    </row>
    <row r="886" spans="1:18" ht="15" x14ac:dyDescent="0.25">
      <c r="A886" s="109"/>
      <c r="B886" s="111"/>
      <c r="C886" s="111"/>
      <c r="D886" s="111"/>
      <c r="E886" s="111"/>
      <c r="F886" s="112"/>
      <c r="G886" s="114"/>
      <c r="H886" s="111"/>
      <c r="I886" s="111"/>
      <c r="J886" s="111"/>
      <c r="K886" s="112"/>
      <c r="L886" s="111"/>
      <c r="M886" s="111"/>
      <c r="N886" s="111"/>
      <c r="O886" s="111"/>
      <c r="P886" s="111"/>
      <c r="Q886" s="112"/>
      <c r="R886" s="112"/>
    </row>
    <row r="887" spans="1:18" ht="15" x14ac:dyDescent="0.25">
      <c r="A887" s="109"/>
      <c r="B887" s="78"/>
      <c r="C887" s="78"/>
      <c r="D887" s="78"/>
      <c r="E887" s="78"/>
      <c r="F887" s="110"/>
      <c r="G887" s="115"/>
      <c r="H887" s="78"/>
      <c r="I887" s="78"/>
      <c r="J887" s="78"/>
      <c r="K887" s="110"/>
      <c r="L887" s="78"/>
      <c r="M887" s="78"/>
      <c r="N887" s="78"/>
      <c r="O887" s="78"/>
      <c r="P887" s="78"/>
      <c r="Q887" s="110"/>
      <c r="R887" s="110"/>
    </row>
    <row r="888" spans="1:18" ht="15" x14ac:dyDescent="0.25">
      <c r="A888" s="109"/>
      <c r="B888" s="111"/>
      <c r="C888" s="111"/>
      <c r="D888" s="111"/>
      <c r="E888" s="111"/>
      <c r="F888" s="112"/>
      <c r="G888" s="114"/>
      <c r="H888" s="111"/>
      <c r="I888" s="111"/>
      <c r="J888" s="111"/>
      <c r="K888" s="112"/>
      <c r="L888" s="111"/>
      <c r="M888" s="111"/>
      <c r="N888" s="111"/>
      <c r="O888" s="111"/>
      <c r="P888" s="111"/>
      <c r="Q888" s="112"/>
      <c r="R888" s="112"/>
    </row>
    <row r="889" spans="1:18" ht="15" x14ac:dyDescent="0.25">
      <c r="A889" s="109"/>
      <c r="B889" s="78"/>
      <c r="C889" s="78"/>
      <c r="D889" s="78"/>
      <c r="E889" s="78"/>
      <c r="F889" s="110"/>
      <c r="G889" s="115"/>
      <c r="H889" s="78"/>
      <c r="I889" s="78"/>
      <c r="J889" s="78"/>
      <c r="K889" s="110"/>
      <c r="L889" s="78"/>
      <c r="M889" s="78"/>
      <c r="N889" s="78"/>
      <c r="O889" s="78"/>
      <c r="P889" s="78"/>
      <c r="Q889" s="110"/>
      <c r="R889" s="110"/>
    </row>
    <row r="890" spans="1:18" ht="15" x14ac:dyDescent="0.25">
      <c r="A890" s="109"/>
      <c r="B890" s="111"/>
      <c r="C890" s="111"/>
      <c r="D890" s="111"/>
      <c r="E890" s="111"/>
      <c r="F890" s="112"/>
      <c r="G890" s="114"/>
      <c r="H890" s="111"/>
      <c r="I890" s="111"/>
      <c r="J890" s="111"/>
      <c r="K890" s="112"/>
      <c r="L890" s="111"/>
      <c r="M890" s="111"/>
      <c r="N890" s="111"/>
      <c r="O890" s="111"/>
      <c r="P890" s="111"/>
      <c r="Q890" s="112"/>
      <c r="R890" s="112"/>
    </row>
    <row r="891" spans="1:18" ht="15" x14ac:dyDescent="0.25">
      <c r="A891" s="109"/>
      <c r="B891" s="78"/>
      <c r="C891" s="78"/>
      <c r="D891" s="78"/>
      <c r="E891" s="78"/>
      <c r="F891" s="110"/>
      <c r="G891" s="115"/>
      <c r="H891" s="78"/>
      <c r="I891" s="78"/>
      <c r="J891" s="78"/>
      <c r="K891" s="110"/>
      <c r="L891" s="78"/>
      <c r="M891" s="78"/>
      <c r="N891" s="78"/>
      <c r="O891" s="78"/>
      <c r="P891" s="78"/>
      <c r="Q891" s="110"/>
      <c r="R891" s="110"/>
    </row>
    <row r="892" spans="1:18" ht="15" x14ac:dyDescent="0.25">
      <c r="A892" s="109"/>
      <c r="B892" s="111"/>
      <c r="C892" s="111"/>
      <c r="D892" s="111"/>
      <c r="E892" s="111"/>
      <c r="F892" s="112"/>
      <c r="G892" s="114"/>
      <c r="H892" s="111"/>
      <c r="I892" s="111"/>
      <c r="J892" s="111"/>
      <c r="K892" s="112"/>
      <c r="L892" s="111"/>
      <c r="M892" s="111"/>
      <c r="N892" s="111"/>
      <c r="O892" s="111"/>
      <c r="P892" s="111"/>
      <c r="Q892" s="112"/>
      <c r="R892" s="112"/>
    </row>
    <row r="893" spans="1:18" ht="15" x14ac:dyDescent="0.25">
      <c r="A893" s="109"/>
      <c r="B893" s="78"/>
      <c r="C893" s="78"/>
      <c r="D893" s="78"/>
      <c r="E893" s="78"/>
      <c r="F893" s="110"/>
      <c r="G893" s="115"/>
      <c r="H893" s="78"/>
      <c r="I893" s="78"/>
      <c r="J893" s="78"/>
      <c r="K893" s="110"/>
      <c r="L893" s="78"/>
      <c r="M893" s="78"/>
      <c r="N893" s="78"/>
      <c r="O893" s="78"/>
      <c r="P893" s="78"/>
      <c r="Q893" s="110"/>
      <c r="R893" s="110"/>
    </row>
    <row r="894" spans="1:18" ht="15" x14ac:dyDescent="0.25">
      <c r="A894" s="109"/>
      <c r="B894" s="111"/>
      <c r="C894" s="111"/>
      <c r="D894" s="111"/>
      <c r="E894" s="111"/>
      <c r="F894" s="112"/>
      <c r="G894" s="114"/>
      <c r="H894" s="111"/>
      <c r="I894" s="111"/>
      <c r="J894" s="111"/>
      <c r="K894" s="112"/>
      <c r="L894" s="111"/>
      <c r="M894" s="111"/>
      <c r="N894" s="111"/>
      <c r="O894" s="111"/>
      <c r="P894" s="111"/>
      <c r="Q894" s="112"/>
      <c r="R894" s="112"/>
    </row>
    <row r="895" spans="1:18" ht="15" x14ac:dyDescent="0.25">
      <c r="A895" s="109"/>
      <c r="B895" s="78"/>
      <c r="C895" s="78"/>
      <c r="D895" s="78"/>
      <c r="E895" s="78"/>
      <c r="F895" s="110"/>
      <c r="G895" s="115"/>
      <c r="H895" s="78"/>
      <c r="I895" s="78"/>
      <c r="J895" s="78"/>
      <c r="K895" s="110"/>
      <c r="L895" s="78"/>
      <c r="M895" s="78"/>
      <c r="N895" s="78"/>
      <c r="O895" s="78"/>
      <c r="P895" s="78"/>
      <c r="Q895" s="110"/>
      <c r="R895" s="110"/>
    </row>
    <row r="896" spans="1:18" ht="15" x14ac:dyDescent="0.25">
      <c r="A896" s="109"/>
      <c r="B896" s="111"/>
      <c r="C896" s="111"/>
      <c r="D896" s="111"/>
      <c r="E896" s="111"/>
      <c r="F896" s="112"/>
      <c r="G896" s="114"/>
      <c r="H896" s="111"/>
      <c r="I896" s="111"/>
      <c r="J896" s="111"/>
      <c r="K896" s="112"/>
      <c r="L896" s="111"/>
      <c r="M896" s="111"/>
      <c r="N896" s="111"/>
      <c r="O896" s="111"/>
      <c r="P896" s="111"/>
      <c r="Q896" s="112"/>
      <c r="R896" s="112"/>
    </row>
    <row r="897" spans="1:18" ht="15" x14ac:dyDescent="0.25">
      <c r="A897" s="109"/>
      <c r="B897" s="78"/>
      <c r="C897" s="78"/>
      <c r="D897" s="78"/>
      <c r="E897" s="78"/>
      <c r="F897" s="110"/>
      <c r="G897" s="115"/>
      <c r="H897" s="78"/>
      <c r="I897" s="78"/>
      <c r="J897" s="78"/>
      <c r="K897" s="110"/>
      <c r="L897" s="78"/>
      <c r="M897" s="78"/>
      <c r="N897" s="78"/>
      <c r="O897" s="78"/>
      <c r="P897" s="78"/>
      <c r="Q897" s="110"/>
      <c r="R897" s="110"/>
    </row>
    <row r="898" spans="1:18" ht="15" x14ac:dyDescent="0.25">
      <c r="A898" s="109"/>
      <c r="B898" s="111"/>
      <c r="C898" s="111"/>
      <c r="D898" s="111"/>
      <c r="E898" s="111"/>
      <c r="F898" s="112"/>
      <c r="G898" s="114"/>
      <c r="H898" s="111"/>
      <c r="I898" s="111"/>
      <c r="J898" s="111"/>
      <c r="K898" s="112"/>
      <c r="L898" s="111"/>
      <c r="M898" s="111"/>
      <c r="N898" s="111"/>
      <c r="O898" s="111"/>
      <c r="P898" s="111"/>
      <c r="Q898" s="112"/>
      <c r="R898" s="112"/>
    </row>
    <row r="899" spans="1:18" ht="15" x14ac:dyDescent="0.25">
      <c r="A899" s="109"/>
      <c r="B899" s="78"/>
      <c r="C899" s="78"/>
      <c r="D899" s="78"/>
      <c r="E899" s="78"/>
      <c r="F899" s="110"/>
      <c r="G899" s="115"/>
      <c r="H899" s="78"/>
      <c r="I899" s="78"/>
      <c r="J899" s="78"/>
      <c r="K899" s="110"/>
      <c r="L899" s="78"/>
      <c r="M899" s="78"/>
      <c r="N899" s="78"/>
      <c r="O899" s="78"/>
      <c r="P899" s="78"/>
      <c r="Q899" s="110"/>
      <c r="R899" s="110"/>
    </row>
    <row r="900" spans="1:18" ht="15" x14ac:dyDescent="0.25">
      <c r="A900" s="109"/>
      <c r="B900" s="111"/>
      <c r="C900" s="111"/>
      <c r="D900" s="111"/>
      <c r="E900" s="111"/>
      <c r="F900" s="112"/>
      <c r="G900" s="114"/>
      <c r="H900" s="111"/>
      <c r="I900" s="111"/>
      <c r="J900" s="111"/>
      <c r="K900" s="112"/>
      <c r="L900" s="111"/>
      <c r="M900" s="111"/>
      <c r="N900" s="111"/>
      <c r="O900" s="111"/>
      <c r="P900" s="111"/>
      <c r="Q900" s="112"/>
      <c r="R900" s="112"/>
    </row>
    <row r="901" spans="1:18" ht="15" x14ac:dyDescent="0.25">
      <c r="A901" s="109"/>
      <c r="B901" s="78"/>
      <c r="C901" s="78"/>
      <c r="D901" s="78"/>
      <c r="E901" s="78"/>
      <c r="F901" s="110"/>
      <c r="G901" s="115"/>
      <c r="H901" s="78"/>
      <c r="I901" s="78"/>
      <c r="J901" s="78"/>
      <c r="K901" s="110"/>
      <c r="L901" s="78"/>
      <c r="M901" s="78"/>
      <c r="N901" s="78"/>
      <c r="O901" s="78"/>
      <c r="P901" s="78"/>
      <c r="Q901" s="110"/>
      <c r="R901" s="110"/>
    </row>
    <row r="902" spans="1:18" ht="15" x14ac:dyDescent="0.25">
      <c r="A902" s="109"/>
      <c r="B902" s="111"/>
      <c r="C902" s="111"/>
      <c r="D902" s="111"/>
      <c r="E902" s="111"/>
      <c r="F902" s="112"/>
      <c r="G902" s="114"/>
      <c r="H902" s="111"/>
      <c r="I902" s="111"/>
      <c r="J902" s="111"/>
      <c r="K902" s="112"/>
      <c r="L902" s="111"/>
      <c r="M902" s="111"/>
      <c r="N902" s="111"/>
      <c r="O902" s="111"/>
      <c r="P902" s="111"/>
      <c r="Q902" s="112"/>
      <c r="R902" s="112"/>
    </row>
    <row r="903" spans="1:18" ht="15" x14ac:dyDescent="0.25">
      <c r="A903" s="109"/>
      <c r="B903" s="78"/>
      <c r="C903" s="78"/>
      <c r="D903" s="78"/>
      <c r="E903" s="78"/>
      <c r="F903" s="110"/>
      <c r="G903" s="115"/>
      <c r="H903" s="78"/>
      <c r="I903" s="78"/>
      <c r="J903" s="78"/>
      <c r="K903" s="110"/>
      <c r="L903" s="78"/>
      <c r="M903" s="78"/>
      <c r="N903" s="78"/>
      <c r="O903" s="78"/>
      <c r="P903" s="78"/>
      <c r="Q903" s="110"/>
      <c r="R903" s="110"/>
    </row>
    <row r="904" spans="1:18" ht="15" x14ac:dyDescent="0.25">
      <c r="A904" s="109"/>
      <c r="B904" s="111"/>
      <c r="C904" s="111"/>
      <c r="D904" s="111"/>
      <c r="E904" s="111"/>
      <c r="F904" s="112"/>
      <c r="G904" s="114"/>
      <c r="H904" s="111"/>
      <c r="I904" s="111"/>
      <c r="J904" s="111"/>
      <c r="K904" s="112"/>
      <c r="L904" s="111"/>
      <c r="M904" s="111"/>
      <c r="N904" s="111"/>
      <c r="O904" s="111"/>
      <c r="P904" s="111"/>
      <c r="Q904" s="112"/>
      <c r="R904" s="112"/>
    </row>
    <row r="905" spans="1:18" ht="15" x14ac:dyDescent="0.25">
      <c r="A905" s="109"/>
      <c r="B905" s="78"/>
      <c r="C905" s="78"/>
      <c r="D905" s="78"/>
      <c r="E905" s="78"/>
      <c r="F905" s="110"/>
      <c r="G905" s="115"/>
      <c r="H905" s="78"/>
      <c r="I905" s="78"/>
      <c r="J905" s="78"/>
      <c r="K905" s="110"/>
      <c r="L905" s="78"/>
      <c r="M905" s="78"/>
      <c r="N905" s="78"/>
      <c r="O905" s="78"/>
      <c r="P905" s="78"/>
      <c r="Q905" s="110"/>
      <c r="R905" s="110"/>
    </row>
    <row r="906" spans="1:18" ht="15" x14ac:dyDescent="0.25">
      <c r="A906" s="109"/>
      <c r="B906" s="111"/>
      <c r="C906" s="111"/>
      <c r="D906" s="111"/>
      <c r="E906" s="111"/>
      <c r="F906" s="112"/>
      <c r="G906" s="114"/>
      <c r="H906" s="111"/>
      <c r="I906" s="111"/>
      <c r="J906" s="111"/>
      <c r="K906" s="112"/>
      <c r="L906" s="111"/>
      <c r="M906" s="111"/>
      <c r="N906" s="111"/>
      <c r="O906" s="111"/>
      <c r="P906" s="111"/>
      <c r="Q906" s="112"/>
      <c r="R906" s="112"/>
    </row>
    <row r="907" spans="1:18" ht="15" x14ac:dyDescent="0.25">
      <c r="A907" s="109"/>
      <c r="B907" s="78"/>
      <c r="C907" s="78"/>
      <c r="D907" s="78"/>
      <c r="E907" s="78"/>
      <c r="F907" s="110"/>
      <c r="G907" s="115"/>
      <c r="H907" s="78"/>
      <c r="I907" s="78"/>
      <c r="J907" s="78"/>
      <c r="K907" s="110"/>
      <c r="L907" s="78"/>
      <c r="M907" s="78"/>
      <c r="N907" s="78"/>
      <c r="O907" s="78"/>
      <c r="P907" s="78"/>
      <c r="Q907" s="110"/>
      <c r="R907" s="110"/>
    </row>
    <row r="908" spans="1:18" ht="15" x14ac:dyDescent="0.25">
      <c r="A908" s="109"/>
      <c r="B908" s="111"/>
      <c r="C908" s="111"/>
      <c r="D908" s="111"/>
      <c r="E908" s="111"/>
      <c r="F908" s="112"/>
      <c r="G908" s="114"/>
      <c r="H908" s="111"/>
      <c r="I908" s="111"/>
      <c r="J908" s="111"/>
      <c r="K908" s="112"/>
      <c r="L908" s="111"/>
      <c r="M908" s="111"/>
      <c r="N908" s="111"/>
      <c r="O908" s="111"/>
      <c r="P908" s="111"/>
      <c r="Q908" s="112"/>
      <c r="R908" s="112"/>
    </row>
    <row r="909" spans="1:18" ht="15" x14ac:dyDescent="0.25">
      <c r="A909" s="109"/>
      <c r="B909" s="78"/>
      <c r="C909" s="78"/>
      <c r="D909" s="78"/>
      <c r="E909" s="78"/>
      <c r="F909" s="110"/>
      <c r="G909" s="115"/>
      <c r="H909" s="78"/>
      <c r="I909" s="78"/>
      <c r="J909" s="78"/>
      <c r="K909" s="110"/>
      <c r="L909" s="78"/>
      <c r="M909" s="78"/>
      <c r="N909" s="78"/>
      <c r="O909" s="78"/>
      <c r="P909" s="78"/>
      <c r="Q909" s="110"/>
      <c r="R909" s="110"/>
    </row>
    <row r="910" spans="1:18" ht="15" x14ac:dyDescent="0.25">
      <c r="A910" s="109"/>
      <c r="B910" s="111"/>
      <c r="C910" s="111"/>
      <c r="D910" s="111"/>
      <c r="E910" s="111"/>
      <c r="F910" s="112"/>
      <c r="G910" s="114"/>
      <c r="H910" s="111"/>
      <c r="I910" s="111"/>
      <c r="J910" s="111"/>
      <c r="K910" s="112"/>
      <c r="L910" s="111"/>
      <c r="M910" s="111"/>
      <c r="N910" s="111"/>
      <c r="O910" s="111"/>
      <c r="P910" s="111"/>
      <c r="Q910" s="112"/>
      <c r="R910" s="112"/>
    </row>
    <row r="911" spans="1:18" ht="15" x14ac:dyDescent="0.25">
      <c r="A911" s="109"/>
      <c r="B911" s="78"/>
      <c r="C911" s="78"/>
      <c r="D911" s="78"/>
      <c r="E911" s="78"/>
      <c r="F911" s="110"/>
      <c r="G911" s="115"/>
      <c r="H911" s="78"/>
      <c r="I911" s="78"/>
      <c r="J911" s="78"/>
      <c r="K911" s="110"/>
      <c r="L911" s="78"/>
      <c r="M911" s="78"/>
      <c r="N911" s="78"/>
      <c r="O911" s="78"/>
      <c r="P911" s="78"/>
      <c r="Q911" s="110"/>
      <c r="R911" s="110"/>
    </row>
    <row r="912" spans="1:18" ht="15" x14ac:dyDescent="0.25">
      <c r="A912" s="109"/>
      <c r="B912" s="111"/>
      <c r="C912" s="111"/>
      <c r="D912" s="111"/>
      <c r="E912" s="111"/>
      <c r="F912" s="112"/>
      <c r="G912" s="114"/>
      <c r="H912" s="111"/>
      <c r="I912" s="111"/>
      <c r="J912" s="111"/>
      <c r="K912" s="112"/>
      <c r="L912" s="111"/>
      <c r="M912" s="111"/>
      <c r="N912" s="111"/>
      <c r="O912" s="111"/>
      <c r="P912" s="111"/>
      <c r="Q912" s="112"/>
      <c r="R912" s="112"/>
    </row>
    <row r="913" spans="1:18" ht="15" x14ac:dyDescent="0.25">
      <c r="A913" s="109"/>
      <c r="B913" s="78"/>
      <c r="C913" s="78"/>
      <c r="D913" s="78"/>
      <c r="E913" s="78"/>
      <c r="F913" s="110"/>
      <c r="G913" s="115"/>
      <c r="H913" s="78"/>
      <c r="I913" s="78"/>
      <c r="J913" s="78"/>
      <c r="K913" s="110"/>
      <c r="L913" s="78"/>
      <c r="M913" s="78"/>
      <c r="N913" s="78"/>
      <c r="O913" s="78"/>
      <c r="P913" s="78"/>
      <c r="Q913" s="110"/>
      <c r="R913" s="110"/>
    </row>
    <row r="914" spans="1:18" ht="15" x14ac:dyDescent="0.25">
      <c r="A914" s="109"/>
      <c r="B914" s="111"/>
      <c r="C914" s="111"/>
      <c r="D914" s="111"/>
      <c r="E914" s="111"/>
      <c r="F914" s="112"/>
      <c r="G914" s="114"/>
      <c r="H914" s="111"/>
      <c r="I914" s="111"/>
      <c r="J914" s="111"/>
      <c r="K914" s="112"/>
      <c r="L914" s="111"/>
      <c r="M914" s="111"/>
      <c r="N914" s="111"/>
      <c r="O914" s="111"/>
      <c r="P914" s="111"/>
      <c r="Q914" s="112"/>
      <c r="R914" s="112"/>
    </row>
    <row r="915" spans="1:18" ht="15" x14ac:dyDescent="0.25">
      <c r="A915" s="109"/>
      <c r="B915" s="78"/>
      <c r="C915" s="78"/>
      <c r="D915" s="78"/>
      <c r="E915" s="78"/>
      <c r="F915" s="110"/>
      <c r="G915" s="115"/>
      <c r="H915" s="78"/>
      <c r="I915" s="78"/>
      <c r="J915" s="78"/>
      <c r="K915" s="110"/>
      <c r="L915" s="78"/>
      <c r="M915" s="78"/>
      <c r="N915" s="78"/>
      <c r="O915" s="78"/>
      <c r="P915" s="78"/>
      <c r="Q915" s="110"/>
      <c r="R915" s="110"/>
    </row>
    <row r="916" spans="1:18" ht="15" x14ac:dyDescent="0.25">
      <c r="A916" s="109"/>
      <c r="B916" s="111"/>
      <c r="C916" s="111"/>
      <c r="D916" s="111"/>
      <c r="E916" s="111"/>
      <c r="F916" s="112"/>
      <c r="G916" s="114"/>
      <c r="H916" s="111"/>
      <c r="I916" s="111"/>
      <c r="J916" s="111"/>
      <c r="K916" s="112"/>
      <c r="L916" s="111"/>
      <c r="M916" s="111"/>
      <c r="N916" s="111"/>
      <c r="O916" s="111"/>
      <c r="P916" s="111"/>
      <c r="Q916" s="112"/>
      <c r="R916" s="112"/>
    </row>
    <row r="917" spans="1:18" ht="15" x14ac:dyDescent="0.25">
      <c r="A917" s="109"/>
      <c r="B917" s="78"/>
      <c r="C917" s="78"/>
      <c r="D917" s="78"/>
      <c r="E917" s="78"/>
      <c r="F917" s="110"/>
      <c r="G917" s="115"/>
      <c r="H917" s="78"/>
      <c r="I917" s="78"/>
      <c r="J917" s="78"/>
      <c r="K917" s="110"/>
      <c r="L917" s="78"/>
      <c r="M917" s="78"/>
      <c r="N917" s="78"/>
      <c r="O917" s="78"/>
      <c r="P917" s="78"/>
      <c r="Q917" s="110"/>
      <c r="R917" s="110"/>
    </row>
    <row r="918" spans="1:18" ht="15" x14ac:dyDescent="0.25">
      <c r="A918" s="109"/>
      <c r="B918" s="111"/>
      <c r="C918" s="111"/>
      <c r="D918" s="111"/>
      <c r="E918" s="111"/>
      <c r="F918" s="112"/>
      <c r="G918" s="114"/>
      <c r="H918" s="111"/>
      <c r="I918" s="111"/>
      <c r="J918" s="111"/>
      <c r="K918" s="112"/>
      <c r="L918" s="111"/>
      <c r="M918" s="111"/>
      <c r="N918" s="111"/>
      <c r="O918" s="111"/>
      <c r="P918" s="111"/>
      <c r="Q918" s="112"/>
      <c r="R918" s="112"/>
    </row>
    <row r="919" spans="1:18" ht="15" x14ac:dyDescent="0.25">
      <c r="A919" s="109"/>
      <c r="B919" s="78"/>
      <c r="C919" s="78"/>
      <c r="D919" s="78"/>
      <c r="E919" s="78"/>
      <c r="F919" s="110"/>
      <c r="G919" s="115"/>
      <c r="H919" s="78"/>
      <c r="I919" s="78"/>
      <c r="J919" s="78"/>
      <c r="K919" s="110"/>
      <c r="L919" s="78"/>
      <c r="M919" s="78"/>
      <c r="N919" s="78"/>
      <c r="O919" s="78"/>
      <c r="P919" s="78"/>
      <c r="Q919" s="110"/>
      <c r="R919" s="110"/>
    </row>
    <row r="920" spans="1:18" ht="15" x14ac:dyDescent="0.25">
      <c r="A920" s="109"/>
      <c r="B920" s="111"/>
      <c r="C920" s="111"/>
      <c r="D920" s="111"/>
      <c r="E920" s="111"/>
      <c r="F920" s="112"/>
      <c r="G920" s="114"/>
      <c r="H920" s="111"/>
      <c r="I920" s="111"/>
      <c r="J920" s="111"/>
      <c r="K920" s="112"/>
      <c r="L920" s="111"/>
      <c r="M920" s="111"/>
      <c r="N920" s="111"/>
      <c r="O920" s="111"/>
      <c r="P920" s="111"/>
      <c r="Q920" s="112"/>
      <c r="R920" s="112"/>
    </row>
    <row r="921" spans="1:18" ht="15" x14ac:dyDescent="0.25">
      <c r="A921" s="109"/>
      <c r="B921" s="78"/>
      <c r="C921" s="78"/>
      <c r="D921" s="78"/>
      <c r="E921" s="78"/>
      <c r="F921" s="110"/>
      <c r="G921" s="115"/>
      <c r="H921" s="78"/>
      <c r="I921" s="78"/>
      <c r="J921" s="78"/>
      <c r="K921" s="110"/>
      <c r="L921" s="78"/>
      <c r="M921" s="78"/>
      <c r="N921" s="78"/>
      <c r="O921" s="78"/>
      <c r="P921" s="78"/>
      <c r="Q921" s="110"/>
      <c r="R921" s="110"/>
    </row>
    <row r="922" spans="1:18" ht="15" x14ac:dyDescent="0.25">
      <c r="A922" s="109"/>
      <c r="B922" s="111"/>
      <c r="C922" s="111"/>
      <c r="D922" s="111"/>
      <c r="E922" s="111"/>
      <c r="F922" s="112"/>
      <c r="G922" s="114"/>
      <c r="H922" s="111"/>
      <c r="I922" s="111"/>
      <c r="J922" s="111"/>
      <c r="K922" s="112"/>
      <c r="L922" s="111"/>
      <c r="M922" s="111"/>
      <c r="N922" s="111"/>
      <c r="O922" s="111"/>
      <c r="P922" s="111"/>
      <c r="Q922" s="112"/>
      <c r="R922" s="112"/>
    </row>
    <row r="923" spans="1:18" ht="15" x14ac:dyDescent="0.25">
      <c r="A923" s="109"/>
      <c r="B923" s="78"/>
      <c r="C923" s="78"/>
      <c r="D923" s="78"/>
      <c r="E923" s="78"/>
      <c r="F923" s="110"/>
      <c r="G923" s="115"/>
      <c r="H923" s="78"/>
      <c r="I923" s="78"/>
      <c r="J923" s="78"/>
      <c r="K923" s="110"/>
      <c r="L923" s="78"/>
      <c r="M923" s="78"/>
      <c r="N923" s="78"/>
      <c r="O923" s="78"/>
      <c r="P923" s="78"/>
      <c r="Q923" s="110"/>
      <c r="R923" s="110"/>
    </row>
    <row r="924" spans="1:18" ht="15" x14ac:dyDescent="0.25">
      <c r="A924" s="109"/>
      <c r="B924" s="111"/>
      <c r="C924" s="111"/>
      <c r="D924" s="111"/>
      <c r="E924" s="111"/>
      <c r="F924" s="112"/>
      <c r="G924" s="114"/>
      <c r="H924" s="111"/>
      <c r="I924" s="111"/>
      <c r="J924" s="111"/>
      <c r="K924" s="112"/>
      <c r="L924" s="111"/>
      <c r="M924" s="111"/>
      <c r="N924" s="111"/>
      <c r="O924" s="111"/>
      <c r="P924" s="111"/>
      <c r="Q924" s="112"/>
      <c r="R924" s="112"/>
    </row>
    <row r="925" spans="1:18" ht="15" x14ac:dyDescent="0.25">
      <c r="A925" s="109"/>
      <c r="B925" s="78"/>
      <c r="C925" s="78"/>
      <c r="D925" s="78"/>
      <c r="E925" s="78"/>
      <c r="F925" s="110"/>
      <c r="G925" s="115"/>
      <c r="H925" s="78"/>
      <c r="I925" s="78"/>
      <c r="J925" s="78"/>
      <c r="K925" s="110"/>
      <c r="L925" s="78"/>
      <c r="M925" s="78"/>
      <c r="N925" s="78"/>
      <c r="O925" s="78"/>
      <c r="P925" s="78"/>
      <c r="Q925" s="110"/>
      <c r="R925" s="110"/>
    </row>
    <row r="926" spans="1:18" ht="15" x14ac:dyDescent="0.25">
      <c r="A926" s="109"/>
      <c r="B926" s="111"/>
      <c r="C926" s="111"/>
      <c r="D926" s="111"/>
      <c r="E926" s="111"/>
      <c r="F926" s="112"/>
      <c r="G926" s="114"/>
      <c r="H926" s="111"/>
      <c r="I926" s="111"/>
      <c r="J926" s="111"/>
      <c r="K926" s="112"/>
      <c r="L926" s="111"/>
      <c r="M926" s="111"/>
      <c r="N926" s="111"/>
      <c r="O926" s="111"/>
      <c r="P926" s="111"/>
      <c r="Q926" s="112"/>
      <c r="R926" s="112"/>
    </row>
    <row r="927" spans="1:18" ht="15" x14ac:dyDescent="0.25">
      <c r="A927" s="109"/>
      <c r="B927" s="78"/>
      <c r="C927" s="78"/>
      <c r="D927" s="78"/>
      <c r="E927" s="78"/>
      <c r="F927" s="110"/>
      <c r="G927" s="115"/>
      <c r="H927" s="78"/>
      <c r="I927" s="78"/>
      <c r="J927" s="78"/>
      <c r="K927" s="110"/>
      <c r="L927" s="78"/>
      <c r="M927" s="78"/>
      <c r="N927" s="78"/>
      <c r="O927" s="78"/>
      <c r="P927" s="78"/>
      <c r="Q927" s="110"/>
      <c r="R927" s="110"/>
    </row>
    <row r="928" spans="1:18" ht="15" x14ac:dyDescent="0.25">
      <c r="A928" s="109"/>
      <c r="B928" s="111"/>
      <c r="C928" s="111"/>
      <c r="D928" s="111"/>
      <c r="E928" s="111"/>
      <c r="F928" s="112"/>
      <c r="G928" s="114"/>
      <c r="H928" s="111"/>
      <c r="I928" s="111"/>
      <c r="J928" s="111"/>
      <c r="K928" s="112"/>
      <c r="L928" s="111"/>
      <c r="M928" s="111"/>
      <c r="N928" s="111"/>
      <c r="O928" s="111"/>
      <c r="P928" s="111"/>
      <c r="Q928" s="112"/>
      <c r="R928" s="112"/>
    </row>
    <row r="929" spans="1:18" ht="15" x14ac:dyDescent="0.25">
      <c r="A929" s="109"/>
      <c r="B929" s="78"/>
      <c r="C929" s="78"/>
      <c r="D929" s="78"/>
      <c r="E929" s="78"/>
      <c r="F929" s="110"/>
      <c r="G929" s="115"/>
      <c r="H929" s="78"/>
      <c r="I929" s="78"/>
      <c r="J929" s="78"/>
      <c r="K929" s="110"/>
      <c r="L929" s="78"/>
      <c r="M929" s="78"/>
      <c r="N929" s="78"/>
      <c r="O929" s="78"/>
      <c r="P929" s="78"/>
      <c r="Q929" s="110"/>
      <c r="R929" s="110"/>
    </row>
    <row r="930" spans="1:18" ht="15" x14ac:dyDescent="0.25">
      <c r="A930" s="109"/>
      <c r="B930" s="111"/>
      <c r="C930" s="111"/>
      <c r="D930" s="111"/>
      <c r="E930" s="111"/>
      <c r="F930" s="112"/>
      <c r="G930" s="114"/>
      <c r="H930" s="111"/>
      <c r="I930" s="111"/>
      <c r="J930" s="111"/>
      <c r="K930" s="112"/>
      <c r="L930" s="111"/>
      <c r="M930" s="111"/>
      <c r="N930" s="111"/>
      <c r="O930" s="111"/>
      <c r="P930" s="111"/>
      <c r="Q930" s="112"/>
      <c r="R930" s="112"/>
    </row>
    <row r="931" spans="1:18" ht="15" x14ac:dyDescent="0.25">
      <c r="A931" s="109"/>
      <c r="B931" s="78"/>
      <c r="C931" s="78"/>
      <c r="D931" s="78"/>
      <c r="E931" s="78"/>
      <c r="F931" s="110"/>
      <c r="G931" s="115"/>
      <c r="H931" s="78"/>
      <c r="I931" s="78"/>
      <c r="J931" s="78"/>
      <c r="K931" s="110"/>
      <c r="L931" s="78"/>
      <c r="M931" s="78"/>
      <c r="N931" s="78"/>
      <c r="O931" s="78"/>
      <c r="P931" s="78"/>
      <c r="Q931" s="110"/>
      <c r="R931" s="110"/>
    </row>
    <row r="932" spans="1:18" ht="15" x14ac:dyDescent="0.25">
      <c r="A932" s="109"/>
      <c r="B932" s="111"/>
      <c r="C932" s="111"/>
      <c r="D932" s="111"/>
      <c r="E932" s="111"/>
      <c r="F932" s="112"/>
      <c r="G932" s="114"/>
      <c r="H932" s="111"/>
      <c r="I932" s="111"/>
      <c r="J932" s="111"/>
      <c r="K932" s="112"/>
      <c r="L932" s="111"/>
      <c r="M932" s="111"/>
      <c r="N932" s="111"/>
      <c r="O932" s="111"/>
      <c r="P932" s="111"/>
      <c r="Q932" s="112"/>
      <c r="R932" s="112"/>
    </row>
    <row r="933" spans="1:18" ht="15" x14ac:dyDescent="0.25">
      <c r="A933" s="109"/>
      <c r="B933" s="78"/>
      <c r="C933" s="78"/>
      <c r="D933" s="78"/>
      <c r="E933" s="78"/>
      <c r="F933" s="110"/>
      <c r="G933" s="115"/>
      <c r="H933" s="78"/>
      <c r="I933" s="78"/>
      <c r="J933" s="78"/>
      <c r="K933" s="110"/>
      <c r="L933" s="78"/>
      <c r="M933" s="78"/>
      <c r="N933" s="78"/>
      <c r="O933" s="78"/>
      <c r="P933" s="78"/>
      <c r="Q933" s="110"/>
      <c r="R933" s="110"/>
    </row>
    <row r="934" spans="1:18" ht="15" x14ac:dyDescent="0.25">
      <c r="A934" s="109"/>
      <c r="B934" s="111"/>
      <c r="C934" s="111"/>
      <c r="D934" s="111"/>
      <c r="E934" s="111"/>
      <c r="F934" s="112"/>
      <c r="G934" s="114"/>
      <c r="H934" s="111"/>
      <c r="I934" s="111"/>
      <c r="J934" s="111"/>
      <c r="K934" s="112"/>
      <c r="L934" s="111"/>
      <c r="M934" s="111"/>
      <c r="N934" s="111"/>
      <c r="O934" s="111"/>
      <c r="P934" s="111"/>
      <c r="Q934" s="112"/>
      <c r="R934" s="112"/>
    </row>
    <row r="935" spans="1:18" ht="15" x14ac:dyDescent="0.25">
      <c r="A935" s="109"/>
      <c r="B935" s="78"/>
      <c r="C935" s="78"/>
      <c r="D935" s="78"/>
      <c r="E935" s="78"/>
      <c r="F935" s="110"/>
      <c r="G935" s="115"/>
      <c r="H935" s="78"/>
      <c r="I935" s="78"/>
      <c r="J935" s="78"/>
      <c r="K935" s="110"/>
      <c r="L935" s="78"/>
      <c r="M935" s="78"/>
      <c r="N935" s="78"/>
      <c r="O935" s="78"/>
      <c r="P935" s="78"/>
      <c r="Q935" s="110"/>
      <c r="R935" s="110"/>
    </row>
    <row r="936" spans="1:18" ht="15" x14ac:dyDescent="0.25">
      <c r="A936" s="109"/>
      <c r="B936" s="111"/>
      <c r="C936" s="111"/>
      <c r="D936" s="111"/>
      <c r="E936" s="111"/>
      <c r="F936" s="112"/>
      <c r="G936" s="114"/>
      <c r="H936" s="111"/>
      <c r="I936" s="111"/>
      <c r="J936" s="111"/>
      <c r="K936" s="112"/>
      <c r="L936" s="111"/>
      <c r="M936" s="111"/>
      <c r="N936" s="111"/>
      <c r="O936" s="111"/>
      <c r="P936" s="111"/>
      <c r="Q936" s="112"/>
      <c r="R936" s="112"/>
    </row>
    <row r="937" spans="1:18" ht="15" x14ac:dyDescent="0.25">
      <c r="A937" s="109"/>
      <c r="B937" s="78"/>
      <c r="C937" s="78"/>
      <c r="D937" s="78"/>
      <c r="E937" s="78"/>
      <c r="F937" s="110"/>
      <c r="G937" s="115"/>
      <c r="H937" s="78"/>
      <c r="I937" s="78"/>
      <c r="J937" s="78"/>
      <c r="K937" s="110"/>
      <c r="L937" s="78"/>
      <c r="M937" s="78"/>
      <c r="N937" s="78"/>
      <c r="O937" s="78"/>
      <c r="P937" s="78"/>
      <c r="Q937" s="110"/>
      <c r="R937" s="110"/>
    </row>
    <row r="938" spans="1:18" ht="15" x14ac:dyDescent="0.25">
      <c r="A938" s="109"/>
      <c r="B938" s="111"/>
      <c r="C938" s="111"/>
      <c r="D938" s="111"/>
      <c r="E938" s="111"/>
      <c r="F938" s="112"/>
      <c r="G938" s="114"/>
      <c r="H938" s="111"/>
      <c r="I938" s="111"/>
      <c r="J938" s="111"/>
      <c r="K938" s="112"/>
      <c r="L938" s="111"/>
      <c r="M938" s="111"/>
      <c r="N938" s="111"/>
      <c r="O938" s="111"/>
      <c r="P938" s="111"/>
      <c r="Q938" s="112"/>
      <c r="R938" s="112"/>
    </row>
    <row r="939" spans="1:18" ht="15" x14ac:dyDescent="0.25">
      <c r="A939" s="109"/>
      <c r="B939" s="78"/>
      <c r="C939" s="78"/>
      <c r="D939" s="78"/>
      <c r="E939" s="78"/>
      <c r="F939" s="110"/>
      <c r="G939" s="115"/>
      <c r="H939" s="78"/>
      <c r="I939" s="78"/>
      <c r="J939" s="78"/>
      <c r="K939" s="110"/>
      <c r="L939" s="78"/>
      <c r="M939" s="78"/>
      <c r="N939" s="78"/>
      <c r="O939" s="78"/>
      <c r="P939" s="78"/>
      <c r="Q939" s="110"/>
      <c r="R939" s="110"/>
    </row>
    <row r="940" spans="1:18" ht="15" x14ac:dyDescent="0.25">
      <c r="A940" s="109"/>
      <c r="B940" s="111"/>
      <c r="C940" s="111"/>
      <c r="D940" s="111"/>
      <c r="E940" s="111"/>
      <c r="F940" s="112"/>
      <c r="G940" s="114"/>
      <c r="H940" s="111"/>
      <c r="I940" s="111"/>
      <c r="J940" s="111"/>
      <c r="K940" s="112"/>
      <c r="L940" s="111"/>
      <c r="M940" s="111"/>
      <c r="N940" s="111"/>
      <c r="O940" s="111"/>
      <c r="P940" s="111"/>
      <c r="Q940" s="112"/>
      <c r="R940" s="112"/>
    </row>
    <row r="941" spans="1:18" ht="15" x14ac:dyDescent="0.25">
      <c r="A941" s="109"/>
      <c r="B941" s="78"/>
      <c r="C941" s="78"/>
      <c r="D941" s="78"/>
      <c r="E941" s="78"/>
      <c r="F941" s="110"/>
      <c r="G941" s="115"/>
      <c r="H941" s="78"/>
      <c r="I941" s="78"/>
      <c r="J941" s="78"/>
      <c r="K941" s="110"/>
      <c r="L941" s="78"/>
      <c r="M941" s="78"/>
      <c r="N941" s="78"/>
      <c r="O941" s="78"/>
      <c r="P941" s="78"/>
      <c r="Q941" s="110"/>
      <c r="R941" s="110"/>
    </row>
    <row r="942" spans="1:18" ht="15" x14ac:dyDescent="0.25">
      <c r="A942" s="109"/>
      <c r="B942" s="111"/>
      <c r="C942" s="111"/>
      <c r="D942" s="111"/>
      <c r="E942" s="111"/>
      <c r="F942" s="112"/>
      <c r="G942" s="114"/>
      <c r="H942" s="111"/>
      <c r="I942" s="111"/>
      <c r="J942" s="111"/>
      <c r="K942" s="112"/>
      <c r="L942" s="111"/>
      <c r="M942" s="111"/>
      <c r="N942" s="111"/>
      <c r="O942" s="111"/>
      <c r="P942" s="111"/>
      <c r="Q942" s="112"/>
      <c r="R942" s="112"/>
    </row>
    <row r="943" spans="1:18" ht="15" x14ac:dyDescent="0.25">
      <c r="A943" s="109"/>
      <c r="B943" s="78"/>
      <c r="C943" s="78"/>
      <c r="D943" s="78"/>
      <c r="E943" s="78"/>
      <c r="F943" s="110"/>
      <c r="G943" s="115"/>
      <c r="H943" s="78"/>
      <c r="I943" s="78"/>
      <c r="J943" s="78"/>
      <c r="K943" s="110"/>
      <c r="L943" s="78"/>
      <c r="M943" s="78"/>
      <c r="N943" s="78"/>
      <c r="O943" s="78"/>
      <c r="P943" s="78"/>
      <c r="Q943" s="110"/>
      <c r="R943" s="110"/>
    </row>
    <row r="944" spans="1:18" ht="15" x14ac:dyDescent="0.25">
      <c r="A944" s="109"/>
      <c r="B944" s="111"/>
      <c r="C944" s="111"/>
      <c r="D944" s="111"/>
      <c r="E944" s="111"/>
      <c r="F944" s="112"/>
      <c r="G944" s="114"/>
      <c r="H944" s="111"/>
      <c r="I944" s="111"/>
      <c r="J944" s="111"/>
      <c r="K944" s="112"/>
      <c r="L944" s="111"/>
      <c r="M944" s="111"/>
      <c r="N944" s="111"/>
      <c r="O944" s="111"/>
      <c r="P944" s="111"/>
      <c r="Q944" s="112"/>
      <c r="R944" s="112"/>
    </row>
    <row r="945" spans="1:18" ht="15" x14ac:dyDescent="0.25">
      <c r="A945" s="109"/>
      <c r="B945" s="78"/>
      <c r="C945" s="78"/>
      <c r="D945" s="78"/>
      <c r="E945" s="78"/>
      <c r="F945" s="110"/>
      <c r="G945" s="115"/>
      <c r="H945" s="78"/>
      <c r="I945" s="78"/>
      <c r="J945" s="78"/>
      <c r="K945" s="110"/>
      <c r="L945" s="78"/>
      <c r="M945" s="78"/>
      <c r="N945" s="78"/>
      <c r="O945" s="78"/>
      <c r="P945" s="78"/>
      <c r="Q945" s="110"/>
      <c r="R945" s="110"/>
    </row>
    <row r="946" spans="1:18" ht="15" x14ac:dyDescent="0.25">
      <c r="A946" s="109"/>
      <c r="B946" s="111"/>
      <c r="C946" s="111"/>
      <c r="D946" s="111"/>
      <c r="E946" s="111"/>
      <c r="F946" s="112"/>
      <c r="G946" s="114"/>
      <c r="H946" s="111"/>
      <c r="I946" s="111"/>
      <c r="J946" s="111"/>
      <c r="K946" s="112"/>
      <c r="L946" s="111"/>
      <c r="M946" s="111"/>
      <c r="N946" s="111"/>
      <c r="O946" s="111"/>
      <c r="P946" s="111"/>
      <c r="Q946" s="112"/>
      <c r="R946" s="112"/>
    </row>
    <row r="947" spans="1:18" ht="15" x14ac:dyDescent="0.25">
      <c r="A947" s="109"/>
      <c r="B947" s="78"/>
      <c r="C947" s="78"/>
      <c r="D947" s="78"/>
      <c r="E947" s="78"/>
      <c r="F947" s="110"/>
      <c r="G947" s="115"/>
      <c r="H947" s="78"/>
      <c r="I947" s="78"/>
      <c r="J947" s="78"/>
      <c r="K947" s="110"/>
      <c r="L947" s="78"/>
      <c r="M947" s="78"/>
      <c r="N947" s="78"/>
      <c r="O947" s="78"/>
      <c r="P947" s="78"/>
      <c r="Q947" s="110"/>
      <c r="R947" s="110"/>
    </row>
    <row r="948" spans="1:18" ht="15" x14ac:dyDescent="0.25">
      <c r="A948" s="109"/>
      <c r="B948" s="111"/>
      <c r="C948" s="111"/>
      <c r="D948" s="111"/>
      <c r="E948" s="111"/>
      <c r="F948" s="112"/>
      <c r="G948" s="114"/>
      <c r="H948" s="111"/>
      <c r="I948" s="111"/>
      <c r="J948" s="111"/>
      <c r="K948" s="112"/>
      <c r="L948" s="111"/>
      <c r="M948" s="111"/>
      <c r="N948" s="111"/>
      <c r="O948" s="111"/>
      <c r="P948" s="111"/>
      <c r="Q948" s="112"/>
      <c r="R948" s="112"/>
    </row>
    <row r="949" spans="1:18" ht="15" x14ac:dyDescent="0.25">
      <c r="A949" s="109"/>
      <c r="B949" s="78"/>
      <c r="C949" s="78"/>
      <c r="D949" s="78"/>
      <c r="E949" s="78"/>
      <c r="F949" s="110"/>
      <c r="G949" s="115"/>
      <c r="H949" s="78"/>
      <c r="I949" s="78"/>
      <c r="J949" s="78"/>
      <c r="K949" s="110"/>
      <c r="L949" s="78"/>
      <c r="M949" s="78"/>
      <c r="N949" s="78"/>
      <c r="O949" s="78"/>
      <c r="P949" s="78"/>
      <c r="Q949" s="110"/>
      <c r="R949" s="110"/>
    </row>
    <row r="950" spans="1:18" ht="15" x14ac:dyDescent="0.25">
      <c r="A950" s="109"/>
      <c r="B950" s="111"/>
      <c r="C950" s="111"/>
      <c r="D950" s="111"/>
      <c r="E950" s="111"/>
      <c r="F950" s="112"/>
      <c r="G950" s="114"/>
      <c r="H950" s="111"/>
      <c r="I950" s="111"/>
      <c r="J950" s="111"/>
      <c r="K950" s="112"/>
      <c r="L950" s="111"/>
      <c r="M950" s="111"/>
      <c r="N950" s="111"/>
      <c r="O950" s="111"/>
      <c r="P950" s="111"/>
      <c r="Q950" s="112"/>
      <c r="R950" s="112"/>
    </row>
    <row r="951" spans="1:18" ht="15" x14ac:dyDescent="0.25">
      <c r="A951" s="109"/>
      <c r="B951" s="78"/>
      <c r="C951" s="78"/>
      <c r="D951" s="78"/>
      <c r="E951" s="78"/>
      <c r="F951" s="110"/>
      <c r="G951" s="115"/>
      <c r="H951" s="78"/>
      <c r="I951" s="78"/>
      <c r="J951" s="78"/>
      <c r="K951" s="110"/>
      <c r="L951" s="78"/>
      <c r="M951" s="78"/>
      <c r="N951" s="78"/>
      <c r="O951" s="78"/>
      <c r="P951" s="78"/>
      <c r="Q951" s="110"/>
      <c r="R951" s="110"/>
    </row>
    <row r="952" spans="1:18" ht="15" x14ac:dyDescent="0.25">
      <c r="A952" s="109"/>
      <c r="B952" s="111"/>
      <c r="C952" s="111"/>
      <c r="D952" s="111"/>
      <c r="E952" s="111"/>
      <c r="F952" s="112"/>
      <c r="G952" s="114"/>
      <c r="H952" s="111"/>
      <c r="I952" s="111"/>
      <c r="J952" s="111"/>
      <c r="K952" s="112"/>
      <c r="L952" s="111"/>
      <c r="M952" s="111"/>
      <c r="N952" s="111"/>
      <c r="O952" s="111"/>
      <c r="P952" s="111"/>
      <c r="Q952" s="112"/>
      <c r="R952" s="112"/>
    </row>
    <row r="953" spans="1:18" ht="15" x14ac:dyDescent="0.25">
      <c r="A953" s="109"/>
      <c r="B953" s="78"/>
      <c r="C953" s="78"/>
      <c r="D953" s="78"/>
      <c r="E953" s="78"/>
      <c r="F953" s="110"/>
      <c r="G953" s="115"/>
      <c r="H953" s="78"/>
      <c r="I953" s="78"/>
      <c r="J953" s="78"/>
      <c r="K953" s="110"/>
      <c r="L953" s="78"/>
      <c r="M953" s="78"/>
      <c r="N953" s="78"/>
      <c r="O953" s="78"/>
      <c r="P953" s="78"/>
      <c r="Q953" s="110"/>
      <c r="R953" s="110"/>
    </row>
    <row r="954" spans="1:18" ht="15" x14ac:dyDescent="0.25">
      <c r="A954" s="109"/>
      <c r="B954" s="111"/>
      <c r="C954" s="111"/>
      <c r="D954" s="111"/>
      <c r="E954" s="111"/>
      <c r="F954" s="112"/>
      <c r="G954" s="114"/>
      <c r="H954" s="111"/>
      <c r="I954" s="111"/>
      <c r="J954" s="111"/>
      <c r="K954" s="112"/>
      <c r="L954" s="111"/>
      <c r="M954" s="111"/>
      <c r="N954" s="111"/>
      <c r="O954" s="111"/>
      <c r="P954" s="111"/>
      <c r="Q954" s="112"/>
      <c r="R954" s="112"/>
    </row>
    <row r="955" spans="1:18" ht="15" x14ac:dyDescent="0.25">
      <c r="A955" s="109"/>
      <c r="B955" s="78"/>
      <c r="C955" s="78"/>
      <c r="D955" s="78"/>
      <c r="E955" s="78"/>
      <c r="F955" s="110"/>
      <c r="G955" s="115"/>
      <c r="H955" s="78"/>
      <c r="I955" s="78"/>
      <c r="J955" s="78"/>
      <c r="K955" s="110"/>
      <c r="L955" s="78"/>
      <c r="M955" s="78"/>
      <c r="N955" s="78"/>
      <c r="O955" s="78"/>
      <c r="P955" s="78"/>
      <c r="Q955" s="110"/>
      <c r="R955" s="110"/>
    </row>
    <row r="956" spans="1:18" ht="15" x14ac:dyDescent="0.25">
      <c r="A956" s="109"/>
      <c r="B956" s="111"/>
      <c r="C956" s="111"/>
      <c r="D956" s="111"/>
      <c r="E956" s="111"/>
      <c r="F956" s="112"/>
      <c r="G956" s="114"/>
      <c r="H956" s="111"/>
      <c r="I956" s="111"/>
      <c r="J956" s="111"/>
      <c r="K956" s="112"/>
      <c r="L956" s="111"/>
      <c r="M956" s="111"/>
      <c r="N956" s="111"/>
      <c r="O956" s="111"/>
      <c r="P956" s="111"/>
      <c r="Q956" s="112"/>
      <c r="R956" s="112"/>
    </row>
    <row r="957" spans="1:18" ht="15" x14ac:dyDescent="0.25">
      <c r="A957" s="109"/>
      <c r="B957" s="78"/>
      <c r="C957" s="78"/>
      <c r="D957" s="78"/>
      <c r="E957" s="78"/>
      <c r="F957" s="110"/>
      <c r="G957" s="115"/>
      <c r="H957" s="78"/>
      <c r="I957" s="78"/>
      <c r="J957" s="78"/>
      <c r="K957" s="110"/>
      <c r="L957" s="78"/>
      <c r="M957" s="78"/>
      <c r="N957" s="78"/>
      <c r="O957" s="78"/>
      <c r="P957" s="78"/>
      <c r="Q957" s="110"/>
      <c r="R957" s="110"/>
    </row>
    <row r="958" spans="1:18" ht="15" x14ac:dyDescent="0.25">
      <c r="A958" s="109"/>
      <c r="B958" s="111"/>
      <c r="C958" s="111"/>
      <c r="D958" s="111"/>
      <c r="E958" s="111"/>
      <c r="F958" s="112"/>
      <c r="G958" s="114"/>
      <c r="H958" s="111"/>
      <c r="I958" s="111"/>
      <c r="J958" s="111"/>
      <c r="K958" s="112"/>
      <c r="L958" s="111"/>
      <c r="M958" s="111"/>
      <c r="N958" s="111"/>
      <c r="O958" s="111"/>
      <c r="P958" s="111"/>
      <c r="Q958" s="112"/>
      <c r="R958" s="112"/>
    </row>
    <row r="959" spans="1:18" ht="15" x14ac:dyDescent="0.25">
      <c r="A959" s="109"/>
      <c r="B959" s="78"/>
      <c r="C959" s="78"/>
      <c r="D959" s="78"/>
      <c r="E959" s="78"/>
      <c r="F959" s="110"/>
      <c r="G959" s="115"/>
      <c r="H959" s="78"/>
      <c r="I959" s="78"/>
      <c r="J959" s="78"/>
      <c r="K959" s="110"/>
      <c r="L959" s="78"/>
      <c r="M959" s="78"/>
      <c r="N959" s="78"/>
      <c r="O959" s="78"/>
      <c r="P959" s="78"/>
      <c r="Q959" s="110"/>
      <c r="R959" s="110"/>
    </row>
    <row r="960" spans="1:18" ht="15" x14ac:dyDescent="0.25">
      <c r="A960" s="109"/>
      <c r="B960" s="111"/>
      <c r="C960" s="111"/>
      <c r="D960" s="111"/>
      <c r="E960" s="111"/>
      <c r="F960" s="112"/>
      <c r="G960" s="114"/>
      <c r="H960" s="111"/>
      <c r="I960" s="111"/>
      <c r="J960" s="111"/>
      <c r="K960" s="112"/>
      <c r="L960" s="111"/>
      <c r="M960" s="111"/>
      <c r="N960" s="111"/>
      <c r="O960" s="111"/>
      <c r="P960" s="111"/>
      <c r="Q960" s="112"/>
      <c r="R960" s="112"/>
    </row>
    <row r="961" spans="1:18" ht="15" x14ac:dyDescent="0.25">
      <c r="A961" s="109"/>
      <c r="B961" s="78"/>
      <c r="C961" s="78"/>
      <c r="D961" s="78"/>
      <c r="E961" s="78"/>
      <c r="F961" s="110"/>
      <c r="G961" s="115"/>
      <c r="H961" s="78"/>
      <c r="I961" s="78"/>
      <c r="J961" s="78"/>
      <c r="K961" s="110"/>
      <c r="L961" s="78"/>
      <c r="M961" s="78"/>
      <c r="N961" s="78"/>
      <c r="O961" s="78"/>
      <c r="P961" s="78"/>
      <c r="Q961" s="110"/>
      <c r="R961" s="110"/>
    </row>
    <row r="962" spans="1:18" ht="15" x14ac:dyDescent="0.25">
      <c r="A962" s="109"/>
      <c r="B962" s="111"/>
      <c r="C962" s="111"/>
      <c r="D962" s="111"/>
      <c r="E962" s="111"/>
      <c r="F962" s="112"/>
      <c r="G962" s="114"/>
      <c r="H962" s="111"/>
      <c r="I962" s="111"/>
      <c r="J962" s="111"/>
      <c r="K962" s="112"/>
      <c r="L962" s="111"/>
      <c r="M962" s="111"/>
      <c r="N962" s="111"/>
      <c r="O962" s="111"/>
      <c r="P962" s="111"/>
      <c r="Q962" s="112"/>
      <c r="R962" s="112"/>
    </row>
    <row r="963" spans="1:18" ht="15" x14ac:dyDescent="0.25">
      <c r="A963" s="109"/>
      <c r="B963" s="78"/>
      <c r="C963" s="78"/>
      <c r="D963" s="78"/>
      <c r="E963" s="78"/>
      <c r="F963" s="110"/>
      <c r="G963" s="115"/>
      <c r="H963" s="78"/>
      <c r="I963" s="78"/>
      <c r="J963" s="78"/>
      <c r="K963" s="110"/>
      <c r="L963" s="78"/>
      <c r="M963" s="78"/>
      <c r="N963" s="78"/>
      <c r="O963" s="78"/>
      <c r="P963" s="78"/>
      <c r="Q963" s="110"/>
      <c r="R963" s="110"/>
    </row>
    <row r="964" spans="1:18" ht="15" x14ac:dyDescent="0.25">
      <c r="A964" s="109"/>
      <c r="B964" s="111"/>
      <c r="C964" s="111"/>
      <c r="D964" s="111"/>
      <c r="E964" s="111"/>
      <c r="F964" s="112"/>
      <c r="G964" s="114"/>
      <c r="H964" s="111"/>
      <c r="I964" s="111"/>
      <c r="J964" s="111"/>
      <c r="K964" s="112"/>
      <c r="L964" s="111"/>
      <c r="M964" s="111"/>
      <c r="N964" s="111"/>
      <c r="O964" s="111"/>
      <c r="P964" s="111"/>
      <c r="Q964" s="112"/>
      <c r="R964" s="112"/>
    </row>
    <row r="965" spans="1:18" ht="15" x14ac:dyDescent="0.25">
      <c r="A965" s="109"/>
      <c r="B965" s="78"/>
      <c r="C965" s="78"/>
      <c r="D965" s="78"/>
      <c r="E965" s="78"/>
      <c r="F965" s="110"/>
      <c r="G965" s="115"/>
      <c r="H965" s="78"/>
      <c r="I965" s="78"/>
      <c r="J965" s="78"/>
      <c r="K965" s="110"/>
      <c r="L965" s="78"/>
      <c r="M965" s="78"/>
      <c r="N965" s="78"/>
      <c r="O965" s="78"/>
      <c r="P965" s="78"/>
      <c r="Q965" s="110"/>
      <c r="R965" s="110"/>
    </row>
    <row r="966" spans="1:18" ht="15" x14ac:dyDescent="0.25">
      <c r="A966" s="109"/>
      <c r="B966" s="111"/>
      <c r="C966" s="111"/>
      <c r="D966" s="111"/>
      <c r="E966" s="111"/>
      <c r="F966" s="112"/>
      <c r="G966" s="114"/>
      <c r="H966" s="111"/>
      <c r="I966" s="111"/>
      <c r="J966" s="111"/>
      <c r="K966" s="112"/>
      <c r="L966" s="111"/>
      <c r="M966" s="111"/>
      <c r="N966" s="111"/>
      <c r="O966" s="111"/>
      <c r="P966" s="111"/>
      <c r="Q966" s="112"/>
      <c r="R966" s="112"/>
    </row>
    <row r="967" spans="1:18" ht="15" x14ac:dyDescent="0.25">
      <c r="A967" s="109"/>
      <c r="B967" s="78"/>
      <c r="C967" s="78"/>
      <c r="D967" s="78"/>
      <c r="E967" s="78"/>
      <c r="F967" s="110"/>
      <c r="G967" s="115"/>
      <c r="H967" s="78"/>
      <c r="I967" s="78"/>
      <c r="J967" s="78"/>
      <c r="K967" s="110"/>
      <c r="L967" s="78"/>
      <c r="M967" s="78"/>
      <c r="N967" s="78"/>
      <c r="O967" s="78"/>
      <c r="P967" s="78"/>
      <c r="Q967" s="110"/>
      <c r="R967" s="110"/>
    </row>
    <row r="968" spans="1:18" ht="15" x14ac:dyDescent="0.25">
      <c r="A968" s="109"/>
      <c r="B968" s="111"/>
      <c r="C968" s="111"/>
      <c r="D968" s="111"/>
      <c r="E968" s="111"/>
      <c r="F968" s="112"/>
      <c r="G968" s="114"/>
      <c r="H968" s="111"/>
      <c r="I968" s="111"/>
      <c r="J968" s="111"/>
      <c r="K968" s="112"/>
      <c r="L968" s="111"/>
      <c r="M968" s="111"/>
      <c r="N968" s="111"/>
      <c r="O968" s="111"/>
      <c r="P968" s="111"/>
      <c r="Q968" s="112"/>
      <c r="R968" s="112"/>
    </row>
    <row r="969" spans="1:18" ht="15" x14ac:dyDescent="0.25">
      <c r="A969" s="109"/>
      <c r="B969" s="78"/>
      <c r="C969" s="78"/>
      <c r="D969" s="78"/>
      <c r="E969" s="78"/>
      <c r="F969" s="110"/>
      <c r="G969" s="115"/>
      <c r="H969" s="78"/>
      <c r="I969" s="78"/>
      <c r="J969" s="78"/>
      <c r="K969" s="110"/>
      <c r="L969" s="78"/>
      <c r="M969" s="78"/>
      <c r="N969" s="78"/>
      <c r="O969" s="78"/>
      <c r="P969" s="78"/>
      <c r="Q969" s="110"/>
      <c r="R969" s="110"/>
    </row>
    <row r="970" spans="1:18" ht="15" x14ac:dyDescent="0.25">
      <c r="A970" s="109"/>
      <c r="B970" s="111"/>
      <c r="C970" s="111"/>
      <c r="D970" s="111"/>
      <c r="E970" s="111"/>
      <c r="F970" s="112"/>
      <c r="G970" s="114"/>
      <c r="H970" s="111"/>
      <c r="I970" s="111"/>
      <c r="J970" s="111"/>
      <c r="K970" s="112"/>
      <c r="L970" s="111"/>
      <c r="M970" s="111"/>
      <c r="N970" s="111"/>
      <c r="O970" s="111"/>
      <c r="P970" s="111"/>
      <c r="Q970" s="112"/>
      <c r="R970" s="112"/>
    </row>
    <row r="971" spans="1:18" ht="15" x14ac:dyDescent="0.25">
      <c r="A971" s="109"/>
      <c r="B971" s="78"/>
      <c r="C971" s="78"/>
      <c r="D971" s="78"/>
      <c r="E971" s="78"/>
      <c r="F971" s="110"/>
      <c r="G971" s="115"/>
      <c r="H971" s="78"/>
      <c r="I971" s="78"/>
      <c r="J971" s="78"/>
      <c r="K971" s="110"/>
      <c r="L971" s="78"/>
      <c r="M971" s="78"/>
      <c r="N971" s="78"/>
      <c r="O971" s="78"/>
      <c r="P971" s="78"/>
      <c r="Q971" s="110"/>
      <c r="R971" s="110"/>
    </row>
    <row r="972" spans="1:18" ht="15" x14ac:dyDescent="0.25">
      <c r="A972" s="109"/>
      <c r="B972" s="111"/>
      <c r="C972" s="111"/>
      <c r="D972" s="111"/>
      <c r="E972" s="111"/>
      <c r="F972" s="112"/>
      <c r="G972" s="114"/>
      <c r="H972" s="111"/>
      <c r="I972" s="111"/>
      <c r="J972" s="111"/>
      <c r="K972" s="112"/>
      <c r="L972" s="111"/>
      <c r="M972" s="111"/>
      <c r="N972" s="111"/>
      <c r="O972" s="111"/>
      <c r="P972" s="111"/>
      <c r="Q972" s="112"/>
      <c r="R972" s="112"/>
    </row>
    <row r="973" spans="1:18" ht="15" x14ac:dyDescent="0.25">
      <c r="A973" s="109"/>
      <c r="B973" s="78"/>
      <c r="C973" s="78"/>
      <c r="D973" s="78"/>
      <c r="E973" s="78"/>
      <c r="F973" s="110"/>
      <c r="G973" s="115"/>
      <c r="H973" s="78"/>
      <c r="I973" s="78"/>
      <c r="J973" s="78"/>
      <c r="K973" s="110"/>
      <c r="L973" s="78"/>
      <c r="M973" s="78"/>
      <c r="N973" s="78"/>
      <c r="O973" s="78"/>
      <c r="P973" s="78"/>
      <c r="Q973" s="110"/>
      <c r="R973" s="110"/>
    </row>
    <row r="974" spans="1:18" ht="15" x14ac:dyDescent="0.25">
      <c r="A974" s="109"/>
      <c r="B974" s="111"/>
      <c r="C974" s="111"/>
      <c r="D974" s="111"/>
      <c r="E974" s="111"/>
      <c r="F974" s="112"/>
      <c r="G974" s="114"/>
      <c r="H974" s="111"/>
      <c r="I974" s="111"/>
      <c r="J974" s="111"/>
      <c r="K974" s="112"/>
      <c r="L974" s="111"/>
      <c r="M974" s="111"/>
      <c r="N974" s="111"/>
      <c r="O974" s="111"/>
      <c r="P974" s="111"/>
      <c r="Q974" s="112"/>
      <c r="R974" s="112"/>
    </row>
    <row r="975" spans="1:18" ht="15" x14ac:dyDescent="0.25">
      <c r="A975" s="109"/>
      <c r="B975" s="78"/>
      <c r="C975" s="78"/>
      <c r="D975" s="78"/>
      <c r="E975" s="78"/>
      <c r="F975" s="110"/>
      <c r="G975" s="115"/>
      <c r="H975" s="78"/>
      <c r="I975" s="78"/>
      <c r="J975" s="78"/>
      <c r="K975" s="110"/>
      <c r="L975" s="78"/>
      <c r="M975" s="78"/>
      <c r="N975" s="78"/>
      <c r="O975" s="78"/>
      <c r="P975" s="78"/>
      <c r="Q975" s="110"/>
      <c r="R975" s="110"/>
    </row>
    <row r="976" spans="1:18" ht="15" x14ac:dyDescent="0.25">
      <c r="A976" s="109"/>
      <c r="B976" s="111"/>
      <c r="C976" s="111"/>
      <c r="D976" s="111"/>
      <c r="E976" s="111"/>
      <c r="F976" s="112"/>
      <c r="G976" s="114"/>
      <c r="H976" s="111"/>
      <c r="I976" s="111"/>
      <c r="J976" s="111"/>
      <c r="K976" s="112"/>
      <c r="L976" s="111"/>
      <c r="M976" s="111"/>
      <c r="N976" s="111"/>
      <c r="O976" s="111"/>
      <c r="P976" s="111"/>
      <c r="Q976" s="112"/>
      <c r="R976" s="112"/>
    </row>
    <row r="977" spans="1:18" ht="15" x14ac:dyDescent="0.25">
      <c r="A977" s="109"/>
      <c r="B977" s="78"/>
      <c r="C977" s="78"/>
      <c r="D977" s="78"/>
      <c r="E977" s="78"/>
      <c r="F977" s="110"/>
      <c r="G977" s="115"/>
      <c r="H977" s="78"/>
      <c r="I977" s="78"/>
      <c r="J977" s="78"/>
      <c r="K977" s="110"/>
      <c r="L977" s="78"/>
      <c r="M977" s="78"/>
      <c r="N977" s="78"/>
      <c r="O977" s="78"/>
      <c r="P977" s="78"/>
      <c r="Q977" s="110"/>
      <c r="R977" s="110"/>
    </row>
    <row r="978" spans="1:18" ht="15" x14ac:dyDescent="0.25">
      <c r="A978" s="109"/>
      <c r="B978" s="111"/>
      <c r="C978" s="111"/>
      <c r="D978" s="111"/>
      <c r="E978" s="111"/>
      <c r="F978" s="112"/>
      <c r="G978" s="114"/>
      <c r="H978" s="111"/>
      <c r="I978" s="111"/>
      <c r="J978" s="111"/>
      <c r="K978" s="112"/>
      <c r="L978" s="111"/>
      <c r="M978" s="111"/>
      <c r="N978" s="111"/>
      <c r="O978" s="111"/>
      <c r="P978" s="111"/>
      <c r="Q978" s="112"/>
      <c r="R978" s="112"/>
    </row>
    <row r="979" spans="1:18" ht="15" x14ac:dyDescent="0.25">
      <c r="A979" s="109"/>
      <c r="B979" s="78"/>
      <c r="C979" s="78"/>
      <c r="D979" s="78"/>
      <c r="E979" s="78"/>
      <c r="F979" s="110"/>
      <c r="G979" s="115"/>
      <c r="H979" s="78"/>
      <c r="I979" s="78"/>
      <c r="J979" s="78"/>
      <c r="K979" s="110"/>
      <c r="L979" s="78"/>
      <c r="M979" s="78"/>
      <c r="N979" s="78"/>
      <c r="O979" s="78"/>
      <c r="P979" s="78"/>
      <c r="Q979" s="110"/>
      <c r="R979" s="110"/>
    </row>
    <row r="980" spans="1:18" ht="15" x14ac:dyDescent="0.25">
      <c r="A980" s="109"/>
      <c r="B980" s="111"/>
      <c r="C980" s="111"/>
      <c r="D980" s="111"/>
      <c r="E980" s="111"/>
      <c r="F980" s="112"/>
      <c r="G980" s="114"/>
      <c r="H980" s="111"/>
      <c r="I980" s="111"/>
      <c r="J980" s="111"/>
      <c r="K980" s="112"/>
      <c r="L980" s="111"/>
      <c r="M980" s="111"/>
      <c r="N980" s="111"/>
      <c r="O980" s="111"/>
      <c r="P980" s="111"/>
      <c r="Q980" s="112"/>
      <c r="R980" s="112"/>
    </row>
    <row r="981" spans="1:18" ht="15" x14ac:dyDescent="0.25">
      <c r="A981" s="109"/>
      <c r="B981" s="78"/>
      <c r="C981" s="78"/>
      <c r="D981" s="78"/>
      <c r="E981" s="78"/>
      <c r="F981" s="110"/>
      <c r="G981" s="115"/>
      <c r="H981" s="78"/>
      <c r="I981" s="78"/>
      <c r="J981" s="78"/>
      <c r="K981" s="110"/>
      <c r="L981" s="78"/>
      <c r="M981" s="78"/>
      <c r="N981" s="78"/>
      <c r="O981" s="78"/>
      <c r="P981" s="78"/>
      <c r="Q981" s="110"/>
      <c r="R981" s="110"/>
    </row>
    <row r="982" spans="1:18" ht="15" x14ac:dyDescent="0.25">
      <c r="A982" s="109"/>
      <c r="B982" s="111"/>
      <c r="C982" s="111"/>
      <c r="D982" s="111"/>
      <c r="E982" s="111"/>
      <c r="F982" s="112"/>
      <c r="G982" s="114"/>
      <c r="H982" s="111"/>
      <c r="I982" s="111"/>
      <c r="J982" s="111"/>
      <c r="K982" s="112"/>
      <c r="L982" s="111"/>
      <c r="M982" s="111"/>
      <c r="N982" s="111"/>
      <c r="O982" s="111"/>
      <c r="P982" s="111"/>
      <c r="Q982" s="112"/>
      <c r="R982" s="112"/>
    </row>
    <row r="983" spans="1:18" ht="15" x14ac:dyDescent="0.25">
      <c r="A983" s="109"/>
      <c r="B983" s="78"/>
      <c r="C983" s="78"/>
      <c r="D983" s="78"/>
      <c r="E983" s="78"/>
      <c r="F983" s="110"/>
      <c r="G983" s="115"/>
      <c r="H983" s="78"/>
      <c r="I983" s="78"/>
      <c r="J983" s="78"/>
      <c r="K983" s="110"/>
      <c r="L983" s="78"/>
      <c r="M983" s="78"/>
      <c r="N983" s="78"/>
      <c r="O983" s="78"/>
      <c r="P983" s="78"/>
      <c r="Q983" s="110"/>
      <c r="R983" s="110"/>
    </row>
    <row r="984" spans="1:18" ht="15" x14ac:dyDescent="0.25">
      <c r="A984" s="109"/>
      <c r="B984" s="111"/>
      <c r="C984" s="111"/>
      <c r="D984" s="111"/>
      <c r="E984" s="111"/>
      <c r="F984" s="112"/>
      <c r="G984" s="114"/>
      <c r="H984" s="111"/>
      <c r="I984" s="111"/>
      <c r="J984" s="111"/>
      <c r="K984" s="112"/>
      <c r="L984" s="111"/>
      <c r="M984" s="111"/>
      <c r="N984" s="111"/>
      <c r="O984" s="111"/>
      <c r="P984" s="111"/>
      <c r="Q984" s="112"/>
      <c r="R984" s="112"/>
    </row>
    <row r="985" spans="1:18" ht="15" x14ac:dyDescent="0.25">
      <c r="A985" s="109"/>
      <c r="B985" s="78"/>
      <c r="C985" s="78"/>
      <c r="D985" s="78"/>
      <c r="E985" s="78"/>
      <c r="F985" s="110"/>
      <c r="G985" s="115"/>
      <c r="H985" s="78"/>
      <c r="I985" s="78"/>
      <c r="J985" s="78"/>
      <c r="K985" s="110"/>
      <c r="L985" s="78"/>
      <c r="M985" s="78"/>
      <c r="N985" s="78"/>
      <c r="O985" s="78"/>
      <c r="P985" s="78"/>
      <c r="Q985" s="110"/>
      <c r="R985" s="110"/>
    </row>
    <row r="986" spans="1:18" ht="15" x14ac:dyDescent="0.25">
      <c r="A986" s="109"/>
      <c r="B986" s="111"/>
      <c r="C986" s="111"/>
      <c r="D986" s="111"/>
      <c r="E986" s="111"/>
      <c r="F986" s="112"/>
      <c r="G986" s="114"/>
      <c r="H986" s="111"/>
      <c r="I986" s="111"/>
      <c r="J986" s="111"/>
      <c r="K986" s="112"/>
      <c r="L986" s="111"/>
      <c r="M986" s="111"/>
      <c r="N986" s="111"/>
      <c r="O986" s="111"/>
      <c r="P986" s="111"/>
      <c r="Q986" s="112"/>
      <c r="R986" s="112"/>
    </row>
    <row r="987" spans="1:18" ht="15" x14ac:dyDescent="0.25">
      <c r="A987" s="109"/>
      <c r="B987" s="78"/>
      <c r="C987" s="78"/>
      <c r="D987" s="78"/>
      <c r="E987" s="78"/>
      <c r="F987" s="110"/>
      <c r="G987" s="115"/>
      <c r="H987" s="78"/>
      <c r="I987" s="78"/>
      <c r="J987" s="78"/>
      <c r="K987" s="110"/>
      <c r="L987" s="78"/>
      <c r="M987" s="78"/>
      <c r="N987" s="78"/>
      <c r="O987" s="78"/>
      <c r="P987" s="78"/>
      <c r="Q987" s="110"/>
      <c r="R987" s="110"/>
    </row>
    <row r="988" spans="1:18" ht="15" x14ac:dyDescent="0.25">
      <c r="A988" s="109"/>
      <c r="B988" s="111"/>
      <c r="C988" s="111"/>
      <c r="D988" s="111"/>
      <c r="E988" s="111"/>
      <c r="F988" s="112"/>
      <c r="G988" s="114"/>
      <c r="H988" s="111"/>
      <c r="I988" s="111"/>
      <c r="J988" s="111"/>
      <c r="K988" s="112"/>
      <c r="L988" s="111"/>
      <c r="M988" s="111"/>
      <c r="N988" s="111"/>
      <c r="O988" s="111"/>
      <c r="P988" s="111"/>
      <c r="Q988" s="112"/>
      <c r="R988" s="112"/>
    </row>
    <row r="989" spans="1:18" ht="15" x14ac:dyDescent="0.25">
      <c r="A989" s="109"/>
      <c r="B989" s="78"/>
      <c r="C989" s="78"/>
      <c r="D989" s="78"/>
      <c r="E989" s="78"/>
      <c r="F989" s="110"/>
      <c r="G989" s="115"/>
      <c r="H989" s="78"/>
      <c r="I989" s="78"/>
      <c r="J989" s="78"/>
      <c r="K989" s="110"/>
      <c r="L989" s="78"/>
      <c r="M989" s="78"/>
      <c r="N989" s="78"/>
      <c r="O989" s="78"/>
      <c r="P989" s="78"/>
      <c r="Q989" s="110"/>
      <c r="R989" s="110"/>
    </row>
    <row r="990" spans="1:18" ht="15" x14ac:dyDescent="0.25">
      <c r="A990" s="109"/>
      <c r="B990" s="111"/>
      <c r="C990" s="111"/>
      <c r="D990" s="111"/>
      <c r="E990" s="111"/>
      <c r="F990" s="112"/>
      <c r="G990" s="114"/>
      <c r="H990" s="111"/>
      <c r="I990" s="111"/>
      <c r="J990" s="111"/>
      <c r="K990" s="112"/>
      <c r="L990" s="111"/>
      <c r="M990" s="111"/>
      <c r="N990" s="111"/>
      <c r="O990" s="111"/>
      <c r="P990" s="111"/>
      <c r="Q990" s="112"/>
      <c r="R990" s="112"/>
    </row>
    <row r="991" spans="1:18" ht="15" x14ac:dyDescent="0.25">
      <c r="A991" s="109"/>
      <c r="B991" s="78"/>
      <c r="C991" s="78"/>
      <c r="D991" s="78"/>
      <c r="E991" s="78"/>
      <c r="F991" s="110"/>
      <c r="G991" s="115"/>
      <c r="H991" s="78"/>
      <c r="I991" s="78"/>
      <c r="J991" s="78"/>
      <c r="K991" s="110"/>
      <c r="L991" s="78"/>
      <c r="M991" s="78"/>
      <c r="N991" s="78"/>
      <c r="O991" s="78"/>
      <c r="P991" s="78"/>
      <c r="Q991" s="110"/>
      <c r="R991" s="110"/>
    </row>
    <row r="992" spans="1:18" ht="15" x14ac:dyDescent="0.25">
      <c r="A992" s="109"/>
      <c r="B992" s="111"/>
      <c r="C992" s="111"/>
      <c r="D992" s="111"/>
      <c r="E992" s="111"/>
      <c r="F992" s="112"/>
      <c r="G992" s="114"/>
      <c r="H992" s="111"/>
      <c r="I992" s="111"/>
      <c r="J992" s="111"/>
      <c r="K992" s="112"/>
      <c r="L992" s="111"/>
      <c r="M992" s="111"/>
      <c r="N992" s="111"/>
      <c r="O992" s="111"/>
      <c r="P992" s="111"/>
      <c r="Q992" s="112"/>
      <c r="R992" s="112"/>
    </row>
    <row r="993" spans="1:18" ht="15" x14ac:dyDescent="0.25">
      <c r="A993" s="109"/>
      <c r="B993" s="78"/>
      <c r="C993" s="78"/>
      <c r="D993" s="78"/>
      <c r="E993" s="78"/>
      <c r="F993" s="110"/>
      <c r="G993" s="115"/>
      <c r="H993" s="78"/>
      <c r="I993" s="78"/>
      <c r="J993" s="78"/>
      <c r="K993" s="110"/>
      <c r="L993" s="78"/>
      <c r="M993" s="78"/>
      <c r="N993" s="78"/>
      <c r="O993" s="78"/>
      <c r="P993" s="78"/>
      <c r="Q993" s="110"/>
      <c r="R993" s="110"/>
    </row>
    <row r="994" spans="1:18" ht="15" x14ac:dyDescent="0.25">
      <c r="A994" s="109"/>
      <c r="B994" s="111"/>
      <c r="C994" s="111"/>
      <c r="D994" s="111"/>
      <c r="E994" s="111"/>
      <c r="F994" s="112"/>
      <c r="G994" s="114"/>
      <c r="H994" s="111"/>
      <c r="I994" s="111"/>
      <c r="J994" s="111"/>
      <c r="K994" s="112"/>
      <c r="L994" s="111"/>
      <c r="M994" s="111"/>
      <c r="N994" s="111"/>
      <c r="O994" s="111"/>
      <c r="P994" s="111"/>
      <c r="Q994" s="112"/>
      <c r="R994" s="112"/>
    </row>
    <row r="995" spans="1:18" ht="15" x14ac:dyDescent="0.25">
      <c r="A995" s="109"/>
      <c r="B995" s="78"/>
      <c r="C995" s="78"/>
      <c r="D995" s="78"/>
      <c r="E995" s="78"/>
      <c r="F995" s="110"/>
      <c r="G995" s="115"/>
      <c r="H995" s="78"/>
      <c r="I995" s="78"/>
      <c r="J995" s="78"/>
      <c r="K995" s="110"/>
      <c r="L995" s="78"/>
      <c r="M995" s="78"/>
      <c r="N995" s="78"/>
      <c r="O995" s="78"/>
      <c r="P995" s="78"/>
      <c r="Q995" s="110"/>
      <c r="R995" s="110"/>
    </row>
    <row r="996" spans="1:18" ht="15" x14ac:dyDescent="0.25">
      <c r="A996" s="109"/>
      <c r="B996" s="111"/>
      <c r="C996" s="111"/>
      <c r="D996" s="111"/>
      <c r="E996" s="111"/>
      <c r="F996" s="112"/>
      <c r="G996" s="114"/>
      <c r="H996" s="111"/>
      <c r="I996" s="111"/>
      <c r="J996" s="111"/>
      <c r="K996" s="112"/>
      <c r="L996" s="111"/>
      <c r="M996" s="111"/>
      <c r="N996" s="111"/>
      <c r="O996" s="111"/>
      <c r="P996" s="111"/>
      <c r="Q996" s="112"/>
      <c r="R996" s="112"/>
    </row>
    <row r="997" spans="1:18" ht="15" x14ac:dyDescent="0.25">
      <c r="A997" s="109"/>
      <c r="B997" s="78"/>
      <c r="C997" s="78"/>
      <c r="D997" s="78"/>
      <c r="E997" s="78"/>
      <c r="F997" s="110"/>
      <c r="G997" s="115"/>
      <c r="H997" s="78"/>
      <c r="I997" s="78"/>
      <c r="J997" s="78"/>
      <c r="K997" s="110"/>
      <c r="L997" s="78"/>
      <c r="M997" s="78"/>
      <c r="N997" s="78"/>
      <c r="O997" s="78"/>
      <c r="P997" s="78"/>
      <c r="Q997" s="110"/>
      <c r="R997" s="110"/>
    </row>
    <row r="998" spans="1:18" ht="15" x14ac:dyDescent="0.25">
      <c r="A998" s="109"/>
      <c r="B998" s="111"/>
      <c r="C998" s="111"/>
      <c r="D998" s="111"/>
      <c r="E998" s="111"/>
      <c r="F998" s="112"/>
      <c r="G998" s="114"/>
      <c r="H998" s="111"/>
      <c r="I998" s="111"/>
      <c r="J998" s="111"/>
      <c r="K998" s="112"/>
      <c r="L998" s="111"/>
      <c r="M998" s="111"/>
      <c r="N998" s="111"/>
      <c r="O998" s="111"/>
      <c r="P998" s="111"/>
      <c r="Q998" s="112"/>
      <c r="R998" s="112"/>
    </row>
    <row r="999" spans="1:18" ht="15" x14ac:dyDescent="0.25">
      <c r="A999" s="109"/>
      <c r="B999" s="78"/>
      <c r="C999" s="78"/>
      <c r="D999" s="78"/>
      <c r="E999" s="78"/>
      <c r="F999" s="110"/>
      <c r="G999" s="115"/>
      <c r="H999" s="78"/>
      <c r="I999" s="78"/>
      <c r="J999" s="78"/>
      <c r="K999" s="110"/>
      <c r="L999" s="78"/>
      <c r="M999" s="78"/>
      <c r="N999" s="78"/>
      <c r="O999" s="78"/>
      <c r="P999" s="78"/>
      <c r="Q999" s="110"/>
      <c r="R999" s="110"/>
    </row>
    <row r="1000" spans="1:18" ht="15" x14ac:dyDescent="0.25">
      <c r="A1000" s="109"/>
      <c r="B1000" s="111"/>
      <c r="C1000" s="111"/>
      <c r="D1000" s="111"/>
      <c r="E1000" s="111"/>
      <c r="F1000" s="112"/>
      <c r="G1000" s="114"/>
      <c r="H1000" s="111"/>
      <c r="I1000" s="111"/>
      <c r="J1000" s="111"/>
      <c r="K1000" s="112"/>
      <c r="L1000" s="111"/>
      <c r="M1000" s="111"/>
      <c r="N1000" s="111"/>
      <c r="O1000" s="111"/>
      <c r="P1000" s="111"/>
      <c r="Q1000" s="112"/>
      <c r="R1000" s="112"/>
    </row>
    <row r="1001" spans="1:18" ht="15" x14ac:dyDescent="0.25">
      <c r="A1001" s="109"/>
      <c r="B1001" s="78"/>
      <c r="C1001" s="78"/>
      <c r="D1001" s="78"/>
      <c r="E1001" s="78"/>
      <c r="F1001" s="110"/>
      <c r="G1001" s="115"/>
      <c r="H1001" s="78"/>
      <c r="I1001" s="78"/>
      <c r="J1001" s="78"/>
      <c r="K1001" s="110"/>
      <c r="L1001" s="78"/>
      <c r="M1001" s="78"/>
      <c r="N1001" s="78"/>
      <c r="O1001" s="78"/>
      <c r="P1001" s="78"/>
      <c r="Q1001" s="110"/>
      <c r="R1001" s="110"/>
    </row>
    <row r="1002" spans="1:18" ht="15" x14ac:dyDescent="0.25">
      <c r="A1002" s="109"/>
      <c r="B1002" s="111"/>
      <c r="C1002" s="111"/>
      <c r="D1002" s="111"/>
      <c r="E1002" s="111"/>
      <c r="F1002" s="112"/>
      <c r="G1002" s="114"/>
      <c r="H1002" s="111"/>
      <c r="I1002" s="111"/>
      <c r="J1002" s="111"/>
      <c r="K1002" s="112"/>
      <c r="L1002" s="111"/>
      <c r="M1002" s="111"/>
      <c r="N1002" s="111"/>
      <c r="O1002" s="111"/>
      <c r="P1002" s="111"/>
      <c r="Q1002" s="112"/>
      <c r="R1002" s="112"/>
    </row>
  </sheetData>
  <mergeCells count="6">
    <mergeCell ref="B1:F1"/>
    <mergeCell ref="G1:K1"/>
    <mergeCell ref="L1:Q1"/>
    <mergeCell ref="B11:F11"/>
    <mergeCell ref="G11:K11"/>
    <mergeCell ref="L11:Q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100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 x14ac:dyDescent="0.2"/>
  <cols>
    <col min="2" max="2" width="17.42578125" customWidth="1"/>
  </cols>
  <sheetData>
    <row r="1" spans="1:19" x14ac:dyDescent="0.2">
      <c r="A1" s="116"/>
      <c r="B1" s="116"/>
      <c r="C1" s="216" t="s">
        <v>188</v>
      </c>
      <c r="D1" s="217"/>
      <c r="E1" s="217"/>
      <c r="F1" s="217"/>
      <c r="G1" s="217"/>
      <c r="H1" s="216" t="s">
        <v>189</v>
      </c>
      <c r="I1" s="217"/>
      <c r="J1" s="217"/>
      <c r="K1" s="217"/>
      <c r="L1" s="217"/>
      <c r="M1" s="216" t="s">
        <v>190</v>
      </c>
      <c r="N1" s="217"/>
      <c r="O1" s="217"/>
      <c r="P1" s="217"/>
      <c r="Q1" s="217"/>
      <c r="R1" s="219"/>
      <c r="S1" s="107"/>
    </row>
    <row r="2" spans="1:19" x14ac:dyDescent="0.2">
      <c r="A2" s="117"/>
      <c r="B2" s="117"/>
      <c r="C2" s="118" t="s">
        <v>191</v>
      </c>
      <c r="D2" s="118" t="s">
        <v>192</v>
      </c>
      <c r="E2" s="118" t="s">
        <v>193</v>
      </c>
      <c r="F2" s="118" t="s">
        <v>194</v>
      </c>
      <c r="G2" s="119" t="s">
        <v>195</v>
      </c>
      <c r="H2" s="118" t="s">
        <v>191</v>
      </c>
      <c r="I2" s="118" t="s">
        <v>192</v>
      </c>
      <c r="J2" s="118" t="s">
        <v>193</v>
      </c>
      <c r="K2" s="118" t="s">
        <v>194</v>
      </c>
      <c r="L2" s="119" t="s">
        <v>195</v>
      </c>
      <c r="M2" s="118" t="s">
        <v>191</v>
      </c>
      <c r="N2" s="118" t="s">
        <v>192</v>
      </c>
      <c r="O2" s="118" t="s">
        <v>193</v>
      </c>
      <c r="P2" s="118" t="s">
        <v>194</v>
      </c>
      <c r="Q2" s="118" t="s">
        <v>195</v>
      </c>
      <c r="R2" s="119" t="s">
        <v>196</v>
      </c>
      <c r="S2" s="118" t="s">
        <v>75</v>
      </c>
    </row>
    <row r="3" spans="1:19" ht="15.75" customHeight="1" x14ac:dyDescent="0.25">
      <c r="A3" s="120" t="s">
        <v>187</v>
      </c>
      <c r="B3" s="121" t="s">
        <v>201</v>
      </c>
      <c r="C3" s="122">
        <f>'New Retinues Breakdown'!C4*'New Retinues Breakdown'!C7*'New Retinues Breakdown'!C$35</f>
        <v>0</v>
      </c>
      <c r="D3" s="122">
        <f>'New Retinues Breakdown'!D4*'New Retinues Breakdown'!D7*'New Retinues Breakdown'!D$35</f>
        <v>0</v>
      </c>
      <c r="E3" s="122">
        <f>'New Retinues Breakdown'!E4*'New Retinues Breakdown'!E7*'New Retinues Breakdown'!E$35</f>
        <v>100</v>
      </c>
      <c r="F3" s="122">
        <f>'New Retinues Breakdown'!F4*'New Retinues Breakdown'!F7*'New Retinues Breakdown'!F$35</f>
        <v>0</v>
      </c>
      <c r="G3" s="123">
        <f>'New Retinues Breakdown'!G4*'New Retinues Breakdown'!G7*'New Retinues Breakdown'!G$35</f>
        <v>100</v>
      </c>
      <c r="H3" s="122">
        <f>'New Retinues Breakdown'!H4*'New Retinues Breakdown'!H7*'New Retinues Breakdown'!H$35</f>
        <v>0</v>
      </c>
      <c r="I3" s="122">
        <f>'New Retinues Breakdown'!I4*'New Retinues Breakdown'!I7*'New Retinues Breakdown'!I$35</f>
        <v>0</v>
      </c>
      <c r="J3" s="122">
        <f>'New Retinues Breakdown'!J4*'New Retinues Breakdown'!J7*'New Retinues Breakdown'!J$35</f>
        <v>100</v>
      </c>
      <c r="K3" s="122">
        <f>'New Retinues Breakdown'!K4*'New Retinues Breakdown'!K7*'New Retinues Breakdown'!K$35</f>
        <v>0</v>
      </c>
      <c r="L3" s="123">
        <f>'New Retinues Breakdown'!L4*'New Retinues Breakdown'!L7*'New Retinues Breakdown'!L$35</f>
        <v>0</v>
      </c>
      <c r="M3" s="122">
        <f>'New Retinues Breakdown'!M4*'New Retinues Breakdown'!M7*'New Retinues Breakdown'!M$35</f>
        <v>0</v>
      </c>
      <c r="N3" s="122">
        <f>'New Retinues Breakdown'!N4*'New Retinues Breakdown'!N7*'New Retinues Breakdown'!N$35</f>
        <v>0</v>
      </c>
      <c r="O3" s="122">
        <f>'New Retinues Breakdown'!O4*'New Retinues Breakdown'!O7*'New Retinues Breakdown'!O$35</f>
        <v>0</v>
      </c>
      <c r="P3" s="122">
        <f>'New Retinues Breakdown'!P4*'New Retinues Breakdown'!P7*'New Retinues Breakdown'!P$35</f>
        <v>0</v>
      </c>
      <c r="Q3" s="122">
        <f>'New Retinues Breakdown'!Q4*'New Retinues Breakdown'!Q7*'New Retinues Breakdown'!Q$35</f>
        <v>50</v>
      </c>
      <c r="R3" s="123">
        <f>'New Retinues Breakdown'!R4*'New Retinues Breakdown'!R7*'New Retinues Breakdown'!R$35</f>
        <v>50</v>
      </c>
      <c r="S3" s="122">
        <f t="shared" ref="S3:S9" si="0">SUM(C3:R3)</f>
        <v>400</v>
      </c>
    </row>
    <row r="4" spans="1:19" ht="15.75" customHeight="1" x14ac:dyDescent="0.25">
      <c r="A4" s="120" t="s">
        <v>50</v>
      </c>
      <c r="B4" s="121" t="s">
        <v>201</v>
      </c>
      <c r="C4" s="122">
        <f>'New Retinues Breakdown'!C9*'New Retinues Breakdown'!C12*'New Retinues Breakdown'!C$35</f>
        <v>0</v>
      </c>
      <c r="D4" s="122">
        <f>'New Retinues Breakdown'!D9*'New Retinues Breakdown'!D12*'New Retinues Breakdown'!D$35</f>
        <v>0</v>
      </c>
      <c r="E4" s="122">
        <f>'New Retinues Breakdown'!E9*'New Retinues Breakdown'!E12*'New Retinues Breakdown'!E$35</f>
        <v>800</v>
      </c>
      <c r="F4" s="122">
        <f>'New Retinues Breakdown'!F9*'New Retinues Breakdown'!F12*'New Retinues Breakdown'!F$35</f>
        <v>800</v>
      </c>
      <c r="G4" s="123">
        <f>'New Retinues Breakdown'!G9*'New Retinues Breakdown'!G12*'New Retinues Breakdown'!G$35</f>
        <v>0</v>
      </c>
      <c r="H4" s="122">
        <f>'New Retinues Breakdown'!H9*'New Retinues Breakdown'!H12*'New Retinues Breakdown'!H$35</f>
        <v>0</v>
      </c>
      <c r="I4" s="122">
        <f>'New Retinues Breakdown'!I9*'New Retinues Breakdown'!I12*'New Retinues Breakdown'!I$35</f>
        <v>0</v>
      </c>
      <c r="J4" s="122">
        <f>'New Retinues Breakdown'!J9*'New Retinues Breakdown'!J12*'New Retinues Breakdown'!J$35</f>
        <v>200</v>
      </c>
      <c r="K4" s="122">
        <f>'New Retinues Breakdown'!K9*'New Retinues Breakdown'!K12*'New Retinues Breakdown'!K$35</f>
        <v>100</v>
      </c>
      <c r="L4" s="123">
        <f>'New Retinues Breakdown'!L9*'New Retinues Breakdown'!L12*'New Retinues Breakdown'!L$35</f>
        <v>0</v>
      </c>
      <c r="M4" s="122">
        <f>'New Retinues Breakdown'!M9*'New Retinues Breakdown'!M12*'New Retinues Breakdown'!M$35</f>
        <v>0</v>
      </c>
      <c r="N4" s="122">
        <f>'New Retinues Breakdown'!N9*'New Retinues Breakdown'!N12*'New Retinues Breakdown'!N$35</f>
        <v>0</v>
      </c>
      <c r="O4" s="122">
        <f>'New Retinues Breakdown'!O9*'New Retinues Breakdown'!O12*'New Retinues Breakdown'!O$35</f>
        <v>50</v>
      </c>
      <c r="P4" s="122">
        <f>'New Retinues Breakdown'!P9*'New Retinues Breakdown'!P12*'New Retinues Breakdown'!P$35</f>
        <v>50</v>
      </c>
      <c r="Q4" s="122">
        <f>'New Retinues Breakdown'!Q9*'New Retinues Breakdown'!Q12*'New Retinues Breakdown'!Q$35</f>
        <v>0</v>
      </c>
      <c r="R4" s="123">
        <f>'New Retinues Breakdown'!R9*'New Retinues Breakdown'!R12*'New Retinues Breakdown'!R$35</f>
        <v>0</v>
      </c>
      <c r="S4" s="122">
        <f t="shared" si="0"/>
        <v>2000</v>
      </c>
    </row>
    <row r="5" spans="1:19" ht="15.75" customHeight="1" x14ac:dyDescent="0.25">
      <c r="A5" s="120" t="s">
        <v>54</v>
      </c>
      <c r="B5" s="121" t="s">
        <v>201</v>
      </c>
      <c r="C5" s="122">
        <f>'New Retinues Breakdown'!C14*'New Retinues Breakdown'!C17*'New Retinues Breakdown'!C$35</f>
        <v>200</v>
      </c>
      <c r="D5" s="122">
        <f>'New Retinues Breakdown'!D14*'New Retinues Breakdown'!D17*'New Retinues Breakdown'!D$35</f>
        <v>0</v>
      </c>
      <c r="E5" s="122">
        <f>'New Retinues Breakdown'!E14*'New Retinues Breakdown'!E17*'New Retinues Breakdown'!E$35</f>
        <v>0</v>
      </c>
      <c r="F5" s="122">
        <f>'New Retinues Breakdown'!F14*'New Retinues Breakdown'!F17*'New Retinues Breakdown'!F$35</f>
        <v>0</v>
      </c>
      <c r="G5" s="123">
        <f>'New Retinues Breakdown'!G14*'New Retinues Breakdown'!G17*'New Retinues Breakdown'!G$35</f>
        <v>0</v>
      </c>
      <c r="H5" s="122">
        <f>'New Retinues Breakdown'!H14*'New Retinues Breakdown'!H17*'New Retinues Breakdown'!H$35</f>
        <v>100</v>
      </c>
      <c r="I5" s="122">
        <f>'New Retinues Breakdown'!I14*'New Retinues Breakdown'!I17*'New Retinues Breakdown'!I$35</f>
        <v>0</v>
      </c>
      <c r="J5" s="122">
        <f>'New Retinues Breakdown'!J14*'New Retinues Breakdown'!J17*'New Retinues Breakdown'!J$35</f>
        <v>0</v>
      </c>
      <c r="K5" s="122">
        <f>'New Retinues Breakdown'!K14*'New Retinues Breakdown'!K17*'New Retinues Breakdown'!K$35</f>
        <v>0</v>
      </c>
      <c r="L5" s="123">
        <f>'New Retinues Breakdown'!L14*'New Retinues Breakdown'!L17*'New Retinues Breakdown'!L$35</f>
        <v>0</v>
      </c>
      <c r="M5" s="122">
        <f>'New Retinues Breakdown'!M14*'New Retinues Breakdown'!M17*'New Retinues Breakdown'!M$35</f>
        <v>0</v>
      </c>
      <c r="N5" s="122">
        <f>'New Retinues Breakdown'!N14*'New Retinues Breakdown'!N17*'New Retinues Breakdown'!N$35</f>
        <v>0</v>
      </c>
      <c r="O5" s="122">
        <f>'New Retinues Breakdown'!O14*'New Retinues Breakdown'!O17*'New Retinues Breakdown'!O$35</f>
        <v>0</v>
      </c>
      <c r="P5" s="122">
        <f>'New Retinues Breakdown'!P14*'New Retinues Breakdown'!P17*'New Retinues Breakdown'!P$35</f>
        <v>0</v>
      </c>
      <c r="Q5" s="122">
        <f>'New Retinues Breakdown'!Q14*'New Retinues Breakdown'!Q17*'New Retinues Breakdown'!Q$35</f>
        <v>0</v>
      </c>
      <c r="R5" s="123">
        <f>'New Retinues Breakdown'!R14*'New Retinues Breakdown'!R17*'New Retinues Breakdown'!R$35</f>
        <v>0</v>
      </c>
      <c r="S5" s="122">
        <f t="shared" si="0"/>
        <v>300</v>
      </c>
    </row>
    <row r="6" spans="1:19" ht="15.75" customHeight="1" x14ac:dyDescent="0.25">
      <c r="A6" s="120" t="s">
        <v>58</v>
      </c>
      <c r="B6" s="121" t="s">
        <v>201</v>
      </c>
      <c r="C6" s="122">
        <f>'New Retinues Breakdown'!C19*'New Retinues Breakdown'!C22*'New Retinues Breakdown'!C$35</f>
        <v>0</v>
      </c>
      <c r="D6" s="122">
        <f>'New Retinues Breakdown'!D19*'New Retinues Breakdown'!D22*'New Retinues Breakdown'!D$35</f>
        <v>0</v>
      </c>
      <c r="E6" s="122">
        <f>'New Retinues Breakdown'!E19*'New Retinues Breakdown'!E22*'New Retinues Breakdown'!E$35</f>
        <v>0</v>
      </c>
      <c r="F6" s="122">
        <f>'New Retinues Breakdown'!F19*'New Retinues Breakdown'!F22*'New Retinues Breakdown'!F$35</f>
        <v>0</v>
      </c>
      <c r="G6" s="123">
        <f>'New Retinues Breakdown'!G19*'New Retinues Breakdown'!G22*'New Retinues Breakdown'!G$35</f>
        <v>0</v>
      </c>
      <c r="H6" s="122">
        <f>'New Retinues Breakdown'!H19*'New Retinues Breakdown'!H22*'New Retinues Breakdown'!H$35</f>
        <v>0</v>
      </c>
      <c r="I6" s="122">
        <f>'New Retinues Breakdown'!I19*'New Retinues Breakdown'!I22*'New Retinues Breakdown'!I$35</f>
        <v>0</v>
      </c>
      <c r="J6" s="122">
        <f>'New Retinues Breakdown'!J19*'New Retinues Breakdown'!J22*'New Retinues Breakdown'!J$35</f>
        <v>0</v>
      </c>
      <c r="K6" s="122">
        <f>'New Retinues Breakdown'!K19*'New Retinues Breakdown'!K22*'New Retinues Breakdown'!K$35</f>
        <v>0</v>
      </c>
      <c r="L6" s="123">
        <f>'New Retinues Breakdown'!L19*'New Retinues Breakdown'!L22*'New Retinues Breakdown'!L$35</f>
        <v>0</v>
      </c>
      <c r="M6" s="122">
        <f>'New Retinues Breakdown'!M19*'New Retinues Breakdown'!M22*'New Retinues Breakdown'!M$35</f>
        <v>0</v>
      </c>
      <c r="N6" s="122">
        <f>'New Retinues Breakdown'!N19*'New Retinues Breakdown'!N22*'New Retinues Breakdown'!N$35</f>
        <v>0</v>
      </c>
      <c r="O6" s="122">
        <f>'New Retinues Breakdown'!O19*'New Retinues Breakdown'!O22*'New Retinues Breakdown'!O$35</f>
        <v>0</v>
      </c>
      <c r="P6" s="122">
        <f>'New Retinues Breakdown'!P19*'New Retinues Breakdown'!P22*'New Retinues Breakdown'!P$35</f>
        <v>0</v>
      </c>
      <c r="Q6" s="122">
        <f>'New Retinues Breakdown'!Q19*'New Retinues Breakdown'!Q22*'New Retinues Breakdown'!Q$35</f>
        <v>0</v>
      </c>
      <c r="R6" s="123">
        <f>'New Retinues Breakdown'!R19*'New Retinues Breakdown'!R22*'New Retinues Breakdown'!R$35</f>
        <v>0</v>
      </c>
      <c r="S6" s="122">
        <f t="shared" si="0"/>
        <v>0</v>
      </c>
    </row>
    <row r="7" spans="1:19" ht="15.75" customHeight="1" x14ac:dyDescent="0.25">
      <c r="A7" s="120" t="s">
        <v>61</v>
      </c>
      <c r="B7" s="121" t="s">
        <v>201</v>
      </c>
      <c r="C7" s="122">
        <f>'New Retinues Breakdown'!C24*'New Retinues Breakdown'!C27*'New Retinues Breakdown'!C$35</f>
        <v>100</v>
      </c>
      <c r="D7" s="122">
        <f>'New Retinues Breakdown'!D24*'New Retinues Breakdown'!D27*'New Retinues Breakdown'!D$35</f>
        <v>0</v>
      </c>
      <c r="E7" s="122">
        <f>'New Retinues Breakdown'!E24*'New Retinues Breakdown'!E27*'New Retinues Breakdown'!E$35</f>
        <v>0</v>
      </c>
      <c r="F7" s="122">
        <f>'New Retinues Breakdown'!F24*'New Retinues Breakdown'!F27*'New Retinues Breakdown'!F$35</f>
        <v>0</v>
      </c>
      <c r="G7" s="123">
        <f>'New Retinues Breakdown'!G24*'New Retinues Breakdown'!G27*'New Retinues Breakdown'!G$35</f>
        <v>0</v>
      </c>
      <c r="H7" s="122">
        <f>'New Retinues Breakdown'!H24*'New Retinues Breakdown'!H27*'New Retinues Breakdown'!H$35</f>
        <v>100</v>
      </c>
      <c r="I7" s="122">
        <f>'New Retinues Breakdown'!I24*'New Retinues Breakdown'!I27*'New Retinues Breakdown'!I$35</f>
        <v>0</v>
      </c>
      <c r="J7" s="122">
        <f>'New Retinues Breakdown'!J24*'New Retinues Breakdown'!J27*'New Retinues Breakdown'!J$35</f>
        <v>0</v>
      </c>
      <c r="K7" s="122">
        <f>'New Retinues Breakdown'!K24*'New Retinues Breakdown'!K27*'New Retinues Breakdown'!K$35</f>
        <v>0</v>
      </c>
      <c r="L7" s="123">
        <f>'New Retinues Breakdown'!L24*'New Retinues Breakdown'!L27*'New Retinues Breakdown'!L$35</f>
        <v>0</v>
      </c>
      <c r="M7" s="122">
        <f>'New Retinues Breakdown'!M24*'New Retinues Breakdown'!M27*'New Retinues Breakdown'!M$35</f>
        <v>0</v>
      </c>
      <c r="N7" s="122">
        <f>'New Retinues Breakdown'!N24*'New Retinues Breakdown'!N27*'New Retinues Breakdown'!N$35</f>
        <v>0</v>
      </c>
      <c r="O7" s="122">
        <f>'New Retinues Breakdown'!O24*'New Retinues Breakdown'!O27*'New Retinues Breakdown'!O$35</f>
        <v>0</v>
      </c>
      <c r="P7" s="122">
        <f>'New Retinues Breakdown'!P24*'New Retinues Breakdown'!P27*'New Retinues Breakdown'!P$35</f>
        <v>0</v>
      </c>
      <c r="Q7" s="122">
        <f>'New Retinues Breakdown'!Q24*'New Retinues Breakdown'!Q27*'New Retinues Breakdown'!Q$35</f>
        <v>0</v>
      </c>
      <c r="R7" s="123">
        <f>'New Retinues Breakdown'!R24*'New Retinues Breakdown'!R27*'New Retinues Breakdown'!R$35</f>
        <v>0</v>
      </c>
      <c r="S7" s="122">
        <f t="shared" si="0"/>
        <v>200</v>
      </c>
    </row>
    <row r="8" spans="1:19" ht="15.75" customHeight="1" x14ac:dyDescent="0.25">
      <c r="A8" s="145" t="s">
        <v>64</v>
      </c>
      <c r="B8" s="121" t="s">
        <v>201</v>
      </c>
      <c r="C8" s="146">
        <f>'New Retinues Breakdown'!C29*'New Retinues Breakdown'!C32*'New Retinues Breakdown'!C$35</f>
        <v>0</v>
      </c>
      <c r="D8" s="146">
        <f>'New Retinues Breakdown'!D29*'New Retinues Breakdown'!D32*'New Retinues Breakdown'!D$35</f>
        <v>0</v>
      </c>
      <c r="E8" s="146">
        <f>'New Retinues Breakdown'!E29*'New Retinues Breakdown'!E32*'New Retinues Breakdown'!E$35</f>
        <v>0</v>
      </c>
      <c r="F8" s="146">
        <f>'New Retinues Breakdown'!F29*'New Retinues Breakdown'!F32*'New Retinues Breakdown'!F$35</f>
        <v>0</v>
      </c>
      <c r="G8" s="147">
        <f>'New Retinues Breakdown'!G29*'New Retinues Breakdown'!G32*'New Retinues Breakdown'!G$35</f>
        <v>0</v>
      </c>
      <c r="H8" s="146">
        <f>'New Retinues Breakdown'!H29*'New Retinues Breakdown'!H32*'New Retinues Breakdown'!H$35</f>
        <v>0</v>
      </c>
      <c r="I8" s="146">
        <f>'New Retinues Breakdown'!I29*'New Retinues Breakdown'!I32*'New Retinues Breakdown'!I$35</f>
        <v>0</v>
      </c>
      <c r="J8" s="146">
        <f>'New Retinues Breakdown'!J29*'New Retinues Breakdown'!J32*'New Retinues Breakdown'!J$35</f>
        <v>0</v>
      </c>
      <c r="K8" s="146">
        <f>'New Retinues Breakdown'!K29*'New Retinues Breakdown'!K32*'New Retinues Breakdown'!K$35</f>
        <v>0</v>
      </c>
      <c r="L8" s="147">
        <f>'New Retinues Breakdown'!L29*'New Retinues Breakdown'!L32*'New Retinues Breakdown'!L$35</f>
        <v>0</v>
      </c>
      <c r="M8" s="146">
        <f>'New Retinues Breakdown'!M29*'New Retinues Breakdown'!M32*'New Retinues Breakdown'!M$35</f>
        <v>0</v>
      </c>
      <c r="N8" s="146">
        <f>'New Retinues Breakdown'!N29*'New Retinues Breakdown'!N32*'New Retinues Breakdown'!N$35</f>
        <v>0</v>
      </c>
      <c r="O8" s="146">
        <f>'New Retinues Breakdown'!O29*'New Retinues Breakdown'!O32*'New Retinues Breakdown'!O$35</f>
        <v>0</v>
      </c>
      <c r="P8" s="146">
        <f>'New Retinues Breakdown'!P29*'New Retinues Breakdown'!P32*'New Retinues Breakdown'!P$35</f>
        <v>0</v>
      </c>
      <c r="Q8" s="146">
        <f>'New Retinues Breakdown'!Q29*'New Retinues Breakdown'!Q32*'New Retinues Breakdown'!Q$35</f>
        <v>0</v>
      </c>
      <c r="R8" s="147">
        <f>'New Retinues Breakdown'!R29*'New Retinues Breakdown'!R32*'New Retinues Breakdown'!R$35</f>
        <v>0</v>
      </c>
      <c r="S8" s="146">
        <f t="shared" si="0"/>
        <v>0</v>
      </c>
    </row>
    <row r="9" spans="1:19" ht="15.75" customHeight="1" x14ac:dyDescent="0.25">
      <c r="A9" s="120" t="s">
        <v>187</v>
      </c>
      <c r="B9" s="127" t="s">
        <v>205</v>
      </c>
      <c r="C9" s="148">
        <f>'New Retinues Breakdown'!C6</f>
        <v>0</v>
      </c>
      <c r="D9" s="148">
        <f>'New Retinues Breakdown'!D6</f>
        <v>0</v>
      </c>
      <c r="E9" s="148">
        <f>'New Retinues Breakdown'!E6</f>
        <v>100</v>
      </c>
      <c r="F9" s="148">
        <f>'New Retinues Breakdown'!F6</f>
        <v>0</v>
      </c>
      <c r="G9" s="149">
        <f>'New Retinues Breakdown'!G6</f>
        <v>100</v>
      </c>
      <c r="H9" s="148">
        <f>'New Retinues Breakdown'!H6</f>
        <v>0</v>
      </c>
      <c r="I9" s="148">
        <f>'New Retinues Breakdown'!I6</f>
        <v>0</v>
      </c>
      <c r="J9" s="148">
        <f>'New Retinues Breakdown'!J6</f>
        <v>100</v>
      </c>
      <c r="K9" s="148">
        <f>'New Retinues Breakdown'!K6</f>
        <v>0</v>
      </c>
      <c r="L9" s="149">
        <f>'New Retinues Breakdown'!L6</f>
        <v>0</v>
      </c>
      <c r="M9" s="148">
        <f>'New Retinues Breakdown'!M6</f>
        <v>0</v>
      </c>
      <c r="N9" s="148">
        <f>'New Retinues Breakdown'!N6</f>
        <v>0</v>
      </c>
      <c r="O9" s="148">
        <f>'New Retinues Breakdown'!O6</f>
        <v>0</v>
      </c>
      <c r="P9" s="148">
        <f>'New Retinues Breakdown'!P6</f>
        <v>0</v>
      </c>
      <c r="Q9" s="148">
        <f>'New Retinues Breakdown'!Q6</f>
        <v>100</v>
      </c>
      <c r="R9" s="149">
        <f>'New Retinues Breakdown'!R6</f>
        <v>100</v>
      </c>
      <c r="S9" s="122">
        <f t="shared" si="0"/>
        <v>500</v>
      </c>
    </row>
    <row r="10" spans="1:19" ht="15.75" customHeight="1" x14ac:dyDescent="0.25">
      <c r="A10" s="120" t="s">
        <v>50</v>
      </c>
      <c r="B10" s="121" t="s">
        <v>205</v>
      </c>
      <c r="C10" s="55">
        <f>'New Retinues Breakdown'!C11</f>
        <v>0</v>
      </c>
      <c r="D10" s="55">
        <f>'New Retinues Breakdown'!D11</f>
        <v>0</v>
      </c>
      <c r="E10" s="55">
        <f>'New Retinues Breakdown'!E11</f>
        <v>800</v>
      </c>
      <c r="F10" s="55">
        <f>'New Retinues Breakdown'!F11</f>
        <v>800</v>
      </c>
      <c r="G10" s="63">
        <f>'New Retinues Breakdown'!G11</f>
        <v>0</v>
      </c>
      <c r="H10" s="55">
        <f>'New Retinues Breakdown'!H11</f>
        <v>0</v>
      </c>
      <c r="I10" s="55">
        <f>'New Retinues Breakdown'!I11</f>
        <v>0</v>
      </c>
      <c r="J10" s="55">
        <f>'New Retinues Breakdown'!J11</f>
        <v>200</v>
      </c>
      <c r="K10" s="55">
        <f>'New Retinues Breakdown'!K11</f>
        <v>100</v>
      </c>
      <c r="L10" s="63">
        <f>'New Retinues Breakdown'!L11</f>
        <v>0</v>
      </c>
      <c r="M10" s="55">
        <f>'New Retinues Breakdown'!M11</f>
        <v>0</v>
      </c>
      <c r="N10" s="55">
        <f>'New Retinues Breakdown'!N11</f>
        <v>0</v>
      </c>
      <c r="O10" s="55">
        <f>'New Retinues Breakdown'!O11</f>
        <v>100</v>
      </c>
      <c r="P10" s="55">
        <f>'New Retinues Breakdown'!P11</f>
        <v>100</v>
      </c>
      <c r="Q10" s="55">
        <f>'New Retinues Breakdown'!Q11</f>
        <v>0</v>
      </c>
      <c r="R10" s="63">
        <f>'New Retinues Breakdown'!R11</f>
        <v>0</v>
      </c>
      <c r="S10" s="63">
        <f>'New Retinues Breakdown'!S11</f>
        <v>2100</v>
      </c>
    </row>
    <row r="11" spans="1:19" ht="15.75" customHeight="1" x14ac:dyDescent="0.25">
      <c r="A11" s="120" t="s">
        <v>54</v>
      </c>
      <c r="B11" s="121" t="s">
        <v>205</v>
      </c>
      <c r="C11" s="55">
        <f>'New Retinues Breakdown'!C16</f>
        <v>100</v>
      </c>
      <c r="D11" s="55">
        <f>'New Retinues Breakdown'!D16</f>
        <v>0</v>
      </c>
      <c r="E11" s="55">
        <f>'New Retinues Breakdown'!E16</f>
        <v>0</v>
      </c>
      <c r="F11" s="55">
        <f>'New Retinues Breakdown'!F16</f>
        <v>0</v>
      </c>
      <c r="G11" s="63">
        <f>'New Retinues Breakdown'!G16</f>
        <v>0</v>
      </c>
      <c r="H11" s="55">
        <f>'New Retinues Breakdown'!H16</f>
        <v>50</v>
      </c>
      <c r="I11" s="55">
        <f>'New Retinues Breakdown'!I16</f>
        <v>0</v>
      </c>
      <c r="J11" s="55">
        <f>'New Retinues Breakdown'!J16</f>
        <v>0</v>
      </c>
      <c r="K11" s="55">
        <f>'New Retinues Breakdown'!K16</f>
        <v>0</v>
      </c>
      <c r="L11" s="63">
        <f>'New Retinues Breakdown'!L16</f>
        <v>0</v>
      </c>
      <c r="M11" s="55">
        <f>'New Retinues Breakdown'!M16</f>
        <v>0</v>
      </c>
      <c r="N11" s="55">
        <f>'New Retinues Breakdown'!N16</f>
        <v>0</v>
      </c>
      <c r="O11" s="55">
        <f>'New Retinues Breakdown'!O16</f>
        <v>0</v>
      </c>
      <c r="P11" s="55">
        <f>'New Retinues Breakdown'!P16</f>
        <v>0</v>
      </c>
      <c r="Q11" s="55">
        <f>'New Retinues Breakdown'!Q16</f>
        <v>0</v>
      </c>
      <c r="R11" s="63">
        <f>'New Retinues Breakdown'!R16</f>
        <v>0</v>
      </c>
      <c r="S11" s="122">
        <f t="shared" ref="S11:S14" si="1">SUM(C11:R11)</f>
        <v>150</v>
      </c>
    </row>
    <row r="12" spans="1:19" ht="15.75" customHeight="1" x14ac:dyDescent="0.25">
      <c r="A12" s="120" t="s">
        <v>58</v>
      </c>
      <c r="B12" s="121" t="s">
        <v>205</v>
      </c>
      <c r="C12" s="55">
        <f>'New Retinues Breakdown'!C21</f>
        <v>0</v>
      </c>
      <c r="D12" s="55">
        <f>'New Retinues Breakdown'!D21</f>
        <v>0</v>
      </c>
      <c r="E12" s="55">
        <f>'New Retinues Breakdown'!E21</f>
        <v>0</v>
      </c>
      <c r="F12" s="55">
        <f>'New Retinues Breakdown'!F21</f>
        <v>0</v>
      </c>
      <c r="G12" s="63">
        <f>'New Retinues Breakdown'!G21</f>
        <v>0</v>
      </c>
      <c r="H12" s="55">
        <f>'New Retinues Breakdown'!H21</f>
        <v>0</v>
      </c>
      <c r="I12" s="55">
        <f>'New Retinues Breakdown'!I21</f>
        <v>0</v>
      </c>
      <c r="J12" s="55">
        <f>'New Retinues Breakdown'!J21</f>
        <v>0</v>
      </c>
      <c r="K12" s="55">
        <f>'New Retinues Breakdown'!K21</f>
        <v>0</v>
      </c>
      <c r="L12" s="63">
        <f>'New Retinues Breakdown'!L21</f>
        <v>0</v>
      </c>
      <c r="M12" s="55">
        <f>'New Retinues Breakdown'!M21</f>
        <v>0</v>
      </c>
      <c r="N12" s="55">
        <f>'New Retinues Breakdown'!N21</f>
        <v>0</v>
      </c>
      <c r="O12" s="55">
        <f>'New Retinues Breakdown'!O21</f>
        <v>0</v>
      </c>
      <c r="P12" s="55">
        <f>'New Retinues Breakdown'!P21</f>
        <v>0</v>
      </c>
      <c r="Q12" s="55">
        <f>'New Retinues Breakdown'!Q21</f>
        <v>0</v>
      </c>
      <c r="R12" s="63">
        <f>'New Retinues Breakdown'!R21</f>
        <v>0</v>
      </c>
      <c r="S12" s="122">
        <f t="shared" si="1"/>
        <v>0</v>
      </c>
    </row>
    <row r="13" spans="1:19" ht="15.75" customHeight="1" x14ac:dyDescent="0.25">
      <c r="A13" s="120" t="s">
        <v>61</v>
      </c>
      <c r="B13" s="121" t="s">
        <v>205</v>
      </c>
      <c r="C13" s="55">
        <f>'New Retinues Breakdown'!C26</f>
        <v>50</v>
      </c>
      <c r="D13" s="55">
        <f>'New Retinues Breakdown'!D26</f>
        <v>0</v>
      </c>
      <c r="E13" s="55">
        <f>'New Retinues Breakdown'!E26</f>
        <v>0</v>
      </c>
      <c r="F13" s="55">
        <f>'New Retinues Breakdown'!F26</f>
        <v>0</v>
      </c>
      <c r="G13" s="63">
        <f>'New Retinues Breakdown'!G26</f>
        <v>0</v>
      </c>
      <c r="H13" s="55">
        <f>'New Retinues Breakdown'!H26</f>
        <v>50</v>
      </c>
      <c r="I13" s="55">
        <f>'New Retinues Breakdown'!I26</f>
        <v>0</v>
      </c>
      <c r="J13" s="55">
        <f>'New Retinues Breakdown'!J26</f>
        <v>0</v>
      </c>
      <c r="K13" s="55">
        <f>'New Retinues Breakdown'!K26</f>
        <v>0</v>
      </c>
      <c r="L13" s="63">
        <f>'New Retinues Breakdown'!L26</f>
        <v>0</v>
      </c>
      <c r="M13" s="55">
        <f>'New Retinues Breakdown'!M26</f>
        <v>0</v>
      </c>
      <c r="N13" s="55">
        <f>'New Retinues Breakdown'!N26</f>
        <v>0</v>
      </c>
      <c r="O13" s="55">
        <f>'New Retinues Breakdown'!O26</f>
        <v>0</v>
      </c>
      <c r="P13" s="55">
        <f>'New Retinues Breakdown'!P26</f>
        <v>0</v>
      </c>
      <c r="Q13" s="55">
        <f>'New Retinues Breakdown'!Q26</f>
        <v>0</v>
      </c>
      <c r="R13" s="63">
        <f>'New Retinues Breakdown'!R26</f>
        <v>0</v>
      </c>
      <c r="S13" s="122">
        <f t="shared" si="1"/>
        <v>100</v>
      </c>
    </row>
    <row r="14" spans="1:19" ht="15.75" customHeight="1" x14ac:dyDescent="0.25">
      <c r="A14" s="145" t="s">
        <v>64</v>
      </c>
      <c r="B14" s="133" t="s">
        <v>205</v>
      </c>
      <c r="C14" s="150">
        <f>'New Retinues Breakdown'!C31</f>
        <v>0</v>
      </c>
      <c r="D14" s="150">
        <f>'New Retinues Breakdown'!D31</f>
        <v>0</v>
      </c>
      <c r="E14" s="150">
        <f>'New Retinues Breakdown'!E31</f>
        <v>0</v>
      </c>
      <c r="F14" s="150">
        <f>'New Retinues Breakdown'!F31</f>
        <v>0</v>
      </c>
      <c r="G14" s="151">
        <f>'New Retinues Breakdown'!G31</f>
        <v>0</v>
      </c>
      <c r="H14" s="150">
        <f>'New Retinues Breakdown'!H31</f>
        <v>0</v>
      </c>
      <c r="I14" s="150">
        <f>'New Retinues Breakdown'!I31</f>
        <v>0</v>
      </c>
      <c r="J14" s="150">
        <f>'New Retinues Breakdown'!J31</f>
        <v>0</v>
      </c>
      <c r="K14" s="150">
        <f>'New Retinues Breakdown'!K31</f>
        <v>0</v>
      </c>
      <c r="L14" s="151">
        <f>'New Retinues Breakdown'!L31</f>
        <v>0</v>
      </c>
      <c r="M14" s="150">
        <f>'New Retinues Breakdown'!M31</f>
        <v>0</v>
      </c>
      <c r="N14" s="150">
        <f>'New Retinues Breakdown'!N31</f>
        <v>0</v>
      </c>
      <c r="O14" s="150">
        <f>'New Retinues Breakdown'!O31</f>
        <v>0</v>
      </c>
      <c r="P14" s="150">
        <f>'New Retinues Breakdown'!P31</f>
        <v>0</v>
      </c>
      <c r="Q14" s="150">
        <f>'New Retinues Breakdown'!Q31</f>
        <v>0</v>
      </c>
      <c r="R14" s="151">
        <f>'New Retinues Breakdown'!R31</f>
        <v>0</v>
      </c>
      <c r="S14" s="146">
        <f t="shared" si="1"/>
        <v>0</v>
      </c>
    </row>
    <row r="15" spans="1:19" ht="15.75" customHeight="1" x14ac:dyDescent="0.25">
      <c r="A15" s="120"/>
      <c r="B15" s="121"/>
      <c r="C15" s="55"/>
      <c r="D15" s="55"/>
      <c r="E15" s="55"/>
      <c r="F15" s="55"/>
      <c r="G15" s="63"/>
      <c r="H15" s="55"/>
      <c r="I15" s="55"/>
      <c r="J15" s="55"/>
      <c r="K15" s="55"/>
      <c r="L15" s="63"/>
      <c r="M15" s="55"/>
      <c r="N15" s="55"/>
      <c r="O15" s="55"/>
      <c r="P15" s="55"/>
      <c r="Q15" s="55"/>
      <c r="R15" s="63"/>
      <c r="S15" s="55"/>
    </row>
    <row r="16" spans="1:19" ht="15.75" customHeight="1" x14ac:dyDescent="0.25">
      <c r="A16" s="120"/>
      <c r="B16" s="121"/>
      <c r="C16" s="122"/>
      <c r="D16" s="122"/>
      <c r="E16" s="122"/>
      <c r="F16" s="122"/>
      <c r="G16" s="123"/>
      <c r="H16" s="122"/>
      <c r="I16" s="122"/>
      <c r="J16" s="122"/>
      <c r="K16" s="122"/>
      <c r="L16" s="123"/>
      <c r="M16" s="122"/>
      <c r="N16" s="122"/>
      <c r="O16" s="122"/>
      <c r="P16" s="122"/>
      <c r="Q16" s="122"/>
      <c r="R16" s="123"/>
      <c r="S16" s="55"/>
    </row>
    <row r="17" spans="1:19" ht="15.75" customHeight="1" x14ac:dyDescent="0.25">
      <c r="A17" s="120"/>
      <c r="B17" s="121"/>
      <c r="C17" s="55"/>
      <c r="D17" s="55"/>
      <c r="E17" s="55"/>
      <c r="F17" s="55"/>
      <c r="G17" s="63"/>
      <c r="H17" s="55"/>
      <c r="I17" s="55"/>
      <c r="J17" s="55"/>
      <c r="K17" s="55"/>
      <c r="L17" s="63"/>
      <c r="M17" s="55"/>
      <c r="N17" s="55"/>
      <c r="O17" s="55"/>
      <c r="P17" s="55"/>
      <c r="Q17" s="55"/>
      <c r="R17" s="63"/>
      <c r="S17" s="55"/>
    </row>
    <row r="18" spans="1:19" ht="15.75" customHeight="1" x14ac:dyDescent="0.25">
      <c r="A18" s="120"/>
      <c r="B18" s="121"/>
      <c r="C18" s="55"/>
      <c r="D18" s="55"/>
      <c r="E18" s="55"/>
      <c r="F18" s="55"/>
      <c r="G18" s="63"/>
      <c r="H18" s="55"/>
      <c r="I18" s="55"/>
      <c r="J18" s="55"/>
      <c r="K18" s="55"/>
      <c r="L18" s="63"/>
      <c r="M18" s="55"/>
      <c r="N18" s="55"/>
      <c r="O18" s="55"/>
      <c r="P18" s="55"/>
      <c r="Q18" s="55"/>
      <c r="R18" s="63"/>
      <c r="S18" s="55"/>
    </row>
    <row r="19" spans="1:19" ht="15.75" customHeight="1" x14ac:dyDescent="0.25">
      <c r="A19" s="120"/>
      <c r="B19" s="121"/>
      <c r="C19" s="122"/>
      <c r="D19" s="122"/>
      <c r="E19" s="122"/>
      <c r="F19" s="122"/>
      <c r="G19" s="123"/>
      <c r="H19" s="122"/>
      <c r="I19" s="122"/>
      <c r="J19" s="122"/>
      <c r="K19" s="122"/>
      <c r="L19" s="123"/>
      <c r="M19" s="122"/>
      <c r="N19" s="122"/>
      <c r="O19" s="122"/>
      <c r="P19" s="122"/>
      <c r="Q19" s="122"/>
      <c r="R19" s="123"/>
      <c r="S19" s="55"/>
    </row>
    <row r="20" spans="1:19" ht="15.75" customHeight="1" x14ac:dyDescent="0.25">
      <c r="A20" s="120"/>
      <c r="B20" s="121"/>
      <c r="C20" s="55"/>
      <c r="D20" s="55"/>
      <c r="E20" s="55"/>
      <c r="F20" s="55"/>
      <c r="G20" s="63"/>
      <c r="H20" s="55"/>
      <c r="I20" s="55"/>
      <c r="J20" s="55"/>
      <c r="K20" s="55"/>
      <c r="L20" s="63"/>
      <c r="M20" s="55"/>
      <c r="N20" s="55"/>
      <c r="O20" s="55"/>
      <c r="P20" s="55"/>
      <c r="Q20" s="55"/>
      <c r="R20" s="63"/>
      <c r="S20" s="55"/>
    </row>
    <row r="21" spans="1:19" ht="15.75" customHeight="1" x14ac:dyDescent="0.25">
      <c r="A21" s="120"/>
      <c r="B21" s="121"/>
      <c r="C21" s="55"/>
      <c r="D21" s="55"/>
      <c r="E21" s="55"/>
      <c r="F21" s="55"/>
      <c r="G21" s="63"/>
      <c r="H21" s="55"/>
      <c r="I21" s="55"/>
      <c r="J21" s="55"/>
      <c r="K21" s="55"/>
      <c r="L21" s="63"/>
      <c r="M21" s="55"/>
      <c r="N21" s="55"/>
      <c r="O21" s="55"/>
      <c r="P21" s="55"/>
      <c r="Q21" s="55"/>
      <c r="R21" s="63"/>
      <c r="S21" s="55"/>
    </row>
    <row r="22" spans="1:19" ht="15.75" customHeight="1" x14ac:dyDescent="0.25">
      <c r="A22" s="120"/>
      <c r="B22" s="121"/>
      <c r="C22" s="122"/>
      <c r="D22" s="122"/>
      <c r="E22" s="122"/>
      <c r="F22" s="122"/>
      <c r="G22" s="123"/>
      <c r="H22" s="122"/>
      <c r="I22" s="122"/>
      <c r="J22" s="122"/>
      <c r="K22" s="122"/>
      <c r="L22" s="123"/>
      <c r="M22" s="122"/>
      <c r="N22" s="122"/>
      <c r="O22" s="122"/>
      <c r="P22" s="122"/>
      <c r="Q22" s="122"/>
      <c r="R22" s="123"/>
      <c r="S22" s="55"/>
    </row>
    <row r="23" spans="1:19" ht="15.75" customHeight="1" x14ac:dyDescent="0.25">
      <c r="A23" s="120"/>
      <c r="B23" s="121"/>
      <c r="C23" s="55"/>
      <c r="D23" s="55"/>
      <c r="E23" s="55"/>
      <c r="F23" s="55"/>
      <c r="G23" s="63"/>
      <c r="H23" s="55"/>
      <c r="I23" s="55"/>
      <c r="J23" s="55"/>
      <c r="K23" s="55"/>
      <c r="L23" s="63"/>
      <c r="M23" s="55"/>
      <c r="N23" s="55"/>
      <c r="O23" s="55"/>
      <c r="P23" s="55"/>
      <c r="Q23" s="55"/>
      <c r="R23" s="63"/>
      <c r="S23" s="55"/>
    </row>
    <row r="24" spans="1:19" ht="15.75" customHeight="1" x14ac:dyDescent="0.25">
      <c r="A24" s="120"/>
      <c r="B24" s="121"/>
      <c r="C24" s="55"/>
      <c r="D24" s="55"/>
      <c r="E24" s="55"/>
      <c r="F24" s="55"/>
      <c r="G24" s="63"/>
      <c r="H24" s="55"/>
      <c r="I24" s="55"/>
      <c r="J24" s="55"/>
      <c r="K24" s="55"/>
      <c r="L24" s="63"/>
      <c r="M24" s="55"/>
      <c r="N24" s="55"/>
      <c r="O24" s="55"/>
      <c r="P24" s="55"/>
      <c r="Q24" s="55"/>
      <c r="R24" s="63"/>
      <c r="S24" s="55"/>
    </row>
    <row r="25" spans="1:19" ht="15.75" customHeight="1" x14ac:dyDescent="0.25">
      <c r="A25" s="120"/>
      <c r="B25" s="121"/>
      <c r="C25" s="122"/>
      <c r="D25" s="122"/>
      <c r="E25" s="122"/>
      <c r="F25" s="122"/>
      <c r="G25" s="123"/>
      <c r="H25" s="122"/>
      <c r="I25" s="122"/>
      <c r="J25" s="122"/>
      <c r="K25" s="122"/>
      <c r="L25" s="123"/>
      <c r="M25" s="122"/>
      <c r="N25" s="122"/>
      <c r="O25" s="122"/>
      <c r="P25" s="122"/>
      <c r="Q25" s="122"/>
      <c r="R25" s="123"/>
      <c r="S25" s="55"/>
    </row>
    <row r="26" spans="1:19" ht="15.75" customHeight="1" x14ac:dyDescent="0.25">
      <c r="A26" s="120"/>
      <c r="B26" s="121"/>
      <c r="C26" s="55"/>
      <c r="D26" s="55"/>
      <c r="E26" s="55"/>
      <c r="F26" s="55"/>
      <c r="G26" s="63"/>
      <c r="H26" s="55"/>
      <c r="I26" s="55"/>
      <c r="J26" s="55"/>
      <c r="K26" s="55"/>
      <c r="L26" s="63"/>
      <c r="M26" s="55"/>
      <c r="N26" s="55"/>
      <c r="O26" s="55"/>
      <c r="P26" s="55"/>
      <c r="Q26" s="55"/>
      <c r="R26" s="63"/>
      <c r="S26" s="55"/>
    </row>
    <row r="27" spans="1:19" ht="15.75" customHeight="1" x14ac:dyDescent="0.25">
      <c r="A27" s="120"/>
      <c r="B27" s="121"/>
      <c r="C27" s="55"/>
      <c r="D27" s="55"/>
      <c r="E27" s="55"/>
      <c r="F27" s="55"/>
      <c r="G27" s="63"/>
      <c r="H27" s="55"/>
      <c r="I27" s="55"/>
      <c r="J27" s="55"/>
      <c r="K27" s="55"/>
      <c r="L27" s="63"/>
      <c r="M27" s="55"/>
      <c r="N27" s="55"/>
      <c r="O27" s="55"/>
      <c r="P27" s="55"/>
      <c r="Q27" s="55"/>
      <c r="R27" s="63"/>
      <c r="S27" s="55"/>
    </row>
    <row r="28" spans="1:19" ht="15.75" customHeight="1" x14ac:dyDescent="0.25">
      <c r="A28" s="120"/>
      <c r="B28" s="121"/>
      <c r="C28" s="122"/>
      <c r="D28" s="122"/>
      <c r="E28" s="122"/>
      <c r="F28" s="122"/>
      <c r="G28" s="123"/>
      <c r="H28" s="122"/>
      <c r="I28" s="122"/>
      <c r="J28" s="122"/>
      <c r="K28" s="122"/>
      <c r="L28" s="123"/>
      <c r="M28" s="122"/>
      <c r="N28" s="122"/>
      <c r="O28" s="122"/>
      <c r="P28" s="122"/>
      <c r="Q28" s="122"/>
      <c r="R28" s="123"/>
      <c r="S28" s="55"/>
    </row>
    <row r="29" spans="1:19" ht="15.75" customHeight="1" x14ac:dyDescent="0.25">
      <c r="A29" s="120"/>
      <c r="B29" s="121"/>
      <c r="C29" s="55"/>
      <c r="D29" s="55"/>
      <c r="E29" s="55"/>
      <c r="F29" s="55"/>
      <c r="G29" s="63"/>
      <c r="H29" s="55"/>
      <c r="I29" s="55"/>
      <c r="J29" s="55"/>
      <c r="K29" s="55"/>
      <c r="L29" s="63"/>
      <c r="M29" s="55"/>
      <c r="N29" s="55"/>
      <c r="O29" s="55"/>
      <c r="P29" s="55"/>
      <c r="Q29" s="55"/>
      <c r="R29" s="63"/>
      <c r="S29" s="55"/>
    </row>
    <row r="30" spans="1:19" ht="15.75" customHeight="1" x14ac:dyDescent="0.25">
      <c r="A30" s="120"/>
      <c r="B30" s="121"/>
      <c r="C30" s="55"/>
      <c r="D30" s="55"/>
      <c r="E30" s="55"/>
      <c r="F30" s="55"/>
      <c r="G30" s="63"/>
      <c r="H30" s="55"/>
      <c r="I30" s="55"/>
      <c r="J30" s="55"/>
      <c r="K30" s="55"/>
      <c r="L30" s="63"/>
      <c r="M30" s="55"/>
      <c r="N30" s="55"/>
      <c r="O30" s="55"/>
      <c r="P30" s="55"/>
      <c r="Q30" s="55"/>
      <c r="R30" s="63"/>
      <c r="S30" s="55"/>
    </row>
    <row r="31" spans="1:19" ht="15.75" customHeight="1" x14ac:dyDescent="0.25">
      <c r="A31" s="120"/>
      <c r="B31" s="121"/>
      <c r="C31" s="122"/>
      <c r="D31" s="122"/>
      <c r="E31" s="122"/>
      <c r="F31" s="122"/>
      <c r="G31" s="123"/>
      <c r="H31" s="122"/>
      <c r="I31" s="122"/>
      <c r="J31" s="122"/>
      <c r="K31" s="122"/>
      <c r="L31" s="123"/>
      <c r="M31" s="122"/>
      <c r="N31" s="122"/>
      <c r="O31" s="122"/>
      <c r="P31" s="122"/>
      <c r="Q31" s="122"/>
      <c r="R31" s="123"/>
      <c r="S31" s="55"/>
    </row>
    <row r="32" spans="1:19" ht="15.75" customHeight="1" x14ac:dyDescent="0.25">
      <c r="A32" s="120"/>
      <c r="B32" s="121"/>
      <c r="C32" s="55"/>
      <c r="D32" s="55"/>
      <c r="E32" s="55"/>
      <c r="F32" s="55"/>
      <c r="G32" s="63"/>
      <c r="H32" s="55"/>
      <c r="I32" s="55"/>
      <c r="J32" s="55"/>
      <c r="K32" s="55"/>
      <c r="L32" s="63"/>
      <c r="M32" s="55"/>
      <c r="N32" s="55"/>
      <c r="O32" s="55"/>
      <c r="P32" s="55"/>
      <c r="Q32" s="55"/>
      <c r="R32" s="63"/>
      <c r="S32" s="55"/>
    </row>
    <row r="33" spans="1:19" ht="15.75" customHeight="1" x14ac:dyDescent="0.25">
      <c r="A33" s="109"/>
      <c r="B33" s="109"/>
      <c r="C33" s="55"/>
      <c r="D33" s="55"/>
      <c r="E33" s="55"/>
      <c r="F33" s="55"/>
      <c r="G33" s="63"/>
      <c r="H33" s="55"/>
      <c r="I33" s="55"/>
      <c r="J33" s="55"/>
      <c r="K33" s="55"/>
      <c r="L33" s="63"/>
      <c r="M33" s="55"/>
      <c r="N33" s="55"/>
      <c r="O33" s="55"/>
      <c r="P33" s="55"/>
      <c r="Q33" s="55"/>
      <c r="R33" s="63"/>
      <c r="S33" s="55"/>
    </row>
    <row r="34" spans="1:19" ht="15.75" customHeight="1" x14ac:dyDescent="0.25">
      <c r="A34" s="109"/>
      <c r="B34" s="109"/>
      <c r="C34" s="55"/>
      <c r="D34" s="55"/>
      <c r="E34" s="55"/>
      <c r="F34" s="55"/>
      <c r="G34" s="63"/>
      <c r="H34" s="55"/>
      <c r="I34" s="55"/>
      <c r="J34" s="55"/>
      <c r="K34" s="55"/>
      <c r="L34" s="63"/>
      <c r="M34" s="55"/>
      <c r="N34" s="55"/>
      <c r="O34" s="55"/>
      <c r="P34" s="55"/>
      <c r="Q34" s="55"/>
      <c r="R34" s="63"/>
      <c r="S34" s="55"/>
    </row>
    <row r="35" spans="1:19" ht="15.75" customHeight="1" x14ac:dyDescent="0.25">
      <c r="A35" s="109"/>
      <c r="B35" s="109"/>
      <c r="C35" s="55"/>
      <c r="D35" s="55"/>
      <c r="E35" s="55"/>
      <c r="F35" s="55"/>
      <c r="G35" s="63"/>
      <c r="H35" s="55"/>
      <c r="I35" s="55"/>
      <c r="J35" s="55"/>
      <c r="K35" s="55"/>
      <c r="L35" s="63"/>
      <c r="M35" s="55"/>
      <c r="N35" s="55"/>
      <c r="O35" s="55"/>
      <c r="P35" s="55"/>
      <c r="Q35" s="55"/>
      <c r="R35" s="63"/>
      <c r="S35" s="55"/>
    </row>
    <row r="36" spans="1:19" ht="15.75" customHeight="1" x14ac:dyDescent="0.25">
      <c r="A36" s="109"/>
      <c r="B36" s="109"/>
      <c r="C36" s="55"/>
      <c r="D36" s="55"/>
      <c r="E36" s="55"/>
      <c r="F36" s="55"/>
      <c r="G36" s="63"/>
      <c r="H36" s="55"/>
      <c r="I36" s="55"/>
      <c r="J36" s="55"/>
      <c r="K36" s="55"/>
      <c r="L36" s="63"/>
      <c r="M36" s="55"/>
      <c r="N36" s="55"/>
      <c r="O36" s="55"/>
      <c r="P36" s="55"/>
      <c r="Q36" s="55"/>
      <c r="R36" s="63"/>
      <c r="S36" s="55"/>
    </row>
    <row r="37" spans="1:19" ht="15.75" customHeight="1" x14ac:dyDescent="0.25">
      <c r="A37" s="109"/>
      <c r="B37" s="109"/>
      <c r="C37" s="55"/>
      <c r="D37" s="55"/>
      <c r="E37" s="55"/>
      <c r="F37" s="55"/>
      <c r="G37" s="63"/>
      <c r="H37" s="55"/>
      <c r="I37" s="55"/>
      <c r="J37" s="55"/>
      <c r="K37" s="55"/>
      <c r="L37" s="63"/>
      <c r="M37" s="55"/>
      <c r="N37" s="55"/>
      <c r="O37" s="55"/>
      <c r="P37" s="55"/>
      <c r="Q37" s="55"/>
      <c r="R37" s="63"/>
      <c r="S37" s="55"/>
    </row>
    <row r="38" spans="1:19" ht="15.75" customHeight="1" x14ac:dyDescent="0.25">
      <c r="A38" s="109"/>
      <c r="B38" s="109"/>
      <c r="C38" s="55"/>
      <c r="D38" s="55"/>
      <c r="E38" s="55"/>
      <c r="F38" s="55"/>
      <c r="G38" s="63"/>
      <c r="H38" s="55"/>
      <c r="I38" s="55"/>
      <c r="J38" s="55"/>
      <c r="K38" s="55"/>
      <c r="L38" s="63"/>
      <c r="M38" s="55"/>
      <c r="N38" s="55"/>
      <c r="O38" s="55"/>
      <c r="P38" s="55"/>
      <c r="Q38" s="55"/>
      <c r="R38" s="63"/>
      <c r="S38" s="55"/>
    </row>
    <row r="39" spans="1:19" ht="15" x14ac:dyDescent="0.25">
      <c r="A39" s="109"/>
      <c r="B39" s="109"/>
      <c r="C39" s="55"/>
      <c r="D39" s="55"/>
      <c r="E39" s="55"/>
      <c r="F39" s="55"/>
      <c r="G39" s="63"/>
      <c r="H39" s="55"/>
      <c r="I39" s="55"/>
      <c r="J39" s="55"/>
      <c r="K39" s="55"/>
      <c r="L39" s="63"/>
      <c r="M39" s="55"/>
      <c r="N39" s="55"/>
      <c r="O39" s="55"/>
      <c r="P39" s="55"/>
      <c r="Q39" s="55"/>
      <c r="R39" s="63"/>
      <c r="S39" s="55"/>
    </row>
    <row r="40" spans="1:19" ht="15" x14ac:dyDescent="0.25">
      <c r="A40" s="109"/>
      <c r="B40" s="109"/>
      <c r="C40" s="55"/>
      <c r="D40" s="55"/>
      <c r="E40" s="55"/>
      <c r="F40" s="55"/>
      <c r="G40" s="63"/>
      <c r="H40" s="55"/>
      <c r="I40" s="55"/>
      <c r="J40" s="55"/>
      <c r="K40" s="55"/>
      <c r="L40" s="63"/>
      <c r="M40" s="55"/>
      <c r="N40" s="55"/>
      <c r="O40" s="55"/>
      <c r="P40" s="55"/>
      <c r="Q40" s="55"/>
      <c r="R40" s="63"/>
      <c r="S40" s="55"/>
    </row>
    <row r="41" spans="1:19" ht="15" x14ac:dyDescent="0.25">
      <c r="A41" s="109"/>
      <c r="B41" s="109"/>
      <c r="C41" s="55"/>
      <c r="D41" s="55"/>
      <c r="E41" s="55"/>
      <c r="F41" s="55"/>
      <c r="G41" s="63"/>
      <c r="H41" s="55"/>
      <c r="I41" s="55"/>
      <c r="J41" s="55"/>
      <c r="K41" s="55"/>
      <c r="L41" s="63"/>
      <c r="M41" s="55"/>
      <c r="N41" s="55"/>
      <c r="O41" s="55"/>
      <c r="P41" s="55"/>
      <c r="Q41" s="55"/>
      <c r="R41" s="63"/>
      <c r="S41" s="55"/>
    </row>
    <row r="42" spans="1:19" ht="15" x14ac:dyDescent="0.25">
      <c r="A42" s="109"/>
      <c r="B42" s="109"/>
      <c r="C42" s="55"/>
      <c r="D42" s="55"/>
      <c r="E42" s="55"/>
      <c r="F42" s="55"/>
      <c r="G42" s="63"/>
      <c r="H42" s="55"/>
      <c r="I42" s="55"/>
      <c r="J42" s="55"/>
      <c r="K42" s="55"/>
      <c r="L42" s="63"/>
      <c r="M42" s="55"/>
      <c r="N42" s="55"/>
      <c r="O42" s="55"/>
      <c r="P42" s="55"/>
      <c r="Q42" s="55"/>
      <c r="R42" s="63"/>
      <c r="S42" s="55"/>
    </row>
    <row r="43" spans="1:19" ht="15" x14ac:dyDescent="0.25">
      <c r="A43" s="109"/>
      <c r="B43" s="109"/>
      <c r="C43" s="55"/>
      <c r="D43" s="55"/>
      <c r="E43" s="55"/>
      <c r="F43" s="55"/>
      <c r="G43" s="63"/>
      <c r="H43" s="55"/>
      <c r="I43" s="55"/>
      <c r="J43" s="55"/>
      <c r="K43" s="55"/>
      <c r="L43" s="63"/>
      <c r="M43" s="55"/>
      <c r="N43" s="55"/>
      <c r="O43" s="55"/>
      <c r="P43" s="55"/>
      <c r="Q43" s="55"/>
      <c r="R43" s="63"/>
      <c r="S43" s="55"/>
    </row>
    <row r="44" spans="1:19" ht="15" x14ac:dyDescent="0.25">
      <c r="A44" s="109"/>
      <c r="B44" s="109"/>
      <c r="C44" s="55"/>
      <c r="D44" s="55"/>
      <c r="E44" s="55"/>
      <c r="F44" s="55"/>
      <c r="G44" s="63"/>
      <c r="H44" s="55"/>
      <c r="I44" s="55"/>
      <c r="J44" s="55"/>
      <c r="K44" s="55"/>
      <c r="L44" s="63"/>
      <c r="M44" s="55"/>
      <c r="N44" s="55"/>
      <c r="O44" s="55"/>
      <c r="P44" s="55"/>
      <c r="Q44" s="55"/>
      <c r="R44" s="63"/>
      <c r="S44" s="55"/>
    </row>
    <row r="45" spans="1:19" ht="15" x14ac:dyDescent="0.25">
      <c r="A45" s="109"/>
      <c r="B45" s="109"/>
      <c r="C45" s="55"/>
      <c r="D45" s="55"/>
      <c r="E45" s="55"/>
      <c r="F45" s="55"/>
      <c r="G45" s="63"/>
      <c r="H45" s="55"/>
      <c r="I45" s="55"/>
      <c r="J45" s="55"/>
      <c r="K45" s="55"/>
      <c r="L45" s="63"/>
      <c r="M45" s="55"/>
      <c r="N45" s="55"/>
      <c r="O45" s="55"/>
      <c r="P45" s="55"/>
      <c r="Q45" s="55"/>
      <c r="R45" s="63"/>
      <c r="S45" s="55"/>
    </row>
    <row r="46" spans="1:19" ht="15" x14ac:dyDescent="0.25">
      <c r="A46" s="109"/>
      <c r="B46" s="109"/>
      <c r="C46" s="55"/>
      <c r="D46" s="55"/>
      <c r="E46" s="55"/>
      <c r="F46" s="55"/>
      <c r="G46" s="63"/>
      <c r="H46" s="55"/>
      <c r="I46" s="55"/>
      <c r="J46" s="55"/>
      <c r="K46" s="55"/>
      <c r="L46" s="63"/>
      <c r="M46" s="55"/>
      <c r="N46" s="55"/>
      <c r="O46" s="55"/>
      <c r="P46" s="55"/>
      <c r="Q46" s="55"/>
      <c r="R46" s="63"/>
      <c r="S46" s="55"/>
    </row>
    <row r="47" spans="1:19" ht="15" x14ac:dyDescent="0.25">
      <c r="A47" s="109"/>
      <c r="B47" s="109"/>
      <c r="C47" s="55"/>
      <c r="D47" s="55"/>
      <c r="E47" s="55"/>
      <c r="F47" s="55"/>
      <c r="G47" s="63"/>
      <c r="H47" s="55"/>
      <c r="I47" s="55"/>
      <c r="J47" s="55"/>
      <c r="K47" s="55"/>
      <c r="L47" s="63"/>
      <c r="M47" s="55"/>
      <c r="N47" s="55"/>
      <c r="O47" s="55"/>
      <c r="P47" s="55"/>
      <c r="Q47" s="55"/>
      <c r="R47" s="63"/>
      <c r="S47" s="55"/>
    </row>
    <row r="48" spans="1:19" ht="15" x14ac:dyDescent="0.25">
      <c r="A48" s="109"/>
      <c r="B48" s="109"/>
      <c r="C48" s="55"/>
      <c r="D48" s="55"/>
      <c r="E48" s="55"/>
      <c r="F48" s="55"/>
      <c r="G48" s="63"/>
      <c r="H48" s="55"/>
      <c r="I48" s="55"/>
      <c r="J48" s="55"/>
      <c r="K48" s="55"/>
      <c r="L48" s="63"/>
      <c r="M48" s="55"/>
      <c r="N48" s="55"/>
      <c r="O48" s="55"/>
      <c r="P48" s="55"/>
      <c r="Q48" s="55"/>
      <c r="R48" s="63"/>
      <c r="S48" s="55"/>
    </row>
    <row r="49" spans="1:19" ht="15" x14ac:dyDescent="0.25">
      <c r="A49" s="109"/>
      <c r="B49" s="109"/>
      <c r="C49" s="55"/>
      <c r="D49" s="55"/>
      <c r="E49" s="55"/>
      <c r="F49" s="55"/>
      <c r="G49" s="63"/>
      <c r="H49" s="55"/>
      <c r="I49" s="55"/>
      <c r="J49" s="55"/>
      <c r="K49" s="55"/>
      <c r="L49" s="63"/>
      <c r="M49" s="55"/>
      <c r="N49" s="55"/>
      <c r="O49" s="55"/>
      <c r="P49" s="55"/>
      <c r="Q49" s="55"/>
      <c r="R49" s="63"/>
      <c r="S49" s="55"/>
    </row>
    <row r="50" spans="1:19" ht="15" x14ac:dyDescent="0.25">
      <c r="A50" s="109"/>
      <c r="B50" s="109"/>
      <c r="C50" s="55"/>
      <c r="D50" s="55"/>
      <c r="E50" s="55"/>
      <c r="F50" s="55"/>
      <c r="G50" s="63"/>
      <c r="H50" s="55"/>
      <c r="I50" s="55"/>
      <c r="J50" s="55"/>
      <c r="K50" s="55"/>
      <c r="L50" s="63"/>
      <c r="M50" s="55"/>
      <c r="N50" s="55"/>
      <c r="O50" s="55"/>
      <c r="P50" s="55"/>
      <c r="Q50" s="55"/>
      <c r="R50" s="63"/>
      <c r="S50" s="55"/>
    </row>
    <row r="51" spans="1:19" ht="15" x14ac:dyDescent="0.25">
      <c r="A51" s="109"/>
      <c r="B51" s="109"/>
      <c r="C51" s="55"/>
      <c r="D51" s="55"/>
      <c r="E51" s="55"/>
      <c r="F51" s="55"/>
      <c r="G51" s="63"/>
      <c r="H51" s="55"/>
      <c r="I51" s="55"/>
      <c r="J51" s="55"/>
      <c r="K51" s="55"/>
      <c r="L51" s="63"/>
      <c r="M51" s="55"/>
      <c r="N51" s="55"/>
      <c r="O51" s="55"/>
      <c r="P51" s="55"/>
      <c r="Q51" s="55"/>
      <c r="R51" s="63"/>
      <c r="S51" s="55"/>
    </row>
    <row r="52" spans="1:19" ht="15" x14ac:dyDescent="0.25">
      <c r="A52" s="109"/>
      <c r="B52" s="109"/>
      <c r="C52" s="55"/>
      <c r="D52" s="55"/>
      <c r="E52" s="55"/>
      <c r="F52" s="55"/>
      <c r="G52" s="63"/>
      <c r="H52" s="55"/>
      <c r="I52" s="55"/>
      <c r="J52" s="55"/>
      <c r="K52" s="55"/>
      <c r="L52" s="63"/>
      <c r="M52" s="55"/>
      <c r="N52" s="55"/>
      <c r="O52" s="55"/>
      <c r="P52" s="55"/>
      <c r="Q52" s="55"/>
      <c r="R52" s="63"/>
      <c r="S52" s="55"/>
    </row>
    <row r="53" spans="1:19" ht="15" x14ac:dyDescent="0.25">
      <c r="A53" s="109"/>
      <c r="B53" s="109"/>
      <c r="C53" s="55"/>
      <c r="D53" s="55"/>
      <c r="E53" s="55"/>
      <c r="F53" s="55"/>
      <c r="G53" s="63"/>
      <c r="H53" s="55"/>
      <c r="I53" s="55"/>
      <c r="J53" s="55"/>
      <c r="K53" s="55"/>
      <c r="L53" s="63"/>
      <c r="M53" s="55"/>
      <c r="N53" s="55"/>
      <c r="O53" s="55"/>
      <c r="P53" s="55"/>
      <c r="Q53" s="55"/>
      <c r="R53" s="63"/>
      <c r="S53" s="55"/>
    </row>
    <row r="54" spans="1:19" ht="15" x14ac:dyDescent="0.25">
      <c r="A54" s="109"/>
      <c r="B54" s="109"/>
      <c r="C54" s="55"/>
      <c r="D54" s="55"/>
      <c r="E54" s="55"/>
      <c r="F54" s="55"/>
      <c r="G54" s="63"/>
      <c r="H54" s="55"/>
      <c r="I54" s="55"/>
      <c r="J54" s="55"/>
      <c r="K54" s="55"/>
      <c r="L54" s="63"/>
      <c r="M54" s="55"/>
      <c r="N54" s="55"/>
      <c r="O54" s="55"/>
      <c r="P54" s="55"/>
      <c r="Q54" s="55"/>
      <c r="R54" s="63"/>
      <c r="S54" s="55"/>
    </row>
    <row r="55" spans="1:19" ht="15" x14ac:dyDescent="0.25">
      <c r="A55" s="109"/>
      <c r="B55" s="109"/>
      <c r="C55" s="55"/>
      <c r="D55" s="55"/>
      <c r="E55" s="55"/>
      <c r="F55" s="55"/>
      <c r="G55" s="63"/>
      <c r="H55" s="55"/>
      <c r="I55" s="55"/>
      <c r="J55" s="55"/>
      <c r="K55" s="55"/>
      <c r="L55" s="63"/>
      <c r="M55" s="55"/>
      <c r="N55" s="55"/>
      <c r="O55" s="55"/>
      <c r="P55" s="55"/>
      <c r="Q55" s="55"/>
      <c r="R55" s="63"/>
      <c r="S55" s="55"/>
    </row>
    <row r="56" spans="1:19" ht="15" x14ac:dyDescent="0.25">
      <c r="A56" s="109"/>
      <c r="B56" s="109"/>
      <c r="C56" s="55"/>
      <c r="D56" s="55"/>
      <c r="E56" s="55"/>
      <c r="F56" s="55"/>
      <c r="G56" s="63"/>
      <c r="H56" s="55"/>
      <c r="I56" s="55"/>
      <c r="J56" s="55"/>
      <c r="K56" s="55"/>
      <c r="L56" s="63"/>
      <c r="M56" s="55"/>
      <c r="N56" s="55"/>
      <c r="O56" s="55"/>
      <c r="P56" s="55"/>
      <c r="Q56" s="55"/>
      <c r="R56" s="63"/>
      <c r="S56" s="55"/>
    </row>
    <row r="57" spans="1:19" ht="15" x14ac:dyDescent="0.25">
      <c r="A57" s="109"/>
      <c r="B57" s="109"/>
      <c r="C57" s="55"/>
      <c r="D57" s="55"/>
      <c r="E57" s="55"/>
      <c r="F57" s="55"/>
      <c r="G57" s="63"/>
      <c r="H57" s="55"/>
      <c r="I57" s="55"/>
      <c r="J57" s="55"/>
      <c r="K57" s="55"/>
      <c r="L57" s="63"/>
      <c r="M57" s="55"/>
      <c r="N57" s="55"/>
      <c r="O57" s="55"/>
      <c r="P57" s="55"/>
      <c r="Q57" s="55"/>
      <c r="R57" s="63"/>
      <c r="S57" s="55"/>
    </row>
    <row r="58" spans="1:19" ht="15" x14ac:dyDescent="0.25">
      <c r="A58" s="109"/>
      <c r="B58" s="109"/>
      <c r="C58" s="55"/>
      <c r="D58" s="55"/>
      <c r="E58" s="55"/>
      <c r="F58" s="55"/>
      <c r="G58" s="63"/>
      <c r="H58" s="55"/>
      <c r="I58" s="55"/>
      <c r="J58" s="55"/>
      <c r="K58" s="55"/>
      <c r="L58" s="63"/>
      <c r="M58" s="55"/>
      <c r="N58" s="55"/>
      <c r="O58" s="55"/>
      <c r="P58" s="55"/>
      <c r="Q58" s="55"/>
      <c r="R58" s="63"/>
      <c r="S58" s="55"/>
    </row>
    <row r="59" spans="1:19" ht="15" x14ac:dyDescent="0.25">
      <c r="A59" s="109"/>
      <c r="B59" s="109"/>
      <c r="C59" s="55"/>
      <c r="D59" s="55"/>
      <c r="E59" s="55"/>
      <c r="F59" s="55"/>
      <c r="G59" s="63"/>
      <c r="H59" s="55"/>
      <c r="I59" s="55"/>
      <c r="J59" s="55"/>
      <c r="K59" s="55"/>
      <c r="L59" s="63"/>
      <c r="M59" s="55"/>
      <c r="N59" s="55"/>
      <c r="O59" s="55"/>
      <c r="P59" s="55"/>
      <c r="Q59" s="55"/>
      <c r="R59" s="63"/>
      <c r="S59" s="55"/>
    </row>
    <row r="60" spans="1:19" ht="15" x14ac:dyDescent="0.25">
      <c r="A60" s="109"/>
      <c r="B60" s="109"/>
      <c r="C60" s="55"/>
      <c r="D60" s="55"/>
      <c r="E60" s="55"/>
      <c r="F60" s="55"/>
      <c r="G60" s="63"/>
      <c r="H60" s="55"/>
      <c r="I60" s="55"/>
      <c r="J60" s="55"/>
      <c r="K60" s="55"/>
      <c r="L60" s="63"/>
      <c r="M60" s="55"/>
      <c r="N60" s="55"/>
      <c r="O60" s="55"/>
      <c r="P60" s="55"/>
      <c r="Q60" s="55"/>
      <c r="R60" s="63"/>
      <c r="S60" s="55"/>
    </row>
    <row r="61" spans="1:19" ht="15" x14ac:dyDescent="0.25">
      <c r="A61" s="109"/>
      <c r="B61" s="109"/>
      <c r="C61" s="55"/>
      <c r="D61" s="55"/>
      <c r="E61" s="55"/>
      <c r="F61" s="55"/>
      <c r="G61" s="63"/>
      <c r="H61" s="55"/>
      <c r="I61" s="55"/>
      <c r="J61" s="55"/>
      <c r="K61" s="55"/>
      <c r="L61" s="63"/>
      <c r="M61" s="55"/>
      <c r="N61" s="55"/>
      <c r="O61" s="55"/>
      <c r="P61" s="55"/>
      <c r="Q61" s="55"/>
      <c r="R61" s="63"/>
      <c r="S61" s="55"/>
    </row>
    <row r="62" spans="1:19" ht="15" x14ac:dyDescent="0.25">
      <c r="A62" s="109"/>
      <c r="B62" s="109"/>
      <c r="C62" s="55"/>
      <c r="D62" s="55"/>
      <c r="E62" s="55"/>
      <c r="F62" s="55"/>
      <c r="G62" s="63"/>
      <c r="H62" s="55"/>
      <c r="I62" s="55"/>
      <c r="J62" s="55"/>
      <c r="K62" s="55"/>
      <c r="L62" s="63"/>
      <c r="M62" s="55"/>
      <c r="N62" s="55"/>
      <c r="O62" s="55"/>
      <c r="P62" s="55"/>
      <c r="Q62" s="55"/>
      <c r="R62" s="63"/>
      <c r="S62" s="55"/>
    </row>
    <row r="63" spans="1:19" ht="15" x14ac:dyDescent="0.25">
      <c r="A63" s="109"/>
      <c r="B63" s="109"/>
      <c r="C63" s="55"/>
      <c r="D63" s="55"/>
      <c r="E63" s="55"/>
      <c r="F63" s="55"/>
      <c r="G63" s="63"/>
      <c r="H63" s="55"/>
      <c r="I63" s="55"/>
      <c r="J63" s="55"/>
      <c r="K63" s="55"/>
      <c r="L63" s="63"/>
      <c r="M63" s="55"/>
      <c r="N63" s="55"/>
      <c r="O63" s="55"/>
      <c r="P63" s="55"/>
      <c r="Q63" s="55"/>
      <c r="R63" s="63"/>
      <c r="S63" s="55"/>
    </row>
    <row r="64" spans="1:19" ht="15" x14ac:dyDescent="0.25">
      <c r="A64" s="109"/>
      <c r="B64" s="109"/>
      <c r="C64" s="55"/>
      <c r="D64" s="55"/>
      <c r="E64" s="55"/>
      <c r="F64" s="55"/>
      <c r="G64" s="63"/>
      <c r="H64" s="55"/>
      <c r="I64" s="55"/>
      <c r="J64" s="55"/>
      <c r="K64" s="55"/>
      <c r="L64" s="63"/>
      <c r="M64" s="55"/>
      <c r="N64" s="55"/>
      <c r="O64" s="55"/>
      <c r="P64" s="55"/>
      <c r="Q64" s="55"/>
      <c r="R64" s="63"/>
      <c r="S64" s="55"/>
    </row>
    <row r="65" spans="1:19" ht="15" x14ac:dyDescent="0.25">
      <c r="A65" s="109"/>
      <c r="B65" s="109"/>
      <c r="C65" s="55"/>
      <c r="D65" s="55"/>
      <c r="E65" s="55"/>
      <c r="F65" s="55"/>
      <c r="G65" s="63"/>
      <c r="H65" s="55"/>
      <c r="I65" s="55"/>
      <c r="J65" s="55"/>
      <c r="K65" s="55"/>
      <c r="L65" s="63"/>
      <c r="M65" s="55"/>
      <c r="N65" s="55"/>
      <c r="O65" s="55"/>
      <c r="P65" s="55"/>
      <c r="Q65" s="55"/>
      <c r="R65" s="63"/>
      <c r="S65" s="55"/>
    </row>
    <row r="66" spans="1:19" ht="15" x14ac:dyDescent="0.25">
      <c r="A66" s="109"/>
      <c r="B66" s="109"/>
      <c r="C66" s="55"/>
      <c r="D66" s="55"/>
      <c r="E66" s="55"/>
      <c r="F66" s="55"/>
      <c r="G66" s="63"/>
      <c r="H66" s="55"/>
      <c r="I66" s="55"/>
      <c r="J66" s="55"/>
      <c r="K66" s="55"/>
      <c r="L66" s="63"/>
      <c r="M66" s="55"/>
      <c r="N66" s="55"/>
      <c r="O66" s="55"/>
      <c r="P66" s="55"/>
      <c r="Q66" s="55"/>
      <c r="R66" s="63"/>
      <c r="S66" s="55"/>
    </row>
    <row r="67" spans="1:19" ht="15" x14ac:dyDescent="0.25">
      <c r="A67" s="109"/>
      <c r="B67" s="109"/>
      <c r="C67" s="55"/>
      <c r="D67" s="55"/>
      <c r="E67" s="55"/>
      <c r="F67" s="55"/>
      <c r="G67" s="63"/>
      <c r="H67" s="55"/>
      <c r="I67" s="55"/>
      <c r="J67" s="55"/>
      <c r="K67" s="55"/>
      <c r="L67" s="63"/>
      <c r="M67" s="55"/>
      <c r="N67" s="55"/>
      <c r="O67" s="55"/>
      <c r="P67" s="55"/>
      <c r="Q67" s="55"/>
      <c r="R67" s="63"/>
      <c r="S67" s="55"/>
    </row>
    <row r="68" spans="1:19" ht="15" x14ac:dyDescent="0.25">
      <c r="A68" s="109"/>
      <c r="B68" s="109"/>
      <c r="C68" s="55"/>
      <c r="D68" s="55"/>
      <c r="E68" s="55"/>
      <c r="F68" s="55"/>
      <c r="G68" s="63"/>
      <c r="H68" s="55"/>
      <c r="I68" s="55"/>
      <c r="J68" s="55"/>
      <c r="K68" s="55"/>
      <c r="L68" s="63"/>
      <c r="M68" s="55"/>
      <c r="N68" s="55"/>
      <c r="O68" s="55"/>
      <c r="P68" s="55"/>
      <c r="Q68" s="55"/>
      <c r="R68" s="63"/>
      <c r="S68" s="55"/>
    </row>
    <row r="69" spans="1:19" ht="15" x14ac:dyDescent="0.25">
      <c r="A69" s="109"/>
      <c r="B69" s="109"/>
      <c r="C69" s="55"/>
      <c r="D69" s="55"/>
      <c r="E69" s="55"/>
      <c r="F69" s="55"/>
      <c r="G69" s="63"/>
      <c r="H69" s="55"/>
      <c r="I69" s="55"/>
      <c r="J69" s="55"/>
      <c r="K69" s="55"/>
      <c r="L69" s="63"/>
      <c r="M69" s="55"/>
      <c r="N69" s="55"/>
      <c r="O69" s="55"/>
      <c r="P69" s="55"/>
      <c r="Q69" s="55"/>
      <c r="R69" s="63"/>
      <c r="S69" s="55"/>
    </row>
    <row r="70" spans="1:19" ht="15" x14ac:dyDescent="0.25">
      <c r="A70" s="109"/>
      <c r="B70" s="109"/>
      <c r="C70" s="55"/>
      <c r="D70" s="55"/>
      <c r="E70" s="55"/>
      <c r="F70" s="55"/>
      <c r="G70" s="63"/>
      <c r="H70" s="55"/>
      <c r="I70" s="55"/>
      <c r="J70" s="55"/>
      <c r="K70" s="55"/>
      <c r="L70" s="63"/>
      <c r="M70" s="55"/>
      <c r="N70" s="55"/>
      <c r="O70" s="55"/>
      <c r="P70" s="55"/>
      <c r="Q70" s="55"/>
      <c r="R70" s="63"/>
      <c r="S70" s="55"/>
    </row>
    <row r="71" spans="1:19" ht="15" x14ac:dyDescent="0.25">
      <c r="A71" s="109"/>
      <c r="B71" s="109"/>
      <c r="C71" s="55"/>
      <c r="D71" s="55"/>
      <c r="E71" s="55"/>
      <c r="F71" s="55"/>
      <c r="G71" s="63"/>
      <c r="H71" s="55"/>
      <c r="I71" s="55"/>
      <c r="J71" s="55"/>
      <c r="K71" s="55"/>
      <c r="L71" s="63"/>
      <c r="M71" s="55"/>
      <c r="N71" s="55"/>
      <c r="O71" s="55"/>
      <c r="P71" s="55"/>
      <c r="Q71" s="55"/>
      <c r="R71" s="63"/>
      <c r="S71" s="55"/>
    </row>
    <row r="72" spans="1:19" ht="15" x14ac:dyDescent="0.25">
      <c r="A72" s="109"/>
      <c r="B72" s="109"/>
      <c r="C72" s="55"/>
      <c r="D72" s="55"/>
      <c r="E72" s="55"/>
      <c r="F72" s="55"/>
      <c r="G72" s="63"/>
      <c r="H72" s="55"/>
      <c r="I72" s="55"/>
      <c r="J72" s="55"/>
      <c r="K72" s="55"/>
      <c r="L72" s="63"/>
      <c r="M72" s="55"/>
      <c r="N72" s="55"/>
      <c r="O72" s="55"/>
      <c r="P72" s="55"/>
      <c r="Q72" s="55"/>
      <c r="R72" s="63"/>
      <c r="S72" s="55"/>
    </row>
    <row r="73" spans="1:19" ht="15" x14ac:dyDescent="0.25">
      <c r="A73" s="109"/>
      <c r="B73" s="109"/>
      <c r="C73" s="55"/>
      <c r="D73" s="55"/>
      <c r="E73" s="55"/>
      <c r="F73" s="55"/>
      <c r="G73" s="63"/>
      <c r="H73" s="55"/>
      <c r="I73" s="55"/>
      <c r="J73" s="55"/>
      <c r="K73" s="55"/>
      <c r="L73" s="63"/>
      <c r="M73" s="55"/>
      <c r="N73" s="55"/>
      <c r="O73" s="55"/>
      <c r="P73" s="55"/>
      <c r="Q73" s="55"/>
      <c r="R73" s="63"/>
      <c r="S73" s="55"/>
    </row>
    <row r="74" spans="1:19" ht="15" x14ac:dyDescent="0.25">
      <c r="A74" s="109"/>
      <c r="B74" s="109"/>
      <c r="C74" s="55"/>
      <c r="D74" s="55"/>
      <c r="E74" s="55"/>
      <c r="F74" s="55"/>
      <c r="G74" s="63"/>
      <c r="H74" s="55"/>
      <c r="I74" s="55"/>
      <c r="J74" s="55"/>
      <c r="K74" s="55"/>
      <c r="L74" s="63"/>
      <c r="M74" s="55"/>
      <c r="N74" s="55"/>
      <c r="O74" s="55"/>
      <c r="P74" s="55"/>
      <c r="Q74" s="55"/>
      <c r="R74" s="63"/>
      <c r="S74" s="55"/>
    </row>
    <row r="75" spans="1:19" ht="15" x14ac:dyDescent="0.25">
      <c r="A75" s="109"/>
      <c r="B75" s="109"/>
      <c r="C75" s="55"/>
      <c r="D75" s="55"/>
      <c r="E75" s="55"/>
      <c r="F75" s="55"/>
      <c r="G75" s="63"/>
      <c r="H75" s="55"/>
      <c r="I75" s="55"/>
      <c r="J75" s="55"/>
      <c r="K75" s="55"/>
      <c r="L75" s="63"/>
      <c r="M75" s="55"/>
      <c r="N75" s="55"/>
      <c r="O75" s="55"/>
      <c r="P75" s="55"/>
      <c r="Q75" s="55"/>
      <c r="R75" s="63"/>
      <c r="S75" s="55"/>
    </row>
    <row r="76" spans="1:19" ht="15" x14ac:dyDescent="0.25">
      <c r="A76" s="109"/>
      <c r="B76" s="109"/>
      <c r="C76" s="55"/>
      <c r="D76" s="55"/>
      <c r="E76" s="55"/>
      <c r="F76" s="55"/>
      <c r="G76" s="63"/>
      <c r="H76" s="55"/>
      <c r="I76" s="55"/>
      <c r="J76" s="55"/>
      <c r="K76" s="55"/>
      <c r="L76" s="63"/>
      <c r="M76" s="55"/>
      <c r="N76" s="55"/>
      <c r="O76" s="55"/>
      <c r="P76" s="55"/>
      <c r="Q76" s="55"/>
      <c r="R76" s="63"/>
      <c r="S76" s="55"/>
    </row>
    <row r="77" spans="1:19" ht="15" x14ac:dyDescent="0.25">
      <c r="A77" s="109"/>
      <c r="B77" s="109"/>
      <c r="C77" s="55"/>
      <c r="D77" s="55"/>
      <c r="E77" s="55"/>
      <c r="F77" s="55"/>
      <c r="G77" s="63"/>
      <c r="H77" s="55"/>
      <c r="I77" s="55"/>
      <c r="J77" s="55"/>
      <c r="K77" s="55"/>
      <c r="L77" s="63"/>
      <c r="M77" s="55"/>
      <c r="N77" s="55"/>
      <c r="O77" s="55"/>
      <c r="P77" s="55"/>
      <c r="Q77" s="55"/>
      <c r="R77" s="63"/>
      <c r="S77" s="55"/>
    </row>
    <row r="78" spans="1:19" ht="15" x14ac:dyDescent="0.25">
      <c r="A78" s="109"/>
      <c r="B78" s="109"/>
      <c r="C78" s="55"/>
      <c r="D78" s="55"/>
      <c r="E78" s="55"/>
      <c r="F78" s="55"/>
      <c r="G78" s="63"/>
      <c r="H78" s="55"/>
      <c r="I78" s="55"/>
      <c r="J78" s="55"/>
      <c r="K78" s="55"/>
      <c r="L78" s="63"/>
      <c r="M78" s="55"/>
      <c r="N78" s="55"/>
      <c r="O78" s="55"/>
      <c r="P78" s="55"/>
      <c r="Q78" s="55"/>
      <c r="R78" s="63"/>
      <c r="S78" s="55"/>
    </row>
    <row r="79" spans="1:19" ht="15" x14ac:dyDescent="0.25">
      <c r="A79" s="109"/>
      <c r="B79" s="109"/>
      <c r="C79" s="55"/>
      <c r="D79" s="55"/>
      <c r="E79" s="55"/>
      <c r="F79" s="55"/>
      <c r="G79" s="63"/>
      <c r="H79" s="55"/>
      <c r="I79" s="55"/>
      <c r="J79" s="55"/>
      <c r="K79" s="55"/>
      <c r="L79" s="63"/>
      <c r="M79" s="55"/>
      <c r="N79" s="55"/>
      <c r="O79" s="55"/>
      <c r="P79" s="55"/>
      <c r="Q79" s="55"/>
      <c r="R79" s="63"/>
      <c r="S79" s="55"/>
    </row>
    <row r="80" spans="1:19" ht="15" x14ac:dyDescent="0.25">
      <c r="A80" s="109"/>
      <c r="B80" s="109"/>
      <c r="C80" s="55"/>
      <c r="D80" s="55"/>
      <c r="E80" s="55"/>
      <c r="F80" s="55"/>
      <c r="G80" s="63"/>
      <c r="H80" s="55"/>
      <c r="I80" s="55"/>
      <c r="J80" s="55"/>
      <c r="K80" s="55"/>
      <c r="L80" s="63"/>
      <c r="M80" s="55"/>
      <c r="N80" s="55"/>
      <c r="O80" s="55"/>
      <c r="P80" s="55"/>
      <c r="Q80" s="55"/>
      <c r="R80" s="63"/>
      <c r="S80" s="55"/>
    </row>
    <row r="81" spans="1:19" ht="15" x14ac:dyDescent="0.25">
      <c r="A81" s="109"/>
      <c r="B81" s="109"/>
      <c r="C81" s="55"/>
      <c r="D81" s="55"/>
      <c r="E81" s="55"/>
      <c r="F81" s="55"/>
      <c r="G81" s="63"/>
      <c r="H81" s="55"/>
      <c r="I81" s="55"/>
      <c r="J81" s="55"/>
      <c r="K81" s="55"/>
      <c r="L81" s="63"/>
      <c r="M81" s="55"/>
      <c r="N81" s="55"/>
      <c r="O81" s="55"/>
      <c r="P81" s="55"/>
      <c r="Q81" s="55"/>
      <c r="R81" s="63"/>
      <c r="S81" s="55"/>
    </row>
    <row r="82" spans="1:19" ht="15" x14ac:dyDescent="0.25">
      <c r="A82" s="109"/>
      <c r="B82" s="109"/>
      <c r="C82" s="55"/>
      <c r="D82" s="55"/>
      <c r="E82" s="55"/>
      <c r="F82" s="55"/>
      <c r="G82" s="63"/>
      <c r="H82" s="55"/>
      <c r="I82" s="55"/>
      <c r="J82" s="55"/>
      <c r="K82" s="55"/>
      <c r="L82" s="63"/>
      <c r="M82" s="55"/>
      <c r="N82" s="55"/>
      <c r="O82" s="55"/>
      <c r="P82" s="55"/>
      <c r="Q82" s="55"/>
      <c r="R82" s="63"/>
      <c r="S82" s="55"/>
    </row>
    <row r="83" spans="1:19" ht="15" x14ac:dyDescent="0.25">
      <c r="A83" s="109"/>
      <c r="B83" s="109"/>
      <c r="C83" s="55"/>
      <c r="D83" s="55"/>
      <c r="E83" s="55"/>
      <c r="F83" s="55"/>
      <c r="G83" s="63"/>
      <c r="H83" s="55"/>
      <c r="I83" s="55"/>
      <c r="J83" s="55"/>
      <c r="K83" s="55"/>
      <c r="L83" s="63"/>
      <c r="M83" s="55"/>
      <c r="N83" s="55"/>
      <c r="O83" s="55"/>
      <c r="P83" s="55"/>
      <c r="Q83" s="55"/>
      <c r="R83" s="63"/>
      <c r="S83" s="55"/>
    </row>
    <row r="84" spans="1:19" ht="15" x14ac:dyDescent="0.25">
      <c r="A84" s="109"/>
      <c r="B84" s="109"/>
      <c r="C84" s="55"/>
      <c r="D84" s="55"/>
      <c r="E84" s="55"/>
      <c r="F84" s="55"/>
      <c r="G84" s="63"/>
      <c r="H84" s="55"/>
      <c r="I84" s="55"/>
      <c r="J84" s="55"/>
      <c r="K84" s="55"/>
      <c r="L84" s="63"/>
      <c r="M84" s="55"/>
      <c r="N84" s="55"/>
      <c r="O84" s="55"/>
      <c r="P84" s="55"/>
      <c r="Q84" s="55"/>
      <c r="R84" s="63"/>
      <c r="S84" s="55"/>
    </row>
    <row r="85" spans="1:19" ht="15" x14ac:dyDescent="0.25">
      <c r="A85" s="109"/>
      <c r="B85" s="109"/>
      <c r="C85" s="55"/>
      <c r="D85" s="55"/>
      <c r="E85" s="55"/>
      <c r="F85" s="55"/>
      <c r="G85" s="63"/>
      <c r="H85" s="55"/>
      <c r="I85" s="55"/>
      <c r="J85" s="55"/>
      <c r="K85" s="55"/>
      <c r="L85" s="63"/>
      <c r="M85" s="55"/>
      <c r="N85" s="55"/>
      <c r="O85" s="55"/>
      <c r="P85" s="55"/>
      <c r="Q85" s="55"/>
      <c r="R85" s="63"/>
      <c r="S85" s="55"/>
    </row>
    <row r="86" spans="1:19" ht="15" x14ac:dyDescent="0.25">
      <c r="A86" s="109"/>
      <c r="B86" s="109"/>
      <c r="C86" s="55"/>
      <c r="D86" s="55"/>
      <c r="E86" s="55"/>
      <c r="F86" s="55"/>
      <c r="G86" s="63"/>
      <c r="H86" s="55"/>
      <c r="I86" s="55"/>
      <c r="J86" s="55"/>
      <c r="K86" s="55"/>
      <c r="L86" s="63"/>
      <c r="M86" s="55"/>
      <c r="N86" s="55"/>
      <c r="O86" s="55"/>
      <c r="P86" s="55"/>
      <c r="Q86" s="55"/>
      <c r="R86" s="63"/>
      <c r="S86" s="55"/>
    </row>
    <row r="87" spans="1:19" ht="15" x14ac:dyDescent="0.25">
      <c r="A87" s="109"/>
      <c r="B87" s="109"/>
      <c r="C87" s="55"/>
      <c r="D87" s="55"/>
      <c r="E87" s="55"/>
      <c r="F87" s="55"/>
      <c r="G87" s="63"/>
      <c r="H87" s="55"/>
      <c r="I87" s="55"/>
      <c r="J87" s="55"/>
      <c r="K87" s="55"/>
      <c r="L87" s="63"/>
      <c r="M87" s="55"/>
      <c r="N87" s="55"/>
      <c r="O87" s="55"/>
      <c r="P87" s="55"/>
      <c r="Q87" s="55"/>
      <c r="R87" s="63"/>
      <c r="S87" s="55"/>
    </row>
    <row r="88" spans="1:19" ht="15" x14ac:dyDescent="0.25">
      <c r="A88" s="109"/>
      <c r="B88" s="109"/>
      <c r="C88" s="55"/>
      <c r="D88" s="55"/>
      <c r="E88" s="55"/>
      <c r="F88" s="55"/>
      <c r="G88" s="63"/>
      <c r="H88" s="55"/>
      <c r="I88" s="55"/>
      <c r="J88" s="55"/>
      <c r="K88" s="55"/>
      <c r="L88" s="63"/>
      <c r="M88" s="55"/>
      <c r="N88" s="55"/>
      <c r="O88" s="55"/>
      <c r="P88" s="55"/>
      <c r="Q88" s="55"/>
      <c r="R88" s="63"/>
      <c r="S88" s="55"/>
    </row>
    <row r="89" spans="1:19" ht="15" x14ac:dyDescent="0.25">
      <c r="A89" s="109"/>
      <c r="B89" s="109"/>
      <c r="C89" s="55"/>
      <c r="D89" s="55"/>
      <c r="E89" s="55"/>
      <c r="F89" s="55"/>
      <c r="G89" s="63"/>
      <c r="H89" s="55"/>
      <c r="I89" s="55"/>
      <c r="J89" s="55"/>
      <c r="K89" s="55"/>
      <c r="L89" s="63"/>
      <c r="M89" s="55"/>
      <c r="N89" s="55"/>
      <c r="O89" s="55"/>
      <c r="P89" s="55"/>
      <c r="Q89" s="55"/>
      <c r="R89" s="63"/>
      <c r="S89" s="55"/>
    </row>
    <row r="90" spans="1:19" ht="15" x14ac:dyDescent="0.25">
      <c r="A90" s="109"/>
      <c r="B90" s="109"/>
      <c r="C90" s="55"/>
      <c r="D90" s="55"/>
      <c r="E90" s="55"/>
      <c r="F90" s="55"/>
      <c r="G90" s="63"/>
      <c r="H90" s="55"/>
      <c r="I90" s="55"/>
      <c r="J90" s="55"/>
      <c r="K90" s="55"/>
      <c r="L90" s="63"/>
      <c r="M90" s="55"/>
      <c r="N90" s="55"/>
      <c r="O90" s="55"/>
      <c r="P90" s="55"/>
      <c r="Q90" s="55"/>
      <c r="R90" s="63"/>
      <c r="S90" s="55"/>
    </row>
    <row r="91" spans="1:19" ht="15" x14ac:dyDescent="0.25">
      <c r="A91" s="109"/>
      <c r="B91" s="109"/>
      <c r="C91" s="55"/>
      <c r="D91" s="55"/>
      <c r="E91" s="55"/>
      <c r="F91" s="55"/>
      <c r="G91" s="63"/>
      <c r="H91" s="55"/>
      <c r="I91" s="55"/>
      <c r="J91" s="55"/>
      <c r="K91" s="55"/>
      <c r="L91" s="63"/>
      <c r="M91" s="55"/>
      <c r="N91" s="55"/>
      <c r="O91" s="55"/>
      <c r="P91" s="55"/>
      <c r="Q91" s="55"/>
      <c r="R91" s="63"/>
      <c r="S91" s="55"/>
    </row>
    <row r="92" spans="1:19" ht="15" x14ac:dyDescent="0.25">
      <c r="A92" s="109"/>
      <c r="B92" s="109"/>
      <c r="C92" s="55"/>
      <c r="D92" s="55"/>
      <c r="E92" s="55"/>
      <c r="F92" s="55"/>
      <c r="G92" s="63"/>
      <c r="H92" s="55"/>
      <c r="I92" s="55"/>
      <c r="J92" s="55"/>
      <c r="K92" s="55"/>
      <c r="L92" s="63"/>
      <c r="M92" s="55"/>
      <c r="N92" s="55"/>
      <c r="O92" s="55"/>
      <c r="P92" s="55"/>
      <c r="Q92" s="55"/>
      <c r="R92" s="63"/>
      <c r="S92" s="55"/>
    </row>
    <row r="93" spans="1:19" ht="15" x14ac:dyDescent="0.25">
      <c r="A93" s="109"/>
      <c r="B93" s="109"/>
      <c r="C93" s="55"/>
      <c r="D93" s="55"/>
      <c r="E93" s="55"/>
      <c r="F93" s="55"/>
      <c r="G93" s="63"/>
      <c r="H93" s="55"/>
      <c r="I93" s="55"/>
      <c r="J93" s="55"/>
      <c r="K93" s="55"/>
      <c r="L93" s="63"/>
      <c r="M93" s="55"/>
      <c r="N93" s="55"/>
      <c r="O93" s="55"/>
      <c r="P93" s="55"/>
      <c r="Q93" s="55"/>
      <c r="R93" s="63"/>
      <c r="S93" s="55"/>
    </row>
    <row r="94" spans="1:19" ht="15" x14ac:dyDescent="0.25">
      <c r="A94" s="109"/>
      <c r="B94" s="109"/>
      <c r="C94" s="55"/>
      <c r="D94" s="55"/>
      <c r="E94" s="55"/>
      <c r="F94" s="55"/>
      <c r="G94" s="63"/>
      <c r="H94" s="55"/>
      <c r="I94" s="55"/>
      <c r="J94" s="55"/>
      <c r="K94" s="55"/>
      <c r="L94" s="63"/>
      <c r="M94" s="55"/>
      <c r="N94" s="55"/>
      <c r="O94" s="55"/>
      <c r="P94" s="55"/>
      <c r="Q94" s="55"/>
      <c r="R94" s="63"/>
      <c r="S94" s="55"/>
    </row>
    <row r="95" spans="1:19" ht="15" x14ac:dyDescent="0.25">
      <c r="A95" s="109"/>
      <c r="B95" s="109"/>
      <c r="C95" s="55"/>
      <c r="D95" s="55"/>
      <c r="E95" s="55"/>
      <c r="F95" s="55"/>
      <c r="G95" s="63"/>
      <c r="H95" s="55"/>
      <c r="I95" s="55"/>
      <c r="J95" s="55"/>
      <c r="K95" s="55"/>
      <c r="L95" s="63"/>
      <c r="M95" s="55"/>
      <c r="N95" s="55"/>
      <c r="O95" s="55"/>
      <c r="P95" s="55"/>
      <c r="Q95" s="55"/>
      <c r="R95" s="63"/>
      <c r="S95" s="55"/>
    </row>
    <row r="96" spans="1:19" ht="15" x14ac:dyDescent="0.25">
      <c r="A96" s="109"/>
      <c r="B96" s="109"/>
      <c r="C96" s="55"/>
      <c r="D96" s="55"/>
      <c r="E96" s="55"/>
      <c r="F96" s="55"/>
      <c r="G96" s="63"/>
      <c r="H96" s="55"/>
      <c r="I96" s="55"/>
      <c r="J96" s="55"/>
      <c r="K96" s="55"/>
      <c r="L96" s="63"/>
      <c r="M96" s="55"/>
      <c r="N96" s="55"/>
      <c r="O96" s="55"/>
      <c r="P96" s="55"/>
      <c r="Q96" s="55"/>
      <c r="R96" s="63"/>
      <c r="S96" s="55"/>
    </row>
    <row r="97" spans="1:19" ht="15" x14ac:dyDescent="0.25">
      <c r="A97" s="109"/>
      <c r="B97" s="109"/>
      <c r="C97" s="55"/>
      <c r="D97" s="55"/>
      <c r="E97" s="55"/>
      <c r="F97" s="55"/>
      <c r="G97" s="63"/>
      <c r="H97" s="55"/>
      <c r="I97" s="55"/>
      <c r="J97" s="55"/>
      <c r="K97" s="55"/>
      <c r="L97" s="63"/>
      <c r="M97" s="55"/>
      <c r="N97" s="55"/>
      <c r="O97" s="55"/>
      <c r="P97" s="55"/>
      <c r="Q97" s="55"/>
      <c r="R97" s="63"/>
      <c r="S97" s="55"/>
    </row>
    <row r="98" spans="1:19" ht="15" x14ac:dyDescent="0.25">
      <c r="A98" s="109"/>
      <c r="B98" s="109"/>
      <c r="C98" s="55"/>
      <c r="D98" s="55"/>
      <c r="E98" s="55"/>
      <c r="F98" s="55"/>
      <c r="G98" s="63"/>
      <c r="H98" s="55"/>
      <c r="I98" s="55"/>
      <c r="J98" s="55"/>
      <c r="K98" s="55"/>
      <c r="L98" s="63"/>
      <c r="M98" s="55"/>
      <c r="N98" s="55"/>
      <c r="O98" s="55"/>
      <c r="P98" s="55"/>
      <c r="Q98" s="55"/>
      <c r="R98" s="63"/>
      <c r="S98" s="55"/>
    </row>
    <row r="99" spans="1:19" ht="15" x14ac:dyDescent="0.25">
      <c r="A99" s="109"/>
      <c r="B99" s="109"/>
      <c r="C99" s="55"/>
      <c r="D99" s="55"/>
      <c r="E99" s="55"/>
      <c r="F99" s="55"/>
      <c r="G99" s="63"/>
      <c r="H99" s="55"/>
      <c r="I99" s="55"/>
      <c r="J99" s="55"/>
      <c r="K99" s="55"/>
      <c r="L99" s="63"/>
      <c r="M99" s="55"/>
      <c r="N99" s="55"/>
      <c r="O99" s="55"/>
      <c r="P99" s="55"/>
      <c r="Q99" s="55"/>
      <c r="R99" s="63"/>
      <c r="S99" s="55"/>
    </row>
    <row r="100" spans="1:19" ht="15" x14ac:dyDescent="0.25">
      <c r="A100" s="109"/>
      <c r="B100" s="109"/>
      <c r="C100" s="55"/>
      <c r="D100" s="55"/>
      <c r="E100" s="55"/>
      <c r="F100" s="55"/>
      <c r="G100" s="63"/>
      <c r="H100" s="55"/>
      <c r="I100" s="55"/>
      <c r="J100" s="55"/>
      <c r="K100" s="55"/>
      <c r="L100" s="63"/>
      <c r="M100" s="55"/>
      <c r="N100" s="55"/>
      <c r="O100" s="55"/>
      <c r="P100" s="55"/>
      <c r="Q100" s="55"/>
      <c r="R100" s="63"/>
      <c r="S100" s="55"/>
    </row>
    <row r="101" spans="1:19" ht="15" x14ac:dyDescent="0.25">
      <c r="A101" s="109"/>
      <c r="B101" s="109"/>
      <c r="C101" s="55"/>
      <c r="D101" s="55"/>
      <c r="E101" s="55"/>
      <c r="F101" s="55"/>
      <c r="G101" s="63"/>
      <c r="H101" s="55"/>
      <c r="I101" s="55"/>
      <c r="J101" s="55"/>
      <c r="K101" s="55"/>
      <c r="L101" s="63"/>
      <c r="M101" s="55"/>
      <c r="N101" s="55"/>
      <c r="O101" s="55"/>
      <c r="P101" s="55"/>
      <c r="Q101" s="55"/>
      <c r="R101" s="63"/>
      <c r="S101" s="55"/>
    </row>
    <row r="102" spans="1:19" ht="15" x14ac:dyDescent="0.25">
      <c r="A102" s="109"/>
      <c r="B102" s="109"/>
      <c r="C102" s="55"/>
      <c r="D102" s="55"/>
      <c r="E102" s="55"/>
      <c r="F102" s="55"/>
      <c r="G102" s="63"/>
      <c r="H102" s="55"/>
      <c r="I102" s="55"/>
      <c r="J102" s="55"/>
      <c r="K102" s="55"/>
      <c r="L102" s="63"/>
      <c r="M102" s="55"/>
      <c r="N102" s="55"/>
      <c r="O102" s="55"/>
      <c r="P102" s="55"/>
      <c r="Q102" s="55"/>
      <c r="R102" s="63"/>
      <c r="S102" s="55"/>
    </row>
    <row r="103" spans="1:19" ht="15" x14ac:dyDescent="0.25">
      <c r="A103" s="109"/>
      <c r="B103" s="109"/>
      <c r="C103" s="55"/>
      <c r="D103" s="55"/>
      <c r="E103" s="55"/>
      <c r="F103" s="55"/>
      <c r="G103" s="63"/>
      <c r="H103" s="55"/>
      <c r="I103" s="55"/>
      <c r="J103" s="55"/>
      <c r="K103" s="55"/>
      <c r="L103" s="63"/>
      <c r="M103" s="55"/>
      <c r="N103" s="55"/>
      <c r="O103" s="55"/>
      <c r="P103" s="55"/>
      <c r="Q103" s="55"/>
      <c r="R103" s="63"/>
      <c r="S103" s="55"/>
    </row>
    <row r="104" spans="1:19" ht="15" x14ac:dyDescent="0.25">
      <c r="A104" s="109"/>
      <c r="B104" s="109"/>
      <c r="C104" s="55"/>
      <c r="D104" s="55"/>
      <c r="E104" s="55"/>
      <c r="F104" s="55"/>
      <c r="G104" s="63"/>
      <c r="H104" s="55"/>
      <c r="I104" s="55"/>
      <c r="J104" s="55"/>
      <c r="K104" s="55"/>
      <c r="L104" s="63"/>
      <c r="M104" s="55"/>
      <c r="N104" s="55"/>
      <c r="O104" s="55"/>
      <c r="P104" s="55"/>
      <c r="Q104" s="55"/>
      <c r="R104" s="63"/>
      <c r="S104" s="55"/>
    </row>
    <row r="105" spans="1:19" ht="15" x14ac:dyDescent="0.25">
      <c r="A105" s="109"/>
      <c r="B105" s="109"/>
      <c r="C105" s="55"/>
      <c r="D105" s="55"/>
      <c r="E105" s="55"/>
      <c r="F105" s="55"/>
      <c r="G105" s="63"/>
      <c r="H105" s="55"/>
      <c r="I105" s="55"/>
      <c r="J105" s="55"/>
      <c r="K105" s="55"/>
      <c r="L105" s="63"/>
      <c r="M105" s="55"/>
      <c r="N105" s="55"/>
      <c r="O105" s="55"/>
      <c r="P105" s="55"/>
      <c r="Q105" s="55"/>
      <c r="R105" s="63"/>
      <c r="S105" s="55"/>
    </row>
    <row r="106" spans="1:19" ht="15" x14ac:dyDescent="0.25">
      <c r="A106" s="109"/>
      <c r="B106" s="109"/>
      <c r="C106" s="55"/>
      <c r="D106" s="55"/>
      <c r="E106" s="55"/>
      <c r="F106" s="55"/>
      <c r="G106" s="63"/>
      <c r="H106" s="55"/>
      <c r="I106" s="55"/>
      <c r="J106" s="55"/>
      <c r="K106" s="55"/>
      <c r="L106" s="63"/>
      <c r="M106" s="55"/>
      <c r="N106" s="55"/>
      <c r="O106" s="55"/>
      <c r="P106" s="55"/>
      <c r="Q106" s="55"/>
      <c r="R106" s="63"/>
      <c r="S106" s="55"/>
    </row>
    <row r="107" spans="1:19" ht="15" x14ac:dyDescent="0.25">
      <c r="A107" s="109"/>
      <c r="B107" s="109"/>
      <c r="C107" s="55"/>
      <c r="D107" s="55"/>
      <c r="E107" s="55"/>
      <c r="F107" s="55"/>
      <c r="G107" s="63"/>
      <c r="H107" s="55"/>
      <c r="I107" s="55"/>
      <c r="J107" s="55"/>
      <c r="K107" s="55"/>
      <c r="L107" s="63"/>
      <c r="M107" s="55"/>
      <c r="N107" s="55"/>
      <c r="O107" s="55"/>
      <c r="P107" s="55"/>
      <c r="Q107" s="55"/>
      <c r="R107" s="63"/>
      <c r="S107" s="55"/>
    </row>
    <row r="108" spans="1:19" ht="15" x14ac:dyDescent="0.25">
      <c r="A108" s="109"/>
      <c r="B108" s="109"/>
      <c r="C108" s="55"/>
      <c r="D108" s="55"/>
      <c r="E108" s="55"/>
      <c r="F108" s="55"/>
      <c r="G108" s="63"/>
      <c r="H108" s="55"/>
      <c r="I108" s="55"/>
      <c r="J108" s="55"/>
      <c r="K108" s="55"/>
      <c r="L108" s="63"/>
      <c r="M108" s="55"/>
      <c r="N108" s="55"/>
      <c r="O108" s="55"/>
      <c r="P108" s="55"/>
      <c r="Q108" s="55"/>
      <c r="R108" s="63"/>
      <c r="S108" s="55"/>
    </row>
    <row r="109" spans="1:19" ht="15" x14ac:dyDescent="0.25">
      <c r="A109" s="109"/>
      <c r="B109" s="109"/>
      <c r="C109" s="55"/>
      <c r="D109" s="55"/>
      <c r="E109" s="55"/>
      <c r="F109" s="55"/>
      <c r="G109" s="63"/>
      <c r="H109" s="55"/>
      <c r="I109" s="55"/>
      <c r="J109" s="55"/>
      <c r="K109" s="55"/>
      <c r="L109" s="63"/>
      <c r="M109" s="55"/>
      <c r="N109" s="55"/>
      <c r="O109" s="55"/>
      <c r="P109" s="55"/>
      <c r="Q109" s="55"/>
      <c r="R109" s="63"/>
      <c r="S109" s="55"/>
    </row>
    <row r="110" spans="1:19" ht="15" x14ac:dyDescent="0.25">
      <c r="A110" s="109"/>
      <c r="B110" s="109"/>
      <c r="C110" s="55"/>
      <c r="D110" s="55"/>
      <c r="E110" s="55"/>
      <c r="F110" s="55"/>
      <c r="G110" s="63"/>
      <c r="H110" s="55"/>
      <c r="I110" s="55"/>
      <c r="J110" s="55"/>
      <c r="K110" s="55"/>
      <c r="L110" s="63"/>
      <c r="M110" s="55"/>
      <c r="N110" s="55"/>
      <c r="O110" s="55"/>
      <c r="P110" s="55"/>
      <c r="Q110" s="55"/>
      <c r="R110" s="63"/>
      <c r="S110" s="55"/>
    </row>
    <row r="111" spans="1:19" ht="15" x14ac:dyDescent="0.25">
      <c r="A111" s="109"/>
      <c r="B111" s="109"/>
      <c r="C111" s="55"/>
      <c r="D111" s="55"/>
      <c r="E111" s="55"/>
      <c r="F111" s="55"/>
      <c r="G111" s="63"/>
      <c r="H111" s="55"/>
      <c r="I111" s="55"/>
      <c r="J111" s="55"/>
      <c r="K111" s="55"/>
      <c r="L111" s="63"/>
      <c r="M111" s="55"/>
      <c r="N111" s="55"/>
      <c r="O111" s="55"/>
      <c r="P111" s="55"/>
      <c r="Q111" s="55"/>
      <c r="R111" s="63"/>
      <c r="S111" s="55"/>
    </row>
    <row r="112" spans="1:19" ht="15" x14ac:dyDescent="0.25">
      <c r="A112" s="109"/>
      <c r="B112" s="109"/>
      <c r="C112" s="55"/>
      <c r="D112" s="55"/>
      <c r="E112" s="55"/>
      <c r="F112" s="55"/>
      <c r="G112" s="63"/>
      <c r="H112" s="55"/>
      <c r="I112" s="55"/>
      <c r="J112" s="55"/>
      <c r="K112" s="55"/>
      <c r="L112" s="63"/>
      <c r="M112" s="55"/>
      <c r="N112" s="55"/>
      <c r="O112" s="55"/>
      <c r="P112" s="55"/>
      <c r="Q112" s="55"/>
      <c r="R112" s="63"/>
      <c r="S112" s="55"/>
    </row>
    <row r="113" spans="1:19" ht="15" x14ac:dyDescent="0.25">
      <c r="A113" s="109"/>
      <c r="B113" s="109"/>
      <c r="C113" s="55"/>
      <c r="D113" s="55"/>
      <c r="E113" s="55"/>
      <c r="F113" s="55"/>
      <c r="G113" s="63"/>
      <c r="H113" s="55"/>
      <c r="I113" s="55"/>
      <c r="J113" s="55"/>
      <c r="K113" s="55"/>
      <c r="L113" s="63"/>
      <c r="M113" s="55"/>
      <c r="N113" s="55"/>
      <c r="O113" s="55"/>
      <c r="P113" s="55"/>
      <c r="Q113" s="55"/>
      <c r="R113" s="63"/>
      <c r="S113" s="55"/>
    </row>
    <row r="114" spans="1:19" ht="15" x14ac:dyDescent="0.25">
      <c r="A114" s="109"/>
      <c r="B114" s="109"/>
      <c r="C114" s="55"/>
      <c r="D114" s="55"/>
      <c r="E114" s="55"/>
      <c r="F114" s="55"/>
      <c r="G114" s="63"/>
      <c r="H114" s="55"/>
      <c r="I114" s="55"/>
      <c r="J114" s="55"/>
      <c r="K114" s="55"/>
      <c r="L114" s="63"/>
      <c r="M114" s="55"/>
      <c r="N114" s="55"/>
      <c r="O114" s="55"/>
      <c r="P114" s="55"/>
      <c r="Q114" s="55"/>
      <c r="R114" s="63"/>
      <c r="S114" s="55"/>
    </row>
    <row r="115" spans="1:19" ht="15" x14ac:dyDescent="0.25">
      <c r="A115" s="109"/>
      <c r="B115" s="109"/>
      <c r="C115" s="55"/>
      <c r="D115" s="55"/>
      <c r="E115" s="55"/>
      <c r="F115" s="55"/>
      <c r="G115" s="63"/>
      <c r="H115" s="55"/>
      <c r="I115" s="55"/>
      <c r="J115" s="55"/>
      <c r="K115" s="55"/>
      <c r="L115" s="63"/>
      <c r="M115" s="55"/>
      <c r="N115" s="55"/>
      <c r="O115" s="55"/>
      <c r="P115" s="55"/>
      <c r="Q115" s="55"/>
      <c r="R115" s="63"/>
      <c r="S115" s="55"/>
    </row>
    <row r="116" spans="1:19" ht="15" x14ac:dyDescent="0.25">
      <c r="A116" s="109"/>
      <c r="B116" s="109"/>
      <c r="C116" s="55"/>
      <c r="D116" s="55"/>
      <c r="E116" s="55"/>
      <c r="F116" s="55"/>
      <c r="G116" s="63"/>
      <c r="H116" s="55"/>
      <c r="I116" s="55"/>
      <c r="J116" s="55"/>
      <c r="K116" s="55"/>
      <c r="L116" s="63"/>
      <c r="M116" s="55"/>
      <c r="N116" s="55"/>
      <c r="O116" s="55"/>
      <c r="P116" s="55"/>
      <c r="Q116" s="55"/>
      <c r="R116" s="63"/>
      <c r="S116" s="55"/>
    </row>
    <row r="117" spans="1:19" ht="15" x14ac:dyDescent="0.25">
      <c r="A117" s="109"/>
      <c r="B117" s="109"/>
      <c r="C117" s="55"/>
      <c r="D117" s="55"/>
      <c r="E117" s="55"/>
      <c r="F117" s="55"/>
      <c r="G117" s="63"/>
      <c r="H117" s="55"/>
      <c r="I117" s="55"/>
      <c r="J117" s="55"/>
      <c r="K117" s="55"/>
      <c r="L117" s="63"/>
      <c r="M117" s="55"/>
      <c r="N117" s="55"/>
      <c r="O117" s="55"/>
      <c r="P117" s="55"/>
      <c r="Q117" s="55"/>
      <c r="R117" s="63"/>
      <c r="S117" s="55"/>
    </row>
    <row r="118" spans="1:19" ht="15" x14ac:dyDescent="0.25">
      <c r="A118" s="109"/>
      <c r="B118" s="109"/>
      <c r="C118" s="55"/>
      <c r="D118" s="55"/>
      <c r="E118" s="55"/>
      <c r="F118" s="55"/>
      <c r="G118" s="63"/>
      <c r="H118" s="55"/>
      <c r="I118" s="55"/>
      <c r="J118" s="55"/>
      <c r="K118" s="55"/>
      <c r="L118" s="63"/>
      <c r="M118" s="55"/>
      <c r="N118" s="55"/>
      <c r="O118" s="55"/>
      <c r="P118" s="55"/>
      <c r="Q118" s="55"/>
      <c r="R118" s="63"/>
      <c r="S118" s="55"/>
    </row>
    <row r="119" spans="1:19" ht="15" x14ac:dyDescent="0.25">
      <c r="A119" s="109"/>
      <c r="B119" s="109"/>
      <c r="C119" s="55"/>
      <c r="D119" s="55"/>
      <c r="E119" s="55"/>
      <c r="F119" s="55"/>
      <c r="G119" s="63"/>
      <c r="H119" s="55"/>
      <c r="I119" s="55"/>
      <c r="J119" s="55"/>
      <c r="K119" s="55"/>
      <c r="L119" s="63"/>
      <c r="M119" s="55"/>
      <c r="N119" s="55"/>
      <c r="O119" s="55"/>
      <c r="P119" s="55"/>
      <c r="Q119" s="55"/>
      <c r="R119" s="63"/>
      <c r="S119" s="55"/>
    </row>
    <row r="120" spans="1:19" ht="15" x14ac:dyDescent="0.25">
      <c r="A120" s="109"/>
      <c r="B120" s="109"/>
      <c r="C120" s="55"/>
      <c r="D120" s="55"/>
      <c r="E120" s="55"/>
      <c r="F120" s="55"/>
      <c r="G120" s="63"/>
      <c r="H120" s="55"/>
      <c r="I120" s="55"/>
      <c r="J120" s="55"/>
      <c r="K120" s="55"/>
      <c r="L120" s="63"/>
      <c r="M120" s="55"/>
      <c r="N120" s="55"/>
      <c r="O120" s="55"/>
      <c r="P120" s="55"/>
      <c r="Q120" s="55"/>
      <c r="R120" s="63"/>
      <c r="S120" s="55"/>
    </row>
    <row r="121" spans="1:19" ht="15" x14ac:dyDescent="0.25">
      <c r="A121" s="109"/>
      <c r="B121" s="109"/>
      <c r="C121" s="55"/>
      <c r="D121" s="55"/>
      <c r="E121" s="55"/>
      <c r="F121" s="55"/>
      <c r="G121" s="63"/>
      <c r="H121" s="55"/>
      <c r="I121" s="55"/>
      <c r="J121" s="55"/>
      <c r="K121" s="55"/>
      <c r="L121" s="63"/>
      <c r="M121" s="55"/>
      <c r="N121" s="55"/>
      <c r="O121" s="55"/>
      <c r="P121" s="55"/>
      <c r="Q121" s="55"/>
      <c r="R121" s="63"/>
      <c r="S121" s="55"/>
    </row>
    <row r="122" spans="1:19" ht="15" x14ac:dyDescent="0.25">
      <c r="A122" s="109"/>
      <c r="B122" s="109"/>
      <c r="C122" s="55"/>
      <c r="D122" s="55"/>
      <c r="E122" s="55"/>
      <c r="F122" s="55"/>
      <c r="G122" s="63"/>
      <c r="H122" s="55"/>
      <c r="I122" s="55"/>
      <c r="J122" s="55"/>
      <c r="K122" s="55"/>
      <c r="L122" s="63"/>
      <c r="M122" s="55"/>
      <c r="N122" s="55"/>
      <c r="O122" s="55"/>
      <c r="P122" s="55"/>
      <c r="Q122" s="55"/>
      <c r="R122" s="63"/>
      <c r="S122" s="55"/>
    </row>
    <row r="123" spans="1:19" ht="15" x14ac:dyDescent="0.25">
      <c r="A123" s="109"/>
      <c r="B123" s="109"/>
      <c r="C123" s="55"/>
      <c r="D123" s="55"/>
      <c r="E123" s="55"/>
      <c r="F123" s="55"/>
      <c r="G123" s="63"/>
      <c r="H123" s="55"/>
      <c r="I123" s="55"/>
      <c r="J123" s="55"/>
      <c r="K123" s="55"/>
      <c r="L123" s="63"/>
      <c r="M123" s="55"/>
      <c r="N123" s="55"/>
      <c r="O123" s="55"/>
      <c r="P123" s="55"/>
      <c r="Q123" s="55"/>
      <c r="R123" s="63"/>
      <c r="S123" s="55"/>
    </row>
    <row r="124" spans="1:19" ht="15" x14ac:dyDescent="0.25">
      <c r="A124" s="109"/>
      <c r="B124" s="109"/>
      <c r="C124" s="55"/>
      <c r="D124" s="55"/>
      <c r="E124" s="55"/>
      <c r="F124" s="55"/>
      <c r="G124" s="63"/>
      <c r="H124" s="55"/>
      <c r="I124" s="55"/>
      <c r="J124" s="55"/>
      <c r="K124" s="55"/>
      <c r="L124" s="63"/>
      <c r="M124" s="55"/>
      <c r="N124" s="55"/>
      <c r="O124" s="55"/>
      <c r="P124" s="55"/>
      <c r="Q124" s="55"/>
      <c r="R124" s="63"/>
      <c r="S124" s="55"/>
    </row>
    <row r="125" spans="1:19" ht="15" x14ac:dyDescent="0.25">
      <c r="A125" s="109"/>
      <c r="B125" s="109"/>
      <c r="C125" s="55"/>
      <c r="D125" s="55"/>
      <c r="E125" s="55"/>
      <c r="F125" s="55"/>
      <c r="G125" s="63"/>
      <c r="H125" s="55"/>
      <c r="I125" s="55"/>
      <c r="J125" s="55"/>
      <c r="K125" s="55"/>
      <c r="L125" s="63"/>
      <c r="M125" s="55"/>
      <c r="N125" s="55"/>
      <c r="O125" s="55"/>
      <c r="P125" s="55"/>
      <c r="Q125" s="55"/>
      <c r="R125" s="63"/>
      <c r="S125" s="55"/>
    </row>
    <row r="126" spans="1:19" ht="15" x14ac:dyDescent="0.25">
      <c r="A126" s="109"/>
      <c r="B126" s="109"/>
      <c r="C126" s="55"/>
      <c r="D126" s="55"/>
      <c r="E126" s="55"/>
      <c r="F126" s="55"/>
      <c r="G126" s="63"/>
      <c r="H126" s="55"/>
      <c r="I126" s="55"/>
      <c r="J126" s="55"/>
      <c r="K126" s="55"/>
      <c r="L126" s="63"/>
      <c r="M126" s="55"/>
      <c r="N126" s="55"/>
      <c r="O126" s="55"/>
      <c r="P126" s="55"/>
      <c r="Q126" s="55"/>
      <c r="R126" s="63"/>
      <c r="S126" s="55"/>
    </row>
    <row r="127" spans="1:19" ht="15" x14ac:dyDescent="0.25">
      <c r="A127" s="109"/>
      <c r="B127" s="109"/>
      <c r="C127" s="55"/>
      <c r="D127" s="55"/>
      <c r="E127" s="55"/>
      <c r="F127" s="55"/>
      <c r="G127" s="63"/>
      <c r="H127" s="55"/>
      <c r="I127" s="55"/>
      <c r="J127" s="55"/>
      <c r="K127" s="55"/>
      <c r="L127" s="63"/>
      <c r="M127" s="55"/>
      <c r="N127" s="55"/>
      <c r="O127" s="55"/>
      <c r="P127" s="55"/>
      <c r="Q127" s="55"/>
      <c r="R127" s="63"/>
      <c r="S127" s="55"/>
    </row>
    <row r="128" spans="1:19" ht="15" x14ac:dyDescent="0.25">
      <c r="A128" s="109"/>
      <c r="B128" s="109"/>
      <c r="C128" s="55"/>
      <c r="D128" s="55"/>
      <c r="E128" s="55"/>
      <c r="F128" s="55"/>
      <c r="G128" s="63"/>
      <c r="H128" s="55"/>
      <c r="I128" s="55"/>
      <c r="J128" s="55"/>
      <c r="K128" s="55"/>
      <c r="L128" s="63"/>
      <c r="M128" s="55"/>
      <c r="N128" s="55"/>
      <c r="O128" s="55"/>
      <c r="P128" s="55"/>
      <c r="Q128" s="55"/>
      <c r="R128" s="63"/>
      <c r="S128" s="55"/>
    </row>
    <row r="129" spans="1:19" ht="15" x14ac:dyDescent="0.25">
      <c r="A129" s="109"/>
      <c r="B129" s="109"/>
      <c r="C129" s="55"/>
      <c r="D129" s="55"/>
      <c r="E129" s="55"/>
      <c r="F129" s="55"/>
      <c r="G129" s="63"/>
      <c r="H129" s="55"/>
      <c r="I129" s="55"/>
      <c r="J129" s="55"/>
      <c r="K129" s="55"/>
      <c r="L129" s="63"/>
      <c r="M129" s="55"/>
      <c r="N129" s="55"/>
      <c r="O129" s="55"/>
      <c r="P129" s="55"/>
      <c r="Q129" s="55"/>
      <c r="R129" s="63"/>
      <c r="S129" s="55"/>
    </row>
    <row r="130" spans="1:19" ht="15" x14ac:dyDescent="0.25">
      <c r="A130" s="109"/>
      <c r="B130" s="109"/>
      <c r="C130" s="55"/>
      <c r="D130" s="55"/>
      <c r="E130" s="55"/>
      <c r="F130" s="55"/>
      <c r="G130" s="63"/>
      <c r="H130" s="55"/>
      <c r="I130" s="55"/>
      <c r="J130" s="55"/>
      <c r="K130" s="55"/>
      <c r="L130" s="63"/>
      <c r="M130" s="55"/>
      <c r="N130" s="55"/>
      <c r="O130" s="55"/>
      <c r="P130" s="55"/>
      <c r="Q130" s="55"/>
      <c r="R130" s="63"/>
      <c r="S130" s="55"/>
    </row>
    <row r="131" spans="1:19" ht="15" x14ac:dyDescent="0.25">
      <c r="A131" s="109"/>
      <c r="B131" s="109"/>
      <c r="C131" s="55"/>
      <c r="D131" s="55"/>
      <c r="E131" s="55"/>
      <c r="F131" s="55"/>
      <c r="G131" s="63"/>
      <c r="H131" s="55"/>
      <c r="I131" s="55"/>
      <c r="J131" s="55"/>
      <c r="K131" s="55"/>
      <c r="L131" s="63"/>
      <c r="M131" s="55"/>
      <c r="N131" s="55"/>
      <c r="O131" s="55"/>
      <c r="P131" s="55"/>
      <c r="Q131" s="55"/>
      <c r="R131" s="63"/>
      <c r="S131" s="55"/>
    </row>
    <row r="132" spans="1:19" ht="15" x14ac:dyDescent="0.25">
      <c r="A132" s="109"/>
      <c r="B132" s="109"/>
      <c r="C132" s="55"/>
      <c r="D132" s="55"/>
      <c r="E132" s="55"/>
      <c r="F132" s="55"/>
      <c r="G132" s="63"/>
      <c r="H132" s="55"/>
      <c r="I132" s="55"/>
      <c r="J132" s="55"/>
      <c r="K132" s="55"/>
      <c r="L132" s="63"/>
      <c r="M132" s="55"/>
      <c r="N132" s="55"/>
      <c r="O132" s="55"/>
      <c r="P132" s="55"/>
      <c r="Q132" s="55"/>
      <c r="R132" s="63"/>
      <c r="S132" s="55"/>
    </row>
    <row r="133" spans="1:19" ht="15" x14ac:dyDescent="0.25">
      <c r="A133" s="109"/>
      <c r="B133" s="109"/>
      <c r="C133" s="55"/>
      <c r="D133" s="55"/>
      <c r="E133" s="55"/>
      <c r="F133" s="55"/>
      <c r="G133" s="63"/>
      <c r="H133" s="55"/>
      <c r="I133" s="55"/>
      <c r="J133" s="55"/>
      <c r="K133" s="55"/>
      <c r="L133" s="63"/>
      <c r="M133" s="55"/>
      <c r="N133" s="55"/>
      <c r="O133" s="55"/>
      <c r="P133" s="55"/>
      <c r="Q133" s="55"/>
      <c r="R133" s="63"/>
      <c r="S133" s="55"/>
    </row>
    <row r="134" spans="1:19" ht="15" x14ac:dyDescent="0.25">
      <c r="A134" s="109"/>
      <c r="B134" s="109"/>
      <c r="C134" s="55"/>
      <c r="D134" s="55"/>
      <c r="E134" s="55"/>
      <c r="F134" s="55"/>
      <c r="G134" s="63"/>
      <c r="H134" s="55"/>
      <c r="I134" s="55"/>
      <c r="J134" s="55"/>
      <c r="K134" s="55"/>
      <c r="L134" s="63"/>
      <c r="M134" s="55"/>
      <c r="N134" s="55"/>
      <c r="O134" s="55"/>
      <c r="P134" s="55"/>
      <c r="Q134" s="55"/>
      <c r="R134" s="63"/>
      <c r="S134" s="55"/>
    </row>
    <row r="135" spans="1:19" ht="15" x14ac:dyDescent="0.25">
      <c r="A135" s="109"/>
      <c r="B135" s="109"/>
      <c r="C135" s="55"/>
      <c r="D135" s="55"/>
      <c r="E135" s="55"/>
      <c r="F135" s="55"/>
      <c r="G135" s="63"/>
      <c r="H135" s="55"/>
      <c r="I135" s="55"/>
      <c r="J135" s="55"/>
      <c r="K135" s="55"/>
      <c r="L135" s="63"/>
      <c r="M135" s="55"/>
      <c r="N135" s="55"/>
      <c r="O135" s="55"/>
      <c r="P135" s="55"/>
      <c r="Q135" s="55"/>
      <c r="R135" s="63"/>
      <c r="S135" s="55"/>
    </row>
    <row r="136" spans="1:19" ht="15" x14ac:dyDescent="0.25">
      <c r="A136" s="109"/>
      <c r="B136" s="109"/>
      <c r="C136" s="55"/>
      <c r="D136" s="55"/>
      <c r="E136" s="55"/>
      <c r="F136" s="55"/>
      <c r="G136" s="63"/>
      <c r="H136" s="55"/>
      <c r="I136" s="55"/>
      <c r="J136" s="55"/>
      <c r="K136" s="55"/>
      <c r="L136" s="63"/>
      <c r="M136" s="55"/>
      <c r="N136" s="55"/>
      <c r="O136" s="55"/>
      <c r="P136" s="55"/>
      <c r="Q136" s="55"/>
      <c r="R136" s="63"/>
      <c r="S136" s="55"/>
    </row>
    <row r="137" spans="1:19" ht="15" x14ac:dyDescent="0.25">
      <c r="A137" s="109"/>
      <c r="B137" s="109"/>
      <c r="C137" s="55"/>
      <c r="D137" s="55"/>
      <c r="E137" s="55"/>
      <c r="F137" s="55"/>
      <c r="G137" s="63"/>
      <c r="H137" s="55"/>
      <c r="I137" s="55"/>
      <c r="J137" s="55"/>
      <c r="K137" s="55"/>
      <c r="L137" s="63"/>
      <c r="M137" s="55"/>
      <c r="N137" s="55"/>
      <c r="O137" s="55"/>
      <c r="P137" s="55"/>
      <c r="Q137" s="55"/>
      <c r="R137" s="63"/>
      <c r="S137" s="55"/>
    </row>
    <row r="138" spans="1:19" ht="15" x14ac:dyDescent="0.25">
      <c r="A138" s="109"/>
      <c r="B138" s="109"/>
      <c r="C138" s="55"/>
      <c r="D138" s="55"/>
      <c r="E138" s="55"/>
      <c r="F138" s="55"/>
      <c r="G138" s="63"/>
      <c r="H138" s="55"/>
      <c r="I138" s="55"/>
      <c r="J138" s="55"/>
      <c r="K138" s="55"/>
      <c r="L138" s="63"/>
      <c r="M138" s="55"/>
      <c r="N138" s="55"/>
      <c r="O138" s="55"/>
      <c r="P138" s="55"/>
      <c r="Q138" s="55"/>
      <c r="R138" s="63"/>
      <c r="S138" s="55"/>
    </row>
    <row r="139" spans="1:19" ht="15" x14ac:dyDescent="0.25">
      <c r="A139" s="109"/>
      <c r="B139" s="109"/>
      <c r="C139" s="55"/>
      <c r="D139" s="55"/>
      <c r="E139" s="55"/>
      <c r="F139" s="55"/>
      <c r="G139" s="63"/>
      <c r="H139" s="55"/>
      <c r="I139" s="55"/>
      <c r="J139" s="55"/>
      <c r="K139" s="55"/>
      <c r="L139" s="63"/>
      <c r="M139" s="55"/>
      <c r="N139" s="55"/>
      <c r="O139" s="55"/>
      <c r="P139" s="55"/>
      <c r="Q139" s="55"/>
      <c r="R139" s="63"/>
      <c r="S139" s="55"/>
    </row>
    <row r="140" spans="1:19" ht="15" x14ac:dyDescent="0.25">
      <c r="A140" s="109"/>
      <c r="B140" s="109"/>
      <c r="C140" s="55"/>
      <c r="D140" s="55"/>
      <c r="E140" s="55"/>
      <c r="F140" s="55"/>
      <c r="G140" s="63"/>
      <c r="H140" s="55"/>
      <c r="I140" s="55"/>
      <c r="J140" s="55"/>
      <c r="K140" s="55"/>
      <c r="L140" s="63"/>
      <c r="M140" s="55"/>
      <c r="N140" s="55"/>
      <c r="O140" s="55"/>
      <c r="P140" s="55"/>
      <c r="Q140" s="55"/>
      <c r="R140" s="63"/>
      <c r="S140" s="55"/>
    </row>
    <row r="141" spans="1:19" ht="15" x14ac:dyDescent="0.25">
      <c r="A141" s="109"/>
      <c r="B141" s="109"/>
      <c r="C141" s="55"/>
      <c r="D141" s="55"/>
      <c r="E141" s="55"/>
      <c r="F141" s="55"/>
      <c r="G141" s="63"/>
      <c r="H141" s="55"/>
      <c r="I141" s="55"/>
      <c r="J141" s="55"/>
      <c r="K141" s="55"/>
      <c r="L141" s="63"/>
      <c r="M141" s="55"/>
      <c r="N141" s="55"/>
      <c r="O141" s="55"/>
      <c r="P141" s="55"/>
      <c r="Q141" s="55"/>
      <c r="R141" s="63"/>
      <c r="S141" s="55"/>
    </row>
    <row r="142" spans="1:19" ht="15" x14ac:dyDescent="0.25">
      <c r="A142" s="109"/>
      <c r="B142" s="109"/>
      <c r="C142" s="55"/>
      <c r="D142" s="55"/>
      <c r="E142" s="55"/>
      <c r="F142" s="55"/>
      <c r="G142" s="63"/>
      <c r="H142" s="55"/>
      <c r="I142" s="55"/>
      <c r="J142" s="55"/>
      <c r="K142" s="55"/>
      <c r="L142" s="63"/>
      <c r="M142" s="55"/>
      <c r="N142" s="55"/>
      <c r="O142" s="55"/>
      <c r="P142" s="55"/>
      <c r="Q142" s="55"/>
      <c r="R142" s="63"/>
      <c r="S142" s="55"/>
    </row>
    <row r="143" spans="1:19" ht="15" x14ac:dyDescent="0.25">
      <c r="A143" s="109"/>
      <c r="B143" s="109"/>
      <c r="C143" s="55"/>
      <c r="D143" s="55"/>
      <c r="E143" s="55"/>
      <c r="F143" s="55"/>
      <c r="G143" s="63"/>
      <c r="H143" s="55"/>
      <c r="I143" s="55"/>
      <c r="J143" s="55"/>
      <c r="K143" s="55"/>
      <c r="L143" s="63"/>
      <c r="M143" s="55"/>
      <c r="N143" s="55"/>
      <c r="O143" s="55"/>
      <c r="P143" s="55"/>
      <c r="Q143" s="55"/>
      <c r="R143" s="63"/>
      <c r="S143" s="55"/>
    </row>
    <row r="144" spans="1:19" ht="15" x14ac:dyDescent="0.25">
      <c r="A144" s="109"/>
      <c r="B144" s="109"/>
      <c r="C144" s="55"/>
      <c r="D144" s="55"/>
      <c r="E144" s="55"/>
      <c r="F144" s="55"/>
      <c r="G144" s="63"/>
      <c r="H144" s="55"/>
      <c r="I144" s="55"/>
      <c r="J144" s="55"/>
      <c r="K144" s="55"/>
      <c r="L144" s="63"/>
      <c r="M144" s="55"/>
      <c r="N144" s="55"/>
      <c r="O144" s="55"/>
      <c r="P144" s="55"/>
      <c r="Q144" s="55"/>
      <c r="R144" s="63"/>
      <c r="S144" s="55"/>
    </row>
    <row r="145" spans="1:19" ht="15" x14ac:dyDescent="0.25">
      <c r="A145" s="109"/>
      <c r="B145" s="109"/>
      <c r="C145" s="55"/>
      <c r="D145" s="55"/>
      <c r="E145" s="55"/>
      <c r="F145" s="55"/>
      <c r="G145" s="63"/>
      <c r="H145" s="55"/>
      <c r="I145" s="55"/>
      <c r="J145" s="55"/>
      <c r="K145" s="55"/>
      <c r="L145" s="63"/>
      <c r="M145" s="55"/>
      <c r="N145" s="55"/>
      <c r="O145" s="55"/>
      <c r="P145" s="55"/>
      <c r="Q145" s="55"/>
      <c r="R145" s="63"/>
      <c r="S145" s="55"/>
    </row>
    <row r="146" spans="1:19" ht="15" x14ac:dyDescent="0.25">
      <c r="A146" s="109"/>
      <c r="B146" s="109"/>
      <c r="C146" s="55"/>
      <c r="D146" s="55"/>
      <c r="E146" s="55"/>
      <c r="F146" s="55"/>
      <c r="G146" s="63"/>
      <c r="H146" s="55"/>
      <c r="I146" s="55"/>
      <c r="J146" s="55"/>
      <c r="K146" s="55"/>
      <c r="L146" s="63"/>
      <c r="M146" s="55"/>
      <c r="N146" s="55"/>
      <c r="O146" s="55"/>
      <c r="P146" s="55"/>
      <c r="Q146" s="55"/>
      <c r="R146" s="63"/>
      <c r="S146" s="55"/>
    </row>
    <row r="147" spans="1:19" ht="15" x14ac:dyDescent="0.25">
      <c r="A147" s="109"/>
      <c r="B147" s="109"/>
      <c r="C147" s="55"/>
      <c r="D147" s="55"/>
      <c r="E147" s="55"/>
      <c r="F147" s="55"/>
      <c r="G147" s="63"/>
      <c r="H147" s="55"/>
      <c r="I147" s="55"/>
      <c r="J147" s="55"/>
      <c r="K147" s="55"/>
      <c r="L147" s="63"/>
      <c r="M147" s="55"/>
      <c r="N147" s="55"/>
      <c r="O147" s="55"/>
      <c r="P147" s="55"/>
      <c r="Q147" s="55"/>
      <c r="R147" s="63"/>
      <c r="S147" s="55"/>
    </row>
    <row r="148" spans="1:19" ht="15" x14ac:dyDescent="0.25">
      <c r="A148" s="109"/>
      <c r="B148" s="109"/>
      <c r="C148" s="55"/>
      <c r="D148" s="55"/>
      <c r="E148" s="55"/>
      <c r="F148" s="55"/>
      <c r="G148" s="63"/>
      <c r="H148" s="55"/>
      <c r="I148" s="55"/>
      <c r="J148" s="55"/>
      <c r="K148" s="55"/>
      <c r="L148" s="63"/>
      <c r="M148" s="55"/>
      <c r="N148" s="55"/>
      <c r="O148" s="55"/>
      <c r="P148" s="55"/>
      <c r="Q148" s="55"/>
      <c r="R148" s="63"/>
      <c r="S148" s="55"/>
    </row>
    <row r="149" spans="1:19" ht="15" x14ac:dyDescent="0.25">
      <c r="A149" s="109"/>
      <c r="B149" s="109"/>
      <c r="C149" s="55"/>
      <c r="D149" s="55"/>
      <c r="E149" s="55"/>
      <c r="F149" s="55"/>
      <c r="G149" s="63"/>
      <c r="H149" s="55"/>
      <c r="I149" s="55"/>
      <c r="J149" s="55"/>
      <c r="K149" s="55"/>
      <c r="L149" s="63"/>
      <c r="M149" s="55"/>
      <c r="N149" s="55"/>
      <c r="O149" s="55"/>
      <c r="P149" s="55"/>
      <c r="Q149" s="55"/>
      <c r="R149" s="63"/>
      <c r="S149" s="55"/>
    </row>
    <row r="150" spans="1:19" ht="15" x14ac:dyDescent="0.25">
      <c r="A150" s="109"/>
      <c r="B150" s="109"/>
      <c r="C150" s="55"/>
      <c r="D150" s="55"/>
      <c r="E150" s="55"/>
      <c r="F150" s="55"/>
      <c r="G150" s="63"/>
      <c r="H150" s="55"/>
      <c r="I150" s="55"/>
      <c r="J150" s="55"/>
      <c r="K150" s="55"/>
      <c r="L150" s="63"/>
      <c r="M150" s="55"/>
      <c r="N150" s="55"/>
      <c r="O150" s="55"/>
      <c r="P150" s="55"/>
      <c r="Q150" s="55"/>
      <c r="R150" s="63"/>
      <c r="S150" s="55"/>
    </row>
    <row r="151" spans="1:19" ht="15" x14ac:dyDescent="0.25">
      <c r="A151" s="109"/>
      <c r="B151" s="109"/>
      <c r="C151" s="55"/>
      <c r="D151" s="55"/>
      <c r="E151" s="55"/>
      <c r="F151" s="55"/>
      <c r="G151" s="63"/>
      <c r="H151" s="55"/>
      <c r="I151" s="55"/>
      <c r="J151" s="55"/>
      <c r="K151" s="55"/>
      <c r="L151" s="63"/>
      <c r="M151" s="55"/>
      <c r="N151" s="55"/>
      <c r="O151" s="55"/>
      <c r="P151" s="55"/>
      <c r="Q151" s="55"/>
      <c r="R151" s="63"/>
      <c r="S151" s="55"/>
    </row>
    <row r="152" spans="1:19" ht="15" x14ac:dyDescent="0.25">
      <c r="A152" s="109"/>
      <c r="B152" s="109"/>
      <c r="C152" s="55"/>
      <c r="D152" s="55"/>
      <c r="E152" s="55"/>
      <c r="F152" s="55"/>
      <c r="G152" s="63"/>
      <c r="H152" s="55"/>
      <c r="I152" s="55"/>
      <c r="J152" s="55"/>
      <c r="K152" s="55"/>
      <c r="L152" s="63"/>
      <c r="M152" s="55"/>
      <c r="N152" s="55"/>
      <c r="O152" s="55"/>
      <c r="P152" s="55"/>
      <c r="Q152" s="55"/>
      <c r="R152" s="63"/>
      <c r="S152" s="55"/>
    </row>
    <row r="153" spans="1:19" ht="15" x14ac:dyDescent="0.25">
      <c r="A153" s="109"/>
      <c r="B153" s="109"/>
      <c r="C153" s="55"/>
      <c r="D153" s="55"/>
      <c r="E153" s="55"/>
      <c r="F153" s="55"/>
      <c r="G153" s="63"/>
      <c r="H153" s="55"/>
      <c r="I153" s="55"/>
      <c r="J153" s="55"/>
      <c r="K153" s="55"/>
      <c r="L153" s="63"/>
      <c r="M153" s="55"/>
      <c r="N153" s="55"/>
      <c r="O153" s="55"/>
      <c r="P153" s="55"/>
      <c r="Q153" s="55"/>
      <c r="R153" s="63"/>
      <c r="S153" s="55"/>
    </row>
    <row r="154" spans="1:19" ht="15" x14ac:dyDescent="0.25">
      <c r="A154" s="109"/>
      <c r="B154" s="109"/>
      <c r="C154" s="55"/>
      <c r="D154" s="55"/>
      <c r="E154" s="55"/>
      <c r="F154" s="55"/>
      <c r="G154" s="63"/>
      <c r="H154" s="55"/>
      <c r="I154" s="55"/>
      <c r="J154" s="55"/>
      <c r="K154" s="55"/>
      <c r="L154" s="63"/>
      <c r="M154" s="55"/>
      <c r="N154" s="55"/>
      <c r="O154" s="55"/>
      <c r="P154" s="55"/>
      <c r="Q154" s="55"/>
      <c r="R154" s="63"/>
      <c r="S154" s="55"/>
    </row>
    <row r="155" spans="1:19" ht="15" x14ac:dyDescent="0.25">
      <c r="A155" s="109"/>
      <c r="B155" s="109"/>
      <c r="C155" s="55"/>
      <c r="D155" s="55"/>
      <c r="E155" s="55"/>
      <c r="F155" s="55"/>
      <c r="G155" s="63"/>
      <c r="H155" s="55"/>
      <c r="I155" s="55"/>
      <c r="J155" s="55"/>
      <c r="K155" s="55"/>
      <c r="L155" s="63"/>
      <c r="M155" s="55"/>
      <c r="N155" s="55"/>
      <c r="O155" s="55"/>
      <c r="P155" s="55"/>
      <c r="Q155" s="55"/>
      <c r="R155" s="63"/>
      <c r="S155" s="55"/>
    </row>
    <row r="156" spans="1:19" ht="15" x14ac:dyDescent="0.25">
      <c r="A156" s="109"/>
      <c r="B156" s="109"/>
      <c r="C156" s="55"/>
      <c r="D156" s="55"/>
      <c r="E156" s="55"/>
      <c r="F156" s="55"/>
      <c r="G156" s="63"/>
      <c r="H156" s="55"/>
      <c r="I156" s="55"/>
      <c r="J156" s="55"/>
      <c r="K156" s="55"/>
      <c r="L156" s="63"/>
      <c r="M156" s="55"/>
      <c r="N156" s="55"/>
      <c r="O156" s="55"/>
      <c r="P156" s="55"/>
      <c r="Q156" s="55"/>
      <c r="R156" s="63"/>
      <c r="S156" s="55"/>
    </row>
    <row r="157" spans="1:19" ht="15" x14ac:dyDescent="0.25">
      <c r="A157" s="109"/>
      <c r="B157" s="109"/>
      <c r="C157" s="55"/>
      <c r="D157" s="55"/>
      <c r="E157" s="55"/>
      <c r="F157" s="55"/>
      <c r="G157" s="63"/>
      <c r="H157" s="55"/>
      <c r="I157" s="55"/>
      <c r="J157" s="55"/>
      <c r="K157" s="55"/>
      <c r="L157" s="63"/>
      <c r="M157" s="55"/>
      <c r="N157" s="55"/>
      <c r="O157" s="55"/>
      <c r="P157" s="55"/>
      <c r="Q157" s="55"/>
      <c r="R157" s="63"/>
      <c r="S157" s="55"/>
    </row>
    <row r="158" spans="1:19" ht="15" x14ac:dyDescent="0.25">
      <c r="A158" s="109"/>
      <c r="B158" s="109"/>
      <c r="C158" s="55"/>
      <c r="D158" s="55"/>
      <c r="E158" s="55"/>
      <c r="F158" s="55"/>
      <c r="G158" s="63"/>
      <c r="H158" s="55"/>
      <c r="I158" s="55"/>
      <c r="J158" s="55"/>
      <c r="K158" s="55"/>
      <c r="L158" s="63"/>
      <c r="M158" s="55"/>
      <c r="N158" s="55"/>
      <c r="O158" s="55"/>
      <c r="P158" s="55"/>
      <c r="Q158" s="55"/>
      <c r="R158" s="63"/>
      <c r="S158" s="55"/>
    </row>
    <row r="159" spans="1:19" ht="15" x14ac:dyDescent="0.25">
      <c r="A159" s="109"/>
      <c r="B159" s="109"/>
      <c r="C159" s="55"/>
      <c r="D159" s="55"/>
      <c r="E159" s="55"/>
      <c r="F159" s="55"/>
      <c r="G159" s="63"/>
      <c r="H159" s="55"/>
      <c r="I159" s="55"/>
      <c r="J159" s="55"/>
      <c r="K159" s="55"/>
      <c r="L159" s="63"/>
      <c r="M159" s="55"/>
      <c r="N159" s="55"/>
      <c r="O159" s="55"/>
      <c r="P159" s="55"/>
      <c r="Q159" s="55"/>
      <c r="R159" s="63"/>
      <c r="S159" s="55"/>
    </row>
    <row r="160" spans="1:19" ht="15" x14ac:dyDescent="0.25">
      <c r="A160" s="109"/>
      <c r="B160" s="109"/>
      <c r="C160" s="55"/>
      <c r="D160" s="55"/>
      <c r="E160" s="55"/>
      <c r="F160" s="55"/>
      <c r="G160" s="63"/>
      <c r="H160" s="55"/>
      <c r="I160" s="55"/>
      <c r="J160" s="55"/>
      <c r="K160" s="55"/>
      <c r="L160" s="63"/>
      <c r="M160" s="55"/>
      <c r="N160" s="55"/>
      <c r="O160" s="55"/>
      <c r="P160" s="55"/>
      <c r="Q160" s="55"/>
      <c r="R160" s="63"/>
      <c r="S160" s="55"/>
    </row>
    <row r="161" spans="1:19" ht="15" x14ac:dyDescent="0.25">
      <c r="A161" s="109"/>
      <c r="B161" s="109"/>
      <c r="C161" s="55"/>
      <c r="D161" s="55"/>
      <c r="E161" s="55"/>
      <c r="F161" s="55"/>
      <c r="G161" s="63"/>
      <c r="H161" s="55"/>
      <c r="I161" s="55"/>
      <c r="J161" s="55"/>
      <c r="K161" s="55"/>
      <c r="L161" s="63"/>
      <c r="M161" s="55"/>
      <c r="N161" s="55"/>
      <c r="O161" s="55"/>
      <c r="P161" s="55"/>
      <c r="Q161" s="55"/>
      <c r="R161" s="63"/>
      <c r="S161" s="55"/>
    </row>
    <row r="162" spans="1:19" ht="15" x14ac:dyDescent="0.25">
      <c r="A162" s="109"/>
      <c r="B162" s="109"/>
      <c r="C162" s="55"/>
      <c r="D162" s="55"/>
      <c r="E162" s="55"/>
      <c r="F162" s="55"/>
      <c r="G162" s="63"/>
      <c r="H162" s="55"/>
      <c r="I162" s="55"/>
      <c r="J162" s="55"/>
      <c r="K162" s="55"/>
      <c r="L162" s="63"/>
      <c r="M162" s="55"/>
      <c r="N162" s="55"/>
      <c r="O162" s="55"/>
      <c r="P162" s="55"/>
      <c r="Q162" s="55"/>
      <c r="R162" s="63"/>
      <c r="S162" s="55"/>
    </row>
    <row r="163" spans="1:19" ht="15" x14ac:dyDescent="0.25">
      <c r="A163" s="109"/>
      <c r="B163" s="109"/>
      <c r="C163" s="55"/>
      <c r="D163" s="55"/>
      <c r="E163" s="55"/>
      <c r="F163" s="55"/>
      <c r="G163" s="63"/>
      <c r="H163" s="55"/>
      <c r="I163" s="55"/>
      <c r="J163" s="55"/>
      <c r="K163" s="55"/>
      <c r="L163" s="63"/>
      <c r="M163" s="55"/>
      <c r="N163" s="55"/>
      <c r="O163" s="55"/>
      <c r="P163" s="55"/>
      <c r="Q163" s="55"/>
      <c r="R163" s="63"/>
      <c r="S163" s="55"/>
    </row>
    <row r="164" spans="1:19" ht="15" x14ac:dyDescent="0.25">
      <c r="A164" s="109"/>
      <c r="B164" s="109"/>
      <c r="C164" s="55"/>
      <c r="D164" s="55"/>
      <c r="E164" s="55"/>
      <c r="F164" s="55"/>
      <c r="G164" s="63"/>
      <c r="H164" s="55"/>
      <c r="I164" s="55"/>
      <c r="J164" s="55"/>
      <c r="K164" s="55"/>
      <c r="L164" s="63"/>
      <c r="M164" s="55"/>
      <c r="N164" s="55"/>
      <c r="O164" s="55"/>
      <c r="P164" s="55"/>
      <c r="Q164" s="55"/>
      <c r="R164" s="63"/>
      <c r="S164" s="55"/>
    </row>
    <row r="165" spans="1:19" ht="15" x14ac:dyDescent="0.25">
      <c r="A165" s="109"/>
      <c r="B165" s="109"/>
      <c r="C165" s="55"/>
      <c r="D165" s="55"/>
      <c r="E165" s="55"/>
      <c r="F165" s="55"/>
      <c r="G165" s="63"/>
      <c r="H165" s="55"/>
      <c r="I165" s="55"/>
      <c r="J165" s="55"/>
      <c r="K165" s="55"/>
      <c r="L165" s="63"/>
      <c r="M165" s="55"/>
      <c r="N165" s="55"/>
      <c r="O165" s="55"/>
      <c r="P165" s="55"/>
      <c r="Q165" s="55"/>
      <c r="R165" s="63"/>
      <c r="S165" s="55"/>
    </row>
    <row r="166" spans="1:19" ht="15" x14ac:dyDescent="0.25">
      <c r="A166" s="109"/>
      <c r="B166" s="109"/>
      <c r="C166" s="55"/>
      <c r="D166" s="55"/>
      <c r="E166" s="55"/>
      <c r="F166" s="55"/>
      <c r="G166" s="63"/>
      <c r="H166" s="55"/>
      <c r="I166" s="55"/>
      <c r="J166" s="55"/>
      <c r="K166" s="55"/>
      <c r="L166" s="63"/>
      <c r="M166" s="55"/>
      <c r="N166" s="55"/>
      <c r="O166" s="55"/>
      <c r="P166" s="55"/>
      <c r="Q166" s="55"/>
      <c r="R166" s="63"/>
      <c r="S166" s="55"/>
    </row>
    <row r="167" spans="1:19" ht="15" x14ac:dyDescent="0.25">
      <c r="A167" s="109"/>
      <c r="B167" s="109"/>
      <c r="C167" s="55"/>
      <c r="D167" s="55"/>
      <c r="E167" s="55"/>
      <c r="F167" s="55"/>
      <c r="G167" s="63"/>
      <c r="H167" s="55"/>
      <c r="I167" s="55"/>
      <c r="J167" s="55"/>
      <c r="K167" s="55"/>
      <c r="L167" s="63"/>
      <c r="M167" s="55"/>
      <c r="N167" s="55"/>
      <c r="O167" s="55"/>
      <c r="P167" s="55"/>
      <c r="Q167" s="55"/>
      <c r="R167" s="63"/>
      <c r="S167" s="55"/>
    </row>
    <row r="168" spans="1:19" ht="15" x14ac:dyDescent="0.25">
      <c r="A168" s="109"/>
      <c r="B168" s="109"/>
      <c r="C168" s="55"/>
      <c r="D168" s="55"/>
      <c r="E168" s="55"/>
      <c r="F168" s="55"/>
      <c r="G168" s="63"/>
      <c r="H168" s="55"/>
      <c r="I168" s="55"/>
      <c r="J168" s="55"/>
      <c r="K168" s="55"/>
      <c r="L168" s="63"/>
      <c r="M168" s="55"/>
      <c r="N168" s="55"/>
      <c r="O168" s="55"/>
      <c r="P168" s="55"/>
      <c r="Q168" s="55"/>
      <c r="R168" s="63"/>
      <c r="S168" s="55"/>
    </row>
    <row r="169" spans="1:19" ht="15" x14ac:dyDescent="0.25">
      <c r="A169" s="109"/>
      <c r="B169" s="109"/>
      <c r="C169" s="55"/>
      <c r="D169" s="55"/>
      <c r="E169" s="55"/>
      <c r="F169" s="55"/>
      <c r="G169" s="63"/>
      <c r="H169" s="55"/>
      <c r="I169" s="55"/>
      <c r="J169" s="55"/>
      <c r="K169" s="55"/>
      <c r="L169" s="63"/>
      <c r="M169" s="55"/>
      <c r="N169" s="55"/>
      <c r="O169" s="55"/>
      <c r="P169" s="55"/>
      <c r="Q169" s="55"/>
      <c r="R169" s="63"/>
      <c r="S169" s="55"/>
    </row>
    <row r="170" spans="1:19" ht="15" x14ac:dyDescent="0.25">
      <c r="A170" s="109"/>
      <c r="B170" s="109"/>
      <c r="C170" s="55"/>
      <c r="D170" s="55"/>
      <c r="E170" s="55"/>
      <c r="F170" s="55"/>
      <c r="G170" s="63"/>
      <c r="H170" s="55"/>
      <c r="I170" s="55"/>
      <c r="J170" s="55"/>
      <c r="K170" s="55"/>
      <c r="L170" s="63"/>
      <c r="M170" s="55"/>
      <c r="N170" s="55"/>
      <c r="O170" s="55"/>
      <c r="P170" s="55"/>
      <c r="Q170" s="55"/>
      <c r="R170" s="63"/>
      <c r="S170" s="55"/>
    </row>
    <row r="171" spans="1:19" ht="15" x14ac:dyDescent="0.25">
      <c r="A171" s="109"/>
      <c r="B171" s="109"/>
      <c r="C171" s="55"/>
      <c r="D171" s="55"/>
      <c r="E171" s="55"/>
      <c r="F171" s="55"/>
      <c r="G171" s="63"/>
      <c r="H171" s="55"/>
      <c r="I171" s="55"/>
      <c r="J171" s="55"/>
      <c r="K171" s="55"/>
      <c r="L171" s="63"/>
      <c r="M171" s="55"/>
      <c r="N171" s="55"/>
      <c r="O171" s="55"/>
      <c r="P171" s="55"/>
      <c r="Q171" s="55"/>
      <c r="R171" s="63"/>
      <c r="S171" s="55"/>
    </row>
    <row r="172" spans="1:19" ht="15" x14ac:dyDescent="0.25">
      <c r="A172" s="109"/>
      <c r="B172" s="109"/>
      <c r="C172" s="55"/>
      <c r="D172" s="55"/>
      <c r="E172" s="55"/>
      <c r="F172" s="55"/>
      <c r="G172" s="63"/>
      <c r="H172" s="55"/>
      <c r="I172" s="55"/>
      <c r="J172" s="55"/>
      <c r="K172" s="55"/>
      <c r="L172" s="63"/>
      <c r="M172" s="55"/>
      <c r="N172" s="55"/>
      <c r="O172" s="55"/>
      <c r="P172" s="55"/>
      <c r="Q172" s="55"/>
      <c r="R172" s="63"/>
      <c r="S172" s="55"/>
    </row>
    <row r="173" spans="1:19" ht="15" x14ac:dyDescent="0.25">
      <c r="A173" s="109"/>
      <c r="B173" s="109"/>
      <c r="C173" s="55"/>
      <c r="D173" s="55"/>
      <c r="E173" s="55"/>
      <c r="F173" s="55"/>
      <c r="G173" s="63"/>
      <c r="H173" s="55"/>
      <c r="I173" s="55"/>
      <c r="J173" s="55"/>
      <c r="K173" s="55"/>
      <c r="L173" s="63"/>
      <c r="M173" s="55"/>
      <c r="N173" s="55"/>
      <c r="O173" s="55"/>
      <c r="P173" s="55"/>
      <c r="Q173" s="55"/>
      <c r="R173" s="63"/>
      <c r="S173" s="55"/>
    </row>
    <row r="174" spans="1:19" ht="15" x14ac:dyDescent="0.25">
      <c r="A174" s="109"/>
      <c r="B174" s="109"/>
      <c r="C174" s="55"/>
      <c r="D174" s="55"/>
      <c r="E174" s="55"/>
      <c r="F174" s="55"/>
      <c r="G174" s="63"/>
      <c r="H174" s="55"/>
      <c r="I174" s="55"/>
      <c r="J174" s="55"/>
      <c r="K174" s="55"/>
      <c r="L174" s="63"/>
      <c r="M174" s="55"/>
      <c r="N174" s="55"/>
      <c r="O174" s="55"/>
      <c r="P174" s="55"/>
      <c r="Q174" s="55"/>
      <c r="R174" s="63"/>
      <c r="S174" s="55"/>
    </row>
    <row r="175" spans="1:19" ht="15" x14ac:dyDescent="0.25">
      <c r="A175" s="109"/>
      <c r="B175" s="109"/>
      <c r="C175" s="55"/>
      <c r="D175" s="55"/>
      <c r="E175" s="55"/>
      <c r="F175" s="55"/>
      <c r="G175" s="63"/>
      <c r="H175" s="55"/>
      <c r="I175" s="55"/>
      <c r="J175" s="55"/>
      <c r="K175" s="55"/>
      <c r="L175" s="63"/>
      <c r="M175" s="55"/>
      <c r="N175" s="55"/>
      <c r="O175" s="55"/>
      <c r="P175" s="55"/>
      <c r="Q175" s="55"/>
      <c r="R175" s="63"/>
      <c r="S175" s="55"/>
    </row>
    <row r="176" spans="1:19" ht="15" x14ac:dyDescent="0.25">
      <c r="A176" s="109"/>
      <c r="B176" s="109"/>
      <c r="C176" s="55"/>
      <c r="D176" s="55"/>
      <c r="E176" s="55"/>
      <c r="F176" s="55"/>
      <c r="G176" s="63"/>
      <c r="H176" s="55"/>
      <c r="I176" s="55"/>
      <c r="J176" s="55"/>
      <c r="K176" s="55"/>
      <c r="L176" s="63"/>
      <c r="M176" s="55"/>
      <c r="N176" s="55"/>
      <c r="O176" s="55"/>
      <c r="P176" s="55"/>
      <c r="Q176" s="55"/>
      <c r="R176" s="63"/>
      <c r="S176" s="55"/>
    </row>
    <row r="177" spans="1:19" ht="15" x14ac:dyDescent="0.25">
      <c r="A177" s="109"/>
      <c r="B177" s="109"/>
      <c r="C177" s="55"/>
      <c r="D177" s="55"/>
      <c r="E177" s="55"/>
      <c r="F177" s="55"/>
      <c r="G177" s="63"/>
      <c r="H177" s="55"/>
      <c r="I177" s="55"/>
      <c r="J177" s="55"/>
      <c r="K177" s="55"/>
      <c r="L177" s="63"/>
      <c r="M177" s="55"/>
      <c r="N177" s="55"/>
      <c r="O177" s="55"/>
      <c r="P177" s="55"/>
      <c r="Q177" s="55"/>
      <c r="R177" s="63"/>
      <c r="S177" s="55"/>
    </row>
    <row r="178" spans="1:19" ht="15" x14ac:dyDescent="0.25">
      <c r="A178" s="109"/>
      <c r="B178" s="109"/>
      <c r="C178" s="55"/>
      <c r="D178" s="55"/>
      <c r="E178" s="55"/>
      <c r="F178" s="55"/>
      <c r="G178" s="63"/>
      <c r="H178" s="55"/>
      <c r="I178" s="55"/>
      <c r="J178" s="55"/>
      <c r="K178" s="55"/>
      <c r="L178" s="63"/>
      <c r="M178" s="55"/>
      <c r="N178" s="55"/>
      <c r="O178" s="55"/>
      <c r="P178" s="55"/>
      <c r="Q178" s="55"/>
      <c r="R178" s="63"/>
      <c r="S178" s="55"/>
    </row>
    <row r="179" spans="1:19" ht="15" x14ac:dyDescent="0.25">
      <c r="A179" s="109"/>
      <c r="B179" s="109"/>
      <c r="C179" s="55"/>
      <c r="D179" s="55"/>
      <c r="E179" s="55"/>
      <c r="F179" s="55"/>
      <c r="G179" s="63"/>
      <c r="H179" s="55"/>
      <c r="I179" s="55"/>
      <c r="J179" s="55"/>
      <c r="K179" s="55"/>
      <c r="L179" s="63"/>
      <c r="M179" s="55"/>
      <c r="N179" s="55"/>
      <c r="O179" s="55"/>
      <c r="P179" s="55"/>
      <c r="Q179" s="55"/>
      <c r="R179" s="63"/>
      <c r="S179" s="55"/>
    </row>
    <row r="180" spans="1:19" ht="15" x14ac:dyDescent="0.25">
      <c r="A180" s="109"/>
      <c r="B180" s="109"/>
      <c r="C180" s="55"/>
      <c r="D180" s="55"/>
      <c r="E180" s="55"/>
      <c r="F180" s="55"/>
      <c r="G180" s="63"/>
      <c r="H180" s="55"/>
      <c r="I180" s="55"/>
      <c r="J180" s="55"/>
      <c r="K180" s="55"/>
      <c r="L180" s="63"/>
      <c r="M180" s="55"/>
      <c r="N180" s="55"/>
      <c r="O180" s="55"/>
      <c r="P180" s="55"/>
      <c r="Q180" s="55"/>
      <c r="R180" s="63"/>
      <c r="S180" s="55"/>
    </row>
    <row r="181" spans="1:19" ht="15" x14ac:dyDescent="0.25">
      <c r="A181" s="109"/>
      <c r="B181" s="109"/>
      <c r="C181" s="55"/>
      <c r="D181" s="55"/>
      <c r="E181" s="55"/>
      <c r="F181" s="55"/>
      <c r="G181" s="63"/>
      <c r="H181" s="55"/>
      <c r="I181" s="55"/>
      <c r="J181" s="55"/>
      <c r="K181" s="55"/>
      <c r="L181" s="63"/>
      <c r="M181" s="55"/>
      <c r="N181" s="55"/>
      <c r="O181" s="55"/>
      <c r="P181" s="55"/>
      <c r="Q181" s="55"/>
      <c r="R181" s="63"/>
      <c r="S181" s="55"/>
    </row>
    <row r="182" spans="1:19" ht="15" x14ac:dyDescent="0.25">
      <c r="A182" s="109"/>
      <c r="B182" s="109"/>
      <c r="C182" s="55"/>
      <c r="D182" s="55"/>
      <c r="E182" s="55"/>
      <c r="F182" s="55"/>
      <c r="G182" s="63"/>
      <c r="H182" s="55"/>
      <c r="I182" s="55"/>
      <c r="J182" s="55"/>
      <c r="K182" s="55"/>
      <c r="L182" s="63"/>
      <c r="M182" s="55"/>
      <c r="N182" s="55"/>
      <c r="O182" s="55"/>
      <c r="P182" s="55"/>
      <c r="Q182" s="55"/>
      <c r="R182" s="63"/>
      <c r="S182" s="55"/>
    </row>
    <row r="183" spans="1:19" ht="15" x14ac:dyDescent="0.25">
      <c r="A183" s="109"/>
      <c r="B183" s="109"/>
      <c r="C183" s="55"/>
      <c r="D183" s="55"/>
      <c r="E183" s="55"/>
      <c r="F183" s="55"/>
      <c r="G183" s="63"/>
      <c r="H183" s="55"/>
      <c r="I183" s="55"/>
      <c r="J183" s="55"/>
      <c r="K183" s="55"/>
      <c r="L183" s="63"/>
      <c r="M183" s="55"/>
      <c r="N183" s="55"/>
      <c r="O183" s="55"/>
      <c r="P183" s="55"/>
      <c r="Q183" s="55"/>
      <c r="R183" s="63"/>
      <c r="S183" s="55"/>
    </row>
    <row r="184" spans="1:19" ht="15" x14ac:dyDescent="0.25">
      <c r="A184" s="109"/>
      <c r="B184" s="109"/>
      <c r="C184" s="55"/>
      <c r="D184" s="55"/>
      <c r="E184" s="55"/>
      <c r="F184" s="55"/>
      <c r="G184" s="63"/>
      <c r="H184" s="55"/>
      <c r="I184" s="55"/>
      <c r="J184" s="55"/>
      <c r="K184" s="55"/>
      <c r="L184" s="63"/>
      <c r="M184" s="55"/>
      <c r="N184" s="55"/>
      <c r="O184" s="55"/>
      <c r="P184" s="55"/>
      <c r="Q184" s="55"/>
      <c r="R184" s="63"/>
      <c r="S184" s="55"/>
    </row>
    <row r="185" spans="1:19" ht="15" x14ac:dyDescent="0.25">
      <c r="A185" s="109"/>
      <c r="B185" s="109"/>
      <c r="C185" s="55"/>
      <c r="D185" s="55"/>
      <c r="E185" s="55"/>
      <c r="F185" s="55"/>
      <c r="G185" s="63"/>
      <c r="H185" s="55"/>
      <c r="I185" s="55"/>
      <c r="J185" s="55"/>
      <c r="K185" s="55"/>
      <c r="L185" s="63"/>
      <c r="M185" s="55"/>
      <c r="N185" s="55"/>
      <c r="O185" s="55"/>
      <c r="P185" s="55"/>
      <c r="Q185" s="55"/>
      <c r="R185" s="63"/>
      <c r="S185" s="55"/>
    </row>
    <row r="186" spans="1:19" ht="15" x14ac:dyDescent="0.25">
      <c r="A186" s="109"/>
      <c r="B186" s="109"/>
      <c r="C186" s="55"/>
      <c r="D186" s="55"/>
      <c r="E186" s="55"/>
      <c r="F186" s="55"/>
      <c r="G186" s="63"/>
      <c r="H186" s="55"/>
      <c r="I186" s="55"/>
      <c r="J186" s="55"/>
      <c r="K186" s="55"/>
      <c r="L186" s="63"/>
      <c r="M186" s="55"/>
      <c r="N186" s="55"/>
      <c r="O186" s="55"/>
      <c r="P186" s="55"/>
      <c r="Q186" s="55"/>
      <c r="R186" s="63"/>
      <c r="S186" s="55"/>
    </row>
    <row r="187" spans="1:19" ht="15" x14ac:dyDescent="0.25">
      <c r="A187" s="109"/>
      <c r="B187" s="109"/>
      <c r="C187" s="55"/>
      <c r="D187" s="55"/>
      <c r="E187" s="55"/>
      <c r="F187" s="55"/>
      <c r="G187" s="63"/>
      <c r="H187" s="55"/>
      <c r="I187" s="55"/>
      <c r="J187" s="55"/>
      <c r="K187" s="55"/>
      <c r="L187" s="63"/>
      <c r="M187" s="55"/>
      <c r="N187" s="55"/>
      <c r="O187" s="55"/>
      <c r="P187" s="55"/>
      <c r="Q187" s="55"/>
      <c r="R187" s="63"/>
      <c r="S187" s="55"/>
    </row>
    <row r="188" spans="1:19" ht="15" x14ac:dyDescent="0.25">
      <c r="A188" s="109"/>
      <c r="B188" s="109"/>
      <c r="C188" s="55"/>
      <c r="D188" s="55"/>
      <c r="E188" s="55"/>
      <c r="F188" s="55"/>
      <c r="G188" s="63"/>
      <c r="H188" s="55"/>
      <c r="I188" s="55"/>
      <c r="J188" s="55"/>
      <c r="K188" s="55"/>
      <c r="L188" s="63"/>
      <c r="M188" s="55"/>
      <c r="N188" s="55"/>
      <c r="O188" s="55"/>
      <c r="P188" s="55"/>
      <c r="Q188" s="55"/>
      <c r="R188" s="63"/>
      <c r="S188" s="55"/>
    </row>
    <row r="189" spans="1:19" ht="15" x14ac:dyDescent="0.25">
      <c r="A189" s="109"/>
      <c r="B189" s="109"/>
      <c r="C189" s="55"/>
      <c r="D189" s="55"/>
      <c r="E189" s="55"/>
      <c r="F189" s="55"/>
      <c r="G189" s="63"/>
      <c r="H189" s="55"/>
      <c r="I189" s="55"/>
      <c r="J189" s="55"/>
      <c r="K189" s="55"/>
      <c r="L189" s="63"/>
      <c r="M189" s="55"/>
      <c r="N189" s="55"/>
      <c r="O189" s="55"/>
      <c r="P189" s="55"/>
      <c r="Q189" s="55"/>
      <c r="R189" s="63"/>
      <c r="S189" s="55"/>
    </row>
    <row r="190" spans="1:19" ht="15" x14ac:dyDescent="0.25">
      <c r="A190" s="109"/>
      <c r="B190" s="109"/>
      <c r="C190" s="55"/>
      <c r="D190" s="55"/>
      <c r="E190" s="55"/>
      <c r="F190" s="55"/>
      <c r="G190" s="63"/>
      <c r="H190" s="55"/>
      <c r="I190" s="55"/>
      <c r="J190" s="55"/>
      <c r="K190" s="55"/>
      <c r="L190" s="63"/>
      <c r="M190" s="55"/>
      <c r="N190" s="55"/>
      <c r="O190" s="55"/>
      <c r="P190" s="55"/>
      <c r="Q190" s="55"/>
      <c r="R190" s="63"/>
      <c r="S190" s="55"/>
    </row>
    <row r="191" spans="1:19" ht="15" x14ac:dyDescent="0.25">
      <c r="A191" s="109"/>
      <c r="B191" s="109"/>
      <c r="C191" s="55"/>
      <c r="D191" s="55"/>
      <c r="E191" s="55"/>
      <c r="F191" s="55"/>
      <c r="G191" s="63"/>
      <c r="H191" s="55"/>
      <c r="I191" s="55"/>
      <c r="J191" s="55"/>
      <c r="K191" s="55"/>
      <c r="L191" s="63"/>
      <c r="M191" s="55"/>
      <c r="N191" s="55"/>
      <c r="O191" s="55"/>
      <c r="P191" s="55"/>
      <c r="Q191" s="55"/>
      <c r="R191" s="63"/>
      <c r="S191" s="55"/>
    </row>
    <row r="192" spans="1:19" ht="15" x14ac:dyDescent="0.25">
      <c r="A192" s="109"/>
      <c r="B192" s="109"/>
      <c r="C192" s="55"/>
      <c r="D192" s="55"/>
      <c r="E192" s="55"/>
      <c r="F192" s="55"/>
      <c r="G192" s="63"/>
      <c r="H192" s="55"/>
      <c r="I192" s="55"/>
      <c r="J192" s="55"/>
      <c r="K192" s="55"/>
      <c r="L192" s="63"/>
      <c r="M192" s="55"/>
      <c r="N192" s="55"/>
      <c r="O192" s="55"/>
      <c r="P192" s="55"/>
      <c r="Q192" s="55"/>
      <c r="R192" s="63"/>
      <c r="S192" s="55"/>
    </row>
    <row r="193" spans="1:19" ht="15" x14ac:dyDescent="0.25">
      <c r="A193" s="109"/>
      <c r="B193" s="109"/>
      <c r="C193" s="55"/>
      <c r="D193" s="55"/>
      <c r="E193" s="55"/>
      <c r="F193" s="55"/>
      <c r="G193" s="63"/>
      <c r="H193" s="55"/>
      <c r="I193" s="55"/>
      <c r="J193" s="55"/>
      <c r="K193" s="55"/>
      <c r="L193" s="63"/>
      <c r="M193" s="55"/>
      <c r="N193" s="55"/>
      <c r="O193" s="55"/>
      <c r="P193" s="55"/>
      <c r="Q193" s="55"/>
      <c r="R193" s="63"/>
      <c r="S193" s="55"/>
    </row>
    <row r="194" spans="1:19" ht="15" x14ac:dyDescent="0.25">
      <c r="A194" s="109"/>
      <c r="B194" s="109"/>
      <c r="C194" s="55"/>
      <c r="D194" s="55"/>
      <c r="E194" s="55"/>
      <c r="F194" s="55"/>
      <c r="G194" s="63"/>
      <c r="H194" s="55"/>
      <c r="I194" s="55"/>
      <c r="J194" s="55"/>
      <c r="K194" s="55"/>
      <c r="L194" s="63"/>
      <c r="M194" s="55"/>
      <c r="N194" s="55"/>
      <c r="O194" s="55"/>
      <c r="P194" s="55"/>
      <c r="Q194" s="55"/>
      <c r="R194" s="63"/>
      <c r="S194" s="55"/>
    </row>
    <row r="195" spans="1:19" ht="15" x14ac:dyDescent="0.25">
      <c r="A195" s="109"/>
      <c r="B195" s="109"/>
      <c r="C195" s="55"/>
      <c r="D195" s="55"/>
      <c r="E195" s="55"/>
      <c r="F195" s="55"/>
      <c r="G195" s="63"/>
      <c r="H195" s="55"/>
      <c r="I195" s="55"/>
      <c r="J195" s="55"/>
      <c r="K195" s="55"/>
      <c r="L195" s="63"/>
      <c r="M195" s="55"/>
      <c r="N195" s="55"/>
      <c r="O195" s="55"/>
      <c r="P195" s="55"/>
      <c r="Q195" s="55"/>
      <c r="R195" s="63"/>
      <c r="S195" s="55"/>
    </row>
    <row r="196" spans="1:19" ht="15" x14ac:dyDescent="0.25">
      <c r="A196" s="109"/>
      <c r="B196" s="109"/>
      <c r="C196" s="55"/>
      <c r="D196" s="55"/>
      <c r="E196" s="55"/>
      <c r="F196" s="55"/>
      <c r="G196" s="63"/>
      <c r="H196" s="55"/>
      <c r="I196" s="55"/>
      <c r="J196" s="55"/>
      <c r="K196" s="55"/>
      <c r="L196" s="63"/>
      <c r="M196" s="55"/>
      <c r="N196" s="55"/>
      <c r="O196" s="55"/>
      <c r="P196" s="55"/>
      <c r="Q196" s="55"/>
      <c r="R196" s="63"/>
      <c r="S196" s="55"/>
    </row>
    <row r="197" spans="1:19" ht="15" x14ac:dyDescent="0.25">
      <c r="A197" s="109"/>
      <c r="B197" s="109"/>
      <c r="C197" s="55"/>
      <c r="D197" s="55"/>
      <c r="E197" s="55"/>
      <c r="F197" s="55"/>
      <c r="G197" s="63"/>
      <c r="H197" s="55"/>
      <c r="I197" s="55"/>
      <c r="J197" s="55"/>
      <c r="K197" s="55"/>
      <c r="L197" s="63"/>
      <c r="M197" s="55"/>
      <c r="N197" s="55"/>
      <c r="O197" s="55"/>
      <c r="P197" s="55"/>
      <c r="Q197" s="55"/>
      <c r="R197" s="63"/>
      <c r="S197" s="55"/>
    </row>
    <row r="198" spans="1:19" ht="15" x14ac:dyDescent="0.25">
      <c r="A198" s="109"/>
      <c r="B198" s="109"/>
      <c r="C198" s="55"/>
      <c r="D198" s="55"/>
      <c r="E198" s="55"/>
      <c r="F198" s="55"/>
      <c r="G198" s="63"/>
      <c r="H198" s="55"/>
      <c r="I198" s="55"/>
      <c r="J198" s="55"/>
      <c r="K198" s="55"/>
      <c r="L198" s="63"/>
      <c r="M198" s="55"/>
      <c r="N198" s="55"/>
      <c r="O198" s="55"/>
      <c r="P198" s="55"/>
      <c r="Q198" s="55"/>
      <c r="R198" s="63"/>
      <c r="S198" s="55"/>
    </row>
    <row r="199" spans="1:19" ht="15" x14ac:dyDescent="0.25">
      <c r="A199" s="109"/>
      <c r="B199" s="109"/>
      <c r="C199" s="55"/>
      <c r="D199" s="55"/>
      <c r="E199" s="55"/>
      <c r="F199" s="55"/>
      <c r="G199" s="63"/>
      <c r="H199" s="55"/>
      <c r="I199" s="55"/>
      <c r="J199" s="55"/>
      <c r="K199" s="55"/>
      <c r="L199" s="63"/>
      <c r="M199" s="55"/>
      <c r="N199" s="55"/>
      <c r="O199" s="55"/>
      <c r="P199" s="55"/>
      <c r="Q199" s="55"/>
      <c r="R199" s="63"/>
      <c r="S199" s="55"/>
    </row>
    <row r="200" spans="1:19" ht="15" x14ac:dyDescent="0.25">
      <c r="A200" s="109"/>
      <c r="B200" s="109"/>
      <c r="C200" s="55"/>
      <c r="D200" s="55"/>
      <c r="E200" s="55"/>
      <c r="F200" s="55"/>
      <c r="G200" s="63"/>
      <c r="H200" s="55"/>
      <c r="I200" s="55"/>
      <c r="J200" s="55"/>
      <c r="K200" s="55"/>
      <c r="L200" s="63"/>
      <c r="M200" s="55"/>
      <c r="N200" s="55"/>
      <c r="O200" s="55"/>
      <c r="P200" s="55"/>
      <c r="Q200" s="55"/>
      <c r="R200" s="63"/>
      <c r="S200" s="55"/>
    </row>
    <row r="201" spans="1:19" ht="15" x14ac:dyDescent="0.25">
      <c r="A201" s="109"/>
      <c r="B201" s="109"/>
      <c r="C201" s="55"/>
      <c r="D201" s="55"/>
      <c r="E201" s="55"/>
      <c r="F201" s="55"/>
      <c r="G201" s="63"/>
      <c r="H201" s="55"/>
      <c r="I201" s="55"/>
      <c r="J201" s="55"/>
      <c r="K201" s="55"/>
      <c r="L201" s="63"/>
      <c r="M201" s="55"/>
      <c r="N201" s="55"/>
      <c r="O201" s="55"/>
      <c r="P201" s="55"/>
      <c r="Q201" s="55"/>
      <c r="R201" s="63"/>
      <c r="S201" s="55"/>
    </row>
    <row r="202" spans="1:19" ht="15" x14ac:dyDescent="0.25">
      <c r="A202" s="109"/>
      <c r="B202" s="109"/>
      <c r="C202" s="55"/>
      <c r="D202" s="55"/>
      <c r="E202" s="55"/>
      <c r="F202" s="55"/>
      <c r="G202" s="63"/>
      <c r="H202" s="55"/>
      <c r="I202" s="55"/>
      <c r="J202" s="55"/>
      <c r="K202" s="55"/>
      <c r="L202" s="63"/>
      <c r="M202" s="55"/>
      <c r="N202" s="55"/>
      <c r="O202" s="55"/>
      <c r="P202" s="55"/>
      <c r="Q202" s="55"/>
      <c r="R202" s="63"/>
      <c r="S202" s="55"/>
    </row>
    <row r="203" spans="1:19" ht="15" x14ac:dyDescent="0.25">
      <c r="A203" s="109"/>
      <c r="B203" s="109"/>
      <c r="C203" s="55"/>
      <c r="D203" s="55"/>
      <c r="E203" s="55"/>
      <c r="F203" s="55"/>
      <c r="G203" s="63"/>
      <c r="H203" s="55"/>
      <c r="I203" s="55"/>
      <c r="J203" s="55"/>
      <c r="K203" s="55"/>
      <c r="L203" s="63"/>
      <c r="M203" s="55"/>
      <c r="N203" s="55"/>
      <c r="O203" s="55"/>
      <c r="P203" s="55"/>
      <c r="Q203" s="55"/>
      <c r="R203" s="63"/>
      <c r="S203" s="55"/>
    </row>
    <row r="204" spans="1:19" ht="15" x14ac:dyDescent="0.25">
      <c r="A204" s="109"/>
      <c r="B204" s="109"/>
      <c r="C204" s="55"/>
      <c r="D204" s="55"/>
      <c r="E204" s="55"/>
      <c r="F204" s="55"/>
      <c r="G204" s="63"/>
      <c r="H204" s="55"/>
      <c r="I204" s="55"/>
      <c r="J204" s="55"/>
      <c r="K204" s="55"/>
      <c r="L204" s="63"/>
      <c r="M204" s="55"/>
      <c r="N204" s="55"/>
      <c r="O204" s="55"/>
      <c r="P204" s="55"/>
      <c r="Q204" s="55"/>
      <c r="R204" s="63"/>
      <c r="S204" s="55"/>
    </row>
    <row r="205" spans="1:19" ht="15" x14ac:dyDescent="0.25">
      <c r="A205" s="109"/>
      <c r="B205" s="109"/>
      <c r="C205" s="55"/>
      <c r="D205" s="55"/>
      <c r="E205" s="55"/>
      <c r="F205" s="55"/>
      <c r="G205" s="63"/>
      <c r="H205" s="55"/>
      <c r="I205" s="55"/>
      <c r="J205" s="55"/>
      <c r="K205" s="55"/>
      <c r="L205" s="63"/>
      <c r="M205" s="55"/>
      <c r="N205" s="55"/>
      <c r="O205" s="55"/>
      <c r="P205" s="55"/>
      <c r="Q205" s="55"/>
      <c r="R205" s="63"/>
      <c r="S205" s="55"/>
    </row>
    <row r="206" spans="1:19" ht="15" x14ac:dyDescent="0.25">
      <c r="A206" s="109"/>
      <c r="B206" s="109"/>
      <c r="C206" s="55"/>
      <c r="D206" s="55"/>
      <c r="E206" s="55"/>
      <c r="F206" s="55"/>
      <c r="G206" s="63"/>
      <c r="H206" s="55"/>
      <c r="I206" s="55"/>
      <c r="J206" s="55"/>
      <c r="K206" s="55"/>
      <c r="L206" s="63"/>
      <c r="M206" s="55"/>
      <c r="N206" s="55"/>
      <c r="O206" s="55"/>
      <c r="P206" s="55"/>
      <c r="Q206" s="55"/>
      <c r="R206" s="63"/>
      <c r="S206" s="55"/>
    </row>
    <row r="207" spans="1:19" ht="15" x14ac:dyDescent="0.25">
      <c r="A207" s="109"/>
      <c r="B207" s="109"/>
      <c r="C207" s="55"/>
      <c r="D207" s="55"/>
      <c r="E207" s="55"/>
      <c r="F207" s="55"/>
      <c r="G207" s="63"/>
      <c r="H207" s="55"/>
      <c r="I207" s="55"/>
      <c r="J207" s="55"/>
      <c r="K207" s="55"/>
      <c r="L207" s="63"/>
      <c r="M207" s="55"/>
      <c r="N207" s="55"/>
      <c r="O207" s="55"/>
      <c r="P207" s="55"/>
      <c r="Q207" s="55"/>
      <c r="R207" s="63"/>
      <c r="S207" s="55"/>
    </row>
    <row r="208" spans="1:19" ht="15" x14ac:dyDescent="0.25">
      <c r="A208" s="109"/>
      <c r="B208" s="109"/>
      <c r="C208" s="55"/>
      <c r="D208" s="55"/>
      <c r="E208" s="55"/>
      <c r="F208" s="55"/>
      <c r="G208" s="63"/>
      <c r="H208" s="55"/>
      <c r="I208" s="55"/>
      <c r="J208" s="55"/>
      <c r="K208" s="55"/>
      <c r="L208" s="63"/>
      <c r="M208" s="55"/>
      <c r="N208" s="55"/>
      <c r="O208" s="55"/>
      <c r="P208" s="55"/>
      <c r="Q208" s="55"/>
      <c r="R208" s="63"/>
      <c r="S208" s="55"/>
    </row>
    <row r="209" spans="1:19" ht="15" x14ac:dyDescent="0.25">
      <c r="A209" s="109"/>
      <c r="B209" s="109"/>
      <c r="C209" s="55"/>
      <c r="D209" s="55"/>
      <c r="E209" s="55"/>
      <c r="F209" s="55"/>
      <c r="G209" s="63"/>
      <c r="H209" s="55"/>
      <c r="I209" s="55"/>
      <c r="J209" s="55"/>
      <c r="K209" s="55"/>
      <c r="L209" s="63"/>
      <c r="M209" s="55"/>
      <c r="N209" s="55"/>
      <c r="O209" s="55"/>
      <c r="P209" s="55"/>
      <c r="Q209" s="55"/>
      <c r="R209" s="63"/>
      <c r="S209" s="55"/>
    </row>
    <row r="210" spans="1:19" ht="15" x14ac:dyDescent="0.25">
      <c r="A210" s="109"/>
      <c r="B210" s="109"/>
      <c r="C210" s="55"/>
      <c r="D210" s="55"/>
      <c r="E210" s="55"/>
      <c r="F210" s="55"/>
      <c r="G210" s="63"/>
      <c r="H210" s="55"/>
      <c r="I210" s="55"/>
      <c r="J210" s="55"/>
      <c r="K210" s="55"/>
      <c r="L210" s="63"/>
      <c r="M210" s="55"/>
      <c r="N210" s="55"/>
      <c r="O210" s="55"/>
      <c r="P210" s="55"/>
      <c r="Q210" s="55"/>
      <c r="R210" s="63"/>
      <c r="S210" s="55"/>
    </row>
    <row r="211" spans="1:19" ht="15" x14ac:dyDescent="0.25">
      <c r="A211" s="109"/>
      <c r="B211" s="109"/>
      <c r="C211" s="55"/>
      <c r="D211" s="55"/>
      <c r="E211" s="55"/>
      <c r="F211" s="55"/>
      <c r="G211" s="63"/>
      <c r="H211" s="55"/>
      <c r="I211" s="55"/>
      <c r="J211" s="55"/>
      <c r="K211" s="55"/>
      <c r="L211" s="63"/>
      <c r="M211" s="55"/>
      <c r="N211" s="55"/>
      <c r="O211" s="55"/>
      <c r="P211" s="55"/>
      <c r="Q211" s="55"/>
      <c r="R211" s="63"/>
      <c r="S211" s="55"/>
    </row>
    <row r="212" spans="1:19" ht="15" x14ac:dyDescent="0.25">
      <c r="A212" s="109"/>
      <c r="B212" s="109"/>
      <c r="C212" s="55"/>
      <c r="D212" s="55"/>
      <c r="E212" s="55"/>
      <c r="F212" s="55"/>
      <c r="G212" s="63"/>
      <c r="H212" s="55"/>
      <c r="I212" s="55"/>
      <c r="J212" s="55"/>
      <c r="K212" s="55"/>
      <c r="L212" s="63"/>
      <c r="M212" s="55"/>
      <c r="N212" s="55"/>
      <c r="O212" s="55"/>
      <c r="P212" s="55"/>
      <c r="Q212" s="55"/>
      <c r="R212" s="63"/>
      <c r="S212" s="55"/>
    </row>
    <row r="213" spans="1:19" ht="15" x14ac:dyDescent="0.25">
      <c r="A213" s="109"/>
      <c r="B213" s="109"/>
      <c r="C213" s="55"/>
      <c r="D213" s="55"/>
      <c r="E213" s="55"/>
      <c r="F213" s="55"/>
      <c r="G213" s="63"/>
      <c r="H213" s="55"/>
      <c r="I213" s="55"/>
      <c r="J213" s="55"/>
      <c r="K213" s="55"/>
      <c r="L213" s="63"/>
      <c r="M213" s="55"/>
      <c r="N213" s="55"/>
      <c r="O213" s="55"/>
      <c r="P213" s="55"/>
      <c r="Q213" s="55"/>
      <c r="R213" s="63"/>
      <c r="S213" s="55"/>
    </row>
    <row r="214" spans="1:19" ht="15" x14ac:dyDescent="0.25">
      <c r="A214" s="109"/>
      <c r="B214" s="109"/>
      <c r="C214" s="55"/>
      <c r="D214" s="55"/>
      <c r="E214" s="55"/>
      <c r="F214" s="55"/>
      <c r="G214" s="63"/>
      <c r="H214" s="55"/>
      <c r="I214" s="55"/>
      <c r="J214" s="55"/>
      <c r="K214" s="55"/>
      <c r="L214" s="63"/>
      <c r="M214" s="55"/>
      <c r="N214" s="55"/>
      <c r="O214" s="55"/>
      <c r="P214" s="55"/>
      <c r="Q214" s="55"/>
      <c r="R214" s="63"/>
      <c r="S214" s="55"/>
    </row>
    <row r="215" spans="1:19" ht="15" x14ac:dyDescent="0.25">
      <c r="A215" s="109"/>
      <c r="B215" s="109"/>
      <c r="C215" s="55"/>
      <c r="D215" s="55"/>
      <c r="E215" s="55"/>
      <c r="F215" s="55"/>
      <c r="G215" s="63"/>
      <c r="H215" s="55"/>
      <c r="I215" s="55"/>
      <c r="J215" s="55"/>
      <c r="K215" s="55"/>
      <c r="L215" s="63"/>
      <c r="M215" s="55"/>
      <c r="N215" s="55"/>
      <c r="O215" s="55"/>
      <c r="P215" s="55"/>
      <c r="Q215" s="55"/>
      <c r="R215" s="63"/>
      <c r="S215" s="55"/>
    </row>
    <row r="216" spans="1:19" ht="15" x14ac:dyDescent="0.25">
      <c r="A216" s="109"/>
      <c r="B216" s="109"/>
      <c r="C216" s="55"/>
      <c r="D216" s="55"/>
      <c r="E216" s="55"/>
      <c r="F216" s="55"/>
      <c r="G216" s="63"/>
      <c r="H216" s="55"/>
      <c r="I216" s="55"/>
      <c r="J216" s="55"/>
      <c r="K216" s="55"/>
      <c r="L216" s="63"/>
      <c r="M216" s="55"/>
      <c r="N216" s="55"/>
      <c r="O216" s="55"/>
      <c r="P216" s="55"/>
      <c r="Q216" s="55"/>
      <c r="R216" s="63"/>
      <c r="S216" s="55"/>
    </row>
    <row r="217" spans="1:19" ht="15" x14ac:dyDescent="0.25">
      <c r="A217" s="109"/>
      <c r="B217" s="109"/>
      <c r="C217" s="55"/>
      <c r="D217" s="55"/>
      <c r="E217" s="55"/>
      <c r="F217" s="55"/>
      <c r="G217" s="63"/>
      <c r="H217" s="55"/>
      <c r="I217" s="55"/>
      <c r="J217" s="55"/>
      <c r="K217" s="55"/>
      <c r="L217" s="63"/>
      <c r="M217" s="55"/>
      <c r="N217" s="55"/>
      <c r="O217" s="55"/>
      <c r="P217" s="55"/>
      <c r="Q217" s="55"/>
      <c r="R217" s="63"/>
      <c r="S217" s="55"/>
    </row>
    <row r="218" spans="1:19" ht="15" x14ac:dyDescent="0.25">
      <c r="A218" s="109"/>
      <c r="B218" s="109"/>
      <c r="C218" s="55"/>
      <c r="D218" s="55"/>
      <c r="E218" s="55"/>
      <c r="F218" s="55"/>
      <c r="G218" s="63"/>
      <c r="H218" s="55"/>
      <c r="I218" s="55"/>
      <c r="J218" s="55"/>
      <c r="K218" s="55"/>
      <c r="L218" s="63"/>
      <c r="M218" s="55"/>
      <c r="N218" s="55"/>
      <c r="O218" s="55"/>
      <c r="P218" s="55"/>
      <c r="Q218" s="55"/>
      <c r="R218" s="63"/>
      <c r="S218" s="55"/>
    </row>
    <row r="219" spans="1:19" ht="15" x14ac:dyDescent="0.25">
      <c r="A219" s="109"/>
      <c r="B219" s="109"/>
      <c r="C219" s="55"/>
      <c r="D219" s="55"/>
      <c r="E219" s="55"/>
      <c r="F219" s="55"/>
      <c r="G219" s="63"/>
      <c r="H219" s="55"/>
      <c r="I219" s="55"/>
      <c r="J219" s="55"/>
      <c r="K219" s="55"/>
      <c r="L219" s="63"/>
      <c r="M219" s="55"/>
      <c r="N219" s="55"/>
      <c r="O219" s="55"/>
      <c r="P219" s="55"/>
      <c r="Q219" s="55"/>
      <c r="R219" s="63"/>
      <c r="S219" s="55"/>
    </row>
    <row r="220" spans="1:19" ht="15" x14ac:dyDescent="0.25">
      <c r="A220" s="109"/>
      <c r="B220" s="109"/>
      <c r="C220" s="55"/>
      <c r="D220" s="55"/>
      <c r="E220" s="55"/>
      <c r="F220" s="55"/>
      <c r="G220" s="63"/>
      <c r="H220" s="55"/>
      <c r="I220" s="55"/>
      <c r="J220" s="55"/>
      <c r="K220" s="55"/>
      <c r="L220" s="63"/>
      <c r="M220" s="55"/>
      <c r="N220" s="55"/>
      <c r="O220" s="55"/>
      <c r="P220" s="55"/>
      <c r="Q220" s="55"/>
      <c r="R220" s="63"/>
      <c r="S220" s="55"/>
    </row>
    <row r="221" spans="1:19" ht="15" x14ac:dyDescent="0.25">
      <c r="A221" s="109"/>
      <c r="B221" s="109"/>
      <c r="C221" s="55"/>
      <c r="D221" s="55"/>
      <c r="E221" s="55"/>
      <c r="F221" s="55"/>
      <c r="G221" s="63"/>
      <c r="H221" s="55"/>
      <c r="I221" s="55"/>
      <c r="J221" s="55"/>
      <c r="K221" s="55"/>
      <c r="L221" s="63"/>
      <c r="M221" s="55"/>
      <c r="N221" s="55"/>
      <c r="O221" s="55"/>
      <c r="P221" s="55"/>
      <c r="Q221" s="55"/>
      <c r="R221" s="63"/>
      <c r="S221" s="55"/>
    </row>
    <row r="222" spans="1:19" ht="15" x14ac:dyDescent="0.25">
      <c r="A222" s="109"/>
      <c r="B222" s="109"/>
      <c r="C222" s="55"/>
      <c r="D222" s="55"/>
      <c r="E222" s="55"/>
      <c r="F222" s="55"/>
      <c r="G222" s="63"/>
      <c r="H222" s="55"/>
      <c r="I222" s="55"/>
      <c r="J222" s="55"/>
      <c r="K222" s="55"/>
      <c r="L222" s="63"/>
      <c r="M222" s="55"/>
      <c r="N222" s="55"/>
      <c r="O222" s="55"/>
      <c r="P222" s="55"/>
      <c r="Q222" s="55"/>
      <c r="R222" s="63"/>
      <c r="S222" s="55"/>
    </row>
    <row r="223" spans="1:19" ht="15" x14ac:dyDescent="0.25">
      <c r="A223" s="109"/>
      <c r="B223" s="109"/>
      <c r="C223" s="55"/>
      <c r="D223" s="55"/>
      <c r="E223" s="55"/>
      <c r="F223" s="55"/>
      <c r="G223" s="63"/>
      <c r="H223" s="55"/>
      <c r="I223" s="55"/>
      <c r="J223" s="55"/>
      <c r="K223" s="55"/>
      <c r="L223" s="63"/>
      <c r="M223" s="55"/>
      <c r="N223" s="55"/>
      <c r="O223" s="55"/>
      <c r="P223" s="55"/>
      <c r="Q223" s="55"/>
      <c r="R223" s="63"/>
      <c r="S223" s="55"/>
    </row>
    <row r="224" spans="1:19" ht="15" x14ac:dyDescent="0.25">
      <c r="A224" s="109"/>
      <c r="B224" s="109"/>
      <c r="C224" s="55"/>
      <c r="D224" s="55"/>
      <c r="E224" s="55"/>
      <c r="F224" s="55"/>
      <c r="G224" s="63"/>
      <c r="H224" s="55"/>
      <c r="I224" s="55"/>
      <c r="J224" s="55"/>
      <c r="K224" s="55"/>
      <c r="L224" s="63"/>
      <c r="M224" s="55"/>
      <c r="N224" s="55"/>
      <c r="O224" s="55"/>
      <c r="P224" s="55"/>
      <c r="Q224" s="55"/>
      <c r="R224" s="63"/>
      <c r="S224" s="55"/>
    </row>
    <row r="225" spans="1:19" ht="15" x14ac:dyDescent="0.25">
      <c r="A225" s="109"/>
      <c r="B225" s="109"/>
      <c r="C225" s="55"/>
      <c r="D225" s="55"/>
      <c r="E225" s="55"/>
      <c r="F225" s="55"/>
      <c r="G225" s="63"/>
      <c r="H225" s="55"/>
      <c r="I225" s="55"/>
      <c r="J225" s="55"/>
      <c r="K225" s="55"/>
      <c r="L225" s="63"/>
      <c r="M225" s="55"/>
      <c r="N225" s="55"/>
      <c r="O225" s="55"/>
      <c r="P225" s="55"/>
      <c r="Q225" s="55"/>
      <c r="R225" s="63"/>
      <c r="S225" s="55"/>
    </row>
    <row r="226" spans="1:19" ht="15" x14ac:dyDescent="0.25">
      <c r="A226" s="109"/>
      <c r="B226" s="109"/>
      <c r="C226" s="55"/>
      <c r="D226" s="55"/>
      <c r="E226" s="55"/>
      <c r="F226" s="55"/>
      <c r="G226" s="63"/>
      <c r="H226" s="55"/>
      <c r="I226" s="55"/>
      <c r="J226" s="55"/>
      <c r="K226" s="55"/>
      <c r="L226" s="63"/>
      <c r="M226" s="55"/>
      <c r="N226" s="55"/>
      <c r="O226" s="55"/>
      <c r="P226" s="55"/>
      <c r="Q226" s="55"/>
      <c r="R226" s="63"/>
      <c r="S226" s="55"/>
    </row>
    <row r="227" spans="1:19" ht="15" x14ac:dyDescent="0.25">
      <c r="A227" s="109"/>
      <c r="B227" s="109"/>
      <c r="C227" s="55"/>
      <c r="D227" s="55"/>
      <c r="E227" s="55"/>
      <c r="F227" s="55"/>
      <c r="G227" s="63"/>
      <c r="H227" s="55"/>
      <c r="I227" s="55"/>
      <c r="J227" s="55"/>
      <c r="K227" s="55"/>
      <c r="L227" s="63"/>
      <c r="M227" s="55"/>
      <c r="N227" s="55"/>
      <c r="O227" s="55"/>
      <c r="P227" s="55"/>
      <c r="Q227" s="55"/>
      <c r="R227" s="63"/>
      <c r="S227" s="55"/>
    </row>
    <row r="228" spans="1:19" ht="15" x14ac:dyDescent="0.25">
      <c r="A228" s="109"/>
      <c r="B228" s="109"/>
      <c r="C228" s="55"/>
      <c r="D228" s="55"/>
      <c r="E228" s="55"/>
      <c r="F228" s="55"/>
      <c r="G228" s="63"/>
      <c r="H228" s="55"/>
      <c r="I228" s="55"/>
      <c r="J228" s="55"/>
      <c r="K228" s="55"/>
      <c r="L228" s="63"/>
      <c r="M228" s="55"/>
      <c r="N228" s="55"/>
      <c r="O228" s="55"/>
      <c r="P228" s="55"/>
      <c r="Q228" s="55"/>
      <c r="R228" s="63"/>
      <c r="S228" s="55"/>
    </row>
    <row r="229" spans="1:19" ht="15" x14ac:dyDescent="0.25">
      <c r="A229" s="109"/>
      <c r="B229" s="109"/>
      <c r="C229" s="55"/>
      <c r="D229" s="55"/>
      <c r="E229" s="55"/>
      <c r="F229" s="55"/>
      <c r="G229" s="63"/>
      <c r="H229" s="55"/>
      <c r="I229" s="55"/>
      <c r="J229" s="55"/>
      <c r="K229" s="55"/>
      <c r="L229" s="63"/>
      <c r="M229" s="55"/>
      <c r="N229" s="55"/>
      <c r="O229" s="55"/>
      <c r="P229" s="55"/>
      <c r="Q229" s="55"/>
      <c r="R229" s="63"/>
      <c r="S229" s="55"/>
    </row>
    <row r="230" spans="1:19" ht="15" x14ac:dyDescent="0.25">
      <c r="A230" s="109"/>
      <c r="B230" s="109"/>
      <c r="C230" s="55"/>
      <c r="D230" s="55"/>
      <c r="E230" s="55"/>
      <c r="F230" s="55"/>
      <c r="G230" s="63"/>
      <c r="H230" s="55"/>
      <c r="I230" s="55"/>
      <c r="J230" s="55"/>
      <c r="K230" s="55"/>
      <c r="L230" s="63"/>
      <c r="M230" s="55"/>
      <c r="N230" s="55"/>
      <c r="O230" s="55"/>
      <c r="P230" s="55"/>
      <c r="Q230" s="55"/>
      <c r="R230" s="63"/>
      <c r="S230" s="55"/>
    </row>
    <row r="231" spans="1:19" ht="15" x14ac:dyDescent="0.25">
      <c r="A231" s="109"/>
      <c r="B231" s="109"/>
      <c r="C231" s="55"/>
      <c r="D231" s="55"/>
      <c r="E231" s="55"/>
      <c r="F231" s="55"/>
      <c r="G231" s="63"/>
      <c r="H231" s="55"/>
      <c r="I231" s="55"/>
      <c r="J231" s="55"/>
      <c r="K231" s="55"/>
      <c r="L231" s="63"/>
      <c r="M231" s="55"/>
      <c r="N231" s="55"/>
      <c r="O231" s="55"/>
      <c r="P231" s="55"/>
      <c r="Q231" s="55"/>
      <c r="R231" s="63"/>
      <c r="S231" s="55"/>
    </row>
    <row r="232" spans="1:19" ht="15" x14ac:dyDescent="0.25">
      <c r="A232" s="109"/>
      <c r="B232" s="109"/>
      <c r="C232" s="55"/>
      <c r="D232" s="55"/>
      <c r="E232" s="55"/>
      <c r="F232" s="55"/>
      <c r="G232" s="63"/>
      <c r="H232" s="55"/>
      <c r="I232" s="55"/>
      <c r="J232" s="55"/>
      <c r="K232" s="55"/>
      <c r="L232" s="63"/>
      <c r="M232" s="55"/>
      <c r="N232" s="55"/>
      <c r="O232" s="55"/>
      <c r="P232" s="55"/>
      <c r="Q232" s="55"/>
      <c r="R232" s="63"/>
      <c r="S232" s="55"/>
    </row>
    <row r="233" spans="1:19" ht="15" x14ac:dyDescent="0.25">
      <c r="A233" s="109"/>
      <c r="B233" s="109"/>
      <c r="C233" s="55"/>
      <c r="D233" s="55"/>
      <c r="E233" s="55"/>
      <c r="F233" s="55"/>
      <c r="G233" s="63"/>
      <c r="H233" s="55"/>
      <c r="I233" s="55"/>
      <c r="J233" s="55"/>
      <c r="K233" s="55"/>
      <c r="L233" s="63"/>
      <c r="M233" s="55"/>
      <c r="N233" s="55"/>
      <c r="O233" s="55"/>
      <c r="P233" s="55"/>
      <c r="Q233" s="55"/>
      <c r="R233" s="63"/>
      <c r="S233" s="55"/>
    </row>
    <row r="234" spans="1:19" ht="15" x14ac:dyDescent="0.25">
      <c r="A234" s="109"/>
      <c r="B234" s="109"/>
      <c r="C234" s="55"/>
      <c r="D234" s="55"/>
      <c r="E234" s="55"/>
      <c r="F234" s="55"/>
      <c r="G234" s="63"/>
      <c r="H234" s="55"/>
      <c r="I234" s="55"/>
      <c r="J234" s="55"/>
      <c r="K234" s="55"/>
      <c r="L234" s="63"/>
      <c r="M234" s="55"/>
      <c r="N234" s="55"/>
      <c r="O234" s="55"/>
      <c r="P234" s="55"/>
      <c r="Q234" s="55"/>
      <c r="R234" s="63"/>
      <c r="S234" s="55"/>
    </row>
    <row r="235" spans="1:19" ht="15" x14ac:dyDescent="0.25">
      <c r="A235" s="109"/>
      <c r="B235" s="109"/>
      <c r="C235" s="55"/>
      <c r="D235" s="55"/>
      <c r="E235" s="55"/>
      <c r="F235" s="55"/>
      <c r="G235" s="63"/>
      <c r="H235" s="55"/>
      <c r="I235" s="55"/>
      <c r="J235" s="55"/>
      <c r="K235" s="55"/>
      <c r="L235" s="63"/>
      <c r="M235" s="55"/>
      <c r="N235" s="55"/>
      <c r="O235" s="55"/>
      <c r="P235" s="55"/>
      <c r="Q235" s="55"/>
      <c r="R235" s="63"/>
      <c r="S235" s="55"/>
    </row>
    <row r="236" spans="1:19" ht="15" x14ac:dyDescent="0.25">
      <c r="A236" s="109"/>
      <c r="B236" s="109"/>
      <c r="C236" s="55"/>
      <c r="D236" s="55"/>
      <c r="E236" s="55"/>
      <c r="F236" s="55"/>
      <c r="G236" s="63"/>
      <c r="H236" s="55"/>
      <c r="I236" s="55"/>
      <c r="J236" s="55"/>
      <c r="K236" s="55"/>
      <c r="L236" s="63"/>
      <c r="M236" s="55"/>
      <c r="N236" s="55"/>
      <c r="O236" s="55"/>
      <c r="P236" s="55"/>
      <c r="Q236" s="55"/>
      <c r="R236" s="63"/>
      <c r="S236" s="55"/>
    </row>
    <row r="237" spans="1:19" ht="15" x14ac:dyDescent="0.25">
      <c r="A237" s="109"/>
      <c r="B237" s="109"/>
      <c r="C237" s="55"/>
      <c r="D237" s="55"/>
      <c r="E237" s="55"/>
      <c r="F237" s="55"/>
      <c r="G237" s="63"/>
      <c r="H237" s="55"/>
      <c r="I237" s="55"/>
      <c r="J237" s="55"/>
      <c r="K237" s="55"/>
      <c r="L237" s="63"/>
      <c r="M237" s="55"/>
      <c r="N237" s="55"/>
      <c r="O237" s="55"/>
      <c r="P237" s="55"/>
      <c r="Q237" s="55"/>
      <c r="R237" s="63"/>
      <c r="S237" s="55"/>
    </row>
    <row r="238" spans="1:19" ht="15" x14ac:dyDescent="0.25">
      <c r="A238" s="109"/>
      <c r="B238" s="109"/>
      <c r="C238" s="55"/>
      <c r="D238" s="55"/>
      <c r="E238" s="55"/>
      <c r="F238" s="55"/>
      <c r="G238" s="63"/>
      <c r="H238" s="55"/>
      <c r="I238" s="55"/>
      <c r="J238" s="55"/>
      <c r="K238" s="55"/>
      <c r="L238" s="63"/>
      <c r="M238" s="55"/>
      <c r="N238" s="55"/>
      <c r="O238" s="55"/>
      <c r="P238" s="55"/>
      <c r="Q238" s="55"/>
      <c r="R238" s="63"/>
      <c r="S238" s="55"/>
    </row>
    <row r="239" spans="1:19" ht="15" x14ac:dyDescent="0.25">
      <c r="A239" s="109"/>
      <c r="B239" s="109"/>
      <c r="C239" s="55"/>
      <c r="D239" s="55"/>
      <c r="E239" s="55"/>
      <c r="F239" s="55"/>
      <c r="G239" s="63"/>
      <c r="H239" s="55"/>
      <c r="I239" s="55"/>
      <c r="J239" s="55"/>
      <c r="K239" s="55"/>
      <c r="L239" s="63"/>
      <c r="M239" s="55"/>
      <c r="N239" s="55"/>
      <c r="O239" s="55"/>
      <c r="P239" s="55"/>
      <c r="Q239" s="55"/>
      <c r="R239" s="63"/>
      <c r="S239" s="55"/>
    </row>
    <row r="240" spans="1:19" ht="15" x14ac:dyDescent="0.25">
      <c r="A240" s="109"/>
      <c r="B240" s="109"/>
      <c r="C240" s="55"/>
      <c r="D240" s="55"/>
      <c r="E240" s="55"/>
      <c r="F240" s="55"/>
      <c r="G240" s="63"/>
      <c r="H240" s="55"/>
      <c r="I240" s="55"/>
      <c r="J240" s="55"/>
      <c r="K240" s="55"/>
      <c r="L240" s="63"/>
      <c r="M240" s="55"/>
      <c r="N240" s="55"/>
      <c r="O240" s="55"/>
      <c r="P240" s="55"/>
      <c r="Q240" s="55"/>
      <c r="R240" s="63"/>
      <c r="S240" s="55"/>
    </row>
    <row r="241" spans="1:19" ht="15" x14ac:dyDescent="0.25">
      <c r="A241" s="109"/>
      <c r="B241" s="109"/>
      <c r="C241" s="55"/>
      <c r="D241" s="55"/>
      <c r="E241" s="55"/>
      <c r="F241" s="55"/>
      <c r="G241" s="63"/>
      <c r="H241" s="55"/>
      <c r="I241" s="55"/>
      <c r="J241" s="55"/>
      <c r="K241" s="55"/>
      <c r="L241" s="63"/>
      <c r="M241" s="55"/>
      <c r="N241" s="55"/>
      <c r="O241" s="55"/>
      <c r="P241" s="55"/>
      <c r="Q241" s="55"/>
      <c r="R241" s="63"/>
      <c r="S241" s="55"/>
    </row>
    <row r="242" spans="1:19" ht="15" x14ac:dyDescent="0.25">
      <c r="A242" s="109"/>
      <c r="B242" s="109"/>
      <c r="C242" s="55"/>
      <c r="D242" s="55"/>
      <c r="E242" s="55"/>
      <c r="F242" s="55"/>
      <c r="G242" s="63"/>
      <c r="H242" s="55"/>
      <c r="I242" s="55"/>
      <c r="J242" s="55"/>
      <c r="K242" s="55"/>
      <c r="L242" s="63"/>
      <c r="M242" s="55"/>
      <c r="N242" s="55"/>
      <c r="O242" s="55"/>
      <c r="P242" s="55"/>
      <c r="Q242" s="55"/>
      <c r="R242" s="63"/>
      <c r="S242" s="55"/>
    </row>
    <row r="243" spans="1:19" ht="15" x14ac:dyDescent="0.25">
      <c r="A243" s="109"/>
      <c r="B243" s="109"/>
      <c r="C243" s="55"/>
      <c r="D243" s="55"/>
      <c r="E243" s="55"/>
      <c r="F243" s="55"/>
      <c r="G243" s="63"/>
      <c r="H243" s="55"/>
      <c r="I243" s="55"/>
      <c r="J243" s="55"/>
      <c r="K243" s="55"/>
      <c r="L243" s="63"/>
      <c r="M243" s="55"/>
      <c r="N243" s="55"/>
      <c r="O243" s="55"/>
      <c r="P243" s="55"/>
      <c r="Q243" s="55"/>
      <c r="R243" s="63"/>
      <c r="S243" s="55"/>
    </row>
    <row r="244" spans="1:19" ht="15" x14ac:dyDescent="0.25">
      <c r="A244" s="109"/>
      <c r="B244" s="109"/>
      <c r="C244" s="55"/>
      <c r="D244" s="55"/>
      <c r="E244" s="55"/>
      <c r="F244" s="55"/>
      <c r="G244" s="63"/>
      <c r="H244" s="55"/>
      <c r="I244" s="55"/>
      <c r="J244" s="55"/>
      <c r="K244" s="55"/>
      <c r="L244" s="63"/>
      <c r="M244" s="55"/>
      <c r="N244" s="55"/>
      <c r="O244" s="55"/>
      <c r="P244" s="55"/>
      <c r="Q244" s="55"/>
      <c r="R244" s="63"/>
      <c r="S244" s="55"/>
    </row>
    <row r="245" spans="1:19" ht="15" x14ac:dyDescent="0.25">
      <c r="A245" s="109"/>
      <c r="B245" s="109"/>
      <c r="C245" s="55"/>
      <c r="D245" s="55"/>
      <c r="E245" s="55"/>
      <c r="F245" s="55"/>
      <c r="G245" s="63"/>
      <c r="H245" s="55"/>
      <c r="I245" s="55"/>
      <c r="J245" s="55"/>
      <c r="K245" s="55"/>
      <c r="L245" s="63"/>
      <c r="M245" s="55"/>
      <c r="N245" s="55"/>
      <c r="O245" s="55"/>
      <c r="P245" s="55"/>
      <c r="Q245" s="55"/>
      <c r="R245" s="63"/>
      <c r="S245" s="55"/>
    </row>
    <row r="246" spans="1:19" ht="15" x14ac:dyDescent="0.25">
      <c r="A246" s="109"/>
      <c r="B246" s="109"/>
      <c r="C246" s="55"/>
      <c r="D246" s="55"/>
      <c r="E246" s="55"/>
      <c r="F246" s="55"/>
      <c r="G246" s="63"/>
      <c r="H246" s="55"/>
      <c r="I246" s="55"/>
      <c r="J246" s="55"/>
      <c r="K246" s="55"/>
      <c r="L246" s="63"/>
      <c r="M246" s="55"/>
      <c r="N246" s="55"/>
      <c r="O246" s="55"/>
      <c r="P246" s="55"/>
      <c r="Q246" s="55"/>
      <c r="R246" s="63"/>
      <c r="S246" s="55"/>
    </row>
    <row r="247" spans="1:19" ht="15" x14ac:dyDescent="0.25">
      <c r="A247" s="109"/>
      <c r="B247" s="109"/>
      <c r="C247" s="55"/>
      <c r="D247" s="55"/>
      <c r="E247" s="55"/>
      <c r="F247" s="55"/>
      <c r="G247" s="63"/>
      <c r="H247" s="55"/>
      <c r="I247" s="55"/>
      <c r="J247" s="55"/>
      <c r="K247" s="55"/>
      <c r="L247" s="63"/>
      <c r="M247" s="55"/>
      <c r="N247" s="55"/>
      <c r="O247" s="55"/>
      <c r="P247" s="55"/>
      <c r="Q247" s="55"/>
      <c r="R247" s="63"/>
      <c r="S247" s="55"/>
    </row>
    <row r="248" spans="1:19" ht="15" x14ac:dyDescent="0.25">
      <c r="A248" s="109"/>
      <c r="B248" s="109"/>
      <c r="C248" s="55"/>
      <c r="D248" s="55"/>
      <c r="E248" s="55"/>
      <c r="F248" s="55"/>
      <c r="G248" s="63"/>
      <c r="H248" s="55"/>
      <c r="I248" s="55"/>
      <c r="J248" s="55"/>
      <c r="K248" s="55"/>
      <c r="L248" s="63"/>
      <c r="M248" s="55"/>
      <c r="N248" s="55"/>
      <c r="O248" s="55"/>
      <c r="P248" s="55"/>
      <c r="Q248" s="55"/>
      <c r="R248" s="63"/>
      <c r="S248" s="55"/>
    </row>
    <row r="249" spans="1:19" ht="15" x14ac:dyDescent="0.25">
      <c r="A249" s="109"/>
      <c r="B249" s="109"/>
      <c r="C249" s="55"/>
      <c r="D249" s="55"/>
      <c r="E249" s="55"/>
      <c r="F249" s="55"/>
      <c r="G249" s="63"/>
      <c r="H249" s="55"/>
      <c r="I249" s="55"/>
      <c r="J249" s="55"/>
      <c r="K249" s="55"/>
      <c r="L249" s="63"/>
      <c r="M249" s="55"/>
      <c r="N249" s="55"/>
      <c r="O249" s="55"/>
      <c r="P249" s="55"/>
      <c r="Q249" s="55"/>
      <c r="R249" s="63"/>
      <c r="S249" s="55"/>
    </row>
    <row r="250" spans="1:19" ht="15" x14ac:dyDescent="0.25">
      <c r="A250" s="109"/>
      <c r="B250" s="109"/>
      <c r="C250" s="55"/>
      <c r="D250" s="55"/>
      <c r="E250" s="55"/>
      <c r="F250" s="55"/>
      <c r="G250" s="63"/>
      <c r="H250" s="55"/>
      <c r="I250" s="55"/>
      <c r="J250" s="55"/>
      <c r="K250" s="55"/>
      <c r="L250" s="63"/>
      <c r="M250" s="55"/>
      <c r="N250" s="55"/>
      <c r="O250" s="55"/>
      <c r="P250" s="55"/>
      <c r="Q250" s="55"/>
      <c r="R250" s="63"/>
      <c r="S250" s="55"/>
    </row>
    <row r="251" spans="1:19" ht="15" x14ac:dyDescent="0.25">
      <c r="A251" s="109"/>
      <c r="B251" s="109"/>
      <c r="C251" s="55"/>
      <c r="D251" s="55"/>
      <c r="E251" s="55"/>
      <c r="F251" s="55"/>
      <c r="G251" s="63"/>
      <c r="H251" s="55"/>
      <c r="I251" s="55"/>
      <c r="J251" s="55"/>
      <c r="K251" s="55"/>
      <c r="L251" s="63"/>
      <c r="M251" s="55"/>
      <c r="N251" s="55"/>
      <c r="O251" s="55"/>
      <c r="P251" s="55"/>
      <c r="Q251" s="55"/>
      <c r="R251" s="63"/>
      <c r="S251" s="55"/>
    </row>
    <row r="252" spans="1:19" ht="15" x14ac:dyDescent="0.25">
      <c r="A252" s="109"/>
      <c r="B252" s="109"/>
      <c r="C252" s="55"/>
      <c r="D252" s="55"/>
      <c r="E252" s="55"/>
      <c r="F252" s="55"/>
      <c r="G252" s="63"/>
      <c r="H252" s="55"/>
      <c r="I252" s="55"/>
      <c r="J252" s="55"/>
      <c r="K252" s="55"/>
      <c r="L252" s="63"/>
      <c r="M252" s="55"/>
      <c r="N252" s="55"/>
      <c r="O252" s="55"/>
      <c r="P252" s="55"/>
      <c r="Q252" s="55"/>
      <c r="R252" s="63"/>
      <c r="S252" s="55"/>
    </row>
    <row r="253" spans="1:19" ht="15" x14ac:dyDescent="0.25">
      <c r="A253" s="109"/>
      <c r="B253" s="109"/>
      <c r="C253" s="55"/>
      <c r="D253" s="55"/>
      <c r="E253" s="55"/>
      <c r="F253" s="55"/>
      <c r="G253" s="63"/>
      <c r="H253" s="55"/>
      <c r="I253" s="55"/>
      <c r="J253" s="55"/>
      <c r="K253" s="55"/>
      <c r="L253" s="63"/>
      <c r="M253" s="55"/>
      <c r="N253" s="55"/>
      <c r="O253" s="55"/>
      <c r="P253" s="55"/>
      <c r="Q253" s="55"/>
      <c r="R253" s="63"/>
      <c r="S253" s="55"/>
    </row>
    <row r="254" spans="1:19" ht="15" x14ac:dyDescent="0.25">
      <c r="A254" s="109"/>
      <c r="B254" s="109"/>
      <c r="C254" s="55"/>
      <c r="D254" s="55"/>
      <c r="E254" s="55"/>
      <c r="F254" s="55"/>
      <c r="G254" s="63"/>
      <c r="H254" s="55"/>
      <c r="I254" s="55"/>
      <c r="J254" s="55"/>
      <c r="K254" s="55"/>
      <c r="L254" s="63"/>
      <c r="M254" s="55"/>
      <c r="N254" s="55"/>
      <c r="O254" s="55"/>
      <c r="P254" s="55"/>
      <c r="Q254" s="55"/>
      <c r="R254" s="63"/>
      <c r="S254" s="55"/>
    </row>
    <row r="255" spans="1:19" ht="15" x14ac:dyDescent="0.25">
      <c r="A255" s="109"/>
      <c r="B255" s="109"/>
      <c r="C255" s="55"/>
      <c r="D255" s="55"/>
      <c r="E255" s="55"/>
      <c r="F255" s="55"/>
      <c r="G255" s="63"/>
      <c r="H255" s="55"/>
      <c r="I255" s="55"/>
      <c r="J255" s="55"/>
      <c r="K255" s="55"/>
      <c r="L255" s="63"/>
      <c r="M255" s="55"/>
      <c r="N255" s="55"/>
      <c r="O255" s="55"/>
      <c r="P255" s="55"/>
      <c r="Q255" s="55"/>
      <c r="R255" s="63"/>
      <c r="S255" s="55"/>
    </row>
    <row r="256" spans="1:19" ht="15" x14ac:dyDescent="0.25">
      <c r="A256" s="109"/>
      <c r="B256" s="109"/>
      <c r="C256" s="55"/>
      <c r="D256" s="55"/>
      <c r="E256" s="55"/>
      <c r="F256" s="55"/>
      <c r="G256" s="63"/>
      <c r="H256" s="55"/>
      <c r="I256" s="55"/>
      <c r="J256" s="55"/>
      <c r="K256" s="55"/>
      <c r="L256" s="63"/>
      <c r="M256" s="55"/>
      <c r="N256" s="55"/>
      <c r="O256" s="55"/>
      <c r="P256" s="55"/>
      <c r="Q256" s="55"/>
      <c r="R256" s="63"/>
      <c r="S256" s="55"/>
    </row>
    <row r="257" spans="1:19" ht="15" x14ac:dyDescent="0.25">
      <c r="A257" s="109"/>
      <c r="B257" s="109"/>
      <c r="C257" s="55"/>
      <c r="D257" s="55"/>
      <c r="E257" s="55"/>
      <c r="F257" s="55"/>
      <c r="G257" s="63"/>
      <c r="H257" s="55"/>
      <c r="I257" s="55"/>
      <c r="J257" s="55"/>
      <c r="K257" s="55"/>
      <c r="L257" s="63"/>
      <c r="M257" s="55"/>
      <c r="N257" s="55"/>
      <c r="O257" s="55"/>
      <c r="P257" s="55"/>
      <c r="Q257" s="55"/>
      <c r="R257" s="63"/>
      <c r="S257" s="55"/>
    </row>
    <row r="258" spans="1:19" ht="15" x14ac:dyDescent="0.25">
      <c r="A258" s="109"/>
      <c r="B258" s="109"/>
      <c r="C258" s="55"/>
      <c r="D258" s="55"/>
      <c r="E258" s="55"/>
      <c r="F258" s="55"/>
      <c r="G258" s="63"/>
      <c r="H258" s="55"/>
      <c r="I258" s="55"/>
      <c r="J258" s="55"/>
      <c r="K258" s="55"/>
      <c r="L258" s="63"/>
      <c r="M258" s="55"/>
      <c r="N258" s="55"/>
      <c r="O258" s="55"/>
      <c r="P258" s="55"/>
      <c r="Q258" s="55"/>
      <c r="R258" s="63"/>
      <c r="S258" s="55"/>
    </row>
    <row r="259" spans="1:19" ht="15" x14ac:dyDescent="0.25">
      <c r="A259" s="109"/>
      <c r="B259" s="109"/>
      <c r="C259" s="55"/>
      <c r="D259" s="55"/>
      <c r="E259" s="55"/>
      <c r="F259" s="55"/>
      <c r="G259" s="63"/>
      <c r="H259" s="55"/>
      <c r="I259" s="55"/>
      <c r="J259" s="55"/>
      <c r="K259" s="55"/>
      <c r="L259" s="63"/>
      <c r="M259" s="55"/>
      <c r="N259" s="55"/>
      <c r="O259" s="55"/>
      <c r="P259" s="55"/>
      <c r="Q259" s="55"/>
      <c r="R259" s="63"/>
      <c r="S259" s="55"/>
    </row>
    <row r="260" spans="1:19" ht="15" x14ac:dyDescent="0.25">
      <c r="A260" s="109"/>
      <c r="B260" s="109"/>
      <c r="C260" s="55"/>
      <c r="D260" s="55"/>
      <c r="E260" s="55"/>
      <c r="F260" s="55"/>
      <c r="G260" s="63"/>
      <c r="H260" s="55"/>
      <c r="I260" s="55"/>
      <c r="J260" s="55"/>
      <c r="K260" s="55"/>
      <c r="L260" s="63"/>
      <c r="M260" s="55"/>
      <c r="N260" s="55"/>
      <c r="O260" s="55"/>
      <c r="P260" s="55"/>
      <c r="Q260" s="55"/>
      <c r="R260" s="63"/>
      <c r="S260" s="55"/>
    </row>
    <row r="261" spans="1:19" ht="15" x14ac:dyDescent="0.25">
      <c r="A261" s="109"/>
      <c r="B261" s="109"/>
      <c r="C261" s="55"/>
      <c r="D261" s="55"/>
      <c r="E261" s="55"/>
      <c r="F261" s="55"/>
      <c r="G261" s="63"/>
      <c r="H261" s="55"/>
      <c r="I261" s="55"/>
      <c r="J261" s="55"/>
      <c r="K261" s="55"/>
      <c r="L261" s="63"/>
      <c r="M261" s="55"/>
      <c r="N261" s="55"/>
      <c r="O261" s="55"/>
      <c r="P261" s="55"/>
      <c r="Q261" s="55"/>
      <c r="R261" s="63"/>
      <c r="S261" s="55"/>
    </row>
    <row r="262" spans="1:19" ht="15" x14ac:dyDescent="0.25">
      <c r="A262" s="109"/>
      <c r="B262" s="109"/>
      <c r="C262" s="55"/>
      <c r="D262" s="55"/>
      <c r="E262" s="55"/>
      <c r="F262" s="55"/>
      <c r="G262" s="63"/>
      <c r="H262" s="55"/>
      <c r="I262" s="55"/>
      <c r="J262" s="55"/>
      <c r="K262" s="55"/>
      <c r="L262" s="63"/>
      <c r="M262" s="55"/>
      <c r="N262" s="55"/>
      <c r="O262" s="55"/>
      <c r="P262" s="55"/>
      <c r="Q262" s="55"/>
      <c r="R262" s="63"/>
      <c r="S262" s="55"/>
    </row>
    <row r="263" spans="1:19" ht="15" x14ac:dyDescent="0.25">
      <c r="A263" s="109"/>
      <c r="B263" s="109"/>
      <c r="C263" s="55"/>
      <c r="D263" s="55"/>
      <c r="E263" s="55"/>
      <c r="F263" s="55"/>
      <c r="G263" s="63"/>
      <c r="H263" s="55"/>
      <c r="I263" s="55"/>
      <c r="J263" s="55"/>
      <c r="K263" s="55"/>
      <c r="L263" s="63"/>
      <c r="M263" s="55"/>
      <c r="N263" s="55"/>
      <c r="O263" s="55"/>
      <c r="P263" s="55"/>
      <c r="Q263" s="55"/>
      <c r="R263" s="63"/>
      <c r="S263" s="55"/>
    </row>
    <row r="264" spans="1:19" ht="15" x14ac:dyDescent="0.25">
      <c r="A264" s="109"/>
      <c r="B264" s="109"/>
      <c r="C264" s="55"/>
      <c r="D264" s="55"/>
      <c r="E264" s="55"/>
      <c r="F264" s="55"/>
      <c r="G264" s="63"/>
      <c r="H264" s="55"/>
      <c r="I264" s="55"/>
      <c r="J264" s="55"/>
      <c r="K264" s="55"/>
      <c r="L264" s="63"/>
      <c r="M264" s="55"/>
      <c r="N264" s="55"/>
      <c r="O264" s="55"/>
      <c r="P264" s="55"/>
      <c r="Q264" s="55"/>
      <c r="R264" s="63"/>
      <c r="S264" s="55"/>
    </row>
    <row r="265" spans="1:19" ht="15" x14ac:dyDescent="0.25">
      <c r="A265" s="109"/>
      <c r="B265" s="109"/>
      <c r="C265" s="55"/>
      <c r="D265" s="55"/>
      <c r="E265" s="55"/>
      <c r="F265" s="55"/>
      <c r="G265" s="63"/>
      <c r="H265" s="55"/>
      <c r="I265" s="55"/>
      <c r="J265" s="55"/>
      <c r="K265" s="55"/>
      <c r="L265" s="63"/>
      <c r="M265" s="55"/>
      <c r="N265" s="55"/>
      <c r="O265" s="55"/>
      <c r="P265" s="55"/>
      <c r="Q265" s="55"/>
      <c r="R265" s="63"/>
      <c r="S265" s="55"/>
    </row>
    <row r="266" spans="1:19" ht="15" x14ac:dyDescent="0.25">
      <c r="A266" s="109"/>
      <c r="B266" s="109"/>
      <c r="C266" s="55"/>
      <c r="D266" s="55"/>
      <c r="E266" s="55"/>
      <c r="F266" s="55"/>
      <c r="G266" s="63"/>
      <c r="H266" s="55"/>
      <c r="I266" s="55"/>
      <c r="J266" s="55"/>
      <c r="K266" s="55"/>
      <c r="L266" s="63"/>
      <c r="M266" s="55"/>
      <c r="N266" s="55"/>
      <c r="O266" s="55"/>
      <c r="P266" s="55"/>
      <c r="Q266" s="55"/>
      <c r="R266" s="63"/>
      <c r="S266" s="55"/>
    </row>
    <row r="267" spans="1:19" ht="15" x14ac:dyDescent="0.25">
      <c r="A267" s="109"/>
      <c r="B267" s="109"/>
      <c r="C267" s="55"/>
      <c r="D267" s="55"/>
      <c r="E267" s="55"/>
      <c r="F267" s="55"/>
      <c r="G267" s="63"/>
      <c r="H267" s="55"/>
      <c r="I267" s="55"/>
      <c r="J267" s="55"/>
      <c r="K267" s="55"/>
      <c r="L267" s="63"/>
      <c r="M267" s="55"/>
      <c r="N267" s="55"/>
      <c r="O267" s="55"/>
      <c r="P267" s="55"/>
      <c r="Q267" s="55"/>
      <c r="R267" s="63"/>
      <c r="S267" s="55"/>
    </row>
    <row r="268" spans="1:19" ht="15" x14ac:dyDescent="0.25">
      <c r="A268" s="109"/>
      <c r="B268" s="109"/>
      <c r="C268" s="55"/>
      <c r="D268" s="55"/>
      <c r="E268" s="55"/>
      <c r="F268" s="55"/>
      <c r="G268" s="63"/>
      <c r="H268" s="55"/>
      <c r="I268" s="55"/>
      <c r="J268" s="55"/>
      <c r="K268" s="55"/>
      <c r="L268" s="63"/>
      <c r="M268" s="55"/>
      <c r="N268" s="55"/>
      <c r="O268" s="55"/>
      <c r="P268" s="55"/>
      <c r="Q268" s="55"/>
      <c r="R268" s="63"/>
      <c r="S268" s="55"/>
    </row>
    <row r="269" spans="1:19" ht="15" x14ac:dyDescent="0.25">
      <c r="A269" s="109"/>
      <c r="B269" s="109"/>
      <c r="C269" s="55"/>
      <c r="D269" s="55"/>
      <c r="E269" s="55"/>
      <c r="F269" s="55"/>
      <c r="G269" s="63"/>
      <c r="H269" s="55"/>
      <c r="I269" s="55"/>
      <c r="J269" s="55"/>
      <c r="K269" s="55"/>
      <c r="L269" s="63"/>
      <c r="M269" s="55"/>
      <c r="N269" s="55"/>
      <c r="O269" s="55"/>
      <c r="P269" s="55"/>
      <c r="Q269" s="55"/>
      <c r="R269" s="63"/>
      <c r="S269" s="55"/>
    </row>
    <row r="270" spans="1:19" ht="15" x14ac:dyDescent="0.25">
      <c r="A270" s="109"/>
      <c r="B270" s="109"/>
      <c r="C270" s="55"/>
      <c r="D270" s="55"/>
      <c r="E270" s="55"/>
      <c r="F270" s="55"/>
      <c r="G270" s="63"/>
      <c r="H270" s="55"/>
      <c r="I270" s="55"/>
      <c r="J270" s="55"/>
      <c r="K270" s="55"/>
      <c r="L270" s="63"/>
      <c r="M270" s="55"/>
      <c r="N270" s="55"/>
      <c r="O270" s="55"/>
      <c r="P270" s="55"/>
      <c r="Q270" s="55"/>
      <c r="R270" s="63"/>
      <c r="S270" s="55"/>
    </row>
    <row r="271" spans="1:19" ht="15" x14ac:dyDescent="0.25">
      <c r="A271" s="109"/>
      <c r="B271" s="109"/>
      <c r="C271" s="55"/>
      <c r="D271" s="55"/>
      <c r="E271" s="55"/>
      <c r="F271" s="55"/>
      <c r="G271" s="63"/>
      <c r="H271" s="55"/>
      <c r="I271" s="55"/>
      <c r="J271" s="55"/>
      <c r="K271" s="55"/>
      <c r="L271" s="63"/>
      <c r="M271" s="55"/>
      <c r="N271" s="55"/>
      <c r="O271" s="55"/>
      <c r="P271" s="55"/>
      <c r="Q271" s="55"/>
      <c r="R271" s="63"/>
      <c r="S271" s="55"/>
    </row>
    <row r="272" spans="1:19" ht="15" x14ac:dyDescent="0.25">
      <c r="A272" s="109"/>
      <c r="B272" s="109"/>
      <c r="C272" s="55"/>
      <c r="D272" s="55"/>
      <c r="E272" s="55"/>
      <c r="F272" s="55"/>
      <c r="G272" s="63"/>
      <c r="H272" s="55"/>
      <c r="I272" s="55"/>
      <c r="J272" s="55"/>
      <c r="K272" s="55"/>
      <c r="L272" s="63"/>
      <c r="M272" s="55"/>
      <c r="N272" s="55"/>
      <c r="O272" s="55"/>
      <c r="P272" s="55"/>
      <c r="Q272" s="55"/>
      <c r="R272" s="63"/>
      <c r="S272" s="55"/>
    </row>
    <row r="273" spans="1:19" ht="15" x14ac:dyDescent="0.25">
      <c r="A273" s="109"/>
      <c r="B273" s="109"/>
      <c r="C273" s="55"/>
      <c r="D273" s="55"/>
      <c r="E273" s="55"/>
      <c r="F273" s="55"/>
      <c r="G273" s="63"/>
      <c r="H273" s="55"/>
      <c r="I273" s="55"/>
      <c r="J273" s="55"/>
      <c r="K273" s="55"/>
      <c r="L273" s="63"/>
      <c r="M273" s="55"/>
      <c r="N273" s="55"/>
      <c r="O273" s="55"/>
      <c r="P273" s="55"/>
      <c r="Q273" s="55"/>
      <c r="R273" s="63"/>
      <c r="S273" s="55"/>
    </row>
    <row r="274" spans="1:19" ht="15" x14ac:dyDescent="0.25">
      <c r="A274" s="109"/>
      <c r="B274" s="109"/>
      <c r="C274" s="55"/>
      <c r="D274" s="55"/>
      <c r="E274" s="55"/>
      <c r="F274" s="55"/>
      <c r="G274" s="63"/>
      <c r="H274" s="55"/>
      <c r="I274" s="55"/>
      <c r="J274" s="55"/>
      <c r="K274" s="55"/>
      <c r="L274" s="63"/>
      <c r="M274" s="55"/>
      <c r="N274" s="55"/>
      <c r="O274" s="55"/>
      <c r="P274" s="55"/>
      <c r="Q274" s="55"/>
      <c r="R274" s="63"/>
      <c r="S274" s="55"/>
    </row>
    <row r="275" spans="1:19" ht="15" x14ac:dyDescent="0.25">
      <c r="A275" s="109"/>
      <c r="B275" s="109"/>
      <c r="C275" s="55"/>
      <c r="D275" s="55"/>
      <c r="E275" s="55"/>
      <c r="F275" s="55"/>
      <c r="G275" s="63"/>
      <c r="H275" s="55"/>
      <c r="I275" s="55"/>
      <c r="J275" s="55"/>
      <c r="K275" s="55"/>
      <c r="L275" s="63"/>
      <c r="M275" s="55"/>
      <c r="N275" s="55"/>
      <c r="O275" s="55"/>
      <c r="P275" s="55"/>
      <c r="Q275" s="55"/>
      <c r="R275" s="63"/>
      <c r="S275" s="55"/>
    </row>
    <row r="276" spans="1:19" ht="15" x14ac:dyDescent="0.25">
      <c r="A276" s="109"/>
      <c r="B276" s="109"/>
      <c r="C276" s="55"/>
      <c r="D276" s="55"/>
      <c r="E276" s="55"/>
      <c r="F276" s="55"/>
      <c r="G276" s="63"/>
      <c r="H276" s="55"/>
      <c r="I276" s="55"/>
      <c r="J276" s="55"/>
      <c r="K276" s="55"/>
      <c r="L276" s="63"/>
      <c r="M276" s="55"/>
      <c r="N276" s="55"/>
      <c r="O276" s="55"/>
      <c r="P276" s="55"/>
      <c r="Q276" s="55"/>
      <c r="R276" s="63"/>
      <c r="S276" s="55"/>
    </row>
    <row r="277" spans="1:19" ht="15" x14ac:dyDescent="0.25">
      <c r="A277" s="109"/>
      <c r="B277" s="109"/>
      <c r="C277" s="55"/>
      <c r="D277" s="55"/>
      <c r="E277" s="55"/>
      <c r="F277" s="55"/>
      <c r="G277" s="63"/>
      <c r="H277" s="55"/>
      <c r="I277" s="55"/>
      <c r="J277" s="55"/>
      <c r="K277" s="55"/>
      <c r="L277" s="63"/>
      <c r="M277" s="55"/>
      <c r="N277" s="55"/>
      <c r="O277" s="55"/>
      <c r="P277" s="55"/>
      <c r="Q277" s="55"/>
      <c r="R277" s="63"/>
      <c r="S277" s="55"/>
    </row>
    <row r="278" spans="1:19" ht="15" x14ac:dyDescent="0.25">
      <c r="A278" s="109"/>
      <c r="B278" s="109"/>
      <c r="C278" s="55"/>
      <c r="D278" s="55"/>
      <c r="E278" s="55"/>
      <c r="F278" s="55"/>
      <c r="G278" s="63"/>
      <c r="H278" s="55"/>
      <c r="I278" s="55"/>
      <c r="J278" s="55"/>
      <c r="K278" s="55"/>
      <c r="L278" s="63"/>
      <c r="M278" s="55"/>
      <c r="N278" s="55"/>
      <c r="O278" s="55"/>
      <c r="P278" s="55"/>
      <c r="Q278" s="55"/>
      <c r="R278" s="63"/>
      <c r="S278" s="55"/>
    </row>
    <row r="279" spans="1:19" ht="15" x14ac:dyDescent="0.25">
      <c r="A279" s="109"/>
      <c r="B279" s="109"/>
      <c r="C279" s="55"/>
      <c r="D279" s="55"/>
      <c r="E279" s="55"/>
      <c r="F279" s="55"/>
      <c r="G279" s="63"/>
      <c r="H279" s="55"/>
      <c r="I279" s="55"/>
      <c r="J279" s="55"/>
      <c r="K279" s="55"/>
      <c r="L279" s="63"/>
      <c r="M279" s="55"/>
      <c r="N279" s="55"/>
      <c r="O279" s="55"/>
      <c r="P279" s="55"/>
      <c r="Q279" s="55"/>
      <c r="R279" s="63"/>
      <c r="S279" s="55"/>
    </row>
    <row r="280" spans="1:19" ht="15" x14ac:dyDescent="0.25">
      <c r="A280" s="109"/>
      <c r="B280" s="109"/>
      <c r="C280" s="55"/>
      <c r="D280" s="55"/>
      <c r="E280" s="55"/>
      <c r="F280" s="55"/>
      <c r="G280" s="63"/>
      <c r="H280" s="55"/>
      <c r="I280" s="55"/>
      <c r="J280" s="55"/>
      <c r="K280" s="55"/>
      <c r="L280" s="63"/>
      <c r="M280" s="55"/>
      <c r="N280" s="55"/>
      <c r="O280" s="55"/>
      <c r="P280" s="55"/>
      <c r="Q280" s="55"/>
      <c r="R280" s="63"/>
      <c r="S280" s="55"/>
    </row>
    <row r="281" spans="1:19" ht="15" x14ac:dyDescent="0.25">
      <c r="A281" s="109"/>
      <c r="B281" s="109"/>
      <c r="C281" s="55"/>
      <c r="D281" s="55"/>
      <c r="E281" s="55"/>
      <c r="F281" s="55"/>
      <c r="G281" s="63"/>
      <c r="H281" s="55"/>
      <c r="I281" s="55"/>
      <c r="J281" s="55"/>
      <c r="K281" s="55"/>
      <c r="L281" s="63"/>
      <c r="M281" s="55"/>
      <c r="N281" s="55"/>
      <c r="O281" s="55"/>
      <c r="P281" s="55"/>
      <c r="Q281" s="55"/>
      <c r="R281" s="63"/>
      <c r="S281" s="55"/>
    </row>
    <row r="282" spans="1:19" ht="15" x14ac:dyDescent="0.25">
      <c r="A282" s="109"/>
      <c r="B282" s="109"/>
      <c r="C282" s="55"/>
      <c r="D282" s="55"/>
      <c r="E282" s="55"/>
      <c r="F282" s="55"/>
      <c r="G282" s="63"/>
      <c r="H282" s="55"/>
      <c r="I282" s="55"/>
      <c r="J282" s="55"/>
      <c r="K282" s="55"/>
      <c r="L282" s="63"/>
      <c r="M282" s="55"/>
      <c r="N282" s="55"/>
      <c r="O282" s="55"/>
      <c r="P282" s="55"/>
      <c r="Q282" s="55"/>
      <c r="R282" s="63"/>
      <c r="S282" s="55"/>
    </row>
    <row r="283" spans="1:19" ht="15" x14ac:dyDescent="0.25">
      <c r="A283" s="109"/>
      <c r="B283" s="109"/>
      <c r="C283" s="55"/>
      <c r="D283" s="55"/>
      <c r="E283" s="55"/>
      <c r="F283" s="55"/>
      <c r="G283" s="63"/>
      <c r="H283" s="55"/>
      <c r="I283" s="55"/>
      <c r="J283" s="55"/>
      <c r="K283" s="55"/>
      <c r="L283" s="63"/>
      <c r="M283" s="55"/>
      <c r="N283" s="55"/>
      <c r="O283" s="55"/>
      <c r="P283" s="55"/>
      <c r="Q283" s="55"/>
      <c r="R283" s="63"/>
      <c r="S283" s="55"/>
    </row>
    <row r="284" spans="1:19" ht="15" x14ac:dyDescent="0.25">
      <c r="A284" s="109"/>
      <c r="B284" s="109"/>
      <c r="C284" s="55"/>
      <c r="D284" s="55"/>
      <c r="E284" s="55"/>
      <c r="F284" s="55"/>
      <c r="G284" s="63"/>
      <c r="H284" s="55"/>
      <c r="I284" s="55"/>
      <c r="J284" s="55"/>
      <c r="K284" s="55"/>
      <c r="L284" s="63"/>
      <c r="M284" s="55"/>
      <c r="N284" s="55"/>
      <c r="O284" s="55"/>
      <c r="P284" s="55"/>
      <c r="Q284" s="55"/>
      <c r="R284" s="63"/>
      <c r="S284" s="55"/>
    </row>
    <row r="285" spans="1:19" ht="15" x14ac:dyDescent="0.25">
      <c r="A285" s="109"/>
      <c r="B285" s="109"/>
      <c r="C285" s="55"/>
      <c r="D285" s="55"/>
      <c r="E285" s="55"/>
      <c r="F285" s="55"/>
      <c r="G285" s="63"/>
      <c r="H285" s="55"/>
      <c r="I285" s="55"/>
      <c r="J285" s="55"/>
      <c r="K285" s="55"/>
      <c r="L285" s="63"/>
      <c r="M285" s="55"/>
      <c r="N285" s="55"/>
      <c r="O285" s="55"/>
      <c r="P285" s="55"/>
      <c r="Q285" s="55"/>
      <c r="R285" s="63"/>
      <c r="S285" s="55"/>
    </row>
    <row r="286" spans="1:19" ht="15" x14ac:dyDescent="0.25">
      <c r="A286" s="109"/>
      <c r="B286" s="109"/>
      <c r="C286" s="55"/>
      <c r="D286" s="55"/>
      <c r="E286" s="55"/>
      <c r="F286" s="55"/>
      <c r="G286" s="63"/>
      <c r="H286" s="55"/>
      <c r="I286" s="55"/>
      <c r="J286" s="55"/>
      <c r="K286" s="55"/>
      <c r="L286" s="63"/>
      <c r="M286" s="55"/>
      <c r="N286" s="55"/>
      <c r="O286" s="55"/>
      <c r="P286" s="55"/>
      <c r="Q286" s="55"/>
      <c r="R286" s="63"/>
      <c r="S286" s="55"/>
    </row>
    <row r="287" spans="1:19" ht="15" x14ac:dyDescent="0.25">
      <c r="A287" s="109"/>
      <c r="B287" s="109"/>
      <c r="C287" s="55"/>
      <c r="D287" s="55"/>
      <c r="E287" s="55"/>
      <c r="F287" s="55"/>
      <c r="G287" s="63"/>
      <c r="H287" s="55"/>
      <c r="I287" s="55"/>
      <c r="J287" s="55"/>
      <c r="K287" s="55"/>
      <c r="L287" s="63"/>
      <c r="M287" s="55"/>
      <c r="N287" s="55"/>
      <c r="O287" s="55"/>
      <c r="P287" s="55"/>
      <c r="Q287" s="55"/>
      <c r="R287" s="63"/>
      <c r="S287" s="55"/>
    </row>
    <row r="288" spans="1:19" ht="15" x14ac:dyDescent="0.25">
      <c r="A288" s="109"/>
      <c r="B288" s="109"/>
      <c r="C288" s="55"/>
      <c r="D288" s="55"/>
      <c r="E288" s="55"/>
      <c r="F288" s="55"/>
      <c r="G288" s="63"/>
      <c r="H288" s="55"/>
      <c r="I288" s="55"/>
      <c r="J288" s="55"/>
      <c r="K288" s="55"/>
      <c r="L288" s="63"/>
      <c r="M288" s="55"/>
      <c r="N288" s="55"/>
      <c r="O288" s="55"/>
      <c r="P288" s="55"/>
      <c r="Q288" s="55"/>
      <c r="R288" s="63"/>
      <c r="S288" s="55"/>
    </row>
    <row r="289" spans="1:19" ht="15" x14ac:dyDescent="0.25">
      <c r="A289" s="109"/>
      <c r="B289" s="109"/>
      <c r="C289" s="55"/>
      <c r="D289" s="55"/>
      <c r="E289" s="55"/>
      <c r="F289" s="55"/>
      <c r="G289" s="63"/>
      <c r="H289" s="55"/>
      <c r="I289" s="55"/>
      <c r="J289" s="55"/>
      <c r="K289" s="55"/>
      <c r="L289" s="63"/>
      <c r="M289" s="55"/>
      <c r="N289" s="55"/>
      <c r="O289" s="55"/>
      <c r="P289" s="55"/>
      <c r="Q289" s="55"/>
      <c r="R289" s="63"/>
      <c r="S289" s="55"/>
    </row>
    <row r="290" spans="1:19" ht="15" x14ac:dyDescent="0.25">
      <c r="A290" s="109"/>
      <c r="B290" s="109"/>
      <c r="C290" s="55"/>
      <c r="D290" s="55"/>
      <c r="E290" s="55"/>
      <c r="F290" s="55"/>
      <c r="G290" s="63"/>
      <c r="H290" s="55"/>
      <c r="I290" s="55"/>
      <c r="J290" s="55"/>
      <c r="K290" s="55"/>
      <c r="L290" s="63"/>
      <c r="M290" s="55"/>
      <c r="N290" s="55"/>
      <c r="O290" s="55"/>
      <c r="P290" s="55"/>
      <c r="Q290" s="55"/>
      <c r="R290" s="63"/>
      <c r="S290" s="55"/>
    </row>
    <row r="291" spans="1:19" ht="15" x14ac:dyDescent="0.25">
      <c r="A291" s="109"/>
      <c r="B291" s="109"/>
      <c r="C291" s="55"/>
      <c r="D291" s="55"/>
      <c r="E291" s="55"/>
      <c r="F291" s="55"/>
      <c r="G291" s="63"/>
      <c r="H291" s="55"/>
      <c r="I291" s="55"/>
      <c r="J291" s="55"/>
      <c r="K291" s="55"/>
      <c r="L291" s="63"/>
      <c r="M291" s="55"/>
      <c r="N291" s="55"/>
      <c r="O291" s="55"/>
      <c r="P291" s="55"/>
      <c r="Q291" s="55"/>
      <c r="R291" s="63"/>
      <c r="S291" s="55"/>
    </row>
    <row r="292" spans="1:19" ht="15" x14ac:dyDescent="0.25">
      <c r="A292" s="109"/>
      <c r="B292" s="109"/>
      <c r="C292" s="55"/>
      <c r="D292" s="55"/>
      <c r="E292" s="55"/>
      <c r="F292" s="55"/>
      <c r="G292" s="63"/>
      <c r="H292" s="55"/>
      <c r="I292" s="55"/>
      <c r="J292" s="55"/>
      <c r="K292" s="55"/>
      <c r="L292" s="63"/>
      <c r="M292" s="55"/>
      <c r="N292" s="55"/>
      <c r="O292" s="55"/>
      <c r="P292" s="55"/>
      <c r="Q292" s="55"/>
      <c r="R292" s="63"/>
      <c r="S292" s="55"/>
    </row>
    <row r="293" spans="1:19" ht="15" x14ac:dyDescent="0.25">
      <c r="A293" s="109"/>
      <c r="B293" s="109"/>
      <c r="C293" s="55"/>
      <c r="D293" s="55"/>
      <c r="E293" s="55"/>
      <c r="F293" s="55"/>
      <c r="G293" s="63"/>
      <c r="H293" s="55"/>
      <c r="I293" s="55"/>
      <c r="J293" s="55"/>
      <c r="K293" s="55"/>
      <c r="L293" s="63"/>
      <c r="M293" s="55"/>
      <c r="N293" s="55"/>
      <c r="O293" s="55"/>
      <c r="P293" s="55"/>
      <c r="Q293" s="55"/>
      <c r="R293" s="63"/>
      <c r="S293" s="55"/>
    </row>
    <row r="294" spans="1:19" ht="15" x14ac:dyDescent="0.25">
      <c r="A294" s="109"/>
      <c r="B294" s="109"/>
      <c r="C294" s="55"/>
      <c r="D294" s="55"/>
      <c r="E294" s="55"/>
      <c r="F294" s="55"/>
      <c r="G294" s="63"/>
      <c r="H294" s="55"/>
      <c r="I294" s="55"/>
      <c r="J294" s="55"/>
      <c r="K294" s="55"/>
      <c r="L294" s="63"/>
      <c r="M294" s="55"/>
      <c r="N294" s="55"/>
      <c r="O294" s="55"/>
      <c r="P294" s="55"/>
      <c r="Q294" s="55"/>
      <c r="R294" s="63"/>
      <c r="S294" s="55"/>
    </row>
    <row r="295" spans="1:19" ht="15" x14ac:dyDescent="0.25">
      <c r="A295" s="109"/>
      <c r="B295" s="109"/>
      <c r="C295" s="55"/>
      <c r="D295" s="55"/>
      <c r="E295" s="55"/>
      <c r="F295" s="55"/>
      <c r="G295" s="63"/>
      <c r="H295" s="55"/>
      <c r="I295" s="55"/>
      <c r="J295" s="55"/>
      <c r="K295" s="55"/>
      <c r="L295" s="63"/>
      <c r="M295" s="55"/>
      <c r="N295" s="55"/>
      <c r="O295" s="55"/>
      <c r="P295" s="55"/>
      <c r="Q295" s="55"/>
      <c r="R295" s="63"/>
      <c r="S295" s="55"/>
    </row>
    <row r="296" spans="1:19" ht="15" x14ac:dyDescent="0.25">
      <c r="A296" s="109"/>
      <c r="B296" s="109"/>
      <c r="C296" s="55"/>
      <c r="D296" s="55"/>
      <c r="E296" s="55"/>
      <c r="F296" s="55"/>
      <c r="G296" s="63"/>
      <c r="H296" s="55"/>
      <c r="I296" s="55"/>
      <c r="J296" s="55"/>
      <c r="K296" s="55"/>
      <c r="L296" s="63"/>
      <c r="M296" s="55"/>
      <c r="N296" s="55"/>
      <c r="O296" s="55"/>
      <c r="P296" s="55"/>
      <c r="Q296" s="55"/>
      <c r="R296" s="63"/>
      <c r="S296" s="55"/>
    </row>
    <row r="297" spans="1:19" ht="15" x14ac:dyDescent="0.25">
      <c r="A297" s="109"/>
      <c r="B297" s="109"/>
      <c r="C297" s="55"/>
      <c r="D297" s="55"/>
      <c r="E297" s="55"/>
      <c r="F297" s="55"/>
      <c r="G297" s="63"/>
      <c r="H297" s="55"/>
      <c r="I297" s="55"/>
      <c r="J297" s="55"/>
      <c r="K297" s="55"/>
      <c r="L297" s="63"/>
      <c r="M297" s="55"/>
      <c r="N297" s="55"/>
      <c r="O297" s="55"/>
      <c r="P297" s="55"/>
      <c r="Q297" s="55"/>
      <c r="R297" s="63"/>
      <c r="S297" s="55"/>
    </row>
    <row r="298" spans="1:19" ht="15" x14ac:dyDescent="0.25">
      <c r="A298" s="109"/>
      <c r="B298" s="109"/>
      <c r="C298" s="55"/>
      <c r="D298" s="55"/>
      <c r="E298" s="55"/>
      <c r="F298" s="55"/>
      <c r="G298" s="63"/>
      <c r="H298" s="55"/>
      <c r="I298" s="55"/>
      <c r="J298" s="55"/>
      <c r="K298" s="55"/>
      <c r="L298" s="63"/>
      <c r="M298" s="55"/>
      <c r="N298" s="55"/>
      <c r="O298" s="55"/>
      <c r="P298" s="55"/>
      <c r="Q298" s="55"/>
      <c r="R298" s="63"/>
      <c r="S298" s="55"/>
    </row>
    <row r="299" spans="1:19" ht="15" x14ac:dyDescent="0.25">
      <c r="A299" s="109"/>
      <c r="B299" s="109"/>
      <c r="C299" s="55"/>
      <c r="D299" s="55"/>
      <c r="E299" s="55"/>
      <c r="F299" s="55"/>
      <c r="G299" s="63"/>
      <c r="H299" s="55"/>
      <c r="I299" s="55"/>
      <c r="J299" s="55"/>
      <c r="K299" s="55"/>
      <c r="L299" s="63"/>
      <c r="M299" s="55"/>
      <c r="N299" s="55"/>
      <c r="O299" s="55"/>
      <c r="P299" s="55"/>
      <c r="Q299" s="55"/>
      <c r="R299" s="63"/>
      <c r="S299" s="55"/>
    </row>
    <row r="300" spans="1:19" ht="15" x14ac:dyDescent="0.25">
      <c r="A300" s="109"/>
      <c r="B300" s="109"/>
      <c r="C300" s="55"/>
      <c r="D300" s="55"/>
      <c r="E300" s="55"/>
      <c r="F300" s="55"/>
      <c r="G300" s="63"/>
      <c r="H300" s="55"/>
      <c r="I300" s="55"/>
      <c r="J300" s="55"/>
      <c r="K300" s="55"/>
      <c r="L300" s="63"/>
      <c r="M300" s="55"/>
      <c r="N300" s="55"/>
      <c r="O300" s="55"/>
      <c r="P300" s="55"/>
      <c r="Q300" s="55"/>
      <c r="R300" s="63"/>
      <c r="S300" s="55"/>
    </row>
    <row r="301" spans="1:19" ht="15" x14ac:dyDescent="0.25">
      <c r="A301" s="109"/>
      <c r="B301" s="109"/>
      <c r="C301" s="55"/>
      <c r="D301" s="55"/>
      <c r="E301" s="55"/>
      <c r="F301" s="55"/>
      <c r="G301" s="63"/>
      <c r="H301" s="55"/>
      <c r="I301" s="55"/>
      <c r="J301" s="55"/>
      <c r="K301" s="55"/>
      <c r="L301" s="63"/>
      <c r="M301" s="55"/>
      <c r="N301" s="55"/>
      <c r="O301" s="55"/>
      <c r="P301" s="55"/>
      <c r="Q301" s="55"/>
      <c r="R301" s="63"/>
      <c r="S301" s="55"/>
    </row>
    <row r="302" spans="1:19" ht="15" x14ac:dyDescent="0.25">
      <c r="A302" s="109"/>
      <c r="B302" s="109"/>
      <c r="C302" s="55"/>
      <c r="D302" s="55"/>
      <c r="E302" s="55"/>
      <c r="F302" s="55"/>
      <c r="G302" s="63"/>
      <c r="H302" s="55"/>
      <c r="I302" s="55"/>
      <c r="J302" s="55"/>
      <c r="K302" s="55"/>
      <c r="L302" s="63"/>
      <c r="M302" s="55"/>
      <c r="N302" s="55"/>
      <c r="O302" s="55"/>
      <c r="P302" s="55"/>
      <c r="Q302" s="55"/>
      <c r="R302" s="63"/>
      <c r="S302" s="55"/>
    </row>
    <row r="303" spans="1:19" ht="15" x14ac:dyDescent="0.25">
      <c r="A303" s="109"/>
      <c r="B303" s="109"/>
      <c r="C303" s="55"/>
      <c r="D303" s="55"/>
      <c r="E303" s="55"/>
      <c r="F303" s="55"/>
      <c r="G303" s="63"/>
      <c r="H303" s="55"/>
      <c r="I303" s="55"/>
      <c r="J303" s="55"/>
      <c r="K303" s="55"/>
      <c r="L303" s="63"/>
      <c r="M303" s="55"/>
      <c r="N303" s="55"/>
      <c r="O303" s="55"/>
      <c r="P303" s="55"/>
      <c r="Q303" s="55"/>
      <c r="R303" s="63"/>
      <c r="S303" s="55"/>
    </row>
    <row r="304" spans="1:19" ht="15" x14ac:dyDescent="0.25">
      <c r="A304" s="109"/>
      <c r="B304" s="109"/>
      <c r="C304" s="55"/>
      <c r="D304" s="55"/>
      <c r="E304" s="55"/>
      <c r="F304" s="55"/>
      <c r="G304" s="63"/>
      <c r="H304" s="55"/>
      <c r="I304" s="55"/>
      <c r="J304" s="55"/>
      <c r="K304" s="55"/>
      <c r="L304" s="63"/>
      <c r="M304" s="55"/>
      <c r="N304" s="55"/>
      <c r="O304" s="55"/>
      <c r="P304" s="55"/>
      <c r="Q304" s="55"/>
      <c r="R304" s="63"/>
      <c r="S304" s="55"/>
    </row>
    <row r="305" spans="1:19" ht="15" x14ac:dyDescent="0.25">
      <c r="A305" s="109"/>
      <c r="B305" s="109"/>
      <c r="C305" s="55"/>
      <c r="D305" s="55"/>
      <c r="E305" s="55"/>
      <c r="F305" s="55"/>
      <c r="G305" s="63"/>
      <c r="H305" s="55"/>
      <c r="I305" s="55"/>
      <c r="J305" s="55"/>
      <c r="K305" s="55"/>
      <c r="L305" s="63"/>
      <c r="M305" s="55"/>
      <c r="N305" s="55"/>
      <c r="O305" s="55"/>
      <c r="P305" s="55"/>
      <c r="Q305" s="55"/>
      <c r="R305" s="63"/>
      <c r="S305" s="55"/>
    </row>
    <row r="306" spans="1:19" ht="15" x14ac:dyDescent="0.25">
      <c r="A306" s="109"/>
      <c r="B306" s="109"/>
      <c r="C306" s="55"/>
      <c r="D306" s="55"/>
      <c r="E306" s="55"/>
      <c r="F306" s="55"/>
      <c r="G306" s="63"/>
      <c r="H306" s="55"/>
      <c r="I306" s="55"/>
      <c r="J306" s="55"/>
      <c r="K306" s="55"/>
      <c r="L306" s="63"/>
      <c r="M306" s="55"/>
      <c r="N306" s="55"/>
      <c r="O306" s="55"/>
      <c r="P306" s="55"/>
      <c r="Q306" s="55"/>
      <c r="R306" s="63"/>
      <c r="S306" s="55"/>
    </row>
    <row r="307" spans="1:19" ht="15" x14ac:dyDescent="0.25">
      <c r="A307" s="109"/>
      <c r="B307" s="109"/>
      <c r="C307" s="55"/>
      <c r="D307" s="55"/>
      <c r="E307" s="55"/>
      <c r="F307" s="55"/>
      <c r="G307" s="63"/>
      <c r="H307" s="55"/>
      <c r="I307" s="55"/>
      <c r="J307" s="55"/>
      <c r="K307" s="55"/>
      <c r="L307" s="63"/>
      <c r="M307" s="55"/>
      <c r="N307" s="55"/>
      <c r="O307" s="55"/>
      <c r="P307" s="55"/>
      <c r="Q307" s="55"/>
      <c r="R307" s="63"/>
      <c r="S307" s="55"/>
    </row>
    <row r="308" spans="1:19" ht="15" x14ac:dyDescent="0.25">
      <c r="A308" s="109"/>
      <c r="B308" s="109"/>
      <c r="C308" s="55"/>
      <c r="D308" s="55"/>
      <c r="E308" s="55"/>
      <c r="F308" s="55"/>
      <c r="G308" s="63"/>
      <c r="H308" s="55"/>
      <c r="I308" s="55"/>
      <c r="J308" s="55"/>
      <c r="K308" s="55"/>
      <c r="L308" s="63"/>
      <c r="M308" s="55"/>
      <c r="N308" s="55"/>
      <c r="O308" s="55"/>
      <c r="P308" s="55"/>
      <c r="Q308" s="55"/>
      <c r="R308" s="63"/>
      <c r="S308" s="55"/>
    </row>
    <row r="309" spans="1:19" ht="15" x14ac:dyDescent="0.25">
      <c r="A309" s="109"/>
      <c r="B309" s="109"/>
      <c r="C309" s="55"/>
      <c r="D309" s="55"/>
      <c r="E309" s="55"/>
      <c r="F309" s="55"/>
      <c r="G309" s="63"/>
      <c r="H309" s="55"/>
      <c r="I309" s="55"/>
      <c r="J309" s="55"/>
      <c r="K309" s="55"/>
      <c r="L309" s="63"/>
      <c r="M309" s="55"/>
      <c r="N309" s="55"/>
      <c r="O309" s="55"/>
      <c r="P309" s="55"/>
      <c r="Q309" s="55"/>
      <c r="R309" s="63"/>
      <c r="S309" s="55"/>
    </row>
    <row r="310" spans="1:19" ht="15" x14ac:dyDescent="0.25">
      <c r="A310" s="109"/>
      <c r="B310" s="109"/>
      <c r="C310" s="55"/>
      <c r="D310" s="55"/>
      <c r="E310" s="55"/>
      <c r="F310" s="55"/>
      <c r="G310" s="63"/>
      <c r="H310" s="55"/>
      <c r="I310" s="55"/>
      <c r="J310" s="55"/>
      <c r="K310" s="55"/>
      <c r="L310" s="63"/>
      <c r="M310" s="55"/>
      <c r="N310" s="55"/>
      <c r="O310" s="55"/>
      <c r="P310" s="55"/>
      <c r="Q310" s="55"/>
      <c r="R310" s="63"/>
      <c r="S310" s="55"/>
    </row>
    <row r="311" spans="1:19" ht="15" x14ac:dyDescent="0.25">
      <c r="A311" s="109"/>
      <c r="B311" s="109"/>
      <c r="C311" s="55"/>
      <c r="D311" s="55"/>
      <c r="E311" s="55"/>
      <c r="F311" s="55"/>
      <c r="G311" s="63"/>
      <c r="H311" s="55"/>
      <c r="I311" s="55"/>
      <c r="J311" s="55"/>
      <c r="K311" s="55"/>
      <c r="L311" s="63"/>
      <c r="M311" s="55"/>
      <c r="N311" s="55"/>
      <c r="O311" s="55"/>
      <c r="P311" s="55"/>
      <c r="Q311" s="55"/>
      <c r="R311" s="63"/>
      <c r="S311" s="55"/>
    </row>
    <row r="312" spans="1:19" ht="15" x14ac:dyDescent="0.25">
      <c r="A312" s="109"/>
      <c r="B312" s="109"/>
      <c r="C312" s="55"/>
      <c r="D312" s="55"/>
      <c r="E312" s="55"/>
      <c r="F312" s="55"/>
      <c r="G312" s="63"/>
      <c r="H312" s="55"/>
      <c r="I312" s="55"/>
      <c r="J312" s="55"/>
      <c r="K312" s="55"/>
      <c r="L312" s="63"/>
      <c r="M312" s="55"/>
      <c r="N312" s="55"/>
      <c r="O312" s="55"/>
      <c r="P312" s="55"/>
      <c r="Q312" s="55"/>
      <c r="R312" s="63"/>
      <c r="S312" s="55"/>
    </row>
    <row r="313" spans="1:19" ht="15" x14ac:dyDescent="0.25">
      <c r="A313" s="109"/>
      <c r="B313" s="109"/>
      <c r="C313" s="55"/>
      <c r="D313" s="55"/>
      <c r="E313" s="55"/>
      <c r="F313" s="55"/>
      <c r="G313" s="63"/>
      <c r="H313" s="55"/>
      <c r="I313" s="55"/>
      <c r="J313" s="55"/>
      <c r="K313" s="55"/>
      <c r="L313" s="63"/>
      <c r="M313" s="55"/>
      <c r="N313" s="55"/>
      <c r="O313" s="55"/>
      <c r="P313" s="55"/>
      <c r="Q313" s="55"/>
      <c r="R313" s="63"/>
      <c r="S313" s="55"/>
    </row>
    <row r="314" spans="1:19" ht="15" x14ac:dyDescent="0.25">
      <c r="A314" s="109"/>
      <c r="B314" s="109"/>
      <c r="C314" s="55"/>
      <c r="D314" s="55"/>
      <c r="E314" s="55"/>
      <c r="F314" s="55"/>
      <c r="G314" s="63"/>
      <c r="H314" s="55"/>
      <c r="I314" s="55"/>
      <c r="J314" s="55"/>
      <c r="K314" s="55"/>
      <c r="L314" s="63"/>
      <c r="M314" s="55"/>
      <c r="N314" s="55"/>
      <c r="O314" s="55"/>
      <c r="P314" s="55"/>
      <c r="Q314" s="55"/>
      <c r="R314" s="63"/>
      <c r="S314" s="55"/>
    </row>
    <row r="315" spans="1:19" ht="15" x14ac:dyDescent="0.25">
      <c r="A315" s="109"/>
      <c r="B315" s="109"/>
      <c r="C315" s="55"/>
      <c r="D315" s="55"/>
      <c r="E315" s="55"/>
      <c r="F315" s="55"/>
      <c r="G315" s="63"/>
      <c r="H315" s="55"/>
      <c r="I315" s="55"/>
      <c r="J315" s="55"/>
      <c r="K315" s="55"/>
      <c r="L315" s="63"/>
      <c r="M315" s="55"/>
      <c r="N315" s="55"/>
      <c r="O315" s="55"/>
      <c r="P315" s="55"/>
      <c r="Q315" s="55"/>
      <c r="R315" s="63"/>
      <c r="S315" s="55"/>
    </row>
    <row r="316" spans="1:19" ht="15" x14ac:dyDescent="0.25">
      <c r="A316" s="109"/>
      <c r="B316" s="109"/>
      <c r="C316" s="55"/>
      <c r="D316" s="55"/>
      <c r="E316" s="55"/>
      <c r="F316" s="55"/>
      <c r="G316" s="63"/>
      <c r="H316" s="55"/>
      <c r="I316" s="55"/>
      <c r="J316" s="55"/>
      <c r="K316" s="55"/>
      <c r="L316" s="63"/>
      <c r="M316" s="55"/>
      <c r="N316" s="55"/>
      <c r="O316" s="55"/>
      <c r="P316" s="55"/>
      <c r="Q316" s="55"/>
      <c r="R316" s="63"/>
      <c r="S316" s="55"/>
    </row>
    <row r="317" spans="1:19" ht="15" x14ac:dyDescent="0.25">
      <c r="A317" s="109"/>
      <c r="B317" s="109"/>
      <c r="C317" s="55"/>
      <c r="D317" s="55"/>
      <c r="E317" s="55"/>
      <c r="F317" s="55"/>
      <c r="G317" s="63"/>
      <c r="H317" s="55"/>
      <c r="I317" s="55"/>
      <c r="J317" s="55"/>
      <c r="K317" s="55"/>
      <c r="L317" s="63"/>
      <c r="M317" s="55"/>
      <c r="N317" s="55"/>
      <c r="O317" s="55"/>
      <c r="P317" s="55"/>
      <c r="Q317" s="55"/>
      <c r="R317" s="63"/>
      <c r="S317" s="55"/>
    </row>
    <row r="318" spans="1:19" ht="15" x14ac:dyDescent="0.25">
      <c r="A318" s="109"/>
      <c r="B318" s="109"/>
      <c r="C318" s="55"/>
      <c r="D318" s="55"/>
      <c r="E318" s="55"/>
      <c r="F318" s="55"/>
      <c r="G318" s="63"/>
      <c r="H318" s="55"/>
      <c r="I318" s="55"/>
      <c r="J318" s="55"/>
      <c r="K318" s="55"/>
      <c r="L318" s="63"/>
      <c r="M318" s="55"/>
      <c r="N318" s="55"/>
      <c r="O318" s="55"/>
      <c r="P318" s="55"/>
      <c r="Q318" s="55"/>
      <c r="R318" s="63"/>
      <c r="S318" s="55"/>
    </row>
    <row r="319" spans="1:19" ht="15" x14ac:dyDescent="0.25">
      <c r="A319" s="109"/>
      <c r="B319" s="109"/>
      <c r="C319" s="55"/>
      <c r="D319" s="55"/>
      <c r="E319" s="55"/>
      <c r="F319" s="55"/>
      <c r="G319" s="63"/>
      <c r="H319" s="55"/>
      <c r="I319" s="55"/>
      <c r="J319" s="55"/>
      <c r="K319" s="55"/>
      <c r="L319" s="63"/>
      <c r="M319" s="55"/>
      <c r="N319" s="55"/>
      <c r="O319" s="55"/>
      <c r="P319" s="55"/>
      <c r="Q319" s="55"/>
      <c r="R319" s="63"/>
      <c r="S319" s="55"/>
    </row>
    <row r="320" spans="1:19" ht="15" x14ac:dyDescent="0.25">
      <c r="A320" s="109"/>
      <c r="B320" s="109"/>
      <c r="C320" s="55"/>
      <c r="D320" s="55"/>
      <c r="E320" s="55"/>
      <c r="F320" s="55"/>
      <c r="G320" s="63"/>
      <c r="H320" s="55"/>
      <c r="I320" s="55"/>
      <c r="J320" s="55"/>
      <c r="K320" s="55"/>
      <c r="L320" s="63"/>
      <c r="M320" s="55"/>
      <c r="N320" s="55"/>
      <c r="O320" s="55"/>
      <c r="P320" s="55"/>
      <c r="Q320" s="55"/>
      <c r="R320" s="63"/>
      <c r="S320" s="55"/>
    </row>
    <row r="321" spans="1:19" ht="15" x14ac:dyDescent="0.25">
      <c r="A321" s="109"/>
      <c r="B321" s="109"/>
      <c r="C321" s="55"/>
      <c r="D321" s="55"/>
      <c r="E321" s="55"/>
      <c r="F321" s="55"/>
      <c r="G321" s="63"/>
      <c r="H321" s="55"/>
      <c r="I321" s="55"/>
      <c r="J321" s="55"/>
      <c r="K321" s="55"/>
      <c r="L321" s="63"/>
      <c r="M321" s="55"/>
      <c r="N321" s="55"/>
      <c r="O321" s="55"/>
      <c r="P321" s="55"/>
      <c r="Q321" s="55"/>
      <c r="R321" s="63"/>
      <c r="S321" s="55"/>
    </row>
    <row r="322" spans="1:19" ht="15" x14ac:dyDescent="0.25">
      <c r="A322" s="109"/>
      <c r="B322" s="109"/>
      <c r="C322" s="55"/>
      <c r="D322" s="55"/>
      <c r="E322" s="55"/>
      <c r="F322" s="55"/>
      <c r="G322" s="63"/>
      <c r="H322" s="55"/>
      <c r="I322" s="55"/>
      <c r="J322" s="55"/>
      <c r="K322" s="55"/>
      <c r="L322" s="63"/>
      <c r="M322" s="55"/>
      <c r="N322" s="55"/>
      <c r="O322" s="55"/>
      <c r="P322" s="55"/>
      <c r="Q322" s="55"/>
      <c r="R322" s="63"/>
      <c r="S322" s="55"/>
    </row>
    <row r="323" spans="1:19" ht="15" x14ac:dyDescent="0.25">
      <c r="A323" s="109"/>
      <c r="B323" s="109"/>
      <c r="C323" s="55"/>
      <c r="D323" s="55"/>
      <c r="E323" s="55"/>
      <c r="F323" s="55"/>
      <c r="G323" s="63"/>
      <c r="H323" s="55"/>
      <c r="I323" s="55"/>
      <c r="J323" s="55"/>
      <c r="K323" s="55"/>
      <c r="L323" s="63"/>
      <c r="M323" s="55"/>
      <c r="N323" s="55"/>
      <c r="O323" s="55"/>
      <c r="P323" s="55"/>
      <c r="Q323" s="55"/>
      <c r="R323" s="63"/>
      <c r="S323" s="55"/>
    </row>
    <row r="324" spans="1:19" ht="15" x14ac:dyDescent="0.25">
      <c r="A324" s="109"/>
      <c r="B324" s="109"/>
      <c r="C324" s="55"/>
      <c r="D324" s="55"/>
      <c r="E324" s="55"/>
      <c r="F324" s="55"/>
      <c r="G324" s="63"/>
      <c r="H324" s="55"/>
      <c r="I324" s="55"/>
      <c r="J324" s="55"/>
      <c r="K324" s="55"/>
      <c r="L324" s="63"/>
      <c r="M324" s="55"/>
      <c r="N324" s="55"/>
      <c r="O324" s="55"/>
      <c r="P324" s="55"/>
      <c r="Q324" s="55"/>
      <c r="R324" s="63"/>
      <c r="S324" s="55"/>
    </row>
    <row r="325" spans="1:19" ht="15" x14ac:dyDescent="0.25">
      <c r="A325" s="109"/>
      <c r="B325" s="109"/>
      <c r="C325" s="55"/>
      <c r="D325" s="55"/>
      <c r="E325" s="55"/>
      <c r="F325" s="55"/>
      <c r="G325" s="63"/>
      <c r="H325" s="55"/>
      <c r="I325" s="55"/>
      <c r="J325" s="55"/>
      <c r="K325" s="55"/>
      <c r="L325" s="63"/>
      <c r="M325" s="55"/>
      <c r="N325" s="55"/>
      <c r="O325" s="55"/>
      <c r="P325" s="55"/>
      <c r="Q325" s="55"/>
      <c r="R325" s="63"/>
      <c r="S325" s="55"/>
    </row>
    <row r="326" spans="1:19" ht="15" x14ac:dyDescent="0.25">
      <c r="A326" s="109"/>
      <c r="B326" s="109"/>
      <c r="C326" s="55"/>
      <c r="D326" s="55"/>
      <c r="E326" s="55"/>
      <c r="F326" s="55"/>
      <c r="G326" s="63"/>
      <c r="H326" s="55"/>
      <c r="I326" s="55"/>
      <c r="J326" s="55"/>
      <c r="K326" s="55"/>
      <c r="L326" s="63"/>
      <c r="M326" s="55"/>
      <c r="N326" s="55"/>
      <c r="O326" s="55"/>
      <c r="P326" s="55"/>
      <c r="Q326" s="55"/>
      <c r="R326" s="63"/>
      <c r="S326" s="55"/>
    </row>
    <row r="327" spans="1:19" ht="15" x14ac:dyDescent="0.25">
      <c r="A327" s="109"/>
      <c r="B327" s="109"/>
      <c r="C327" s="55"/>
      <c r="D327" s="55"/>
      <c r="E327" s="55"/>
      <c r="F327" s="55"/>
      <c r="G327" s="63"/>
      <c r="H327" s="55"/>
      <c r="I327" s="55"/>
      <c r="J327" s="55"/>
      <c r="K327" s="55"/>
      <c r="L327" s="63"/>
      <c r="M327" s="55"/>
      <c r="N327" s="55"/>
      <c r="O327" s="55"/>
      <c r="P327" s="55"/>
      <c r="Q327" s="55"/>
      <c r="R327" s="63"/>
      <c r="S327" s="55"/>
    </row>
    <row r="328" spans="1:19" ht="15" x14ac:dyDescent="0.25">
      <c r="A328" s="109"/>
      <c r="B328" s="109"/>
      <c r="C328" s="55"/>
      <c r="D328" s="55"/>
      <c r="E328" s="55"/>
      <c r="F328" s="55"/>
      <c r="G328" s="63"/>
      <c r="H328" s="55"/>
      <c r="I328" s="55"/>
      <c r="J328" s="55"/>
      <c r="K328" s="55"/>
      <c r="L328" s="63"/>
      <c r="M328" s="55"/>
      <c r="N328" s="55"/>
      <c r="O328" s="55"/>
      <c r="P328" s="55"/>
      <c r="Q328" s="55"/>
      <c r="R328" s="63"/>
      <c r="S328" s="55"/>
    </row>
    <row r="329" spans="1:19" ht="15" x14ac:dyDescent="0.25">
      <c r="A329" s="109"/>
      <c r="B329" s="109"/>
      <c r="C329" s="55"/>
      <c r="D329" s="55"/>
      <c r="E329" s="55"/>
      <c r="F329" s="55"/>
      <c r="G329" s="63"/>
      <c r="H329" s="55"/>
      <c r="I329" s="55"/>
      <c r="J329" s="55"/>
      <c r="K329" s="55"/>
      <c r="L329" s="63"/>
      <c r="M329" s="55"/>
      <c r="N329" s="55"/>
      <c r="O329" s="55"/>
      <c r="P329" s="55"/>
      <c r="Q329" s="55"/>
      <c r="R329" s="63"/>
      <c r="S329" s="55"/>
    </row>
    <row r="330" spans="1:19" ht="15" x14ac:dyDescent="0.25">
      <c r="A330" s="109"/>
      <c r="B330" s="109"/>
      <c r="C330" s="55"/>
      <c r="D330" s="55"/>
      <c r="E330" s="55"/>
      <c r="F330" s="55"/>
      <c r="G330" s="63"/>
      <c r="H330" s="55"/>
      <c r="I330" s="55"/>
      <c r="J330" s="55"/>
      <c r="K330" s="55"/>
      <c r="L330" s="63"/>
      <c r="M330" s="55"/>
      <c r="N330" s="55"/>
      <c r="O330" s="55"/>
      <c r="P330" s="55"/>
      <c r="Q330" s="55"/>
      <c r="R330" s="63"/>
      <c r="S330" s="55"/>
    </row>
    <row r="331" spans="1:19" ht="15" x14ac:dyDescent="0.25">
      <c r="A331" s="109"/>
      <c r="B331" s="109"/>
      <c r="C331" s="55"/>
      <c r="D331" s="55"/>
      <c r="E331" s="55"/>
      <c r="F331" s="55"/>
      <c r="G331" s="63"/>
      <c r="H331" s="55"/>
      <c r="I331" s="55"/>
      <c r="J331" s="55"/>
      <c r="K331" s="55"/>
      <c r="L331" s="63"/>
      <c r="M331" s="55"/>
      <c r="N331" s="55"/>
      <c r="O331" s="55"/>
      <c r="P331" s="55"/>
      <c r="Q331" s="55"/>
      <c r="R331" s="63"/>
      <c r="S331" s="55"/>
    </row>
    <row r="332" spans="1:19" ht="15" x14ac:dyDescent="0.25">
      <c r="A332" s="109"/>
      <c r="B332" s="109"/>
      <c r="C332" s="55"/>
      <c r="D332" s="55"/>
      <c r="E332" s="55"/>
      <c r="F332" s="55"/>
      <c r="G332" s="63"/>
      <c r="H332" s="55"/>
      <c r="I332" s="55"/>
      <c r="J332" s="55"/>
      <c r="K332" s="55"/>
      <c r="L332" s="63"/>
      <c r="M332" s="55"/>
      <c r="N332" s="55"/>
      <c r="O332" s="55"/>
      <c r="P332" s="55"/>
      <c r="Q332" s="55"/>
      <c r="R332" s="63"/>
      <c r="S332" s="55"/>
    </row>
    <row r="333" spans="1:19" ht="15" x14ac:dyDescent="0.25">
      <c r="A333" s="109"/>
      <c r="B333" s="109"/>
      <c r="C333" s="55"/>
      <c r="D333" s="55"/>
      <c r="E333" s="55"/>
      <c r="F333" s="55"/>
      <c r="G333" s="63"/>
      <c r="H333" s="55"/>
      <c r="I333" s="55"/>
      <c r="J333" s="55"/>
      <c r="K333" s="55"/>
      <c r="L333" s="63"/>
      <c r="M333" s="55"/>
      <c r="N333" s="55"/>
      <c r="O333" s="55"/>
      <c r="P333" s="55"/>
      <c r="Q333" s="55"/>
      <c r="R333" s="63"/>
      <c r="S333" s="55"/>
    </row>
    <row r="334" spans="1:19" ht="15" x14ac:dyDescent="0.25">
      <c r="A334" s="109"/>
      <c r="B334" s="109"/>
      <c r="C334" s="55"/>
      <c r="D334" s="55"/>
      <c r="E334" s="55"/>
      <c r="F334" s="55"/>
      <c r="G334" s="63"/>
      <c r="H334" s="55"/>
      <c r="I334" s="55"/>
      <c r="J334" s="55"/>
      <c r="K334" s="55"/>
      <c r="L334" s="63"/>
      <c r="M334" s="55"/>
      <c r="N334" s="55"/>
      <c r="O334" s="55"/>
      <c r="P334" s="55"/>
      <c r="Q334" s="55"/>
      <c r="R334" s="63"/>
      <c r="S334" s="55"/>
    </row>
    <row r="335" spans="1:19" ht="15" x14ac:dyDescent="0.25">
      <c r="A335" s="109"/>
      <c r="B335" s="109"/>
      <c r="C335" s="55"/>
      <c r="D335" s="55"/>
      <c r="E335" s="55"/>
      <c r="F335" s="55"/>
      <c r="G335" s="63"/>
      <c r="H335" s="55"/>
      <c r="I335" s="55"/>
      <c r="J335" s="55"/>
      <c r="K335" s="55"/>
      <c r="L335" s="63"/>
      <c r="M335" s="55"/>
      <c r="N335" s="55"/>
      <c r="O335" s="55"/>
      <c r="P335" s="55"/>
      <c r="Q335" s="55"/>
      <c r="R335" s="63"/>
      <c r="S335" s="55"/>
    </row>
    <row r="336" spans="1:19" ht="15" x14ac:dyDescent="0.25">
      <c r="A336" s="109"/>
      <c r="B336" s="109"/>
      <c r="C336" s="55"/>
      <c r="D336" s="55"/>
      <c r="E336" s="55"/>
      <c r="F336" s="55"/>
      <c r="G336" s="63"/>
      <c r="H336" s="55"/>
      <c r="I336" s="55"/>
      <c r="J336" s="55"/>
      <c r="K336" s="55"/>
      <c r="L336" s="63"/>
      <c r="M336" s="55"/>
      <c r="N336" s="55"/>
      <c r="O336" s="55"/>
      <c r="P336" s="55"/>
      <c r="Q336" s="55"/>
      <c r="R336" s="63"/>
      <c r="S336" s="55"/>
    </row>
    <row r="337" spans="1:19" ht="15" x14ac:dyDescent="0.25">
      <c r="A337" s="109"/>
      <c r="B337" s="109"/>
      <c r="C337" s="55"/>
      <c r="D337" s="55"/>
      <c r="E337" s="55"/>
      <c r="F337" s="55"/>
      <c r="G337" s="63"/>
      <c r="H337" s="55"/>
      <c r="I337" s="55"/>
      <c r="J337" s="55"/>
      <c r="K337" s="55"/>
      <c r="L337" s="63"/>
      <c r="M337" s="55"/>
      <c r="N337" s="55"/>
      <c r="O337" s="55"/>
      <c r="P337" s="55"/>
      <c r="Q337" s="55"/>
      <c r="R337" s="63"/>
      <c r="S337" s="55"/>
    </row>
    <row r="338" spans="1:19" ht="15" x14ac:dyDescent="0.25">
      <c r="A338" s="109"/>
      <c r="B338" s="109"/>
      <c r="C338" s="55"/>
      <c r="D338" s="55"/>
      <c r="E338" s="55"/>
      <c r="F338" s="55"/>
      <c r="G338" s="63"/>
      <c r="H338" s="55"/>
      <c r="I338" s="55"/>
      <c r="J338" s="55"/>
      <c r="K338" s="55"/>
      <c r="L338" s="63"/>
      <c r="M338" s="55"/>
      <c r="N338" s="55"/>
      <c r="O338" s="55"/>
      <c r="P338" s="55"/>
      <c r="Q338" s="55"/>
      <c r="R338" s="63"/>
      <c r="S338" s="55"/>
    </row>
    <row r="339" spans="1:19" ht="15" x14ac:dyDescent="0.25">
      <c r="A339" s="109"/>
      <c r="B339" s="109"/>
      <c r="C339" s="55"/>
      <c r="D339" s="55"/>
      <c r="E339" s="55"/>
      <c r="F339" s="55"/>
      <c r="G339" s="63"/>
      <c r="H339" s="55"/>
      <c r="I339" s="55"/>
      <c r="J339" s="55"/>
      <c r="K339" s="55"/>
      <c r="L339" s="63"/>
      <c r="M339" s="55"/>
      <c r="N339" s="55"/>
      <c r="O339" s="55"/>
      <c r="P339" s="55"/>
      <c r="Q339" s="55"/>
      <c r="R339" s="63"/>
      <c r="S339" s="55"/>
    </row>
    <row r="340" spans="1:19" ht="15" x14ac:dyDescent="0.25">
      <c r="A340" s="109"/>
      <c r="B340" s="109"/>
      <c r="C340" s="55"/>
      <c r="D340" s="55"/>
      <c r="E340" s="55"/>
      <c r="F340" s="55"/>
      <c r="G340" s="63"/>
      <c r="H340" s="55"/>
      <c r="I340" s="55"/>
      <c r="J340" s="55"/>
      <c r="K340" s="55"/>
      <c r="L340" s="63"/>
      <c r="M340" s="55"/>
      <c r="N340" s="55"/>
      <c r="O340" s="55"/>
      <c r="P340" s="55"/>
      <c r="Q340" s="55"/>
      <c r="R340" s="63"/>
      <c r="S340" s="55"/>
    </row>
    <row r="341" spans="1:19" ht="15" x14ac:dyDescent="0.25">
      <c r="A341" s="109"/>
      <c r="B341" s="109"/>
      <c r="C341" s="55"/>
      <c r="D341" s="55"/>
      <c r="E341" s="55"/>
      <c r="F341" s="55"/>
      <c r="G341" s="63"/>
      <c r="H341" s="55"/>
      <c r="I341" s="55"/>
      <c r="J341" s="55"/>
      <c r="K341" s="55"/>
      <c r="L341" s="63"/>
      <c r="M341" s="55"/>
      <c r="N341" s="55"/>
      <c r="O341" s="55"/>
      <c r="P341" s="55"/>
      <c r="Q341" s="55"/>
      <c r="R341" s="63"/>
      <c r="S341" s="55"/>
    </row>
    <row r="342" spans="1:19" ht="15" x14ac:dyDescent="0.25">
      <c r="A342" s="109"/>
      <c r="B342" s="109"/>
      <c r="C342" s="55"/>
      <c r="D342" s="55"/>
      <c r="E342" s="55"/>
      <c r="F342" s="55"/>
      <c r="G342" s="63"/>
      <c r="H342" s="55"/>
      <c r="I342" s="55"/>
      <c r="J342" s="55"/>
      <c r="K342" s="55"/>
      <c r="L342" s="63"/>
      <c r="M342" s="55"/>
      <c r="N342" s="55"/>
      <c r="O342" s="55"/>
      <c r="P342" s="55"/>
      <c r="Q342" s="55"/>
      <c r="R342" s="63"/>
      <c r="S342" s="55"/>
    </row>
    <row r="343" spans="1:19" ht="15" x14ac:dyDescent="0.25">
      <c r="A343" s="109"/>
      <c r="B343" s="109"/>
      <c r="C343" s="55"/>
      <c r="D343" s="55"/>
      <c r="E343" s="55"/>
      <c r="F343" s="55"/>
      <c r="G343" s="63"/>
      <c r="H343" s="55"/>
      <c r="I343" s="55"/>
      <c r="J343" s="55"/>
      <c r="K343" s="55"/>
      <c r="L343" s="63"/>
      <c r="M343" s="55"/>
      <c r="N343" s="55"/>
      <c r="O343" s="55"/>
      <c r="P343" s="55"/>
      <c r="Q343" s="55"/>
      <c r="R343" s="63"/>
      <c r="S343" s="55"/>
    </row>
    <row r="344" spans="1:19" ht="15" x14ac:dyDescent="0.25">
      <c r="A344" s="109"/>
      <c r="B344" s="109"/>
      <c r="C344" s="55"/>
      <c r="D344" s="55"/>
      <c r="E344" s="55"/>
      <c r="F344" s="55"/>
      <c r="G344" s="63"/>
      <c r="H344" s="55"/>
      <c r="I344" s="55"/>
      <c r="J344" s="55"/>
      <c r="K344" s="55"/>
      <c r="L344" s="63"/>
      <c r="M344" s="55"/>
      <c r="N344" s="55"/>
      <c r="O344" s="55"/>
      <c r="P344" s="55"/>
      <c r="Q344" s="55"/>
      <c r="R344" s="63"/>
      <c r="S344" s="55"/>
    </row>
    <row r="345" spans="1:19" ht="15" x14ac:dyDescent="0.25">
      <c r="A345" s="109"/>
      <c r="B345" s="109"/>
      <c r="C345" s="55"/>
      <c r="D345" s="55"/>
      <c r="E345" s="55"/>
      <c r="F345" s="55"/>
      <c r="G345" s="63"/>
      <c r="H345" s="55"/>
      <c r="I345" s="55"/>
      <c r="J345" s="55"/>
      <c r="K345" s="55"/>
      <c r="L345" s="63"/>
      <c r="M345" s="55"/>
      <c r="N345" s="55"/>
      <c r="O345" s="55"/>
      <c r="P345" s="55"/>
      <c r="Q345" s="55"/>
      <c r="R345" s="63"/>
      <c r="S345" s="55"/>
    </row>
    <row r="346" spans="1:19" ht="15" x14ac:dyDescent="0.25">
      <c r="A346" s="109"/>
      <c r="B346" s="109"/>
      <c r="C346" s="55"/>
      <c r="D346" s="55"/>
      <c r="E346" s="55"/>
      <c r="F346" s="55"/>
      <c r="G346" s="63"/>
      <c r="H346" s="55"/>
      <c r="I346" s="55"/>
      <c r="J346" s="55"/>
      <c r="K346" s="55"/>
      <c r="L346" s="63"/>
      <c r="M346" s="55"/>
      <c r="N346" s="55"/>
      <c r="O346" s="55"/>
      <c r="P346" s="55"/>
      <c r="Q346" s="55"/>
      <c r="R346" s="63"/>
      <c r="S346" s="55"/>
    </row>
    <row r="347" spans="1:19" ht="15" x14ac:dyDescent="0.25">
      <c r="A347" s="109"/>
      <c r="B347" s="109"/>
      <c r="C347" s="55"/>
      <c r="D347" s="55"/>
      <c r="E347" s="55"/>
      <c r="F347" s="55"/>
      <c r="G347" s="63"/>
      <c r="H347" s="55"/>
      <c r="I347" s="55"/>
      <c r="J347" s="55"/>
      <c r="K347" s="55"/>
      <c r="L347" s="63"/>
      <c r="M347" s="55"/>
      <c r="N347" s="55"/>
      <c r="O347" s="55"/>
      <c r="P347" s="55"/>
      <c r="Q347" s="55"/>
      <c r="R347" s="63"/>
      <c r="S347" s="55"/>
    </row>
    <row r="348" spans="1:19" ht="15" x14ac:dyDescent="0.25">
      <c r="A348" s="109"/>
      <c r="B348" s="109"/>
      <c r="C348" s="55"/>
      <c r="D348" s="55"/>
      <c r="E348" s="55"/>
      <c r="F348" s="55"/>
      <c r="G348" s="63"/>
      <c r="H348" s="55"/>
      <c r="I348" s="55"/>
      <c r="J348" s="55"/>
      <c r="K348" s="55"/>
      <c r="L348" s="63"/>
      <c r="M348" s="55"/>
      <c r="N348" s="55"/>
      <c r="O348" s="55"/>
      <c r="P348" s="55"/>
      <c r="Q348" s="55"/>
      <c r="R348" s="63"/>
      <c r="S348" s="55"/>
    </row>
    <row r="349" spans="1:19" ht="15" x14ac:dyDescent="0.25">
      <c r="A349" s="109"/>
      <c r="B349" s="109"/>
      <c r="C349" s="55"/>
      <c r="D349" s="55"/>
      <c r="E349" s="55"/>
      <c r="F349" s="55"/>
      <c r="G349" s="63"/>
      <c r="H349" s="55"/>
      <c r="I349" s="55"/>
      <c r="J349" s="55"/>
      <c r="K349" s="55"/>
      <c r="L349" s="63"/>
      <c r="M349" s="55"/>
      <c r="N349" s="55"/>
      <c r="O349" s="55"/>
      <c r="P349" s="55"/>
      <c r="Q349" s="55"/>
      <c r="R349" s="63"/>
      <c r="S349" s="55"/>
    </row>
    <row r="350" spans="1:19" ht="15" x14ac:dyDescent="0.25">
      <c r="A350" s="109"/>
      <c r="B350" s="109"/>
      <c r="C350" s="55"/>
      <c r="D350" s="55"/>
      <c r="E350" s="55"/>
      <c r="F350" s="55"/>
      <c r="G350" s="63"/>
      <c r="H350" s="55"/>
      <c r="I350" s="55"/>
      <c r="J350" s="55"/>
      <c r="K350" s="55"/>
      <c r="L350" s="63"/>
      <c r="M350" s="55"/>
      <c r="N350" s="55"/>
      <c r="O350" s="55"/>
      <c r="P350" s="55"/>
      <c r="Q350" s="55"/>
      <c r="R350" s="63"/>
      <c r="S350" s="55"/>
    </row>
    <row r="351" spans="1:19" ht="15" x14ac:dyDescent="0.25">
      <c r="A351" s="109"/>
      <c r="B351" s="109"/>
      <c r="C351" s="55"/>
      <c r="D351" s="55"/>
      <c r="E351" s="55"/>
      <c r="F351" s="55"/>
      <c r="G351" s="63"/>
      <c r="H351" s="55"/>
      <c r="I351" s="55"/>
      <c r="J351" s="55"/>
      <c r="K351" s="55"/>
      <c r="L351" s="63"/>
      <c r="M351" s="55"/>
      <c r="N351" s="55"/>
      <c r="O351" s="55"/>
      <c r="P351" s="55"/>
      <c r="Q351" s="55"/>
      <c r="R351" s="63"/>
      <c r="S351" s="55"/>
    </row>
    <row r="352" spans="1:19" ht="15" x14ac:dyDescent="0.25">
      <c r="A352" s="109"/>
      <c r="B352" s="109"/>
      <c r="C352" s="55"/>
      <c r="D352" s="55"/>
      <c r="E352" s="55"/>
      <c r="F352" s="55"/>
      <c r="G352" s="63"/>
      <c r="H352" s="55"/>
      <c r="I352" s="55"/>
      <c r="J352" s="55"/>
      <c r="K352" s="55"/>
      <c r="L352" s="63"/>
      <c r="M352" s="55"/>
      <c r="N352" s="55"/>
      <c r="O352" s="55"/>
      <c r="P352" s="55"/>
      <c r="Q352" s="55"/>
      <c r="R352" s="63"/>
      <c r="S352" s="55"/>
    </row>
    <row r="353" spans="1:19" ht="15" x14ac:dyDescent="0.25">
      <c r="A353" s="109"/>
      <c r="B353" s="109"/>
      <c r="C353" s="55"/>
      <c r="D353" s="55"/>
      <c r="E353" s="55"/>
      <c r="F353" s="55"/>
      <c r="G353" s="63"/>
      <c r="H353" s="55"/>
      <c r="I353" s="55"/>
      <c r="J353" s="55"/>
      <c r="K353" s="55"/>
      <c r="L353" s="63"/>
      <c r="M353" s="55"/>
      <c r="N353" s="55"/>
      <c r="O353" s="55"/>
      <c r="P353" s="55"/>
      <c r="Q353" s="55"/>
      <c r="R353" s="63"/>
      <c r="S353" s="55"/>
    </row>
    <row r="354" spans="1:19" ht="15" x14ac:dyDescent="0.25">
      <c r="A354" s="109"/>
      <c r="B354" s="109"/>
      <c r="C354" s="55"/>
      <c r="D354" s="55"/>
      <c r="E354" s="55"/>
      <c r="F354" s="55"/>
      <c r="G354" s="63"/>
      <c r="H354" s="55"/>
      <c r="I354" s="55"/>
      <c r="J354" s="55"/>
      <c r="K354" s="55"/>
      <c r="L354" s="63"/>
      <c r="M354" s="55"/>
      <c r="N354" s="55"/>
      <c r="O354" s="55"/>
      <c r="P354" s="55"/>
      <c r="Q354" s="55"/>
      <c r="R354" s="63"/>
      <c r="S354" s="55"/>
    </row>
    <row r="355" spans="1:19" ht="15" x14ac:dyDescent="0.25">
      <c r="A355" s="109"/>
      <c r="B355" s="109"/>
      <c r="C355" s="55"/>
      <c r="D355" s="55"/>
      <c r="E355" s="55"/>
      <c r="F355" s="55"/>
      <c r="G355" s="63"/>
      <c r="H355" s="55"/>
      <c r="I355" s="55"/>
      <c r="J355" s="55"/>
      <c r="K355" s="55"/>
      <c r="L355" s="63"/>
      <c r="M355" s="55"/>
      <c r="N355" s="55"/>
      <c r="O355" s="55"/>
      <c r="P355" s="55"/>
      <c r="Q355" s="55"/>
      <c r="R355" s="63"/>
      <c r="S355" s="55"/>
    </row>
    <row r="356" spans="1:19" ht="15" x14ac:dyDescent="0.25">
      <c r="A356" s="109"/>
      <c r="B356" s="109"/>
      <c r="C356" s="55"/>
      <c r="D356" s="55"/>
      <c r="E356" s="55"/>
      <c r="F356" s="55"/>
      <c r="G356" s="63"/>
      <c r="H356" s="55"/>
      <c r="I356" s="55"/>
      <c r="J356" s="55"/>
      <c r="K356" s="55"/>
      <c r="L356" s="63"/>
      <c r="M356" s="55"/>
      <c r="N356" s="55"/>
      <c r="O356" s="55"/>
      <c r="P356" s="55"/>
      <c r="Q356" s="55"/>
      <c r="R356" s="63"/>
      <c r="S356" s="55"/>
    </row>
    <row r="357" spans="1:19" ht="15" x14ac:dyDescent="0.25">
      <c r="A357" s="109"/>
      <c r="B357" s="109"/>
      <c r="C357" s="55"/>
      <c r="D357" s="55"/>
      <c r="E357" s="55"/>
      <c r="F357" s="55"/>
      <c r="G357" s="63"/>
      <c r="H357" s="55"/>
      <c r="I357" s="55"/>
      <c r="J357" s="55"/>
      <c r="K357" s="55"/>
      <c r="L357" s="63"/>
      <c r="M357" s="55"/>
      <c r="N357" s="55"/>
      <c r="O357" s="55"/>
      <c r="P357" s="55"/>
      <c r="Q357" s="55"/>
      <c r="R357" s="63"/>
      <c r="S357" s="55"/>
    </row>
    <row r="358" spans="1:19" ht="15" x14ac:dyDescent="0.25">
      <c r="A358" s="109"/>
      <c r="B358" s="109"/>
      <c r="C358" s="55"/>
      <c r="D358" s="55"/>
      <c r="E358" s="55"/>
      <c r="F358" s="55"/>
      <c r="G358" s="63"/>
      <c r="H358" s="55"/>
      <c r="I358" s="55"/>
      <c r="J358" s="55"/>
      <c r="K358" s="55"/>
      <c r="L358" s="63"/>
      <c r="M358" s="55"/>
      <c r="N358" s="55"/>
      <c r="O358" s="55"/>
      <c r="P358" s="55"/>
      <c r="Q358" s="55"/>
      <c r="R358" s="63"/>
      <c r="S358" s="55"/>
    </row>
    <row r="359" spans="1:19" ht="15" x14ac:dyDescent="0.25">
      <c r="A359" s="109"/>
      <c r="B359" s="109"/>
      <c r="C359" s="55"/>
      <c r="D359" s="55"/>
      <c r="E359" s="55"/>
      <c r="F359" s="55"/>
      <c r="G359" s="63"/>
      <c r="H359" s="55"/>
      <c r="I359" s="55"/>
      <c r="J359" s="55"/>
      <c r="K359" s="55"/>
      <c r="L359" s="63"/>
      <c r="M359" s="55"/>
      <c r="N359" s="55"/>
      <c r="O359" s="55"/>
      <c r="P359" s="55"/>
      <c r="Q359" s="55"/>
      <c r="R359" s="63"/>
      <c r="S359" s="55"/>
    </row>
    <row r="360" spans="1:19" ht="15" x14ac:dyDescent="0.25">
      <c r="A360" s="109"/>
      <c r="B360" s="109"/>
      <c r="C360" s="55"/>
      <c r="D360" s="55"/>
      <c r="E360" s="55"/>
      <c r="F360" s="55"/>
      <c r="G360" s="63"/>
      <c r="H360" s="55"/>
      <c r="I360" s="55"/>
      <c r="J360" s="55"/>
      <c r="K360" s="55"/>
      <c r="L360" s="63"/>
      <c r="M360" s="55"/>
      <c r="N360" s="55"/>
      <c r="O360" s="55"/>
      <c r="P360" s="55"/>
      <c r="Q360" s="55"/>
      <c r="R360" s="63"/>
      <c r="S360" s="55"/>
    </row>
    <row r="361" spans="1:19" ht="15" x14ac:dyDescent="0.25">
      <c r="A361" s="109"/>
      <c r="B361" s="109"/>
      <c r="C361" s="55"/>
      <c r="D361" s="55"/>
      <c r="E361" s="55"/>
      <c r="F361" s="55"/>
      <c r="G361" s="63"/>
      <c r="H361" s="55"/>
      <c r="I361" s="55"/>
      <c r="J361" s="55"/>
      <c r="K361" s="55"/>
      <c r="L361" s="63"/>
      <c r="M361" s="55"/>
      <c r="N361" s="55"/>
      <c r="O361" s="55"/>
      <c r="P361" s="55"/>
      <c r="Q361" s="55"/>
      <c r="R361" s="63"/>
      <c r="S361" s="55"/>
    </row>
    <row r="362" spans="1:19" ht="15" x14ac:dyDescent="0.25">
      <c r="A362" s="109"/>
      <c r="B362" s="109"/>
      <c r="C362" s="55"/>
      <c r="D362" s="55"/>
      <c r="E362" s="55"/>
      <c r="F362" s="55"/>
      <c r="G362" s="63"/>
      <c r="H362" s="55"/>
      <c r="I362" s="55"/>
      <c r="J362" s="55"/>
      <c r="K362" s="55"/>
      <c r="L362" s="63"/>
      <c r="M362" s="55"/>
      <c r="N362" s="55"/>
      <c r="O362" s="55"/>
      <c r="P362" s="55"/>
      <c r="Q362" s="55"/>
      <c r="R362" s="63"/>
      <c r="S362" s="55"/>
    </row>
    <row r="363" spans="1:19" ht="15" x14ac:dyDescent="0.25">
      <c r="A363" s="109"/>
      <c r="B363" s="109"/>
      <c r="C363" s="55"/>
      <c r="D363" s="55"/>
      <c r="E363" s="55"/>
      <c r="F363" s="55"/>
      <c r="G363" s="63"/>
      <c r="H363" s="55"/>
      <c r="I363" s="55"/>
      <c r="J363" s="55"/>
      <c r="K363" s="55"/>
      <c r="L363" s="63"/>
      <c r="M363" s="55"/>
      <c r="N363" s="55"/>
      <c r="O363" s="55"/>
      <c r="P363" s="55"/>
      <c r="Q363" s="55"/>
      <c r="R363" s="63"/>
      <c r="S363" s="55"/>
    </row>
    <row r="364" spans="1:19" ht="15" x14ac:dyDescent="0.25">
      <c r="A364" s="109"/>
      <c r="B364" s="109"/>
      <c r="C364" s="55"/>
      <c r="D364" s="55"/>
      <c r="E364" s="55"/>
      <c r="F364" s="55"/>
      <c r="G364" s="63"/>
      <c r="H364" s="55"/>
      <c r="I364" s="55"/>
      <c r="J364" s="55"/>
      <c r="K364" s="55"/>
      <c r="L364" s="63"/>
      <c r="M364" s="55"/>
      <c r="N364" s="55"/>
      <c r="O364" s="55"/>
      <c r="P364" s="55"/>
      <c r="Q364" s="55"/>
      <c r="R364" s="63"/>
      <c r="S364" s="55"/>
    </row>
    <row r="365" spans="1:19" ht="15" x14ac:dyDescent="0.25">
      <c r="A365" s="109"/>
      <c r="B365" s="109"/>
      <c r="C365" s="55"/>
      <c r="D365" s="55"/>
      <c r="E365" s="55"/>
      <c r="F365" s="55"/>
      <c r="G365" s="63"/>
      <c r="H365" s="55"/>
      <c r="I365" s="55"/>
      <c r="J365" s="55"/>
      <c r="K365" s="55"/>
      <c r="L365" s="63"/>
      <c r="M365" s="55"/>
      <c r="N365" s="55"/>
      <c r="O365" s="55"/>
      <c r="P365" s="55"/>
      <c r="Q365" s="55"/>
      <c r="R365" s="63"/>
      <c r="S365" s="55"/>
    </row>
    <row r="366" spans="1:19" ht="15" x14ac:dyDescent="0.25">
      <c r="A366" s="109"/>
      <c r="B366" s="109"/>
      <c r="C366" s="55"/>
      <c r="D366" s="55"/>
      <c r="E366" s="55"/>
      <c r="F366" s="55"/>
      <c r="G366" s="63"/>
      <c r="H366" s="55"/>
      <c r="I366" s="55"/>
      <c r="J366" s="55"/>
      <c r="K366" s="55"/>
      <c r="L366" s="63"/>
      <c r="M366" s="55"/>
      <c r="N366" s="55"/>
      <c r="O366" s="55"/>
      <c r="P366" s="55"/>
      <c r="Q366" s="55"/>
      <c r="R366" s="63"/>
      <c r="S366" s="55"/>
    </row>
    <row r="367" spans="1:19" ht="15" x14ac:dyDescent="0.25">
      <c r="A367" s="109"/>
      <c r="B367" s="109"/>
      <c r="C367" s="55"/>
      <c r="D367" s="55"/>
      <c r="E367" s="55"/>
      <c r="F367" s="55"/>
      <c r="G367" s="63"/>
      <c r="H367" s="55"/>
      <c r="I367" s="55"/>
      <c r="J367" s="55"/>
      <c r="K367" s="55"/>
      <c r="L367" s="63"/>
      <c r="M367" s="55"/>
      <c r="N367" s="55"/>
      <c r="O367" s="55"/>
      <c r="P367" s="55"/>
      <c r="Q367" s="55"/>
      <c r="R367" s="63"/>
      <c r="S367" s="55"/>
    </row>
    <row r="368" spans="1:19" ht="15" x14ac:dyDescent="0.25">
      <c r="A368" s="109"/>
      <c r="B368" s="109"/>
      <c r="C368" s="55"/>
      <c r="D368" s="55"/>
      <c r="E368" s="55"/>
      <c r="F368" s="55"/>
      <c r="G368" s="63"/>
      <c r="H368" s="55"/>
      <c r="I368" s="55"/>
      <c r="J368" s="55"/>
      <c r="K368" s="55"/>
      <c r="L368" s="63"/>
      <c r="M368" s="55"/>
      <c r="N368" s="55"/>
      <c r="O368" s="55"/>
      <c r="P368" s="55"/>
      <c r="Q368" s="55"/>
      <c r="R368" s="63"/>
      <c r="S368" s="55"/>
    </row>
    <row r="369" spans="1:19" ht="15" x14ac:dyDescent="0.25">
      <c r="A369" s="109"/>
      <c r="B369" s="109"/>
      <c r="C369" s="55"/>
      <c r="D369" s="55"/>
      <c r="E369" s="55"/>
      <c r="F369" s="55"/>
      <c r="G369" s="63"/>
      <c r="H369" s="55"/>
      <c r="I369" s="55"/>
      <c r="J369" s="55"/>
      <c r="K369" s="55"/>
      <c r="L369" s="63"/>
      <c r="M369" s="55"/>
      <c r="N369" s="55"/>
      <c r="O369" s="55"/>
      <c r="P369" s="55"/>
      <c r="Q369" s="55"/>
      <c r="R369" s="63"/>
      <c r="S369" s="55"/>
    </row>
    <row r="370" spans="1:19" ht="15" x14ac:dyDescent="0.25">
      <c r="A370" s="109"/>
      <c r="B370" s="109"/>
      <c r="C370" s="55"/>
      <c r="D370" s="55"/>
      <c r="E370" s="55"/>
      <c r="F370" s="55"/>
      <c r="G370" s="63"/>
      <c r="H370" s="55"/>
      <c r="I370" s="55"/>
      <c r="J370" s="55"/>
      <c r="K370" s="55"/>
      <c r="L370" s="63"/>
      <c r="M370" s="55"/>
      <c r="N370" s="55"/>
      <c r="O370" s="55"/>
      <c r="P370" s="55"/>
      <c r="Q370" s="55"/>
      <c r="R370" s="63"/>
      <c r="S370" s="55"/>
    </row>
    <row r="371" spans="1:19" ht="15" x14ac:dyDescent="0.25">
      <c r="A371" s="109"/>
      <c r="B371" s="109"/>
      <c r="C371" s="55"/>
      <c r="D371" s="55"/>
      <c r="E371" s="55"/>
      <c r="F371" s="55"/>
      <c r="G371" s="63"/>
      <c r="H371" s="55"/>
      <c r="I371" s="55"/>
      <c r="J371" s="55"/>
      <c r="K371" s="55"/>
      <c r="L371" s="63"/>
      <c r="M371" s="55"/>
      <c r="N371" s="55"/>
      <c r="O371" s="55"/>
      <c r="P371" s="55"/>
      <c r="Q371" s="55"/>
      <c r="R371" s="63"/>
      <c r="S371" s="55"/>
    </row>
    <row r="372" spans="1:19" ht="15" x14ac:dyDescent="0.25">
      <c r="A372" s="109"/>
      <c r="B372" s="109"/>
      <c r="C372" s="55"/>
      <c r="D372" s="55"/>
      <c r="E372" s="55"/>
      <c r="F372" s="55"/>
      <c r="G372" s="63"/>
      <c r="H372" s="55"/>
      <c r="I372" s="55"/>
      <c r="J372" s="55"/>
      <c r="K372" s="55"/>
      <c r="L372" s="63"/>
      <c r="M372" s="55"/>
      <c r="N372" s="55"/>
      <c r="O372" s="55"/>
      <c r="P372" s="55"/>
      <c r="Q372" s="55"/>
      <c r="R372" s="63"/>
      <c r="S372" s="55"/>
    </row>
    <row r="373" spans="1:19" ht="15" x14ac:dyDescent="0.25">
      <c r="A373" s="109"/>
      <c r="B373" s="109"/>
      <c r="C373" s="55"/>
      <c r="D373" s="55"/>
      <c r="E373" s="55"/>
      <c r="F373" s="55"/>
      <c r="G373" s="63"/>
      <c r="H373" s="55"/>
      <c r="I373" s="55"/>
      <c r="J373" s="55"/>
      <c r="K373" s="55"/>
      <c r="L373" s="63"/>
      <c r="M373" s="55"/>
      <c r="N373" s="55"/>
      <c r="O373" s="55"/>
      <c r="P373" s="55"/>
      <c r="Q373" s="55"/>
      <c r="R373" s="63"/>
      <c r="S373" s="55"/>
    </row>
    <row r="374" spans="1:19" ht="15" x14ac:dyDescent="0.25">
      <c r="A374" s="109"/>
      <c r="B374" s="109"/>
      <c r="C374" s="55"/>
      <c r="D374" s="55"/>
      <c r="E374" s="55"/>
      <c r="F374" s="55"/>
      <c r="G374" s="63"/>
      <c r="H374" s="55"/>
      <c r="I374" s="55"/>
      <c r="J374" s="55"/>
      <c r="K374" s="55"/>
      <c r="L374" s="63"/>
      <c r="M374" s="55"/>
      <c r="N374" s="55"/>
      <c r="O374" s="55"/>
      <c r="P374" s="55"/>
      <c r="Q374" s="55"/>
      <c r="R374" s="63"/>
      <c r="S374" s="55"/>
    </row>
    <row r="375" spans="1:19" ht="15" x14ac:dyDescent="0.25">
      <c r="A375" s="109"/>
      <c r="B375" s="109"/>
      <c r="C375" s="55"/>
      <c r="D375" s="55"/>
      <c r="E375" s="55"/>
      <c r="F375" s="55"/>
      <c r="G375" s="63"/>
      <c r="H375" s="55"/>
      <c r="I375" s="55"/>
      <c r="J375" s="55"/>
      <c r="K375" s="55"/>
      <c r="L375" s="63"/>
      <c r="M375" s="55"/>
      <c r="N375" s="55"/>
      <c r="O375" s="55"/>
      <c r="P375" s="55"/>
      <c r="Q375" s="55"/>
      <c r="R375" s="63"/>
      <c r="S375" s="55"/>
    </row>
    <row r="376" spans="1:19" ht="15" x14ac:dyDescent="0.25">
      <c r="A376" s="109"/>
      <c r="B376" s="109"/>
      <c r="C376" s="55"/>
      <c r="D376" s="55"/>
      <c r="E376" s="55"/>
      <c r="F376" s="55"/>
      <c r="G376" s="63"/>
      <c r="H376" s="55"/>
      <c r="I376" s="55"/>
      <c r="J376" s="55"/>
      <c r="K376" s="55"/>
      <c r="L376" s="63"/>
      <c r="M376" s="55"/>
      <c r="N376" s="55"/>
      <c r="O376" s="55"/>
      <c r="P376" s="55"/>
      <c r="Q376" s="55"/>
      <c r="R376" s="63"/>
      <c r="S376" s="55"/>
    </row>
    <row r="377" spans="1:19" ht="15" x14ac:dyDescent="0.25">
      <c r="A377" s="109"/>
      <c r="B377" s="109"/>
      <c r="C377" s="55"/>
      <c r="D377" s="55"/>
      <c r="E377" s="55"/>
      <c r="F377" s="55"/>
      <c r="G377" s="63"/>
      <c r="H377" s="55"/>
      <c r="I377" s="55"/>
      <c r="J377" s="55"/>
      <c r="K377" s="55"/>
      <c r="L377" s="63"/>
      <c r="M377" s="55"/>
      <c r="N377" s="55"/>
      <c r="O377" s="55"/>
      <c r="P377" s="55"/>
      <c r="Q377" s="55"/>
      <c r="R377" s="63"/>
      <c r="S377" s="55"/>
    </row>
    <row r="378" spans="1:19" ht="15" x14ac:dyDescent="0.25">
      <c r="A378" s="109"/>
      <c r="B378" s="109"/>
      <c r="C378" s="55"/>
      <c r="D378" s="55"/>
      <c r="E378" s="55"/>
      <c r="F378" s="55"/>
      <c r="G378" s="63"/>
      <c r="H378" s="55"/>
      <c r="I378" s="55"/>
      <c r="J378" s="55"/>
      <c r="K378" s="55"/>
      <c r="L378" s="63"/>
      <c r="M378" s="55"/>
      <c r="N378" s="55"/>
      <c r="O378" s="55"/>
      <c r="P378" s="55"/>
      <c r="Q378" s="55"/>
      <c r="R378" s="63"/>
      <c r="S378" s="55"/>
    </row>
    <row r="379" spans="1:19" ht="15" x14ac:dyDescent="0.25">
      <c r="A379" s="109"/>
      <c r="B379" s="109"/>
      <c r="C379" s="55"/>
      <c r="D379" s="55"/>
      <c r="E379" s="55"/>
      <c r="F379" s="55"/>
      <c r="G379" s="63"/>
      <c r="H379" s="55"/>
      <c r="I379" s="55"/>
      <c r="J379" s="55"/>
      <c r="K379" s="55"/>
      <c r="L379" s="63"/>
      <c r="M379" s="55"/>
      <c r="N379" s="55"/>
      <c r="O379" s="55"/>
      <c r="P379" s="55"/>
      <c r="Q379" s="55"/>
      <c r="R379" s="63"/>
      <c r="S379" s="55"/>
    </row>
    <row r="380" spans="1:19" ht="15" x14ac:dyDescent="0.25">
      <c r="A380" s="109"/>
      <c r="B380" s="109"/>
      <c r="C380" s="55"/>
      <c r="D380" s="55"/>
      <c r="E380" s="55"/>
      <c r="F380" s="55"/>
      <c r="G380" s="63"/>
      <c r="H380" s="55"/>
      <c r="I380" s="55"/>
      <c r="J380" s="55"/>
      <c r="K380" s="55"/>
      <c r="L380" s="63"/>
      <c r="M380" s="55"/>
      <c r="N380" s="55"/>
      <c r="O380" s="55"/>
      <c r="P380" s="55"/>
      <c r="Q380" s="55"/>
      <c r="R380" s="63"/>
      <c r="S380" s="55"/>
    </row>
    <row r="381" spans="1:19" ht="15" x14ac:dyDescent="0.25">
      <c r="A381" s="109"/>
      <c r="B381" s="109"/>
      <c r="C381" s="55"/>
      <c r="D381" s="55"/>
      <c r="E381" s="55"/>
      <c r="F381" s="55"/>
      <c r="G381" s="63"/>
      <c r="H381" s="55"/>
      <c r="I381" s="55"/>
      <c r="J381" s="55"/>
      <c r="K381" s="55"/>
      <c r="L381" s="63"/>
      <c r="M381" s="55"/>
      <c r="N381" s="55"/>
      <c r="O381" s="55"/>
      <c r="P381" s="55"/>
      <c r="Q381" s="55"/>
      <c r="R381" s="63"/>
      <c r="S381" s="55"/>
    </row>
    <row r="382" spans="1:19" ht="15" x14ac:dyDescent="0.25">
      <c r="A382" s="109"/>
      <c r="B382" s="109"/>
      <c r="C382" s="55"/>
      <c r="D382" s="55"/>
      <c r="E382" s="55"/>
      <c r="F382" s="55"/>
      <c r="G382" s="63"/>
      <c r="H382" s="55"/>
      <c r="I382" s="55"/>
      <c r="J382" s="55"/>
      <c r="K382" s="55"/>
      <c r="L382" s="63"/>
      <c r="M382" s="55"/>
      <c r="N382" s="55"/>
      <c r="O382" s="55"/>
      <c r="P382" s="55"/>
      <c r="Q382" s="55"/>
      <c r="R382" s="63"/>
      <c r="S382" s="55"/>
    </row>
    <row r="383" spans="1:19" ht="15" x14ac:dyDescent="0.25">
      <c r="A383" s="109"/>
      <c r="B383" s="109"/>
      <c r="C383" s="55"/>
      <c r="D383" s="55"/>
      <c r="E383" s="55"/>
      <c r="F383" s="55"/>
      <c r="G383" s="63"/>
      <c r="H383" s="55"/>
      <c r="I383" s="55"/>
      <c r="J383" s="55"/>
      <c r="K383" s="55"/>
      <c r="L383" s="63"/>
      <c r="M383" s="55"/>
      <c r="N383" s="55"/>
      <c r="O383" s="55"/>
      <c r="P383" s="55"/>
      <c r="Q383" s="55"/>
      <c r="R383" s="63"/>
      <c r="S383" s="55"/>
    </row>
    <row r="384" spans="1:19" ht="15" x14ac:dyDescent="0.25">
      <c r="A384" s="109"/>
      <c r="B384" s="109"/>
      <c r="C384" s="55"/>
      <c r="D384" s="55"/>
      <c r="E384" s="55"/>
      <c r="F384" s="55"/>
      <c r="G384" s="63"/>
      <c r="H384" s="55"/>
      <c r="I384" s="55"/>
      <c r="J384" s="55"/>
      <c r="K384" s="55"/>
      <c r="L384" s="63"/>
      <c r="M384" s="55"/>
      <c r="N384" s="55"/>
      <c r="O384" s="55"/>
      <c r="P384" s="55"/>
      <c r="Q384" s="55"/>
      <c r="R384" s="63"/>
      <c r="S384" s="55"/>
    </row>
    <row r="385" spans="1:19" ht="15" x14ac:dyDescent="0.25">
      <c r="A385" s="109"/>
      <c r="B385" s="109"/>
      <c r="C385" s="55"/>
      <c r="D385" s="55"/>
      <c r="E385" s="55"/>
      <c r="F385" s="55"/>
      <c r="G385" s="63"/>
      <c r="H385" s="55"/>
      <c r="I385" s="55"/>
      <c r="J385" s="55"/>
      <c r="K385" s="55"/>
      <c r="L385" s="63"/>
      <c r="M385" s="55"/>
      <c r="N385" s="55"/>
      <c r="O385" s="55"/>
      <c r="P385" s="55"/>
      <c r="Q385" s="55"/>
      <c r="R385" s="63"/>
      <c r="S385" s="55"/>
    </row>
    <row r="386" spans="1:19" ht="15" x14ac:dyDescent="0.25">
      <c r="A386" s="109"/>
      <c r="B386" s="109"/>
      <c r="C386" s="55"/>
      <c r="D386" s="55"/>
      <c r="E386" s="55"/>
      <c r="F386" s="55"/>
      <c r="G386" s="63"/>
      <c r="H386" s="55"/>
      <c r="I386" s="55"/>
      <c r="J386" s="55"/>
      <c r="K386" s="55"/>
      <c r="L386" s="63"/>
      <c r="M386" s="55"/>
      <c r="N386" s="55"/>
      <c r="O386" s="55"/>
      <c r="P386" s="55"/>
      <c r="Q386" s="55"/>
      <c r="R386" s="63"/>
      <c r="S386" s="55"/>
    </row>
    <row r="387" spans="1:19" ht="15" x14ac:dyDescent="0.25">
      <c r="A387" s="109"/>
      <c r="B387" s="109"/>
      <c r="C387" s="55"/>
      <c r="D387" s="55"/>
      <c r="E387" s="55"/>
      <c r="F387" s="55"/>
      <c r="G387" s="63"/>
      <c r="H387" s="55"/>
      <c r="I387" s="55"/>
      <c r="J387" s="55"/>
      <c r="K387" s="55"/>
      <c r="L387" s="63"/>
      <c r="M387" s="55"/>
      <c r="N387" s="55"/>
      <c r="O387" s="55"/>
      <c r="P387" s="55"/>
      <c r="Q387" s="55"/>
      <c r="R387" s="63"/>
      <c r="S387" s="55"/>
    </row>
    <row r="388" spans="1:19" ht="15" x14ac:dyDescent="0.25">
      <c r="A388" s="109"/>
      <c r="B388" s="109"/>
      <c r="C388" s="55"/>
      <c r="D388" s="55"/>
      <c r="E388" s="55"/>
      <c r="F388" s="55"/>
      <c r="G388" s="63"/>
      <c r="H388" s="55"/>
      <c r="I388" s="55"/>
      <c r="J388" s="55"/>
      <c r="K388" s="55"/>
      <c r="L388" s="63"/>
      <c r="M388" s="55"/>
      <c r="N388" s="55"/>
      <c r="O388" s="55"/>
      <c r="P388" s="55"/>
      <c r="Q388" s="55"/>
      <c r="R388" s="63"/>
      <c r="S388" s="55"/>
    </row>
    <row r="389" spans="1:19" ht="15" x14ac:dyDescent="0.25">
      <c r="A389" s="109"/>
      <c r="B389" s="109"/>
      <c r="C389" s="55"/>
      <c r="D389" s="55"/>
      <c r="E389" s="55"/>
      <c r="F389" s="55"/>
      <c r="G389" s="63"/>
      <c r="H389" s="55"/>
      <c r="I389" s="55"/>
      <c r="J389" s="55"/>
      <c r="K389" s="55"/>
      <c r="L389" s="63"/>
      <c r="M389" s="55"/>
      <c r="N389" s="55"/>
      <c r="O389" s="55"/>
      <c r="P389" s="55"/>
      <c r="Q389" s="55"/>
      <c r="R389" s="63"/>
      <c r="S389" s="55"/>
    </row>
    <row r="390" spans="1:19" ht="15" x14ac:dyDescent="0.25">
      <c r="A390" s="109"/>
      <c r="B390" s="109"/>
      <c r="C390" s="55"/>
      <c r="D390" s="55"/>
      <c r="E390" s="55"/>
      <c r="F390" s="55"/>
      <c r="G390" s="63"/>
      <c r="H390" s="55"/>
      <c r="I390" s="55"/>
      <c r="J390" s="55"/>
      <c r="K390" s="55"/>
      <c r="L390" s="63"/>
      <c r="M390" s="55"/>
      <c r="N390" s="55"/>
      <c r="O390" s="55"/>
      <c r="P390" s="55"/>
      <c r="Q390" s="55"/>
      <c r="R390" s="63"/>
      <c r="S390" s="55"/>
    </row>
    <row r="391" spans="1:19" ht="15" x14ac:dyDescent="0.25">
      <c r="A391" s="109"/>
      <c r="B391" s="109"/>
      <c r="C391" s="55"/>
      <c r="D391" s="55"/>
      <c r="E391" s="55"/>
      <c r="F391" s="55"/>
      <c r="G391" s="63"/>
      <c r="H391" s="55"/>
      <c r="I391" s="55"/>
      <c r="J391" s="55"/>
      <c r="K391" s="55"/>
      <c r="L391" s="63"/>
      <c r="M391" s="55"/>
      <c r="N391" s="55"/>
      <c r="O391" s="55"/>
      <c r="P391" s="55"/>
      <c r="Q391" s="55"/>
      <c r="R391" s="63"/>
      <c r="S391" s="55"/>
    </row>
    <row r="392" spans="1:19" ht="15" x14ac:dyDescent="0.25">
      <c r="A392" s="109"/>
      <c r="B392" s="109"/>
      <c r="C392" s="55"/>
      <c r="D392" s="55"/>
      <c r="E392" s="55"/>
      <c r="F392" s="55"/>
      <c r="G392" s="63"/>
      <c r="H392" s="55"/>
      <c r="I392" s="55"/>
      <c r="J392" s="55"/>
      <c r="K392" s="55"/>
      <c r="L392" s="63"/>
      <c r="M392" s="55"/>
      <c r="N392" s="55"/>
      <c r="O392" s="55"/>
      <c r="P392" s="55"/>
      <c r="Q392" s="55"/>
      <c r="R392" s="63"/>
      <c r="S392" s="55"/>
    </row>
    <row r="393" spans="1:19" ht="15" x14ac:dyDescent="0.25">
      <c r="A393" s="109"/>
      <c r="B393" s="109"/>
      <c r="C393" s="55"/>
      <c r="D393" s="55"/>
      <c r="E393" s="55"/>
      <c r="F393" s="55"/>
      <c r="G393" s="63"/>
      <c r="H393" s="55"/>
      <c r="I393" s="55"/>
      <c r="J393" s="55"/>
      <c r="K393" s="55"/>
      <c r="L393" s="63"/>
      <c r="M393" s="55"/>
      <c r="N393" s="55"/>
      <c r="O393" s="55"/>
      <c r="P393" s="55"/>
      <c r="Q393" s="55"/>
      <c r="R393" s="63"/>
      <c r="S393" s="55"/>
    </row>
    <row r="394" spans="1:19" ht="15" x14ac:dyDescent="0.25">
      <c r="A394" s="109"/>
      <c r="B394" s="109"/>
      <c r="C394" s="55"/>
      <c r="D394" s="55"/>
      <c r="E394" s="55"/>
      <c r="F394" s="55"/>
      <c r="G394" s="63"/>
      <c r="H394" s="55"/>
      <c r="I394" s="55"/>
      <c r="J394" s="55"/>
      <c r="K394" s="55"/>
      <c r="L394" s="63"/>
      <c r="M394" s="55"/>
      <c r="N394" s="55"/>
      <c r="O394" s="55"/>
      <c r="P394" s="55"/>
      <c r="Q394" s="55"/>
      <c r="R394" s="63"/>
      <c r="S394" s="55"/>
    </row>
    <row r="395" spans="1:19" ht="15" x14ac:dyDescent="0.25">
      <c r="A395" s="109"/>
      <c r="B395" s="109"/>
      <c r="C395" s="55"/>
      <c r="D395" s="55"/>
      <c r="E395" s="55"/>
      <c r="F395" s="55"/>
      <c r="G395" s="63"/>
      <c r="H395" s="55"/>
      <c r="I395" s="55"/>
      <c r="J395" s="55"/>
      <c r="K395" s="55"/>
      <c r="L395" s="63"/>
      <c r="M395" s="55"/>
      <c r="N395" s="55"/>
      <c r="O395" s="55"/>
      <c r="P395" s="55"/>
      <c r="Q395" s="55"/>
      <c r="R395" s="63"/>
      <c r="S395" s="55"/>
    </row>
    <row r="396" spans="1:19" ht="15" x14ac:dyDescent="0.25">
      <c r="A396" s="109"/>
      <c r="B396" s="109"/>
      <c r="C396" s="55"/>
      <c r="D396" s="55"/>
      <c r="E396" s="55"/>
      <c r="F396" s="55"/>
      <c r="G396" s="63"/>
      <c r="H396" s="55"/>
      <c r="I396" s="55"/>
      <c r="J396" s="55"/>
      <c r="K396" s="55"/>
      <c r="L396" s="63"/>
      <c r="M396" s="55"/>
      <c r="N396" s="55"/>
      <c r="O396" s="55"/>
      <c r="P396" s="55"/>
      <c r="Q396" s="55"/>
      <c r="R396" s="63"/>
      <c r="S396" s="55"/>
    </row>
    <row r="397" spans="1:19" ht="15" x14ac:dyDescent="0.25">
      <c r="A397" s="109"/>
      <c r="B397" s="109"/>
      <c r="C397" s="55"/>
      <c r="D397" s="55"/>
      <c r="E397" s="55"/>
      <c r="F397" s="55"/>
      <c r="G397" s="63"/>
      <c r="H397" s="55"/>
      <c r="I397" s="55"/>
      <c r="J397" s="55"/>
      <c r="K397" s="55"/>
      <c r="L397" s="63"/>
      <c r="M397" s="55"/>
      <c r="N397" s="55"/>
      <c r="O397" s="55"/>
      <c r="P397" s="55"/>
      <c r="Q397" s="55"/>
      <c r="R397" s="63"/>
      <c r="S397" s="55"/>
    </row>
    <row r="398" spans="1:19" ht="15" x14ac:dyDescent="0.25">
      <c r="A398" s="109"/>
      <c r="B398" s="109"/>
      <c r="C398" s="55"/>
      <c r="D398" s="55"/>
      <c r="E398" s="55"/>
      <c r="F398" s="55"/>
      <c r="G398" s="63"/>
      <c r="H398" s="55"/>
      <c r="I398" s="55"/>
      <c r="J398" s="55"/>
      <c r="K398" s="55"/>
      <c r="L398" s="63"/>
      <c r="M398" s="55"/>
      <c r="N398" s="55"/>
      <c r="O398" s="55"/>
      <c r="P398" s="55"/>
      <c r="Q398" s="55"/>
      <c r="R398" s="63"/>
      <c r="S398" s="55"/>
    </row>
    <row r="399" spans="1:19" ht="15" x14ac:dyDescent="0.25">
      <c r="A399" s="109"/>
      <c r="B399" s="109"/>
      <c r="C399" s="55"/>
      <c r="D399" s="55"/>
      <c r="E399" s="55"/>
      <c r="F399" s="55"/>
      <c r="G399" s="63"/>
      <c r="H399" s="55"/>
      <c r="I399" s="55"/>
      <c r="J399" s="55"/>
      <c r="K399" s="55"/>
      <c r="L399" s="63"/>
      <c r="M399" s="55"/>
      <c r="N399" s="55"/>
      <c r="O399" s="55"/>
      <c r="P399" s="55"/>
      <c r="Q399" s="55"/>
      <c r="R399" s="63"/>
      <c r="S399" s="55"/>
    </row>
    <row r="400" spans="1:19" ht="15" x14ac:dyDescent="0.25">
      <c r="A400" s="109"/>
      <c r="B400" s="109"/>
      <c r="C400" s="55"/>
      <c r="D400" s="55"/>
      <c r="E400" s="55"/>
      <c r="F400" s="55"/>
      <c r="G400" s="63"/>
      <c r="H400" s="55"/>
      <c r="I400" s="55"/>
      <c r="J400" s="55"/>
      <c r="K400" s="55"/>
      <c r="L400" s="63"/>
      <c r="M400" s="55"/>
      <c r="N400" s="55"/>
      <c r="O400" s="55"/>
      <c r="P400" s="55"/>
      <c r="Q400" s="55"/>
      <c r="R400" s="63"/>
      <c r="S400" s="55"/>
    </row>
    <row r="401" spans="1:19" ht="15" x14ac:dyDescent="0.25">
      <c r="A401" s="109"/>
      <c r="B401" s="109"/>
      <c r="C401" s="55"/>
      <c r="D401" s="55"/>
      <c r="E401" s="55"/>
      <c r="F401" s="55"/>
      <c r="G401" s="63"/>
      <c r="H401" s="55"/>
      <c r="I401" s="55"/>
      <c r="J401" s="55"/>
      <c r="K401" s="55"/>
      <c r="L401" s="63"/>
      <c r="M401" s="55"/>
      <c r="N401" s="55"/>
      <c r="O401" s="55"/>
      <c r="P401" s="55"/>
      <c r="Q401" s="55"/>
      <c r="R401" s="63"/>
      <c r="S401" s="55"/>
    </row>
    <row r="402" spans="1:19" ht="15" x14ac:dyDescent="0.25">
      <c r="A402" s="109"/>
      <c r="B402" s="109"/>
      <c r="C402" s="55"/>
      <c r="D402" s="55"/>
      <c r="E402" s="55"/>
      <c r="F402" s="55"/>
      <c r="G402" s="63"/>
      <c r="H402" s="55"/>
      <c r="I402" s="55"/>
      <c r="J402" s="55"/>
      <c r="K402" s="55"/>
      <c r="L402" s="63"/>
      <c r="M402" s="55"/>
      <c r="N402" s="55"/>
      <c r="O402" s="55"/>
      <c r="P402" s="55"/>
      <c r="Q402" s="55"/>
      <c r="R402" s="63"/>
      <c r="S402" s="55"/>
    </row>
    <row r="403" spans="1:19" ht="15" x14ac:dyDescent="0.25">
      <c r="A403" s="109"/>
      <c r="B403" s="109"/>
      <c r="C403" s="55"/>
      <c r="D403" s="55"/>
      <c r="E403" s="55"/>
      <c r="F403" s="55"/>
      <c r="G403" s="63"/>
      <c r="H403" s="55"/>
      <c r="I403" s="55"/>
      <c r="J403" s="55"/>
      <c r="K403" s="55"/>
      <c r="L403" s="63"/>
      <c r="M403" s="55"/>
      <c r="N403" s="55"/>
      <c r="O403" s="55"/>
      <c r="P403" s="55"/>
      <c r="Q403" s="55"/>
      <c r="R403" s="63"/>
      <c r="S403" s="55"/>
    </row>
    <row r="404" spans="1:19" ht="15" x14ac:dyDescent="0.25">
      <c r="A404" s="109"/>
      <c r="B404" s="109"/>
      <c r="C404" s="55"/>
      <c r="D404" s="55"/>
      <c r="E404" s="55"/>
      <c r="F404" s="55"/>
      <c r="G404" s="63"/>
      <c r="H404" s="55"/>
      <c r="I404" s="55"/>
      <c r="J404" s="55"/>
      <c r="K404" s="55"/>
      <c r="L404" s="63"/>
      <c r="M404" s="55"/>
      <c r="N404" s="55"/>
      <c r="O404" s="55"/>
      <c r="P404" s="55"/>
      <c r="Q404" s="55"/>
      <c r="R404" s="63"/>
      <c r="S404" s="55"/>
    </row>
    <row r="405" spans="1:19" ht="15" x14ac:dyDescent="0.25">
      <c r="A405" s="109"/>
      <c r="B405" s="109"/>
      <c r="C405" s="55"/>
      <c r="D405" s="55"/>
      <c r="E405" s="55"/>
      <c r="F405" s="55"/>
      <c r="G405" s="63"/>
      <c r="H405" s="55"/>
      <c r="I405" s="55"/>
      <c r="J405" s="55"/>
      <c r="K405" s="55"/>
      <c r="L405" s="63"/>
      <c r="M405" s="55"/>
      <c r="N405" s="55"/>
      <c r="O405" s="55"/>
      <c r="P405" s="55"/>
      <c r="Q405" s="55"/>
      <c r="R405" s="63"/>
      <c r="S405" s="55"/>
    </row>
    <row r="406" spans="1:19" ht="15" x14ac:dyDescent="0.25">
      <c r="A406" s="109"/>
      <c r="B406" s="109"/>
      <c r="C406" s="55"/>
      <c r="D406" s="55"/>
      <c r="E406" s="55"/>
      <c r="F406" s="55"/>
      <c r="G406" s="63"/>
      <c r="H406" s="55"/>
      <c r="I406" s="55"/>
      <c r="J406" s="55"/>
      <c r="K406" s="55"/>
      <c r="L406" s="63"/>
      <c r="M406" s="55"/>
      <c r="N406" s="55"/>
      <c r="O406" s="55"/>
      <c r="P406" s="55"/>
      <c r="Q406" s="55"/>
      <c r="R406" s="63"/>
      <c r="S406" s="55"/>
    </row>
    <row r="407" spans="1:19" ht="15" x14ac:dyDescent="0.25">
      <c r="A407" s="109"/>
      <c r="B407" s="109"/>
      <c r="C407" s="55"/>
      <c r="D407" s="55"/>
      <c r="E407" s="55"/>
      <c r="F407" s="55"/>
      <c r="G407" s="63"/>
      <c r="H407" s="55"/>
      <c r="I407" s="55"/>
      <c r="J407" s="55"/>
      <c r="K407" s="55"/>
      <c r="L407" s="63"/>
      <c r="M407" s="55"/>
      <c r="N407" s="55"/>
      <c r="O407" s="55"/>
      <c r="P407" s="55"/>
      <c r="Q407" s="55"/>
      <c r="R407" s="63"/>
      <c r="S407" s="55"/>
    </row>
    <row r="408" spans="1:19" ht="15" x14ac:dyDescent="0.25">
      <c r="A408" s="109"/>
      <c r="B408" s="109"/>
      <c r="C408" s="55"/>
      <c r="D408" s="55"/>
      <c r="E408" s="55"/>
      <c r="F408" s="55"/>
      <c r="G408" s="63"/>
      <c r="H408" s="55"/>
      <c r="I408" s="55"/>
      <c r="J408" s="55"/>
      <c r="K408" s="55"/>
      <c r="L408" s="63"/>
      <c r="M408" s="55"/>
      <c r="N408" s="55"/>
      <c r="O408" s="55"/>
      <c r="P408" s="55"/>
      <c r="Q408" s="55"/>
      <c r="R408" s="63"/>
      <c r="S408" s="55"/>
    </row>
    <row r="409" spans="1:19" ht="15" x14ac:dyDescent="0.25">
      <c r="A409" s="109"/>
      <c r="B409" s="109"/>
      <c r="C409" s="55"/>
      <c r="D409" s="55"/>
      <c r="E409" s="55"/>
      <c r="F409" s="55"/>
      <c r="G409" s="63"/>
      <c r="H409" s="55"/>
      <c r="I409" s="55"/>
      <c r="J409" s="55"/>
      <c r="K409" s="55"/>
      <c r="L409" s="63"/>
      <c r="M409" s="55"/>
      <c r="N409" s="55"/>
      <c r="O409" s="55"/>
      <c r="P409" s="55"/>
      <c r="Q409" s="55"/>
      <c r="R409" s="63"/>
      <c r="S409" s="55"/>
    </row>
    <row r="410" spans="1:19" ht="15" x14ac:dyDescent="0.25">
      <c r="A410" s="109"/>
      <c r="B410" s="109"/>
      <c r="C410" s="55"/>
      <c r="D410" s="55"/>
      <c r="E410" s="55"/>
      <c r="F410" s="55"/>
      <c r="G410" s="63"/>
      <c r="H410" s="55"/>
      <c r="I410" s="55"/>
      <c r="J410" s="55"/>
      <c r="K410" s="55"/>
      <c r="L410" s="63"/>
      <c r="M410" s="55"/>
      <c r="N410" s="55"/>
      <c r="O410" s="55"/>
      <c r="P410" s="55"/>
      <c r="Q410" s="55"/>
      <c r="R410" s="63"/>
      <c r="S410" s="55"/>
    </row>
    <row r="411" spans="1:19" ht="15" x14ac:dyDescent="0.25">
      <c r="A411" s="109"/>
      <c r="B411" s="109"/>
      <c r="C411" s="55"/>
      <c r="D411" s="55"/>
      <c r="E411" s="55"/>
      <c r="F411" s="55"/>
      <c r="G411" s="63"/>
      <c r="H411" s="55"/>
      <c r="I411" s="55"/>
      <c r="J411" s="55"/>
      <c r="K411" s="55"/>
      <c r="L411" s="63"/>
      <c r="M411" s="55"/>
      <c r="N411" s="55"/>
      <c r="O411" s="55"/>
      <c r="P411" s="55"/>
      <c r="Q411" s="55"/>
      <c r="R411" s="63"/>
      <c r="S411" s="55"/>
    </row>
    <row r="412" spans="1:19" ht="15" x14ac:dyDescent="0.25">
      <c r="A412" s="109"/>
      <c r="B412" s="109"/>
      <c r="C412" s="55"/>
      <c r="D412" s="55"/>
      <c r="E412" s="55"/>
      <c r="F412" s="55"/>
      <c r="G412" s="63"/>
      <c r="H412" s="55"/>
      <c r="I412" s="55"/>
      <c r="J412" s="55"/>
      <c r="K412" s="55"/>
      <c r="L412" s="63"/>
      <c r="M412" s="55"/>
      <c r="N412" s="55"/>
      <c r="O412" s="55"/>
      <c r="P412" s="55"/>
      <c r="Q412" s="55"/>
      <c r="R412" s="63"/>
      <c r="S412" s="55"/>
    </row>
    <row r="413" spans="1:19" ht="15" x14ac:dyDescent="0.25">
      <c r="A413" s="109"/>
      <c r="B413" s="109"/>
      <c r="C413" s="55"/>
      <c r="D413" s="55"/>
      <c r="E413" s="55"/>
      <c r="F413" s="55"/>
      <c r="G413" s="63"/>
      <c r="H413" s="55"/>
      <c r="I413" s="55"/>
      <c r="J413" s="55"/>
      <c r="K413" s="55"/>
      <c r="L413" s="63"/>
      <c r="M413" s="55"/>
      <c r="N413" s="55"/>
      <c r="O413" s="55"/>
      <c r="P413" s="55"/>
      <c r="Q413" s="55"/>
      <c r="R413" s="63"/>
      <c r="S413" s="55"/>
    </row>
    <row r="414" spans="1:19" ht="15" x14ac:dyDescent="0.25">
      <c r="A414" s="109"/>
      <c r="B414" s="109"/>
      <c r="C414" s="55"/>
      <c r="D414" s="55"/>
      <c r="E414" s="55"/>
      <c r="F414" s="55"/>
      <c r="G414" s="63"/>
      <c r="H414" s="55"/>
      <c r="I414" s="55"/>
      <c r="J414" s="55"/>
      <c r="K414" s="55"/>
      <c r="L414" s="63"/>
      <c r="M414" s="55"/>
      <c r="N414" s="55"/>
      <c r="O414" s="55"/>
      <c r="P414" s="55"/>
      <c r="Q414" s="55"/>
      <c r="R414" s="63"/>
      <c r="S414" s="55"/>
    </row>
    <row r="415" spans="1:19" ht="15" x14ac:dyDescent="0.25">
      <c r="A415" s="109"/>
      <c r="B415" s="109"/>
      <c r="C415" s="55"/>
      <c r="D415" s="55"/>
      <c r="E415" s="55"/>
      <c r="F415" s="55"/>
      <c r="G415" s="63"/>
      <c r="H415" s="55"/>
      <c r="I415" s="55"/>
      <c r="J415" s="55"/>
      <c r="K415" s="55"/>
      <c r="L415" s="63"/>
      <c r="M415" s="55"/>
      <c r="N415" s="55"/>
      <c r="O415" s="55"/>
      <c r="P415" s="55"/>
      <c r="Q415" s="55"/>
      <c r="R415" s="63"/>
      <c r="S415" s="55"/>
    </row>
    <row r="416" spans="1:19" ht="15" x14ac:dyDescent="0.25">
      <c r="A416" s="109"/>
      <c r="B416" s="109"/>
      <c r="C416" s="55"/>
      <c r="D416" s="55"/>
      <c r="E416" s="55"/>
      <c r="F416" s="55"/>
      <c r="G416" s="63"/>
      <c r="H416" s="55"/>
      <c r="I416" s="55"/>
      <c r="J416" s="55"/>
      <c r="K416" s="55"/>
      <c r="L416" s="63"/>
      <c r="M416" s="55"/>
      <c r="N416" s="55"/>
      <c r="O416" s="55"/>
      <c r="P416" s="55"/>
      <c r="Q416" s="55"/>
      <c r="R416" s="63"/>
      <c r="S416" s="55"/>
    </row>
    <row r="417" spans="1:19" ht="15" x14ac:dyDescent="0.25">
      <c r="A417" s="109"/>
      <c r="B417" s="109"/>
      <c r="C417" s="55"/>
      <c r="D417" s="55"/>
      <c r="E417" s="55"/>
      <c r="F417" s="55"/>
      <c r="G417" s="63"/>
      <c r="H417" s="55"/>
      <c r="I417" s="55"/>
      <c r="J417" s="55"/>
      <c r="K417" s="55"/>
      <c r="L417" s="63"/>
      <c r="M417" s="55"/>
      <c r="N417" s="55"/>
      <c r="O417" s="55"/>
      <c r="P417" s="55"/>
      <c r="Q417" s="55"/>
      <c r="R417" s="63"/>
      <c r="S417" s="55"/>
    </row>
    <row r="418" spans="1:19" ht="15" x14ac:dyDescent="0.25">
      <c r="A418" s="109"/>
      <c r="B418" s="109"/>
      <c r="C418" s="55"/>
      <c r="D418" s="55"/>
      <c r="E418" s="55"/>
      <c r="F418" s="55"/>
      <c r="G418" s="63"/>
      <c r="H418" s="55"/>
      <c r="I418" s="55"/>
      <c r="J418" s="55"/>
      <c r="K418" s="55"/>
      <c r="L418" s="63"/>
      <c r="M418" s="55"/>
      <c r="N418" s="55"/>
      <c r="O418" s="55"/>
      <c r="P418" s="55"/>
      <c r="Q418" s="55"/>
      <c r="R418" s="63"/>
      <c r="S418" s="55"/>
    </row>
    <row r="419" spans="1:19" ht="15" x14ac:dyDescent="0.25">
      <c r="A419" s="109"/>
      <c r="B419" s="109"/>
      <c r="C419" s="55"/>
      <c r="D419" s="55"/>
      <c r="E419" s="55"/>
      <c r="F419" s="55"/>
      <c r="G419" s="63"/>
      <c r="H419" s="55"/>
      <c r="I419" s="55"/>
      <c r="J419" s="55"/>
      <c r="K419" s="55"/>
      <c r="L419" s="63"/>
      <c r="M419" s="55"/>
      <c r="N419" s="55"/>
      <c r="O419" s="55"/>
      <c r="P419" s="55"/>
      <c r="Q419" s="55"/>
      <c r="R419" s="63"/>
      <c r="S419" s="55"/>
    </row>
    <row r="420" spans="1:19" ht="15" x14ac:dyDescent="0.25">
      <c r="A420" s="109"/>
      <c r="B420" s="109"/>
      <c r="C420" s="55"/>
      <c r="D420" s="55"/>
      <c r="E420" s="55"/>
      <c r="F420" s="55"/>
      <c r="G420" s="63"/>
      <c r="H420" s="55"/>
      <c r="I420" s="55"/>
      <c r="J420" s="55"/>
      <c r="K420" s="55"/>
      <c r="L420" s="63"/>
      <c r="M420" s="55"/>
      <c r="N420" s="55"/>
      <c r="O420" s="55"/>
      <c r="P420" s="55"/>
      <c r="Q420" s="55"/>
      <c r="R420" s="63"/>
      <c r="S420" s="55"/>
    </row>
    <row r="421" spans="1:19" ht="15" x14ac:dyDescent="0.25">
      <c r="A421" s="109"/>
      <c r="B421" s="109"/>
      <c r="C421" s="55"/>
      <c r="D421" s="55"/>
      <c r="E421" s="55"/>
      <c r="F421" s="55"/>
      <c r="G421" s="63"/>
      <c r="H421" s="55"/>
      <c r="I421" s="55"/>
      <c r="J421" s="55"/>
      <c r="K421" s="55"/>
      <c r="L421" s="63"/>
      <c r="M421" s="55"/>
      <c r="N421" s="55"/>
      <c r="O421" s="55"/>
      <c r="P421" s="55"/>
      <c r="Q421" s="55"/>
      <c r="R421" s="63"/>
      <c r="S421" s="55"/>
    </row>
    <row r="422" spans="1:19" ht="15" x14ac:dyDescent="0.25">
      <c r="A422" s="109"/>
      <c r="B422" s="109"/>
      <c r="C422" s="55"/>
      <c r="D422" s="55"/>
      <c r="E422" s="55"/>
      <c r="F422" s="55"/>
      <c r="G422" s="63"/>
      <c r="H422" s="55"/>
      <c r="I422" s="55"/>
      <c r="J422" s="55"/>
      <c r="K422" s="55"/>
      <c r="L422" s="63"/>
      <c r="M422" s="55"/>
      <c r="N422" s="55"/>
      <c r="O422" s="55"/>
      <c r="P422" s="55"/>
      <c r="Q422" s="55"/>
      <c r="R422" s="63"/>
      <c r="S422" s="55"/>
    </row>
    <row r="423" spans="1:19" ht="15" x14ac:dyDescent="0.25">
      <c r="A423" s="109"/>
      <c r="B423" s="109"/>
      <c r="C423" s="55"/>
      <c r="D423" s="55"/>
      <c r="E423" s="55"/>
      <c r="F423" s="55"/>
      <c r="G423" s="63"/>
      <c r="H423" s="55"/>
      <c r="I423" s="55"/>
      <c r="J423" s="55"/>
      <c r="K423" s="55"/>
      <c r="L423" s="63"/>
      <c r="M423" s="55"/>
      <c r="N423" s="55"/>
      <c r="O423" s="55"/>
      <c r="P423" s="55"/>
      <c r="Q423" s="55"/>
      <c r="R423" s="63"/>
      <c r="S423" s="55"/>
    </row>
    <row r="424" spans="1:19" ht="15" x14ac:dyDescent="0.25">
      <c r="A424" s="109"/>
      <c r="B424" s="109"/>
      <c r="C424" s="55"/>
      <c r="D424" s="55"/>
      <c r="E424" s="55"/>
      <c r="F424" s="55"/>
      <c r="G424" s="63"/>
      <c r="H424" s="55"/>
      <c r="I424" s="55"/>
      <c r="J424" s="55"/>
      <c r="K424" s="55"/>
      <c r="L424" s="63"/>
      <c r="M424" s="55"/>
      <c r="N424" s="55"/>
      <c r="O424" s="55"/>
      <c r="P424" s="55"/>
      <c r="Q424" s="55"/>
      <c r="R424" s="63"/>
      <c r="S424" s="55"/>
    </row>
    <row r="425" spans="1:19" ht="15" x14ac:dyDescent="0.25">
      <c r="A425" s="109"/>
      <c r="B425" s="109"/>
      <c r="C425" s="55"/>
      <c r="D425" s="55"/>
      <c r="E425" s="55"/>
      <c r="F425" s="55"/>
      <c r="G425" s="63"/>
      <c r="H425" s="55"/>
      <c r="I425" s="55"/>
      <c r="J425" s="55"/>
      <c r="K425" s="55"/>
      <c r="L425" s="63"/>
      <c r="M425" s="55"/>
      <c r="N425" s="55"/>
      <c r="O425" s="55"/>
      <c r="P425" s="55"/>
      <c r="Q425" s="55"/>
      <c r="R425" s="63"/>
      <c r="S425" s="55"/>
    </row>
    <row r="426" spans="1:19" ht="15" x14ac:dyDescent="0.25">
      <c r="A426" s="109"/>
      <c r="B426" s="109"/>
      <c r="C426" s="55"/>
      <c r="D426" s="55"/>
      <c r="E426" s="55"/>
      <c r="F426" s="55"/>
      <c r="G426" s="63"/>
      <c r="H426" s="55"/>
      <c r="I426" s="55"/>
      <c r="J426" s="55"/>
      <c r="K426" s="55"/>
      <c r="L426" s="63"/>
      <c r="M426" s="55"/>
      <c r="N426" s="55"/>
      <c r="O426" s="55"/>
      <c r="P426" s="55"/>
      <c r="Q426" s="55"/>
      <c r="R426" s="63"/>
      <c r="S426" s="55"/>
    </row>
    <row r="427" spans="1:19" ht="15" x14ac:dyDescent="0.25">
      <c r="A427" s="109"/>
      <c r="B427" s="109"/>
      <c r="C427" s="55"/>
      <c r="D427" s="55"/>
      <c r="E427" s="55"/>
      <c r="F427" s="55"/>
      <c r="G427" s="63"/>
      <c r="H427" s="55"/>
      <c r="I427" s="55"/>
      <c r="J427" s="55"/>
      <c r="K427" s="55"/>
      <c r="L427" s="63"/>
      <c r="M427" s="55"/>
      <c r="N427" s="55"/>
      <c r="O427" s="55"/>
      <c r="P427" s="55"/>
      <c r="Q427" s="55"/>
      <c r="R427" s="63"/>
      <c r="S427" s="55"/>
    </row>
    <row r="428" spans="1:19" ht="15" x14ac:dyDescent="0.25">
      <c r="A428" s="109"/>
      <c r="B428" s="109"/>
      <c r="C428" s="55"/>
      <c r="D428" s="55"/>
      <c r="E428" s="55"/>
      <c r="F428" s="55"/>
      <c r="G428" s="63"/>
      <c r="H428" s="55"/>
      <c r="I428" s="55"/>
      <c r="J428" s="55"/>
      <c r="K428" s="55"/>
      <c r="L428" s="63"/>
      <c r="M428" s="55"/>
      <c r="N428" s="55"/>
      <c r="O428" s="55"/>
      <c r="P428" s="55"/>
      <c r="Q428" s="55"/>
      <c r="R428" s="63"/>
      <c r="S428" s="55"/>
    </row>
    <row r="429" spans="1:19" ht="15" x14ac:dyDescent="0.25">
      <c r="A429" s="109"/>
      <c r="B429" s="109"/>
      <c r="C429" s="55"/>
      <c r="D429" s="55"/>
      <c r="E429" s="55"/>
      <c r="F429" s="55"/>
      <c r="G429" s="63"/>
      <c r="H429" s="55"/>
      <c r="I429" s="55"/>
      <c r="J429" s="55"/>
      <c r="K429" s="55"/>
      <c r="L429" s="63"/>
      <c r="M429" s="55"/>
      <c r="N429" s="55"/>
      <c r="O429" s="55"/>
      <c r="P429" s="55"/>
      <c r="Q429" s="55"/>
      <c r="R429" s="63"/>
      <c r="S429" s="55"/>
    </row>
    <row r="430" spans="1:19" ht="15" x14ac:dyDescent="0.25">
      <c r="A430" s="109"/>
      <c r="B430" s="109"/>
      <c r="C430" s="55"/>
      <c r="D430" s="55"/>
      <c r="E430" s="55"/>
      <c r="F430" s="55"/>
      <c r="G430" s="63"/>
      <c r="H430" s="55"/>
      <c r="I430" s="55"/>
      <c r="J430" s="55"/>
      <c r="K430" s="55"/>
      <c r="L430" s="63"/>
      <c r="M430" s="55"/>
      <c r="N430" s="55"/>
      <c r="O430" s="55"/>
      <c r="P430" s="55"/>
      <c r="Q430" s="55"/>
      <c r="R430" s="63"/>
      <c r="S430" s="55"/>
    </row>
    <row r="431" spans="1:19" ht="15" x14ac:dyDescent="0.25">
      <c r="A431" s="109"/>
      <c r="B431" s="109"/>
      <c r="C431" s="55"/>
      <c r="D431" s="55"/>
      <c r="E431" s="55"/>
      <c r="F431" s="55"/>
      <c r="G431" s="63"/>
      <c r="H431" s="55"/>
      <c r="I431" s="55"/>
      <c r="J431" s="55"/>
      <c r="K431" s="55"/>
      <c r="L431" s="63"/>
      <c r="M431" s="55"/>
      <c r="N431" s="55"/>
      <c r="O431" s="55"/>
      <c r="P431" s="55"/>
      <c r="Q431" s="55"/>
      <c r="R431" s="63"/>
      <c r="S431" s="55"/>
    </row>
    <row r="432" spans="1:19" ht="15" x14ac:dyDescent="0.25">
      <c r="A432" s="109"/>
      <c r="B432" s="109"/>
      <c r="C432" s="55"/>
      <c r="D432" s="55"/>
      <c r="E432" s="55"/>
      <c r="F432" s="55"/>
      <c r="G432" s="63"/>
      <c r="H432" s="55"/>
      <c r="I432" s="55"/>
      <c r="J432" s="55"/>
      <c r="K432" s="55"/>
      <c r="L432" s="63"/>
      <c r="M432" s="55"/>
      <c r="N432" s="55"/>
      <c r="O432" s="55"/>
      <c r="P432" s="55"/>
      <c r="Q432" s="55"/>
      <c r="R432" s="63"/>
      <c r="S432" s="55"/>
    </row>
    <row r="433" spans="1:19" ht="15" x14ac:dyDescent="0.25">
      <c r="A433" s="109"/>
      <c r="B433" s="109"/>
      <c r="C433" s="55"/>
      <c r="D433" s="55"/>
      <c r="E433" s="55"/>
      <c r="F433" s="55"/>
      <c r="G433" s="63"/>
      <c r="H433" s="55"/>
      <c r="I433" s="55"/>
      <c r="J433" s="55"/>
      <c r="K433" s="55"/>
      <c r="L433" s="63"/>
      <c r="M433" s="55"/>
      <c r="N433" s="55"/>
      <c r="O433" s="55"/>
      <c r="P433" s="55"/>
      <c r="Q433" s="55"/>
      <c r="R433" s="63"/>
      <c r="S433" s="55"/>
    </row>
    <row r="434" spans="1:19" ht="15" x14ac:dyDescent="0.25">
      <c r="A434" s="109"/>
      <c r="B434" s="109"/>
      <c r="C434" s="55"/>
      <c r="D434" s="55"/>
      <c r="E434" s="55"/>
      <c r="F434" s="55"/>
      <c r="G434" s="63"/>
      <c r="H434" s="55"/>
      <c r="I434" s="55"/>
      <c r="J434" s="55"/>
      <c r="K434" s="55"/>
      <c r="L434" s="63"/>
      <c r="M434" s="55"/>
      <c r="N434" s="55"/>
      <c r="O434" s="55"/>
      <c r="P434" s="55"/>
      <c r="Q434" s="55"/>
      <c r="R434" s="63"/>
      <c r="S434" s="55"/>
    </row>
    <row r="435" spans="1:19" ht="15" x14ac:dyDescent="0.25">
      <c r="A435" s="109"/>
      <c r="B435" s="109"/>
      <c r="C435" s="55"/>
      <c r="D435" s="55"/>
      <c r="E435" s="55"/>
      <c r="F435" s="55"/>
      <c r="G435" s="63"/>
      <c r="H435" s="55"/>
      <c r="I435" s="55"/>
      <c r="J435" s="55"/>
      <c r="K435" s="55"/>
      <c r="L435" s="63"/>
      <c r="M435" s="55"/>
      <c r="N435" s="55"/>
      <c r="O435" s="55"/>
      <c r="P435" s="55"/>
      <c r="Q435" s="55"/>
      <c r="R435" s="63"/>
      <c r="S435" s="55"/>
    </row>
    <row r="436" spans="1:19" ht="15" x14ac:dyDescent="0.25">
      <c r="A436" s="109"/>
      <c r="B436" s="109"/>
      <c r="C436" s="55"/>
      <c r="D436" s="55"/>
      <c r="E436" s="55"/>
      <c r="F436" s="55"/>
      <c r="G436" s="63"/>
      <c r="H436" s="55"/>
      <c r="I436" s="55"/>
      <c r="J436" s="55"/>
      <c r="K436" s="55"/>
      <c r="L436" s="63"/>
      <c r="M436" s="55"/>
      <c r="N436" s="55"/>
      <c r="O436" s="55"/>
      <c r="P436" s="55"/>
      <c r="Q436" s="55"/>
      <c r="R436" s="63"/>
      <c r="S436" s="55"/>
    </row>
    <row r="437" spans="1:19" ht="15" x14ac:dyDescent="0.25">
      <c r="A437" s="109"/>
      <c r="B437" s="109"/>
      <c r="C437" s="55"/>
      <c r="D437" s="55"/>
      <c r="E437" s="55"/>
      <c r="F437" s="55"/>
      <c r="G437" s="63"/>
      <c r="H437" s="55"/>
      <c r="I437" s="55"/>
      <c r="J437" s="55"/>
      <c r="K437" s="55"/>
      <c r="L437" s="63"/>
      <c r="M437" s="55"/>
      <c r="N437" s="55"/>
      <c r="O437" s="55"/>
      <c r="P437" s="55"/>
      <c r="Q437" s="55"/>
      <c r="R437" s="63"/>
      <c r="S437" s="55"/>
    </row>
    <row r="438" spans="1:19" ht="15" x14ac:dyDescent="0.25">
      <c r="A438" s="109"/>
      <c r="B438" s="109"/>
      <c r="C438" s="55"/>
      <c r="D438" s="55"/>
      <c r="E438" s="55"/>
      <c r="F438" s="55"/>
      <c r="G438" s="63"/>
      <c r="H438" s="55"/>
      <c r="I438" s="55"/>
      <c r="J438" s="55"/>
      <c r="K438" s="55"/>
      <c r="L438" s="63"/>
      <c r="M438" s="55"/>
      <c r="N438" s="55"/>
      <c r="O438" s="55"/>
      <c r="P438" s="55"/>
      <c r="Q438" s="55"/>
      <c r="R438" s="63"/>
      <c r="S438" s="55"/>
    </row>
    <row r="439" spans="1:19" ht="15" x14ac:dyDescent="0.25">
      <c r="A439" s="109"/>
      <c r="B439" s="109"/>
      <c r="C439" s="55"/>
      <c r="D439" s="55"/>
      <c r="E439" s="55"/>
      <c r="F439" s="55"/>
      <c r="G439" s="63"/>
      <c r="H439" s="55"/>
      <c r="I439" s="55"/>
      <c r="J439" s="55"/>
      <c r="K439" s="55"/>
      <c r="L439" s="63"/>
      <c r="M439" s="55"/>
      <c r="N439" s="55"/>
      <c r="O439" s="55"/>
      <c r="P439" s="55"/>
      <c r="Q439" s="55"/>
      <c r="R439" s="63"/>
      <c r="S439" s="55"/>
    </row>
    <row r="440" spans="1:19" ht="15" x14ac:dyDescent="0.25">
      <c r="A440" s="109"/>
      <c r="B440" s="109"/>
      <c r="C440" s="55"/>
      <c r="D440" s="55"/>
      <c r="E440" s="55"/>
      <c r="F440" s="55"/>
      <c r="G440" s="63"/>
      <c r="H440" s="55"/>
      <c r="I440" s="55"/>
      <c r="J440" s="55"/>
      <c r="K440" s="55"/>
      <c r="L440" s="63"/>
      <c r="M440" s="55"/>
      <c r="N440" s="55"/>
      <c r="O440" s="55"/>
      <c r="P440" s="55"/>
      <c r="Q440" s="55"/>
      <c r="R440" s="63"/>
      <c r="S440" s="55"/>
    </row>
    <row r="441" spans="1:19" ht="15" x14ac:dyDescent="0.25">
      <c r="A441" s="109"/>
      <c r="B441" s="109"/>
      <c r="C441" s="55"/>
      <c r="D441" s="55"/>
      <c r="E441" s="55"/>
      <c r="F441" s="55"/>
      <c r="G441" s="63"/>
      <c r="H441" s="55"/>
      <c r="I441" s="55"/>
      <c r="J441" s="55"/>
      <c r="K441" s="55"/>
      <c r="L441" s="63"/>
      <c r="M441" s="55"/>
      <c r="N441" s="55"/>
      <c r="O441" s="55"/>
      <c r="P441" s="55"/>
      <c r="Q441" s="55"/>
      <c r="R441" s="63"/>
      <c r="S441" s="55"/>
    </row>
    <row r="442" spans="1:19" ht="15" x14ac:dyDescent="0.25">
      <c r="A442" s="109"/>
      <c r="B442" s="109"/>
      <c r="C442" s="55"/>
      <c r="D442" s="55"/>
      <c r="E442" s="55"/>
      <c r="F442" s="55"/>
      <c r="G442" s="63"/>
      <c r="H442" s="55"/>
      <c r="I442" s="55"/>
      <c r="J442" s="55"/>
      <c r="K442" s="55"/>
      <c r="L442" s="63"/>
      <c r="M442" s="55"/>
      <c r="N442" s="55"/>
      <c r="O442" s="55"/>
      <c r="P442" s="55"/>
      <c r="Q442" s="55"/>
      <c r="R442" s="63"/>
      <c r="S442" s="55"/>
    </row>
    <row r="443" spans="1:19" ht="15" x14ac:dyDescent="0.25">
      <c r="A443" s="109"/>
      <c r="B443" s="109"/>
      <c r="C443" s="55"/>
      <c r="D443" s="55"/>
      <c r="E443" s="55"/>
      <c r="F443" s="55"/>
      <c r="G443" s="63"/>
      <c r="H443" s="55"/>
      <c r="I443" s="55"/>
      <c r="J443" s="55"/>
      <c r="K443" s="55"/>
      <c r="L443" s="63"/>
      <c r="M443" s="55"/>
      <c r="N443" s="55"/>
      <c r="O443" s="55"/>
      <c r="P443" s="55"/>
      <c r="Q443" s="55"/>
      <c r="R443" s="63"/>
      <c r="S443" s="55"/>
    </row>
    <row r="444" spans="1:19" ht="15" x14ac:dyDescent="0.25">
      <c r="A444" s="109"/>
      <c r="B444" s="109"/>
      <c r="C444" s="55"/>
      <c r="D444" s="55"/>
      <c r="E444" s="55"/>
      <c r="F444" s="55"/>
      <c r="G444" s="63"/>
      <c r="H444" s="55"/>
      <c r="I444" s="55"/>
      <c r="J444" s="55"/>
      <c r="K444" s="55"/>
      <c r="L444" s="63"/>
      <c r="M444" s="55"/>
      <c r="N444" s="55"/>
      <c r="O444" s="55"/>
      <c r="P444" s="55"/>
      <c r="Q444" s="55"/>
      <c r="R444" s="63"/>
      <c r="S444" s="55"/>
    </row>
    <row r="445" spans="1:19" ht="15" x14ac:dyDescent="0.25">
      <c r="A445" s="109"/>
      <c r="B445" s="109"/>
      <c r="C445" s="55"/>
      <c r="D445" s="55"/>
      <c r="E445" s="55"/>
      <c r="F445" s="55"/>
      <c r="G445" s="63"/>
      <c r="H445" s="55"/>
      <c r="I445" s="55"/>
      <c r="J445" s="55"/>
      <c r="K445" s="55"/>
      <c r="L445" s="63"/>
      <c r="M445" s="55"/>
      <c r="N445" s="55"/>
      <c r="O445" s="55"/>
      <c r="P445" s="55"/>
      <c r="Q445" s="55"/>
      <c r="R445" s="63"/>
      <c r="S445" s="55"/>
    </row>
    <row r="446" spans="1:19" ht="15" x14ac:dyDescent="0.25">
      <c r="A446" s="109"/>
      <c r="B446" s="109"/>
      <c r="C446" s="55"/>
      <c r="D446" s="55"/>
      <c r="E446" s="55"/>
      <c r="F446" s="55"/>
      <c r="G446" s="63"/>
      <c r="H446" s="55"/>
      <c r="I446" s="55"/>
      <c r="J446" s="55"/>
      <c r="K446" s="55"/>
      <c r="L446" s="63"/>
      <c r="M446" s="55"/>
      <c r="N446" s="55"/>
      <c r="O446" s="55"/>
      <c r="P446" s="55"/>
      <c r="Q446" s="55"/>
      <c r="R446" s="63"/>
      <c r="S446" s="55"/>
    </row>
    <row r="447" spans="1:19" ht="15" x14ac:dyDescent="0.25">
      <c r="A447" s="109"/>
      <c r="B447" s="109"/>
      <c r="C447" s="55"/>
      <c r="D447" s="55"/>
      <c r="E447" s="55"/>
      <c r="F447" s="55"/>
      <c r="G447" s="63"/>
      <c r="H447" s="55"/>
      <c r="I447" s="55"/>
      <c r="J447" s="55"/>
      <c r="K447" s="55"/>
      <c r="L447" s="63"/>
      <c r="M447" s="55"/>
      <c r="N447" s="55"/>
      <c r="O447" s="55"/>
      <c r="P447" s="55"/>
      <c r="Q447" s="55"/>
      <c r="R447" s="63"/>
      <c r="S447" s="55"/>
    </row>
    <row r="448" spans="1:19" ht="15" x14ac:dyDescent="0.25">
      <c r="A448" s="109"/>
      <c r="B448" s="109"/>
      <c r="C448" s="55"/>
      <c r="D448" s="55"/>
      <c r="E448" s="55"/>
      <c r="F448" s="55"/>
      <c r="G448" s="63"/>
      <c r="H448" s="55"/>
      <c r="I448" s="55"/>
      <c r="J448" s="55"/>
      <c r="K448" s="55"/>
      <c r="L448" s="63"/>
      <c r="M448" s="55"/>
      <c r="N448" s="55"/>
      <c r="O448" s="55"/>
      <c r="P448" s="55"/>
      <c r="Q448" s="55"/>
      <c r="R448" s="63"/>
      <c r="S448" s="55"/>
    </row>
    <row r="449" spans="1:19" ht="15" x14ac:dyDescent="0.25">
      <c r="A449" s="109"/>
      <c r="B449" s="109"/>
      <c r="C449" s="55"/>
      <c r="D449" s="55"/>
      <c r="E449" s="55"/>
      <c r="F449" s="55"/>
      <c r="G449" s="63"/>
      <c r="H449" s="55"/>
      <c r="I449" s="55"/>
      <c r="J449" s="55"/>
      <c r="K449" s="55"/>
      <c r="L449" s="63"/>
      <c r="M449" s="55"/>
      <c r="N449" s="55"/>
      <c r="O449" s="55"/>
      <c r="P449" s="55"/>
      <c r="Q449" s="55"/>
      <c r="R449" s="63"/>
      <c r="S449" s="55"/>
    </row>
    <row r="450" spans="1:19" ht="15" x14ac:dyDescent="0.25">
      <c r="A450" s="109"/>
      <c r="B450" s="109"/>
      <c r="C450" s="55"/>
      <c r="D450" s="55"/>
      <c r="E450" s="55"/>
      <c r="F450" s="55"/>
      <c r="G450" s="63"/>
      <c r="H450" s="55"/>
      <c r="I450" s="55"/>
      <c r="J450" s="55"/>
      <c r="K450" s="55"/>
      <c r="L450" s="63"/>
      <c r="M450" s="55"/>
      <c r="N450" s="55"/>
      <c r="O450" s="55"/>
      <c r="P450" s="55"/>
      <c r="Q450" s="55"/>
      <c r="R450" s="63"/>
      <c r="S450" s="55"/>
    </row>
    <row r="451" spans="1:19" ht="15" x14ac:dyDescent="0.25">
      <c r="A451" s="109"/>
      <c r="B451" s="109"/>
      <c r="C451" s="55"/>
      <c r="D451" s="55"/>
      <c r="E451" s="55"/>
      <c r="F451" s="55"/>
      <c r="G451" s="63"/>
      <c r="H451" s="55"/>
      <c r="I451" s="55"/>
      <c r="J451" s="55"/>
      <c r="K451" s="55"/>
      <c r="L451" s="63"/>
      <c r="M451" s="55"/>
      <c r="N451" s="55"/>
      <c r="O451" s="55"/>
      <c r="P451" s="55"/>
      <c r="Q451" s="55"/>
      <c r="R451" s="63"/>
      <c r="S451" s="55"/>
    </row>
    <row r="452" spans="1:19" ht="15" x14ac:dyDescent="0.25">
      <c r="A452" s="109"/>
      <c r="B452" s="109"/>
      <c r="C452" s="55"/>
      <c r="D452" s="55"/>
      <c r="E452" s="55"/>
      <c r="F452" s="55"/>
      <c r="G452" s="63"/>
      <c r="H452" s="55"/>
      <c r="I452" s="55"/>
      <c r="J452" s="55"/>
      <c r="K452" s="55"/>
      <c r="L452" s="63"/>
      <c r="M452" s="55"/>
      <c r="N452" s="55"/>
      <c r="O452" s="55"/>
      <c r="P452" s="55"/>
      <c r="Q452" s="55"/>
      <c r="R452" s="63"/>
      <c r="S452" s="55"/>
    </row>
    <row r="453" spans="1:19" ht="15" x14ac:dyDescent="0.25">
      <c r="A453" s="109"/>
      <c r="B453" s="109"/>
      <c r="C453" s="55"/>
      <c r="D453" s="55"/>
      <c r="E453" s="55"/>
      <c r="F453" s="55"/>
      <c r="G453" s="63"/>
      <c r="H453" s="55"/>
      <c r="I453" s="55"/>
      <c r="J453" s="55"/>
      <c r="K453" s="55"/>
      <c r="L453" s="63"/>
      <c r="M453" s="55"/>
      <c r="N453" s="55"/>
      <c r="O453" s="55"/>
      <c r="P453" s="55"/>
      <c r="Q453" s="55"/>
      <c r="R453" s="63"/>
      <c r="S453" s="55"/>
    </row>
    <row r="454" spans="1:19" ht="15" x14ac:dyDescent="0.25">
      <c r="A454" s="109"/>
      <c r="B454" s="109"/>
      <c r="C454" s="55"/>
      <c r="D454" s="55"/>
      <c r="E454" s="55"/>
      <c r="F454" s="55"/>
      <c r="G454" s="63"/>
      <c r="H454" s="55"/>
      <c r="I454" s="55"/>
      <c r="J454" s="55"/>
      <c r="K454" s="55"/>
      <c r="L454" s="63"/>
      <c r="M454" s="55"/>
      <c r="N454" s="55"/>
      <c r="O454" s="55"/>
      <c r="P454" s="55"/>
      <c r="Q454" s="55"/>
      <c r="R454" s="63"/>
      <c r="S454" s="55"/>
    </row>
    <row r="455" spans="1:19" ht="15" x14ac:dyDescent="0.25">
      <c r="A455" s="109"/>
      <c r="B455" s="109"/>
      <c r="C455" s="55"/>
      <c r="D455" s="55"/>
      <c r="E455" s="55"/>
      <c r="F455" s="55"/>
      <c r="G455" s="63"/>
      <c r="H455" s="55"/>
      <c r="I455" s="55"/>
      <c r="J455" s="55"/>
      <c r="K455" s="55"/>
      <c r="L455" s="63"/>
      <c r="M455" s="55"/>
      <c r="N455" s="55"/>
      <c r="O455" s="55"/>
      <c r="P455" s="55"/>
      <c r="Q455" s="55"/>
      <c r="R455" s="63"/>
      <c r="S455" s="55"/>
    </row>
    <row r="456" spans="1:19" ht="15" x14ac:dyDescent="0.25">
      <c r="A456" s="109"/>
      <c r="B456" s="109"/>
      <c r="C456" s="55"/>
      <c r="D456" s="55"/>
      <c r="E456" s="55"/>
      <c r="F456" s="55"/>
      <c r="G456" s="63"/>
      <c r="H456" s="55"/>
      <c r="I456" s="55"/>
      <c r="J456" s="55"/>
      <c r="K456" s="55"/>
      <c r="L456" s="63"/>
      <c r="M456" s="55"/>
      <c r="N456" s="55"/>
      <c r="O456" s="55"/>
      <c r="P456" s="55"/>
      <c r="Q456" s="55"/>
      <c r="R456" s="63"/>
      <c r="S456" s="55"/>
    </row>
    <row r="457" spans="1:19" ht="15" x14ac:dyDescent="0.25">
      <c r="A457" s="109"/>
      <c r="B457" s="109"/>
      <c r="C457" s="55"/>
      <c r="D457" s="55"/>
      <c r="E457" s="55"/>
      <c r="F457" s="55"/>
      <c r="G457" s="63"/>
      <c r="H457" s="55"/>
      <c r="I457" s="55"/>
      <c r="J457" s="55"/>
      <c r="K457" s="55"/>
      <c r="L457" s="63"/>
      <c r="M457" s="55"/>
      <c r="N457" s="55"/>
      <c r="O457" s="55"/>
      <c r="P457" s="55"/>
      <c r="Q457" s="55"/>
      <c r="R457" s="63"/>
      <c r="S457" s="55"/>
    </row>
    <row r="458" spans="1:19" ht="15" x14ac:dyDescent="0.25">
      <c r="A458" s="109"/>
      <c r="B458" s="109"/>
      <c r="C458" s="55"/>
      <c r="D458" s="55"/>
      <c r="E458" s="55"/>
      <c r="F458" s="55"/>
      <c r="G458" s="63"/>
      <c r="H458" s="55"/>
      <c r="I458" s="55"/>
      <c r="J458" s="55"/>
      <c r="K458" s="55"/>
      <c r="L458" s="63"/>
      <c r="M458" s="55"/>
      <c r="N458" s="55"/>
      <c r="O458" s="55"/>
      <c r="P458" s="55"/>
      <c r="Q458" s="55"/>
      <c r="R458" s="63"/>
      <c r="S458" s="55"/>
    </row>
    <row r="459" spans="1:19" ht="15" x14ac:dyDescent="0.25">
      <c r="A459" s="109"/>
      <c r="B459" s="109"/>
      <c r="C459" s="55"/>
      <c r="D459" s="55"/>
      <c r="E459" s="55"/>
      <c r="F459" s="55"/>
      <c r="G459" s="63"/>
      <c r="H459" s="55"/>
      <c r="I459" s="55"/>
      <c r="J459" s="55"/>
      <c r="K459" s="55"/>
      <c r="L459" s="63"/>
      <c r="M459" s="55"/>
      <c r="N459" s="55"/>
      <c r="O459" s="55"/>
      <c r="P459" s="55"/>
      <c r="Q459" s="55"/>
      <c r="R459" s="63"/>
      <c r="S459" s="55"/>
    </row>
    <row r="460" spans="1:19" ht="15" x14ac:dyDescent="0.25">
      <c r="A460" s="109"/>
      <c r="B460" s="109"/>
      <c r="C460" s="55"/>
      <c r="D460" s="55"/>
      <c r="E460" s="55"/>
      <c r="F460" s="55"/>
      <c r="G460" s="63"/>
      <c r="H460" s="55"/>
      <c r="I460" s="55"/>
      <c r="J460" s="55"/>
      <c r="K460" s="55"/>
      <c r="L460" s="63"/>
      <c r="M460" s="55"/>
      <c r="N460" s="55"/>
      <c r="O460" s="55"/>
      <c r="P460" s="55"/>
      <c r="Q460" s="55"/>
      <c r="R460" s="63"/>
      <c r="S460" s="55"/>
    </row>
    <row r="461" spans="1:19" ht="15" x14ac:dyDescent="0.25">
      <c r="A461" s="109"/>
      <c r="B461" s="109"/>
      <c r="C461" s="55"/>
      <c r="D461" s="55"/>
      <c r="E461" s="55"/>
      <c r="F461" s="55"/>
      <c r="G461" s="63"/>
      <c r="H461" s="55"/>
      <c r="I461" s="55"/>
      <c r="J461" s="55"/>
      <c r="K461" s="55"/>
      <c r="L461" s="63"/>
      <c r="M461" s="55"/>
      <c r="N461" s="55"/>
      <c r="O461" s="55"/>
      <c r="P461" s="55"/>
      <c r="Q461" s="55"/>
      <c r="R461" s="63"/>
      <c r="S461" s="55"/>
    </row>
    <row r="462" spans="1:19" ht="15" x14ac:dyDescent="0.25">
      <c r="A462" s="109"/>
      <c r="B462" s="109"/>
      <c r="C462" s="55"/>
      <c r="D462" s="55"/>
      <c r="E462" s="55"/>
      <c r="F462" s="55"/>
      <c r="G462" s="63"/>
      <c r="H462" s="55"/>
      <c r="I462" s="55"/>
      <c r="J462" s="55"/>
      <c r="K462" s="55"/>
      <c r="L462" s="63"/>
      <c r="M462" s="55"/>
      <c r="N462" s="55"/>
      <c r="O462" s="55"/>
      <c r="P462" s="55"/>
      <c r="Q462" s="55"/>
      <c r="R462" s="63"/>
      <c r="S462" s="55"/>
    </row>
    <row r="463" spans="1:19" ht="15" x14ac:dyDescent="0.25">
      <c r="A463" s="109"/>
      <c r="B463" s="109"/>
      <c r="C463" s="55"/>
      <c r="D463" s="55"/>
      <c r="E463" s="55"/>
      <c r="F463" s="55"/>
      <c r="G463" s="63"/>
      <c r="H463" s="55"/>
      <c r="I463" s="55"/>
      <c r="J463" s="55"/>
      <c r="K463" s="55"/>
      <c r="L463" s="63"/>
      <c r="M463" s="55"/>
      <c r="N463" s="55"/>
      <c r="O463" s="55"/>
      <c r="P463" s="55"/>
      <c r="Q463" s="55"/>
      <c r="R463" s="63"/>
      <c r="S463" s="55"/>
    </row>
    <row r="464" spans="1:19" ht="15" x14ac:dyDescent="0.25">
      <c r="A464" s="109"/>
      <c r="B464" s="109"/>
      <c r="C464" s="55"/>
      <c r="D464" s="55"/>
      <c r="E464" s="55"/>
      <c r="F464" s="55"/>
      <c r="G464" s="63"/>
      <c r="H464" s="55"/>
      <c r="I464" s="55"/>
      <c r="J464" s="55"/>
      <c r="K464" s="55"/>
      <c r="L464" s="63"/>
      <c r="M464" s="55"/>
      <c r="N464" s="55"/>
      <c r="O464" s="55"/>
      <c r="P464" s="55"/>
      <c r="Q464" s="55"/>
      <c r="R464" s="63"/>
      <c r="S464" s="55"/>
    </row>
    <row r="465" spans="1:19" ht="15" x14ac:dyDescent="0.25">
      <c r="A465" s="109"/>
      <c r="B465" s="109"/>
      <c r="C465" s="55"/>
      <c r="D465" s="55"/>
      <c r="E465" s="55"/>
      <c r="F465" s="55"/>
      <c r="G465" s="63"/>
      <c r="H465" s="55"/>
      <c r="I465" s="55"/>
      <c r="J465" s="55"/>
      <c r="K465" s="55"/>
      <c r="L465" s="63"/>
      <c r="M465" s="55"/>
      <c r="N465" s="55"/>
      <c r="O465" s="55"/>
      <c r="P465" s="55"/>
      <c r="Q465" s="55"/>
      <c r="R465" s="63"/>
      <c r="S465" s="55"/>
    </row>
    <row r="466" spans="1:19" ht="15" x14ac:dyDescent="0.25">
      <c r="A466" s="109"/>
      <c r="B466" s="109"/>
      <c r="C466" s="55"/>
      <c r="D466" s="55"/>
      <c r="E466" s="55"/>
      <c r="F466" s="55"/>
      <c r="G466" s="63"/>
      <c r="H466" s="55"/>
      <c r="I466" s="55"/>
      <c r="J466" s="55"/>
      <c r="K466" s="55"/>
      <c r="L466" s="63"/>
      <c r="M466" s="55"/>
      <c r="N466" s="55"/>
      <c r="O466" s="55"/>
      <c r="P466" s="55"/>
      <c r="Q466" s="55"/>
      <c r="R466" s="63"/>
      <c r="S466" s="55"/>
    </row>
    <row r="467" spans="1:19" ht="15" x14ac:dyDescent="0.25">
      <c r="A467" s="109"/>
      <c r="B467" s="109"/>
      <c r="C467" s="55"/>
      <c r="D467" s="55"/>
      <c r="E467" s="55"/>
      <c r="F467" s="55"/>
      <c r="G467" s="63"/>
      <c r="H467" s="55"/>
      <c r="I467" s="55"/>
      <c r="J467" s="55"/>
      <c r="K467" s="55"/>
      <c r="L467" s="63"/>
      <c r="M467" s="55"/>
      <c r="N467" s="55"/>
      <c r="O467" s="55"/>
      <c r="P467" s="55"/>
      <c r="Q467" s="55"/>
      <c r="R467" s="63"/>
      <c r="S467" s="55"/>
    </row>
    <row r="468" spans="1:19" ht="15" x14ac:dyDescent="0.25">
      <c r="A468" s="109"/>
      <c r="B468" s="109"/>
      <c r="C468" s="55"/>
      <c r="D468" s="55"/>
      <c r="E468" s="55"/>
      <c r="F468" s="55"/>
      <c r="G468" s="63"/>
      <c r="H468" s="55"/>
      <c r="I468" s="55"/>
      <c r="J468" s="55"/>
      <c r="K468" s="55"/>
      <c r="L468" s="63"/>
      <c r="M468" s="55"/>
      <c r="N468" s="55"/>
      <c r="O468" s="55"/>
      <c r="P468" s="55"/>
      <c r="Q468" s="55"/>
      <c r="R468" s="63"/>
      <c r="S468" s="55"/>
    </row>
    <row r="469" spans="1:19" ht="15" x14ac:dyDescent="0.25">
      <c r="A469" s="109"/>
      <c r="B469" s="109"/>
      <c r="C469" s="55"/>
      <c r="D469" s="55"/>
      <c r="E469" s="55"/>
      <c r="F469" s="55"/>
      <c r="G469" s="63"/>
      <c r="H469" s="55"/>
      <c r="I469" s="55"/>
      <c r="J469" s="55"/>
      <c r="K469" s="55"/>
      <c r="L469" s="63"/>
      <c r="M469" s="55"/>
      <c r="N469" s="55"/>
      <c r="O469" s="55"/>
      <c r="P469" s="55"/>
      <c r="Q469" s="55"/>
      <c r="R469" s="63"/>
      <c r="S469" s="55"/>
    </row>
    <row r="470" spans="1:19" ht="15" x14ac:dyDescent="0.25">
      <c r="A470" s="109"/>
      <c r="B470" s="109"/>
      <c r="C470" s="55"/>
      <c r="D470" s="55"/>
      <c r="E470" s="55"/>
      <c r="F470" s="55"/>
      <c r="G470" s="63"/>
      <c r="H470" s="55"/>
      <c r="I470" s="55"/>
      <c r="J470" s="55"/>
      <c r="K470" s="55"/>
      <c r="L470" s="63"/>
      <c r="M470" s="55"/>
      <c r="N470" s="55"/>
      <c r="O470" s="55"/>
      <c r="P470" s="55"/>
      <c r="Q470" s="55"/>
      <c r="R470" s="63"/>
      <c r="S470" s="55"/>
    </row>
    <row r="471" spans="1:19" ht="15" x14ac:dyDescent="0.25">
      <c r="A471" s="109"/>
      <c r="B471" s="109"/>
      <c r="C471" s="55"/>
      <c r="D471" s="55"/>
      <c r="E471" s="55"/>
      <c r="F471" s="55"/>
      <c r="G471" s="63"/>
      <c r="H471" s="55"/>
      <c r="I471" s="55"/>
      <c r="J471" s="55"/>
      <c r="K471" s="55"/>
      <c r="L471" s="63"/>
      <c r="M471" s="55"/>
      <c r="N471" s="55"/>
      <c r="O471" s="55"/>
      <c r="P471" s="55"/>
      <c r="Q471" s="55"/>
      <c r="R471" s="63"/>
      <c r="S471" s="55"/>
    </row>
    <row r="472" spans="1:19" ht="15" x14ac:dyDescent="0.25">
      <c r="A472" s="109"/>
      <c r="B472" s="109"/>
      <c r="C472" s="55"/>
      <c r="D472" s="55"/>
      <c r="E472" s="55"/>
      <c r="F472" s="55"/>
      <c r="G472" s="63"/>
      <c r="H472" s="55"/>
      <c r="I472" s="55"/>
      <c r="J472" s="55"/>
      <c r="K472" s="55"/>
      <c r="L472" s="63"/>
      <c r="M472" s="55"/>
      <c r="N472" s="55"/>
      <c r="O472" s="55"/>
      <c r="P472" s="55"/>
      <c r="Q472" s="55"/>
      <c r="R472" s="63"/>
      <c r="S472" s="55"/>
    </row>
    <row r="473" spans="1:19" ht="15" x14ac:dyDescent="0.25">
      <c r="A473" s="109"/>
      <c r="B473" s="109"/>
      <c r="C473" s="55"/>
      <c r="D473" s="55"/>
      <c r="E473" s="55"/>
      <c r="F473" s="55"/>
      <c r="G473" s="63"/>
      <c r="H473" s="55"/>
      <c r="I473" s="55"/>
      <c r="J473" s="55"/>
      <c r="K473" s="55"/>
      <c r="L473" s="63"/>
      <c r="M473" s="55"/>
      <c r="N473" s="55"/>
      <c r="O473" s="55"/>
      <c r="P473" s="55"/>
      <c r="Q473" s="55"/>
      <c r="R473" s="63"/>
      <c r="S473" s="55"/>
    </row>
    <row r="474" spans="1:19" ht="15" x14ac:dyDescent="0.25">
      <c r="A474" s="109"/>
      <c r="B474" s="109"/>
      <c r="C474" s="55"/>
      <c r="D474" s="55"/>
      <c r="E474" s="55"/>
      <c r="F474" s="55"/>
      <c r="G474" s="63"/>
      <c r="H474" s="55"/>
      <c r="I474" s="55"/>
      <c r="J474" s="55"/>
      <c r="K474" s="55"/>
      <c r="L474" s="63"/>
      <c r="M474" s="55"/>
      <c r="N474" s="55"/>
      <c r="O474" s="55"/>
      <c r="P474" s="55"/>
      <c r="Q474" s="55"/>
      <c r="R474" s="63"/>
      <c r="S474" s="55"/>
    </row>
    <row r="475" spans="1:19" ht="15" x14ac:dyDescent="0.25">
      <c r="A475" s="109"/>
      <c r="B475" s="109"/>
      <c r="C475" s="55"/>
      <c r="D475" s="55"/>
      <c r="E475" s="55"/>
      <c r="F475" s="55"/>
      <c r="G475" s="63"/>
      <c r="H475" s="55"/>
      <c r="I475" s="55"/>
      <c r="J475" s="55"/>
      <c r="K475" s="55"/>
      <c r="L475" s="63"/>
      <c r="M475" s="55"/>
      <c r="N475" s="55"/>
      <c r="O475" s="55"/>
      <c r="P475" s="55"/>
      <c r="Q475" s="55"/>
      <c r="R475" s="63"/>
      <c r="S475" s="55"/>
    </row>
    <row r="476" spans="1:19" ht="15" x14ac:dyDescent="0.25">
      <c r="A476" s="109"/>
      <c r="B476" s="109"/>
      <c r="C476" s="55"/>
      <c r="D476" s="55"/>
      <c r="E476" s="55"/>
      <c r="F476" s="55"/>
      <c r="G476" s="63"/>
      <c r="H476" s="55"/>
      <c r="I476" s="55"/>
      <c r="J476" s="55"/>
      <c r="K476" s="55"/>
      <c r="L476" s="63"/>
      <c r="M476" s="55"/>
      <c r="N476" s="55"/>
      <c r="O476" s="55"/>
      <c r="P476" s="55"/>
      <c r="Q476" s="55"/>
      <c r="R476" s="63"/>
      <c r="S476" s="55"/>
    </row>
    <row r="477" spans="1:19" ht="15" x14ac:dyDescent="0.25">
      <c r="A477" s="109"/>
      <c r="B477" s="109"/>
      <c r="C477" s="55"/>
      <c r="D477" s="55"/>
      <c r="E477" s="55"/>
      <c r="F477" s="55"/>
      <c r="G477" s="63"/>
      <c r="H477" s="55"/>
      <c r="I477" s="55"/>
      <c r="J477" s="55"/>
      <c r="K477" s="55"/>
      <c r="L477" s="63"/>
      <c r="M477" s="55"/>
      <c r="N477" s="55"/>
      <c r="O477" s="55"/>
      <c r="P477" s="55"/>
      <c r="Q477" s="55"/>
      <c r="R477" s="63"/>
      <c r="S477" s="55"/>
    </row>
    <row r="478" spans="1:19" ht="15" x14ac:dyDescent="0.25">
      <c r="A478" s="109"/>
      <c r="B478" s="109"/>
      <c r="C478" s="55"/>
      <c r="D478" s="55"/>
      <c r="E478" s="55"/>
      <c r="F478" s="55"/>
      <c r="G478" s="63"/>
      <c r="H478" s="55"/>
      <c r="I478" s="55"/>
      <c r="J478" s="55"/>
      <c r="K478" s="55"/>
      <c r="L478" s="63"/>
      <c r="M478" s="55"/>
      <c r="N478" s="55"/>
      <c r="O478" s="55"/>
      <c r="P478" s="55"/>
      <c r="Q478" s="55"/>
      <c r="R478" s="63"/>
      <c r="S478" s="55"/>
    </row>
    <row r="479" spans="1:19" ht="15" x14ac:dyDescent="0.25">
      <c r="A479" s="109"/>
      <c r="B479" s="109"/>
      <c r="C479" s="55"/>
      <c r="D479" s="55"/>
      <c r="E479" s="55"/>
      <c r="F479" s="55"/>
      <c r="G479" s="63"/>
      <c r="H479" s="55"/>
      <c r="I479" s="55"/>
      <c r="J479" s="55"/>
      <c r="K479" s="55"/>
      <c r="L479" s="63"/>
      <c r="M479" s="55"/>
      <c r="N479" s="55"/>
      <c r="O479" s="55"/>
      <c r="P479" s="55"/>
      <c r="Q479" s="55"/>
      <c r="R479" s="63"/>
      <c r="S479" s="55"/>
    </row>
    <row r="480" spans="1:19" ht="15" x14ac:dyDescent="0.25">
      <c r="A480" s="109"/>
      <c r="B480" s="109"/>
      <c r="C480" s="55"/>
      <c r="D480" s="55"/>
      <c r="E480" s="55"/>
      <c r="F480" s="55"/>
      <c r="G480" s="63"/>
      <c r="H480" s="55"/>
      <c r="I480" s="55"/>
      <c r="J480" s="55"/>
      <c r="K480" s="55"/>
      <c r="L480" s="63"/>
      <c r="M480" s="55"/>
      <c r="N480" s="55"/>
      <c r="O480" s="55"/>
      <c r="P480" s="55"/>
      <c r="Q480" s="55"/>
      <c r="R480" s="63"/>
      <c r="S480" s="55"/>
    </row>
    <row r="481" spans="1:19" ht="15" x14ac:dyDescent="0.25">
      <c r="A481" s="109"/>
      <c r="B481" s="109"/>
      <c r="C481" s="55"/>
      <c r="D481" s="55"/>
      <c r="E481" s="55"/>
      <c r="F481" s="55"/>
      <c r="G481" s="63"/>
      <c r="H481" s="55"/>
      <c r="I481" s="55"/>
      <c r="J481" s="55"/>
      <c r="K481" s="55"/>
      <c r="L481" s="63"/>
      <c r="M481" s="55"/>
      <c r="N481" s="55"/>
      <c r="O481" s="55"/>
      <c r="P481" s="55"/>
      <c r="Q481" s="55"/>
      <c r="R481" s="63"/>
      <c r="S481" s="55"/>
    </row>
    <row r="482" spans="1:19" ht="15" x14ac:dyDescent="0.25">
      <c r="A482" s="109"/>
      <c r="B482" s="109"/>
      <c r="C482" s="55"/>
      <c r="D482" s="55"/>
      <c r="E482" s="55"/>
      <c r="F482" s="55"/>
      <c r="G482" s="63"/>
      <c r="H482" s="55"/>
      <c r="I482" s="55"/>
      <c r="J482" s="55"/>
      <c r="K482" s="55"/>
      <c r="L482" s="63"/>
      <c r="M482" s="55"/>
      <c r="N482" s="55"/>
      <c r="O482" s="55"/>
      <c r="P482" s="55"/>
      <c r="Q482" s="55"/>
      <c r="R482" s="63"/>
      <c r="S482" s="55"/>
    </row>
    <row r="483" spans="1:19" ht="15" x14ac:dyDescent="0.25">
      <c r="A483" s="109"/>
      <c r="B483" s="109"/>
      <c r="C483" s="55"/>
      <c r="D483" s="55"/>
      <c r="E483" s="55"/>
      <c r="F483" s="55"/>
      <c r="G483" s="63"/>
      <c r="H483" s="55"/>
      <c r="I483" s="55"/>
      <c r="J483" s="55"/>
      <c r="K483" s="55"/>
      <c r="L483" s="63"/>
      <c r="M483" s="55"/>
      <c r="N483" s="55"/>
      <c r="O483" s="55"/>
      <c r="P483" s="55"/>
      <c r="Q483" s="55"/>
      <c r="R483" s="63"/>
      <c r="S483" s="55"/>
    </row>
    <row r="484" spans="1:19" ht="15" x14ac:dyDescent="0.25">
      <c r="A484" s="109"/>
      <c r="B484" s="109"/>
      <c r="C484" s="55"/>
      <c r="D484" s="55"/>
      <c r="E484" s="55"/>
      <c r="F484" s="55"/>
      <c r="G484" s="63"/>
      <c r="H484" s="55"/>
      <c r="I484" s="55"/>
      <c r="J484" s="55"/>
      <c r="K484" s="55"/>
      <c r="L484" s="63"/>
      <c r="M484" s="55"/>
      <c r="N484" s="55"/>
      <c r="O484" s="55"/>
      <c r="P484" s="55"/>
      <c r="Q484" s="55"/>
      <c r="R484" s="63"/>
      <c r="S484" s="55"/>
    </row>
    <row r="485" spans="1:19" ht="15" x14ac:dyDescent="0.25">
      <c r="A485" s="109"/>
      <c r="B485" s="109"/>
      <c r="C485" s="55"/>
      <c r="D485" s="55"/>
      <c r="E485" s="55"/>
      <c r="F485" s="55"/>
      <c r="G485" s="63"/>
      <c r="H485" s="55"/>
      <c r="I485" s="55"/>
      <c r="J485" s="55"/>
      <c r="K485" s="55"/>
      <c r="L485" s="63"/>
      <c r="M485" s="55"/>
      <c r="N485" s="55"/>
      <c r="O485" s="55"/>
      <c r="P485" s="55"/>
      <c r="Q485" s="55"/>
      <c r="R485" s="63"/>
      <c r="S485" s="55"/>
    </row>
    <row r="486" spans="1:19" ht="15" x14ac:dyDescent="0.25">
      <c r="A486" s="109"/>
      <c r="B486" s="109"/>
      <c r="C486" s="55"/>
      <c r="D486" s="55"/>
      <c r="E486" s="55"/>
      <c r="F486" s="55"/>
      <c r="G486" s="63"/>
      <c r="H486" s="55"/>
      <c r="I486" s="55"/>
      <c r="J486" s="55"/>
      <c r="K486" s="55"/>
      <c r="L486" s="63"/>
      <c r="M486" s="55"/>
      <c r="N486" s="55"/>
      <c r="O486" s="55"/>
      <c r="P486" s="55"/>
      <c r="Q486" s="55"/>
      <c r="R486" s="63"/>
      <c r="S486" s="55"/>
    </row>
    <row r="487" spans="1:19" ht="15" x14ac:dyDescent="0.25">
      <c r="A487" s="109"/>
      <c r="B487" s="109"/>
      <c r="C487" s="55"/>
      <c r="D487" s="55"/>
      <c r="E487" s="55"/>
      <c r="F487" s="55"/>
      <c r="G487" s="63"/>
      <c r="H487" s="55"/>
      <c r="I487" s="55"/>
      <c r="J487" s="55"/>
      <c r="K487" s="55"/>
      <c r="L487" s="63"/>
      <c r="M487" s="55"/>
      <c r="N487" s="55"/>
      <c r="O487" s="55"/>
      <c r="P487" s="55"/>
      <c r="Q487" s="55"/>
      <c r="R487" s="63"/>
      <c r="S487" s="55"/>
    </row>
    <row r="488" spans="1:19" ht="15" x14ac:dyDescent="0.25">
      <c r="A488" s="109"/>
      <c r="B488" s="109"/>
      <c r="C488" s="55"/>
      <c r="D488" s="55"/>
      <c r="E488" s="55"/>
      <c r="F488" s="55"/>
      <c r="G488" s="63"/>
      <c r="H488" s="55"/>
      <c r="I488" s="55"/>
      <c r="J488" s="55"/>
      <c r="K488" s="55"/>
      <c r="L488" s="63"/>
      <c r="M488" s="55"/>
      <c r="N488" s="55"/>
      <c r="O488" s="55"/>
      <c r="P488" s="55"/>
      <c r="Q488" s="55"/>
      <c r="R488" s="63"/>
      <c r="S488" s="55"/>
    </row>
    <row r="489" spans="1:19" ht="15" x14ac:dyDescent="0.25">
      <c r="A489" s="109"/>
      <c r="B489" s="109"/>
      <c r="C489" s="55"/>
      <c r="D489" s="55"/>
      <c r="E489" s="55"/>
      <c r="F489" s="55"/>
      <c r="G489" s="63"/>
      <c r="H489" s="55"/>
      <c r="I489" s="55"/>
      <c r="J489" s="55"/>
      <c r="K489" s="55"/>
      <c r="L489" s="63"/>
      <c r="M489" s="55"/>
      <c r="N489" s="55"/>
      <c r="O489" s="55"/>
      <c r="P489" s="55"/>
      <c r="Q489" s="55"/>
      <c r="R489" s="63"/>
      <c r="S489" s="55"/>
    </row>
    <row r="490" spans="1:19" ht="15" x14ac:dyDescent="0.25">
      <c r="A490" s="109"/>
      <c r="B490" s="109"/>
      <c r="C490" s="55"/>
      <c r="D490" s="55"/>
      <c r="E490" s="55"/>
      <c r="F490" s="55"/>
      <c r="G490" s="63"/>
      <c r="H490" s="55"/>
      <c r="I490" s="55"/>
      <c r="J490" s="55"/>
      <c r="K490" s="55"/>
      <c r="L490" s="63"/>
      <c r="M490" s="55"/>
      <c r="N490" s="55"/>
      <c r="O490" s="55"/>
      <c r="P490" s="55"/>
      <c r="Q490" s="55"/>
      <c r="R490" s="63"/>
      <c r="S490" s="55"/>
    </row>
    <row r="491" spans="1:19" ht="15" x14ac:dyDescent="0.25">
      <c r="A491" s="109"/>
      <c r="B491" s="109"/>
      <c r="C491" s="55"/>
      <c r="D491" s="55"/>
      <c r="E491" s="55"/>
      <c r="F491" s="55"/>
      <c r="G491" s="63"/>
      <c r="H491" s="55"/>
      <c r="I491" s="55"/>
      <c r="J491" s="55"/>
      <c r="K491" s="55"/>
      <c r="L491" s="63"/>
      <c r="M491" s="55"/>
      <c r="N491" s="55"/>
      <c r="O491" s="55"/>
      <c r="P491" s="55"/>
      <c r="Q491" s="55"/>
      <c r="R491" s="63"/>
      <c r="S491" s="55"/>
    </row>
    <row r="492" spans="1:19" ht="15" x14ac:dyDescent="0.25">
      <c r="A492" s="109"/>
      <c r="B492" s="109"/>
      <c r="C492" s="55"/>
      <c r="D492" s="55"/>
      <c r="E492" s="55"/>
      <c r="F492" s="55"/>
      <c r="G492" s="63"/>
      <c r="H492" s="55"/>
      <c r="I492" s="55"/>
      <c r="J492" s="55"/>
      <c r="K492" s="55"/>
      <c r="L492" s="63"/>
      <c r="M492" s="55"/>
      <c r="N492" s="55"/>
      <c r="O492" s="55"/>
      <c r="P492" s="55"/>
      <c r="Q492" s="55"/>
      <c r="R492" s="63"/>
      <c r="S492" s="55"/>
    </row>
    <row r="493" spans="1:19" ht="15" x14ac:dyDescent="0.25">
      <c r="A493" s="109"/>
      <c r="B493" s="109"/>
      <c r="C493" s="55"/>
      <c r="D493" s="55"/>
      <c r="E493" s="55"/>
      <c r="F493" s="55"/>
      <c r="G493" s="63"/>
      <c r="H493" s="55"/>
      <c r="I493" s="55"/>
      <c r="J493" s="55"/>
      <c r="K493" s="55"/>
      <c r="L493" s="63"/>
      <c r="M493" s="55"/>
      <c r="N493" s="55"/>
      <c r="O493" s="55"/>
      <c r="P493" s="55"/>
      <c r="Q493" s="55"/>
      <c r="R493" s="63"/>
      <c r="S493" s="55"/>
    </row>
    <row r="494" spans="1:19" ht="15" x14ac:dyDescent="0.25">
      <c r="A494" s="109"/>
      <c r="B494" s="109"/>
      <c r="C494" s="55"/>
      <c r="D494" s="55"/>
      <c r="E494" s="55"/>
      <c r="F494" s="55"/>
      <c r="G494" s="63"/>
      <c r="H494" s="55"/>
      <c r="I494" s="55"/>
      <c r="J494" s="55"/>
      <c r="K494" s="55"/>
      <c r="L494" s="63"/>
      <c r="M494" s="55"/>
      <c r="N494" s="55"/>
      <c r="O494" s="55"/>
      <c r="P494" s="55"/>
      <c r="Q494" s="55"/>
      <c r="R494" s="63"/>
      <c r="S494" s="55"/>
    </row>
    <row r="495" spans="1:19" ht="15" x14ac:dyDescent="0.25">
      <c r="A495" s="109"/>
      <c r="B495" s="109"/>
      <c r="C495" s="55"/>
      <c r="D495" s="55"/>
      <c r="E495" s="55"/>
      <c r="F495" s="55"/>
      <c r="G495" s="63"/>
      <c r="H495" s="55"/>
      <c r="I495" s="55"/>
      <c r="J495" s="55"/>
      <c r="K495" s="55"/>
      <c r="L495" s="63"/>
      <c r="M495" s="55"/>
      <c r="N495" s="55"/>
      <c r="O495" s="55"/>
      <c r="P495" s="55"/>
      <c r="Q495" s="55"/>
      <c r="R495" s="63"/>
      <c r="S495" s="55"/>
    </row>
    <row r="496" spans="1:19" ht="15" x14ac:dyDescent="0.25">
      <c r="A496" s="109"/>
      <c r="B496" s="109"/>
      <c r="C496" s="55"/>
      <c r="D496" s="55"/>
      <c r="E496" s="55"/>
      <c r="F496" s="55"/>
      <c r="G496" s="63"/>
      <c r="H496" s="55"/>
      <c r="I496" s="55"/>
      <c r="J496" s="55"/>
      <c r="K496" s="55"/>
      <c r="L496" s="63"/>
      <c r="M496" s="55"/>
      <c r="N496" s="55"/>
      <c r="O496" s="55"/>
      <c r="P496" s="55"/>
      <c r="Q496" s="55"/>
      <c r="R496" s="63"/>
      <c r="S496" s="55"/>
    </row>
    <row r="497" spans="1:19" ht="15" x14ac:dyDescent="0.25">
      <c r="A497" s="109"/>
      <c r="B497" s="109"/>
      <c r="C497" s="55"/>
      <c r="D497" s="55"/>
      <c r="E497" s="55"/>
      <c r="F497" s="55"/>
      <c r="G497" s="63"/>
      <c r="H497" s="55"/>
      <c r="I497" s="55"/>
      <c r="J497" s="55"/>
      <c r="K497" s="55"/>
      <c r="L497" s="63"/>
      <c r="M497" s="55"/>
      <c r="N497" s="55"/>
      <c r="O497" s="55"/>
      <c r="P497" s="55"/>
      <c r="Q497" s="55"/>
      <c r="R497" s="63"/>
      <c r="S497" s="55"/>
    </row>
    <row r="498" spans="1:19" ht="15" x14ac:dyDescent="0.25">
      <c r="A498" s="109"/>
      <c r="B498" s="109"/>
      <c r="C498" s="55"/>
      <c r="D498" s="55"/>
      <c r="E498" s="55"/>
      <c r="F498" s="55"/>
      <c r="G498" s="63"/>
      <c r="H498" s="55"/>
      <c r="I498" s="55"/>
      <c r="J498" s="55"/>
      <c r="K498" s="55"/>
      <c r="L498" s="63"/>
      <c r="M498" s="55"/>
      <c r="N498" s="55"/>
      <c r="O498" s="55"/>
      <c r="P498" s="55"/>
      <c r="Q498" s="55"/>
      <c r="R498" s="63"/>
      <c r="S498" s="55"/>
    </row>
    <row r="499" spans="1:19" ht="15" x14ac:dyDescent="0.25">
      <c r="A499" s="109"/>
      <c r="B499" s="109"/>
      <c r="C499" s="55"/>
      <c r="D499" s="55"/>
      <c r="E499" s="55"/>
      <c r="F499" s="55"/>
      <c r="G499" s="63"/>
      <c r="H499" s="55"/>
      <c r="I499" s="55"/>
      <c r="J499" s="55"/>
      <c r="K499" s="55"/>
      <c r="L499" s="63"/>
      <c r="M499" s="55"/>
      <c r="N499" s="55"/>
      <c r="O499" s="55"/>
      <c r="P499" s="55"/>
      <c r="Q499" s="55"/>
      <c r="R499" s="63"/>
      <c r="S499" s="55"/>
    </row>
    <row r="500" spans="1:19" ht="15" x14ac:dyDescent="0.25">
      <c r="A500" s="109"/>
      <c r="B500" s="109"/>
      <c r="C500" s="55"/>
      <c r="D500" s="55"/>
      <c r="E500" s="55"/>
      <c r="F500" s="55"/>
      <c r="G500" s="63"/>
      <c r="H500" s="55"/>
      <c r="I500" s="55"/>
      <c r="J500" s="55"/>
      <c r="K500" s="55"/>
      <c r="L500" s="63"/>
      <c r="M500" s="55"/>
      <c r="N500" s="55"/>
      <c r="O500" s="55"/>
      <c r="P500" s="55"/>
      <c r="Q500" s="55"/>
      <c r="R500" s="63"/>
      <c r="S500" s="55"/>
    </row>
    <row r="501" spans="1:19" ht="15" x14ac:dyDescent="0.25">
      <c r="A501" s="109"/>
      <c r="B501" s="109"/>
      <c r="C501" s="55"/>
      <c r="D501" s="55"/>
      <c r="E501" s="55"/>
      <c r="F501" s="55"/>
      <c r="G501" s="63"/>
      <c r="H501" s="55"/>
      <c r="I501" s="55"/>
      <c r="J501" s="55"/>
      <c r="K501" s="55"/>
      <c r="L501" s="63"/>
      <c r="M501" s="55"/>
      <c r="N501" s="55"/>
      <c r="O501" s="55"/>
      <c r="P501" s="55"/>
      <c r="Q501" s="55"/>
      <c r="R501" s="63"/>
      <c r="S501" s="55"/>
    </row>
    <row r="502" spans="1:19" ht="15" x14ac:dyDescent="0.25">
      <c r="A502" s="109"/>
      <c r="B502" s="109"/>
      <c r="C502" s="55"/>
      <c r="D502" s="55"/>
      <c r="E502" s="55"/>
      <c r="F502" s="55"/>
      <c r="G502" s="63"/>
      <c r="H502" s="55"/>
      <c r="I502" s="55"/>
      <c r="J502" s="55"/>
      <c r="K502" s="55"/>
      <c r="L502" s="63"/>
      <c r="M502" s="55"/>
      <c r="N502" s="55"/>
      <c r="O502" s="55"/>
      <c r="P502" s="55"/>
      <c r="Q502" s="55"/>
      <c r="R502" s="63"/>
      <c r="S502" s="55"/>
    </row>
    <row r="503" spans="1:19" ht="15" x14ac:dyDescent="0.25">
      <c r="A503" s="109"/>
      <c r="B503" s="109"/>
      <c r="C503" s="55"/>
      <c r="D503" s="55"/>
      <c r="E503" s="55"/>
      <c r="F503" s="55"/>
      <c r="G503" s="63"/>
      <c r="H503" s="55"/>
      <c r="I503" s="55"/>
      <c r="J503" s="55"/>
      <c r="K503" s="55"/>
      <c r="L503" s="63"/>
      <c r="M503" s="55"/>
      <c r="N503" s="55"/>
      <c r="O503" s="55"/>
      <c r="P503" s="55"/>
      <c r="Q503" s="55"/>
      <c r="R503" s="63"/>
      <c r="S503" s="55"/>
    </row>
    <row r="504" spans="1:19" ht="15" x14ac:dyDescent="0.25">
      <c r="A504" s="109"/>
      <c r="B504" s="109"/>
      <c r="C504" s="55"/>
      <c r="D504" s="55"/>
      <c r="E504" s="55"/>
      <c r="F504" s="55"/>
      <c r="G504" s="63"/>
      <c r="H504" s="55"/>
      <c r="I504" s="55"/>
      <c r="J504" s="55"/>
      <c r="K504" s="55"/>
      <c r="L504" s="63"/>
      <c r="M504" s="55"/>
      <c r="N504" s="55"/>
      <c r="O504" s="55"/>
      <c r="P504" s="55"/>
      <c r="Q504" s="55"/>
      <c r="R504" s="63"/>
      <c r="S504" s="55"/>
    </row>
    <row r="505" spans="1:19" ht="15" x14ac:dyDescent="0.25">
      <c r="A505" s="109"/>
      <c r="B505" s="109"/>
      <c r="C505" s="55"/>
      <c r="D505" s="55"/>
      <c r="E505" s="55"/>
      <c r="F505" s="55"/>
      <c r="G505" s="63"/>
      <c r="H505" s="55"/>
      <c r="I505" s="55"/>
      <c r="J505" s="55"/>
      <c r="K505" s="55"/>
      <c r="L505" s="63"/>
      <c r="M505" s="55"/>
      <c r="N505" s="55"/>
      <c r="O505" s="55"/>
      <c r="P505" s="55"/>
      <c r="Q505" s="55"/>
      <c r="R505" s="63"/>
      <c r="S505" s="55"/>
    </row>
    <row r="506" spans="1:19" ht="15" x14ac:dyDescent="0.25">
      <c r="A506" s="109"/>
      <c r="B506" s="109"/>
      <c r="C506" s="55"/>
      <c r="D506" s="55"/>
      <c r="E506" s="55"/>
      <c r="F506" s="55"/>
      <c r="G506" s="63"/>
      <c r="H506" s="55"/>
      <c r="I506" s="55"/>
      <c r="J506" s="55"/>
      <c r="K506" s="55"/>
      <c r="L506" s="63"/>
      <c r="M506" s="55"/>
      <c r="N506" s="55"/>
      <c r="O506" s="55"/>
      <c r="P506" s="55"/>
      <c r="Q506" s="55"/>
      <c r="R506" s="63"/>
      <c r="S506" s="55"/>
    </row>
    <row r="507" spans="1:19" ht="15" x14ac:dyDescent="0.25">
      <c r="A507" s="109"/>
      <c r="B507" s="109"/>
      <c r="C507" s="55"/>
      <c r="D507" s="55"/>
      <c r="E507" s="55"/>
      <c r="F507" s="55"/>
      <c r="G507" s="63"/>
      <c r="H507" s="55"/>
      <c r="I507" s="55"/>
      <c r="J507" s="55"/>
      <c r="K507" s="55"/>
      <c r="L507" s="63"/>
      <c r="M507" s="55"/>
      <c r="N507" s="55"/>
      <c r="O507" s="55"/>
      <c r="P507" s="55"/>
      <c r="Q507" s="55"/>
      <c r="R507" s="63"/>
      <c r="S507" s="55"/>
    </row>
    <row r="508" spans="1:19" ht="15" x14ac:dyDescent="0.25">
      <c r="A508" s="109"/>
      <c r="B508" s="109"/>
      <c r="C508" s="55"/>
      <c r="D508" s="55"/>
      <c r="E508" s="55"/>
      <c r="F508" s="55"/>
      <c r="G508" s="63"/>
      <c r="H508" s="55"/>
      <c r="I508" s="55"/>
      <c r="J508" s="55"/>
      <c r="K508" s="55"/>
      <c r="L508" s="63"/>
      <c r="M508" s="55"/>
      <c r="N508" s="55"/>
      <c r="O508" s="55"/>
      <c r="P508" s="55"/>
      <c r="Q508" s="55"/>
      <c r="R508" s="63"/>
      <c r="S508" s="55"/>
    </row>
    <row r="509" spans="1:19" ht="15" x14ac:dyDescent="0.25">
      <c r="A509" s="109"/>
      <c r="B509" s="109"/>
      <c r="C509" s="55"/>
      <c r="D509" s="55"/>
      <c r="E509" s="55"/>
      <c r="F509" s="55"/>
      <c r="G509" s="63"/>
      <c r="H509" s="55"/>
      <c r="I509" s="55"/>
      <c r="J509" s="55"/>
      <c r="K509" s="55"/>
      <c r="L509" s="63"/>
      <c r="M509" s="55"/>
      <c r="N509" s="55"/>
      <c r="O509" s="55"/>
      <c r="P509" s="55"/>
      <c r="Q509" s="55"/>
      <c r="R509" s="63"/>
      <c r="S509" s="55"/>
    </row>
    <row r="510" spans="1:19" ht="15" x14ac:dyDescent="0.25">
      <c r="A510" s="109"/>
      <c r="B510" s="109"/>
      <c r="C510" s="55"/>
      <c r="D510" s="55"/>
      <c r="E510" s="55"/>
      <c r="F510" s="55"/>
      <c r="G510" s="63"/>
      <c r="H510" s="55"/>
      <c r="I510" s="55"/>
      <c r="J510" s="55"/>
      <c r="K510" s="55"/>
      <c r="L510" s="63"/>
      <c r="M510" s="55"/>
      <c r="N510" s="55"/>
      <c r="O510" s="55"/>
      <c r="P510" s="55"/>
      <c r="Q510" s="55"/>
      <c r="R510" s="63"/>
      <c r="S510" s="55"/>
    </row>
    <row r="511" spans="1:19" ht="15" x14ac:dyDescent="0.25">
      <c r="A511" s="109"/>
      <c r="B511" s="109"/>
      <c r="C511" s="55"/>
      <c r="D511" s="55"/>
      <c r="E511" s="55"/>
      <c r="F511" s="55"/>
      <c r="G511" s="63"/>
      <c r="H511" s="55"/>
      <c r="I511" s="55"/>
      <c r="J511" s="55"/>
      <c r="K511" s="55"/>
      <c r="L511" s="63"/>
      <c r="M511" s="55"/>
      <c r="N511" s="55"/>
      <c r="O511" s="55"/>
      <c r="P511" s="55"/>
      <c r="Q511" s="55"/>
      <c r="R511" s="63"/>
      <c r="S511" s="55"/>
    </row>
    <row r="512" spans="1:19" ht="15" x14ac:dyDescent="0.25">
      <c r="A512" s="109"/>
      <c r="B512" s="109"/>
      <c r="C512" s="55"/>
      <c r="D512" s="55"/>
      <c r="E512" s="55"/>
      <c r="F512" s="55"/>
      <c r="G512" s="63"/>
      <c r="H512" s="55"/>
      <c r="I512" s="55"/>
      <c r="J512" s="55"/>
      <c r="K512" s="55"/>
      <c r="L512" s="63"/>
      <c r="M512" s="55"/>
      <c r="N512" s="55"/>
      <c r="O512" s="55"/>
      <c r="P512" s="55"/>
      <c r="Q512" s="55"/>
      <c r="R512" s="63"/>
      <c r="S512" s="55"/>
    </row>
    <row r="513" spans="1:19" ht="15" x14ac:dyDescent="0.25">
      <c r="A513" s="109"/>
      <c r="B513" s="109"/>
      <c r="C513" s="55"/>
      <c r="D513" s="55"/>
      <c r="E513" s="55"/>
      <c r="F513" s="55"/>
      <c r="G513" s="63"/>
      <c r="H513" s="55"/>
      <c r="I513" s="55"/>
      <c r="J513" s="55"/>
      <c r="K513" s="55"/>
      <c r="L513" s="63"/>
      <c r="M513" s="55"/>
      <c r="N513" s="55"/>
      <c r="O513" s="55"/>
      <c r="P513" s="55"/>
      <c r="Q513" s="55"/>
      <c r="R513" s="63"/>
      <c r="S513" s="55"/>
    </row>
    <row r="514" spans="1:19" ht="15" x14ac:dyDescent="0.25">
      <c r="A514" s="109"/>
      <c r="B514" s="109"/>
      <c r="C514" s="55"/>
      <c r="D514" s="55"/>
      <c r="E514" s="55"/>
      <c r="F514" s="55"/>
      <c r="G514" s="63"/>
      <c r="H514" s="55"/>
      <c r="I514" s="55"/>
      <c r="J514" s="55"/>
      <c r="K514" s="55"/>
      <c r="L514" s="63"/>
      <c r="M514" s="55"/>
      <c r="N514" s="55"/>
      <c r="O514" s="55"/>
      <c r="P514" s="55"/>
      <c r="Q514" s="55"/>
      <c r="R514" s="63"/>
      <c r="S514" s="55"/>
    </row>
    <row r="515" spans="1:19" ht="15" x14ac:dyDescent="0.25">
      <c r="A515" s="109"/>
      <c r="B515" s="109"/>
      <c r="C515" s="55"/>
      <c r="D515" s="55"/>
      <c r="E515" s="55"/>
      <c r="F515" s="55"/>
      <c r="G515" s="63"/>
      <c r="H515" s="55"/>
      <c r="I515" s="55"/>
      <c r="J515" s="55"/>
      <c r="K515" s="55"/>
      <c r="L515" s="63"/>
      <c r="M515" s="55"/>
      <c r="N515" s="55"/>
      <c r="O515" s="55"/>
      <c r="P515" s="55"/>
      <c r="Q515" s="55"/>
      <c r="R515" s="63"/>
      <c r="S515" s="55"/>
    </row>
    <row r="516" spans="1:19" ht="15" x14ac:dyDescent="0.25">
      <c r="A516" s="109"/>
      <c r="B516" s="109"/>
      <c r="C516" s="55"/>
      <c r="D516" s="55"/>
      <c r="E516" s="55"/>
      <c r="F516" s="55"/>
      <c r="G516" s="63"/>
      <c r="H516" s="55"/>
      <c r="I516" s="55"/>
      <c r="J516" s="55"/>
      <c r="K516" s="55"/>
      <c r="L516" s="63"/>
      <c r="M516" s="55"/>
      <c r="N516" s="55"/>
      <c r="O516" s="55"/>
      <c r="P516" s="55"/>
      <c r="Q516" s="55"/>
      <c r="R516" s="63"/>
      <c r="S516" s="55"/>
    </row>
    <row r="517" spans="1:19" ht="15" x14ac:dyDescent="0.25">
      <c r="A517" s="109"/>
      <c r="B517" s="109"/>
      <c r="C517" s="55"/>
      <c r="D517" s="55"/>
      <c r="E517" s="55"/>
      <c r="F517" s="55"/>
      <c r="G517" s="63"/>
      <c r="H517" s="55"/>
      <c r="I517" s="55"/>
      <c r="J517" s="55"/>
      <c r="K517" s="55"/>
      <c r="L517" s="63"/>
      <c r="M517" s="55"/>
      <c r="N517" s="55"/>
      <c r="O517" s="55"/>
      <c r="P517" s="55"/>
      <c r="Q517" s="55"/>
      <c r="R517" s="63"/>
      <c r="S517" s="55"/>
    </row>
    <row r="518" spans="1:19" ht="15" x14ac:dyDescent="0.25">
      <c r="A518" s="109"/>
      <c r="B518" s="109"/>
      <c r="C518" s="55"/>
      <c r="D518" s="55"/>
      <c r="E518" s="55"/>
      <c r="F518" s="55"/>
      <c r="G518" s="63"/>
      <c r="H518" s="55"/>
      <c r="I518" s="55"/>
      <c r="J518" s="55"/>
      <c r="K518" s="55"/>
      <c r="L518" s="63"/>
      <c r="M518" s="55"/>
      <c r="N518" s="55"/>
      <c r="O518" s="55"/>
      <c r="P518" s="55"/>
      <c r="Q518" s="55"/>
      <c r="R518" s="63"/>
      <c r="S518" s="55"/>
    </row>
    <row r="519" spans="1:19" ht="15" x14ac:dyDescent="0.25">
      <c r="A519" s="109"/>
      <c r="B519" s="109"/>
      <c r="C519" s="55"/>
      <c r="D519" s="55"/>
      <c r="E519" s="55"/>
      <c r="F519" s="55"/>
      <c r="G519" s="63"/>
      <c r="H519" s="55"/>
      <c r="I519" s="55"/>
      <c r="J519" s="55"/>
      <c r="K519" s="55"/>
      <c r="L519" s="63"/>
      <c r="M519" s="55"/>
      <c r="N519" s="55"/>
      <c r="O519" s="55"/>
      <c r="P519" s="55"/>
      <c r="Q519" s="55"/>
      <c r="R519" s="63"/>
      <c r="S519" s="55"/>
    </row>
    <row r="520" spans="1:19" ht="15" x14ac:dyDescent="0.25">
      <c r="A520" s="109"/>
      <c r="B520" s="109"/>
      <c r="C520" s="55"/>
      <c r="D520" s="55"/>
      <c r="E520" s="55"/>
      <c r="F520" s="55"/>
      <c r="G520" s="63"/>
      <c r="H520" s="55"/>
      <c r="I520" s="55"/>
      <c r="J520" s="55"/>
      <c r="K520" s="55"/>
      <c r="L520" s="63"/>
      <c r="M520" s="55"/>
      <c r="N520" s="55"/>
      <c r="O520" s="55"/>
      <c r="P520" s="55"/>
      <c r="Q520" s="55"/>
      <c r="R520" s="63"/>
      <c r="S520" s="55"/>
    </row>
    <row r="521" spans="1:19" ht="15" x14ac:dyDescent="0.25">
      <c r="A521" s="109"/>
      <c r="B521" s="109"/>
      <c r="C521" s="55"/>
      <c r="D521" s="55"/>
      <c r="E521" s="55"/>
      <c r="F521" s="55"/>
      <c r="G521" s="63"/>
      <c r="H521" s="55"/>
      <c r="I521" s="55"/>
      <c r="J521" s="55"/>
      <c r="K521" s="55"/>
      <c r="L521" s="63"/>
      <c r="M521" s="55"/>
      <c r="N521" s="55"/>
      <c r="O521" s="55"/>
      <c r="P521" s="55"/>
      <c r="Q521" s="55"/>
      <c r="R521" s="63"/>
      <c r="S521" s="55"/>
    </row>
    <row r="522" spans="1:19" ht="15" x14ac:dyDescent="0.25">
      <c r="A522" s="109"/>
      <c r="B522" s="109"/>
      <c r="C522" s="55"/>
      <c r="D522" s="55"/>
      <c r="E522" s="55"/>
      <c r="F522" s="55"/>
      <c r="G522" s="63"/>
      <c r="H522" s="55"/>
      <c r="I522" s="55"/>
      <c r="J522" s="55"/>
      <c r="K522" s="55"/>
      <c r="L522" s="63"/>
      <c r="M522" s="55"/>
      <c r="N522" s="55"/>
      <c r="O522" s="55"/>
      <c r="P522" s="55"/>
      <c r="Q522" s="55"/>
      <c r="R522" s="63"/>
      <c r="S522" s="55"/>
    </row>
    <row r="523" spans="1:19" ht="15" x14ac:dyDescent="0.25">
      <c r="A523" s="109"/>
      <c r="B523" s="109"/>
      <c r="C523" s="55"/>
      <c r="D523" s="55"/>
      <c r="E523" s="55"/>
      <c r="F523" s="55"/>
      <c r="G523" s="63"/>
      <c r="H523" s="55"/>
      <c r="I523" s="55"/>
      <c r="J523" s="55"/>
      <c r="K523" s="55"/>
      <c r="L523" s="63"/>
      <c r="M523" s="55"/>
      <c r="N523" s="55"/>
      <c r="O523" s="55"/>
      <c r="P523" s="55"/>
      <c r="Q523" s="55"/>
      <c r="R523" s="63"/>
      <c r="S523" s="55"/>
    </row>
    <row r="524" spans="1:19" ht="15" x14ac:dyDescent="0.25">
      <c r="A524" s="109"/>
      <c r="B524" s="109"/>
      <c r="C524" s="55"/>
      <c r="D524" s="55"/>
      <c r="E524" s="55"/>
      <c r="F524" s="55"/>
      <c r="G524" s="63"/>
      <c r="H524" s="55"/>
      <c r="I524" s="55"/>
      <c r="J524" s="55"/>
      <c r="K524" s="55"/>
      <c r="L524" s="63"/>
      <c r="M524" s="55"/>
      <c r="N524" s="55"/>
      <c r="O524" s="55"/>
      <c r="P524" s="55"/>
      <c r="Q524" s="55"/>
      <c r="R524" s="63"/>
      <c r="S524" s="55"/>
    </row>
    <row r="525" spans="1:19" ht="15" x14ac:dyDescent="0.25">
      <c r="A525" s="109"/>
      <c r="B525" s="109"/>
      <c r="C525" s="55"/>
      <c r="D525" s="55"/>
      <c r="E525" s="55"/>
      <c r="F525" s="55"/>
      <c r="G525" s="63"/>
      <c r="H525" s="55"/>
      <c r="I525" s="55"/>
      <c r="J525" s="55"/>
      <c r="K525" s="55"/>
      <c r="L525" s="63"/>
      <c r="M525" s="55"/>
      <c r="N525" s="55"/>
      <c r="O525" s="55"/>
      <c r="P525" s="55"/>
      <c r="Q525" s="55"/>
      <c r="R525" s="63"/>
      <c r="S525" s="55"/>
    </row>
    <row r="526" spans="1:19" ht="15" x14ac:dyDescent="0.25">
      <c r="A526" s="109"/>
      <c r="B526" s="109"/>
      <c r="C526" s="55"/>
      <c r="D526" s="55"/>
      <c r="E526" s="55"/>
      <c r="F526" s="55"/>
      <c r="G526" s="63"/>
      <c r="H526" s="55"/>
      <c r="I526" s="55"/>
      <c r="J526" s="55"/>
      <c r="K526" s="55"/>
      <c r="L526" s="63"/>
      <c r="M526" s="55"/>
      <c r="N526" s="55"/>
      <c r="O526" s="55"/>
      <c r="P526" s="55"/>
      <c r="Q526" s="55"/>
      <c r="R526" s="63"/>
      <c r="S526" s="55"/>
    </row>
    <row r="527" spans="1:19" ht="15" x14ac:dyDescent="0.25">
      <c r="A527" s="109"/>
      <c r="B527" s="109"/>
      <c r="C527" s="55"/>
      <c r="D527" s="55"/>
      <c r="E527" s="55"/>
      <c r="F527" s="55"/>
      <c r="G527" s="63"/>
      <c r="H527" s="55"/>
      <c r="I527" s="55"/>
      <c r="J527" s="55"/>
      <c r="K527" s="55"/>
      <c r="L527" s="63"/>
      <c r="M527" s="55"/>
      <c r="N527" s="55"/>
      <c r="O527" s="55"/>
      <c r="P527" s="55"/>
      <c r="Q527" s="55"/>
      <c r="R527" s="63"/>
      <c r="S527" s="55"/>
    </row>
    <row r="528" spans="1:19" ht="15" x14ac:dyDescent="0.25">
      <c r="A528" s="109"/>
      <c r="B528" s="109"/>
      <c r="C528" s="55"/>
      <c r="D528" s="55"/>
      <c r="E528" s="55"/>
      <c r="F528" s="55"/>
      <c r="G528" s="63"/>
      <c r="H528" s="55"/>
      <c r="I528" s="55"/>
      <c r="J528" s="55"/>
      <c r="K528" s="55"/>
      <c r="L528" s="63"/>
      <c r="M528" s="55"/>
      <c r="N528" s="55"/>
      <c r="O528" s="55"/>
      <c r="P528" s="55"/>
      <c r="Q528" s="55"/>
      <c r="R528" s="63"/>
      <c r="S528" s="55"/>
    </row>
    <row r="529" spans="1:19" ht="15" x14ac:dyDescent="0.25">
      <c r="A529" s="109"/>
      <c r="B529" s="109"/>
      <c r="C529" s="55"/>
      <c r="D529" s="55"/>
      <c r="E529" s="55"/>
      <c r="F529" s="55"/>
      <c r="G529" s="63"/>
      <c r="H529" s="55"/>
      <c r="I529" s="55"/>
      <c r="J529" s="55"/>
      <c r="K529" s="55"/>
      <c r="L529" s="63"/>
      <c r="M529" s="55"/>
      <c r="N529" s="55"/>
      <c r="O529" s="55"/>
      <c r="P529" s="55"/>
      <c r="Q529" s="55"/>
      <c r="R529" s="63"/>
      <c r="S529" s="55"/>
    </row>
    <row r="530" spans="1:19" ht="15" x14ac:dyDescent="0.25">
      <c r="A530" s="109"/>
      <c r="B530" s="109"/>
      <c r="C530" s="55"/>
      <c r="D530" s="55"/>
      <c r="E530" s="55"/>
      <c r="F530" s="55"/>
      <c r="G530" s="63"/>
      <c r="H530" s="55"/>
      <c r="I530" s="55"/>
      <c r="J530" s="55"/>
      <c r="K530" s="55"/>
      <c r="L530" s="63"/>
      <c r="M530" s="55"/>
      <c r="N530" s="55"/>
      <c r="O530" s="55"/>
      <c r="P530" s="55"/>
      <c r="Q530" s="55"/>
      <c r="R530" s="63"/>
      <c r="S530" s="55"/>
    </row>
    <row r="531" spans="1:19" ht="15" x14ac:dyDescent="0.25">
      <c r="A531" s="109"/>
      <c r="B531" s="109"/>
      <c r="C531" s="55"/>
      <c r="D531" s="55"/>
      <c r="E531" s="55"/>
      <c r="F531" s="55"/>
      <c r="G531" s="63"/>
      <c r="H531" s="55"/>
      <c r="I531" s="55"/>
      <c r="J531" s="55"/>
      <c r="K531" s="55"/>
      <c r="L531" s="63"/>
      <c r="M531" s="55"/>
      <c r="N531" s="55"/>
      <c r="O531" s="55"/>
      <c r="P531" s="55"/>
      <c r="Q531" s="55"/>
      <c r="R531" s="63"/>
      <c r="S531" s="55"/>
    </row>
    <row r="532" spans="1:19" ht="15" x14ac:dyDescent="0.25">
      <c r="A532" s="109"/>
      <c r="B532" s="109"/>
      <c r="C532" s="55"/>
      <c r="D532" s="55"/>
      <c r="E532" s="55"/>
      <c r="F532" s="55"/>
      <c r="G532" s="63"/>
      <c r="H532" s="55"/>
      <c r="I532" s="55"/>
      <c r="J532" s="55"/>
      <c r="K532" s="55"/>
      <c r="L532" s="63"/>
      <c r="M532" s="55"/>
      <c r="N532" s="55"/>
      <c r="O532" s="55"/>
      <c r="P532" s="55"/>
      <c r="Q532" s="55"/>
      <c r="R532" s="63"/>
      <c r="S532" s="55"/>
    </row>
    <row r="533" spans="1:19" ht="15" x14ac:dyDescent="0.25">
      <c r="A533" s="109"/>
      <c r="B533" s="109"/>
      <c r="C533" s="55"/>
      <c r="D533" s="55"/>
      <c r="E533" s="55"/>
      <c r="F533" s="55"/>
      <c r="G533" s="63"/>
      <c r="H533" s="55"/>
      <c r="I533" s="55"/>
      <c r="J533" s="55"/>
      <c r="K533" s="55"/>
      <c r="L533" s="63"/>
      <c r="M533" s="55"/>
      <c r="N533" s="55"/>
      <c r="O533" s="55"/>
      <c r="P533" s="55"/>
      <c r="Q533" s="55"/>
      <c r="R533" s="63"/>
      <c r="S533" s="55"/>
    </row>
    <row r="534" spans="1:19" ht="15" x14ac:dyDescent="0.25">
      <c r="A534" s="109"/>
      <c r="B534" s="109"/>
      <c r="C534" s="55"/>
      <c r="D534" s="55"/>
      <c r="E534" s="55"/>
      <c r="F534" s="55"/>
      <c r="G534" s="63"/>
      <c r="H534" s="55"/>
      <c r="I534" s="55"/>
      <c r="J534" s="55"/>
      <c r="K534" s="55"/>
      <c r="L534" s="63"/>
      <c r="M534" s="55"/>
      <c r="N534" s="55"/>
      <c r="O534" s="55"/>
      <c r="P534" s="55"/>
      <c r="Q534" s="55"/>
      <c r="R534" s="63"/>
      <c r="S534" s="55"/>
    </row>
    <row r="535" spans="1:19" ht="15" x14ac:dyDescent="0.25">
      <c r="A535" s="109"/>
      <c r="B535" s="109"/>
      <c r="C535" s="55"/>
      <c r="D535" s="55"/>
      <c r="E535" s="55"/>
      <c r="F535" s="55"/>
      <c r="G535" s="63"/>
      <c r="H535" s="55"/>
      <c r="I535" s="55"/>
      <c r="J535" s="55"/>
      <c r="K535" s="55"/>
      <c r="L535" s="63"/>
      <c r="M535" s="55"/>
      <c r="N535" s="55"/>
      <c r="O535" s="55"/>
      <c r="P535" s="55"/>
      <c r="Q535" s="55"/>
      <c r="R535" s="63"/>
      <c r="S535" s="55"/>
    </row>
    <row r="536" spans="1:19" ht="15" x14ac:dyDescent="0.25">
      <c r="A536" s="109"/>
      <c r="B536" s="109"/>
      <c r="C536" s="55"/>
      <c r="D536" s="55"/>
      <c r="E536" s="55"/>
      <c r="F536" s="55"/>
      <c r="G536" s="63"/>
      <c r="H536" s="55"/>
      <c r="I536" s="55"/>
      <c r="J536" s="55"/>
      <c r="K536" s="55"/>
      <c r="L536" s="63"/>
      <c r="M536" s="55"/>
      <c r="N536" s="55"/>
      <c r="O536" s="55"/>
      <c r="P536" s="55"/>
      <c r="Q536" s="55"/>
      <c r="R536" s="63"/>
      <c r="S536" s="55"/>
    </row>
    <row r="537" spans="1:19" ht="15" x14ac:dyDescent="0.25">
      <c r="A537" s="109"/>
      <c r="B537" s="109"/>
      <c r="C537" s="55"/>
      <c r="D537" s="55"/>
      <c r="E537" s="55"/>
      <c r="F537" s="55"/>
      <c r="G537" s="63"/>
      <c r="H537" s="55"/>
      <c r="I537" s="55"/>
      <c r="J537" s="55"/>
      <c r="K537" s="55"/>
      <c r="L537" s="63"/>
      <c r="M537" s="55"/>
      <c r="N537" s="55"/>
      <c r="O537" s="55"/>
      <c r="P537" s="55"/>
      <c r="Q537" s="55"/>
      <c r="R537" s="63"/>
      <c r="S537" s="55"/>
    </row>
    <row r="538" spans="1:19" ht="15" x14ac:dyDescent="0.25">
      <c r="A538" s="109"/>
      <c r="B538" s="109"/>
      <c r="C538" s="55"/>
      <c r="D538" s="55"/>
      <c r="E538" s="55"/>
      <c r="F538" s="55"/>
      <c r="G538" s="63"/>
      <c r="H538" s="55"/>
      <c r="I538" s="55"/>
      <c r="J538" s="55"/>
      <c r="K538" s="55"/>
      <c r="L538" s="63"/>
      <c r="M538" s="55"/>
      <c r="N538" s="55"/>
      <c r="O538" s="55"/>
      <c r="P538" s="55"/>
      <c r="Q538" s="55"/>
      <c r="R538" s="63"/>
      <c r="S538" s="55"/>
    </row>
    <row r="539" spans="1:19" ht="15" x14ac:dyDescent="0.25">
      <c r="A539" s="109"/>
      <c r="B539" s="109"/>
      <c r="C539" s="55"/>
      <c r="D539" s="55"/>
      <c r="E539" s="55"/>
      <c r="F539" s="55"/>
      <c r="G539" s="63"/>
      <c r="H539" s="55"/>
      <c r="I539" s="55"/>
      <c r="J539" s="55"/>
      <c r="K539" s="55"/>
      <c r="L539" s="63"/>
      <c r="M539" s="55"/>
      <c r="N539" s="55"/>
      <c r="O539" s="55"/>
      <c r="P539" s="55"/>
      <c r="Q539" s="55"/>
      <c r="R539" s="63"/>
      <c r="S539" s="55"/>
    </row>
    <row r="540" spans="1:19" ht="15" x14ac:dyDescent="0.25">
      <c r="A540" s="109"/>
      <c r="B540" s="109"/>
      <c r="C540" s="55"/>
      <c r="D540" s="55"/>
      <c r="E540" s="55"/>
      <c r="F540" s="55"/>
      <c r="G540" s="63"/>
      <c r="H540" s="55"/>
      <c r="I540" s="55"/>
      <c r="J540" s="55"/>
      <c r="K540" s="55"/>
      <c r="L540" s="63"/>
      <c r="M540" s="55"/>
      <c r="N540" s="55"/>
      <c r="O540" s="55"/>
      <c r="P540" s="55"/>
      <c r="Q540" s="55"/>
      <c r="R540" s="63"/>
      <c r="S540" s="55"/>
    </row>
    <row r="541" spans="1:19" ht="15" x14ac:dyDescent="0.25">
      <c r="A541" s="109"/>
      <c r="B541" s="109"/>
      <c r="C541" s="55"/>
      <c r="D541" s="55"/>
      <c r="E541" s="55"/>
      <c r="F541" s="55"/>
      <c r="G541" s="63"/>
      <c r="H541" s="55"/>
      <c r="I541" s="55"/>
      <c r="J541" s="55"/>
      <c r="K541" s="55"/>
      <c r="L541" s="63"/>
      <c r="M541" s="55"/>
      <c r="N541" s="55"/>
      <c r="O541" s="55"/>
      <c r="P541" s="55"/>
      <c r="Q541" s="55"/>
      <c r="R541" s="63"/>
      <c r="S541" s="55"/>
    </row>
    <row r="542" spans="1:19" ht="15" x14ac:dyDescent="0.25">
      <c r="A542" s="109"/>
      <c r="B542" s="109"/>
      <c r="C542" s="55"/>
      <c r="D542" s="55"/>
      <c r="E542" s="55"/>
      <c r="F542" s="55"/>
      <c r="G542" s="63"/>
      <c r="H542" s="55"/>
      <c r="I542" s="55"/>
      <c r="J542" s="55"/>
      <c r="K542" s="55"/>
      <c r="L542" s="63"/>
      <c r="M542" s="55"/>
      <c r="N542" s="55"/>
      <c r="O542" s="55"/>
      <c r="P542" s="55"/>
      <c r="Q542" s="55"/>
      <c r="R542" s="63"/>
      <c r="S542" s="55"/>
    </row>
    <row r="543" spans="1:19" ht="15" x14ac:dyDescent="0.25">
      <c r="A543" s="109"/>
      <c r="B543" s="109"/>
      <c r="C543" s="55"/>
      <c r="D543" s="55"/>
      <c r="E543" s="55"/>
      <c r="F543" s="55"/>
      <c r="G543" s="63"/>
      <c r="H543" s="55"/>
      <c r="I543" s="55"/>
      <c r="J543" s="55"/>
      <c r="K543" s="55"/>
      <c r="L543" s="63"/>
      <c r="M543" s="55"/>
      <c r="N543" s="55"/>
      <c r="O543" s="55"/>
      <c r="P543" s="55"/>
      <c r="Q543" s="55"/>
      <c r="R543" s="63"/>
      <c r="S543" s="55"/>
    </row>
    <row r="544" spans="1:19" ht="15" x14ac:dyDescent="0.25">
      <c r="A544" s="109"/>
      <c r="B544" s="109"/>
      <c r="C544" s="55"/>
      <c r="D544" s="55"/>
      <c r="E544" s="55"/>
      <c r="F544" s="55"/>
      <c r="G544" s="63"/>
      <c r="H544" s="55"/>
      <c r="I544" s="55"/>
      <c r="J544" s="55"/>
      <c r="K544" s="55"/>
      <c r="L544" s="63"/>
      <c r="M544" s="55"/>
      <c r="N544" s="55"/>
      <c r="O544" s="55"/>
      <c r="P544" s="55"/>
      <c r="Q544" s="55"/>
      <c r="R544" s="63"/>
      <c r="S544" s="55"/>
    </row>
    <row r="545" spans="1:19" ht="15" x14ac:dyDescent="0.25">
      <c r="A545" s="109"/>
      <c r="B545" s="109"/>
      <c r="C545" s="55"/>
      <c r="D545" s="55"/>
      <c r="E545" s="55"/>
      <c r="F545" s="55"/>
      <c r="G545" s="63"/>
      <c r="H545" s="55"/>
      <c r="I545" s="55"/>
      <c r="J545" s="55"/>
      <c r="K545" s="55"/>
      <c r="L545" s="63"/>
      <c r="M545" s="55"/>
      <c r="N545" s="55"/>
      <c r="O545" s="55"/>
      <c r="P545" s="55"/>
      <c r="Q545" s="55"/>
      <c r="R545" s="63"/>
      <c r="S545" s="55"/>
    </row>
    <row r="546" spans="1:19" ht="15" x14ac:dyDescent="0.25">
      <c r="A546" s="109"/>
      <c r="B546" s="109"/>
      <c r="C546" s="55"/>
      <c r="D546" s="55"/>
      <c r="E546" s="55"/>
      <c r="F546" s="55"/>
      <c r="G546" s="63"/>
      <c r="H546" s="55"/>
      <c r="I546" s="55"/>
      <c r="J546" s="55"/>
      <c r="K546" s="55"/>
      <c r="L546" s="63"/>
      <c r="M546" s="55"/>
      <c r="N546" s="55"/>
      <c r="O546" s="55"/>
      <c r="P546" s="55"/>
      <c r="Q546" s="55"/>
      <c r="R546" s="63"/>
      <c r="S546" s="55"/>
    </row>
    <row r="547" spans="1:19" ht="15" x14ac:dyDescent="0.25">
      <c r="A547" s="109"/>
      <c r="B547" s="109"/>
      <c r="C547" s="55"/>
      <c r="D547" s="55"/>
      <c r="E547" s="55"/>
      <c r="F547" s="55"/>
      <c r="G547" s="63"/>
      <c r="H547" s="55"/>
      <c r="I547" s="55"/>
      <c r="J547" s="55"/>
      <c r="K547" s="55"/>
      <c r="L547" s="63"/>
      <c r="M547" s="55"/>
      <c r="N547" s="55"/>
      <c r="O547" s="55"/>
      <c r="P547" s="55"/>
      <c r="Q547" s="55"/>
      <c r="R547" s="63"/>
      <c r="S547" s="55"/>
    </row>
    <row r="548" spans="1:19" ht="15" x14ac:dyDescent="0.25">
      <c r="A548" s="109"/>
      <c r="B548" s="109"/>
      <c r="C548" s="55"/>
      <c r="D548" s="55"/>
      <c r="E548" s="55"/>
      <c r="F548" s="55"/>
      <c r="G548" s="63"/>
      <c r="H548" s="55"/>
      <c r="I548" s="55"/>
      <c r="J548" s="55"/>
      <c r="K548" s="55"/>
      <c r="L548" s="63"/>
      <c r="M548" s="55"/>
      <c r="N548" s="55"/>
      <c r="O548" s="55"/>
      <c r="P548" s="55"/>
      <c r="Q548" s="55"/>
      <c r="R548" s="63"/>
      <c r="S548" s="55"/>
    </row>
    <row r="549" spans="1:19" ht="15" x14ac:dyDescent="0.25">
      <c r="A549" s="109"/>
      <c r="B549" s="109"/>
      <c r="C549" s="55"/>
      <c r="D549" s="55"/>
      <c r="E549" s="55"/>
      <c r="F549" s="55"/>
      <c r="G549" s="63"/>
      <c r="H549" s="55"/>
      <c r="I549" s="55"/>
      <c r="J549" s="55"/>
      <c r="K549" s="55"/>
      <c r="L549" s="63"/>
      <c r="M549" s="55"/>
      <c r="N549" s="55"/>
      <c r="O549" s="55"/>
      <c r="P549" s="55"/>
      <c r="Q549" s="55"/>
      <c r="R549" s="63"/>
      <c r="S549" s="55"/>
    </row>
    <row r="550" spans="1:19" ht="15" x14ac:dyDescent="0.25">
      <c r="A550" s="109"/>
      <c r="B550" s="109"/>
      <c r="C550" s="55"/>
      <c r="D550" s="55"/>
      <c r="E550" s="55"/>
      <c r="F550" s="55"/>
      <c r="G550" s="63"/>
      <c r="H550" s="55"/>
      <c r="I550" s="55"/>
      <c r="J550" s="55"/>
      <c r="K550" s="55"/>
      <c r="L550" s="63"/>
      <c r="M550" s="55"/>
      <c r="N550" s="55"/>
      <c r="O550" s="55"/>
      <c r="P550" s="55"/>
      <c r="Q550" s="55"/>
      <c r="R550" s="63"/>
      <c r="S550" s="55"/>
    </row>
    <row r="551" spans="1:19" ht="15" x14ac:dyDescent="0.25">
      <c r="A551" s="109"/>
      <c r="B551" s="109"/>
      <c r="C551" s="55"/>
      <c r="D551" s="55"/>
      <c r="E551" s="55"/>
      <c r="F551" s="55"/>
      <c r="G551" s="63"/>
      <c r="H551" s="55"/>
      <c r="I551" s="55"/>
      <c r="J551" s="55"/>
      <c r="K551" s="55"/>
      <c r="L551" s="63"/>
      <c r="M551" s="55"/>
      <c r="N551" s="55"/>
      <c r="O551" s="55"/>
      <c r="P551" s="55"/>
      <c r="Q551" s="55"/>
      <c r="R551" s="63"/>
      <c r="S551" s="55"/>
    </row>
    <row r="552" spans="1:19" ht="15" x14ac:dyDescent="0.25">
      <c r="A552" s="109"/>
      <c r="B552" s="109"/>
      <c r="C552" s="55"/>
      <c r="D552" s="55"/>
      <c r="E552" s="55"/>
      <c r="F552" s="55"/>
      <c r="G552" s="63"/>
      <c r="H552" s="55"/>
      <c r="I552" s="55"/>
      <c r="J552" s="55"/>
      <c r="K552" s="55"/>
      <c r="L552" s="63"/>
      <c r="M552" s="55"/>
      <c r="N552" s="55"/>
      <c r="O552" s="55"/>
      <c r="P552" s="55"/>
      <c r="Q552" s="55"/>
      <c r="R552" s="63"/>
      <c r="S552" s="55"/>
    </row>
    <row r="553" spans="1:19" ht="15" x14ac:dyDescent="0.25">
      <c r="A553" s="109"/>
      <c r="B553" s="109"/>
      <c r="C553" s="55"/>
      <c r="D553" s="55"/>
      <c r="E553" s="55"/>
      <c r="F553" s="55"/>
      <c r="G553" s="63"/>
      <c r="H553" s="55"/>
      <c r="I553" s="55"/>
      <c r="J553" s="55"/>
      <c r="K553" s="55"/>
      <c r="L553" s="63"/>
      <c r="M553" s="55"/>
      <c r="N553" s="55"/>
      <c r="O553" s="55"/>
      <c r="P553" s="55"/>
      <c r="Q553" s="55"/>
      <c r="R553" s="63"/>
      <c r="S553" s="55"/>
    </row>
    <row r="554" spans="1:19" ht="15" x14ac:dyDescent="0.25">
      <c r="A554" s="109"/>
      <c r="B554" s="109"/>
      <c r="C554" s="55"/>
      <c r="D554" s="55"/>
      <c r="E554" s="55"/>
      <c r="F554" s="55"/>
      <c r="G554" s="63"/>
      <c r="H554" s="55"/>
      <c r="I554" s="55"/>
      <c r="J554" s="55"/>
      <c r="K554" s="55"/>
      <c r="L554" s="63"/>
      <c r="M554" s="55"/>
      <c r="N554" s="55"/>
      <c r="O554" s="55"/>
      <c r="P554" s="55"/>
      <c r="Q554" s="55"/>
      <c r="R554" s="63"/>
      <c r="S554" s="55"/>
    </row>
    <row r="555" spans="1:19" ht="15" x14ac:dyDescent="0.25">
      <c r="A555" s="109"/>
      <c r="B555" s="109"/>
      <c r="C555" s="55"/>
      <c r="D555" s="55"/>
      <c r="E555" s="55"/>
      <c r="F555" s="55"/>
      <c r="G555" s="63"/>
      <c r="H555" s="55"/>
      <c r="I555" s="55"/>
      <c r="J555" s="55"/>
      <c r="K555" s="55"/>
      <c r="L555" s="63"/>
      <c r="M555" s="55"/>
      <c r="N555" s="55"/>
      <c r="O555" s="55"/>
      <c r="P555" s="55"/>
      <c r="Q555" s="55"/>
      <c r="R555" s="63"/>
      <c r="S555" s="55"/>
    </row>
    <row r="556" spans="1:19" ht="15" x14ac:dyDescent="0.25">
      <c r="A556" s="109"/>
      <c r="B556" s="109"/>
      <c r="C556" s="55"/>
      <c r="D556" s="55"/>
      <c r="E556" s="55"/>
      <c r="F556" s="55"/>
      <c r="G556" s="63"/>
      <c r="H556" s="55"/>
      <c r="I556" s="55"/>
      <c r="J556" s="55"/>
      <c r="K556" s="55"/>
      <c r="L556" s="63"/>
      <c r="M556" s="55"/>
      <c r="N556" s="55"/>
      <c r="O556" s="55"/>
      <c r="P556" s="55"/>
      <c r="Q556" s="55"/>
      <c r="R556" s="63"/>
      <c r="S556" s="55"/>
    </row>
    <row r="557" spans="1:19" ht="15" x14ac:dyDescent="0.25">
      <c r="A557" s="109"/>
      <c r="B557" s="109"/>
      <c r="C557" s="55"/>
      <c r="D557" s="55"/>
      <c r="E557" s="55"/>
      <c r="F557" s="55"/>
      <c r="G557" s="63"/>
      <c r="H557" s="55"/>
      <c r="I557" s="55"/>
      <c r="J557" s="55"/>
      <c r="K557" s="55"/>
      <c r="L557" s="63"/>
      <c r="M557" s="55"/>
      <c r="N557" s="55"/>
      <c r="O557" s="55"/>
      <c r="P557" s="55"/>
      <c r="Q557" s="55"/>
      <c r="R557" s="63"/>
      <c r="S557" s="55"/>
    </row>
    <row r="558" spans="1:19" ht="15" x14ac:dyDescent="0.25">
      <c r="A558" s="109"/>
      <c r="B558" s="109"/>
      <c r="C558" s="55"/>
      <c r="D558" s="55"/>
      <c r="E558" s="55"/>
      <c r="F558" s="55"/>
      <c r="G558" s="63"/>
      <c r="H558" s="55"/>
      <c r="I558" s="55"/>
      <c r="J558" s="55"/>
      <c r="K558" s="55"/>
      <c r="L558" s="63"/>
      <c r="M558" s="55"/>
      <c r="N558" s="55"/>
      <c r="O558" s="55"/>
      <c r="P558" s="55"/>
      <c r="Q558" s="55"/>
      <c r="R558" s="63"/>
      <c r="S558" s="55"/>
    </row>
    <row r="559" spans="1:19" ht="15" x14ac:dyDescent="0.25">
      <c r="A559" s="109"/>
      <c r="B559" s="109"/>
      <c r="C559" s="55"/>
      <c r="D559" s="55"/>
      <c r="E559" s="55"/>
      <c r="F559" s="55"/>
      <c r="G559" s="63"/>
      <c r="H559" s="55"/>
      <c r="I559" s="55"/>
      <c r="J559" s="55"/>
      <c r="K559" s="55"/>
      <c r="L559" s="63"/>
      <c r="M559" s="55"/>
      <c r="N559" s="55"/>
      <c r="O559" s="55"/>
      <c r="P559" s="55"/>
      <c r="Q559" s="55"/>
      <c r="R559" s="63"/>
      <c r="S559" s="55"/>
    </row>
    <row r="560" spans="1:19" ht="15" x14ac:dyDescent="0.25">
      <c r="A560" s="109"/>
      <c r="B560" s="109"/>
      <c r="C560" s="55"/>
      <c r="D560" s="55"/>
      <c r="E560" s="55"/>
      <c r="F560" s="55"/>
      <c r="G560" s="63"/>
      <c r="H560" s="55"/>
      <c r="I560" s="55"/>
      <c r="J560" s="55"/>
      <c r="K560" s="55"/>
      <c r="L560" s="63"/>
      <c r="M560" s="55"/>
      <c r="N560" s="55"/>
      <c r="O560" s="55"/>
      <c r="P560" s="55"/>
      <c r="Q560" s="55"/>
      <c r="R560" s="63"/>
      <c r="S560" s="55"/>
    </row>
    <row r="561" spans="1:19" ht="15" x14ac:dyDescent="0.25">
      <c r="A561" s="109"/>
      <c r="B561" s="109"/>
      <c r="C561" s="55"/>
      <c r="D561" s="55"/>
      <c r="E561" s="55"/>
      <c r="F561" s="55"/>
      <c r="G561" s="63"/>
      <c r="H561" s="55"/>
      <c r="I561" s="55"/>
      <c r="J561" s="55"/>
      <c r="K561" s="55"/>
      <c r="L561" s="63"/>
      <c r="M561" s="55"/>
      <c r="N561" s="55"/>
      <c r="O561" s="55"/>
      <c r="P561" s="55"/>
      <c r="Q561" s="55"/>
      <c r="R561" s="63"/>
      <c r="S561" s="55"/>
    </row>
    <row r="562" spans="1:19" ht="15" x14ac:dyDescent="0.25">
      <c r="A562" s="109"/>
      <c r="B562" s="109"/>
      <c r="C562" s="55"/>
      <c r="D562" s="55"/>
      <c r="E562" s="55"/>
      <c r="F562" s="55"/>
      <c r="G562" s="63"/>
      <c r="H562" s="55"/>
      <c r="I562" s="55"/>
      <c r="J562" s="55"/>
      <c r="K562" s="55"/>
      <c r="L562" s="63"/>
      <c r="M562" s="55"/>
      <c r="N562" s="55"/>
      <c r="O562" s="55"/>
      <c r="P562" s="55"/>
      <c r="Q562" s="55"/>
      <c r="R562" s="63"/>
      <c r="S562" s="55"/>
    </row>
    <row r="563" spans="1:19" ht="15" x14ac:dyDescent="0.25">
      <c r="A563" s="109"/>
      <c r="B563" s="109"/>
      <c r="C563" s="55"/>
      <c r="D563" s="55"/>
      <c r="E563" s="55"/>
      <c r="F563" s="55"/>
      <c r="G563" s="63"/>
      <c r="H563" s="55"/>
      <c r="I563" s="55"/>
      <c r="J563" s="55"/>
      <c r="K563" s="55"/>
      <c r="L563" s="63"/>
      <c r="M563" s="55"/>
      <c r="N563" s="55"/>
      <c r="O563" s="55"/>
      <c r="P563" s="55"/>
      <c r="Q563" s="55"/>
      <c r="R563" s="63"/>
      <c r="S563" s="55"/>
    </row>
    <row r="564" spans="1:19" ht="15" x14ac:dyDescent="0.25">
      <c r="A564" s="109"/>
      <c r="B564" s="109"/>
      <c r="C564" s="55"/>
      <c r="D564" s="55"/>
      <c r="E564" s="55"/>
      <c r="F564" s="55"/>
      <c r="G564" s="63"/>
      <c r="H564" s="55"/>
      <c r="I564" s="55"/>
      <c r="J564" s="55"/>
      <c r="K564" s="55"/>
      <c r="L564" s="63"/>
      <c r="M564" s="55"/>
      <c r="N564" s="55"/>
      <c r="O564" s="55"/>
      <c r="P564" s="55"/>
      <c r="Q564" s="55"/>
      <c r="R564" s="63"/>
      <c r="S564" s="55"/>
    </row>
    <row r="565" spans="1:19" ht="15" x14ac:dyDescent="0.25">
      <c r="A565" s="109"/>
      <c r="B565" s="109"/>
      <c r="C565" s="55"/>
      <c r="D565" s="55"/>
      <c r="E565" s="55"/>
      <c r="F565" s="55"/>
      <c r="G565" s="63"/>
      <c r="H565" s="55"/>
      <c r="I565" s="55"/>
      <c r="J565" s="55"/>
      <c r="K565" s="55"/>
      <c r="L565" s="63"/>
      <c r="M565" s="55"/>
      <c r="N565" s="55"/>
      <c r="O565" s="55"/>
      <c r="P565" s="55"/>
      <c r="Q565" s="55"/>
      <c r="R565" s="63"/>
      <c r="S565" s="55"/>
    </row>
    <row r="566" spans="1:19" ht="15" x14ac:dyDescent="0.25">
      <c r="A566" s="109"/>
      <c r="B566" s="109"/>
      <c r="C566" s="55"/>
      <c r="D566" s="55"/>
      <c r="E566" s="55"/>
      <c r="F566" s="55"/>
      <c r="G566" s="63"/>
      <c r="H566" s="55"/>
      <c r="I566" s="55"/>
      <c r="J566" s="55"/>
      <c r="K566" s="55"/>
      <c r="L566" s="63"/>
      <c r="M566" s="55"/>
      <c r="N566" s="55"/>
      <c r="O566" s="55"/>
      <c r="P566" s="55"/>
      <c r="Q566" s="55"/>
      <c r="R566" s="63"/>
      <c r="S566" s="55"/>
    </row>
    <row r="567" spans="1:19" ht="15" x14ac:dyDescent="0.25">
      <c r="A567" s="109"/>
      <c r="B567" s="109"/>
      <c r="C567" s="55"/>
      <c r="D567" s="55"/>
      <c r="E567" s="55"/>
      <c r="F567" s="55"/>
      <c r="G567" s="63"/>
      <c r="H567" s="55"/>
      <c r="I567" s="55"/>
      <c r="J567" s="55"/>
      <c r="K567" s="55"/>
      <c r="L567" s="63"/>
      <c r="M567" s="55"/>
      <c r="N567" s="55"/>
      <c r="O567" s="55"/>
      <c r="P567" s="55"/>
      <c r="Q567" s="55"/>
      <c r="R567" s="63"/>
      <c r="S567" s="55"/>
    </row>
    <row r="568" spans="1:19" ht="15" x14ac:dyDescent="0.25">
      <c r="A568" s="109"/>
      <c r="B568" s="109"/>
      <c r="C568" s="55"/>
      <c r="D568" s="55"/>
      <c r="E568" s="55"/>
      <c r="F568" s="55"/>
      <c r="G568" s="63"/>
      <c r="H568" s="55"/>
      <c r="I568" s="55"/>
      <c r="J568" s="55"/>
      <c r="K568" s="55"/>
      <c r="L568" s="63"/>
      <c r="M568" s="55"/>
      <c r="N568" s="55"/>
      <c r="O568" s="55"/>
      <c r="P568" s="55"/>
      <c r="Q568" s="55"/>
      <c r="R568" s="63"/>
      <c r="S568" s="55"/>
    </row>
    <row r="569" spans="1:19" ht="15" x14ac:dyDescent="0.25">
      <c r="A569" s="109"/>
      <c r="B569" s="109"/>
      <c r="C569" s="55"/>
      <c r="D569" s="55"/>
      <c r="E569" s="55"/>
      <c r="F569" s="55"/>
      <c r="G569" s="63"/>
      <c r="H569" s="55"/>
      <c r="I569" s="55"/>
      <c r="J569" s="55"/>
      <c r="K569" s="55"/>
      <c r="L569" s="63"/>
      <c r="M569" s="55"/>
      <c r="N569" s="55"/>
      <c r="O569" s="55"/>
      <c r="P569" s="55"/>
      <c r="Q569" s="55"/>
      <c r="R569" s="63"/>
      <c r="S569" s="55"/>
    </row>
    <row r="570" spans="1:19" ht="15" x14ac:dyDescent="0.25">
      <c r="A570" s="109"/>
      <c r="B570" s="109"/>
      <c r="C570" s="55"/>
      <c r="D570" s="55"/>
      <c r="E570" s="55"/>
      <c r="F570" s="55"/>
      <c r="G570" s="63"/>
      <c r="H570" s="55"/>
      <c r="I570" s="55"/>
      <c r="J570" s="55"/>
      <c r="K570" s="55"/>
      <c r="L570" s="63"/>
      <c r="M570" s="55"/>
      <c r="N570" s="55"/>
      <c r="O570" s="55"/>
      <c r="P570" s="55"/>
      <c r="Q570" s="55"/>
      <c r="R570" s="63"/>
      <c r="S570" s="55"/>
    </row>
    <row r="571" spans="1:19" ht="15" x14ac:dyDescent="0.25">
      <c r="A571" s="109"/>
      <c r="B571" s="109"/>
      <c r="C571" s="55"/>
      <c r="D571" s="55"/>
      <c r="E571" s="55"/>
      <c r="F571" s="55"/>
      <c r="G571" s="63"/>
      <c r="H571" s="55"/>
      <c r="I571" s="55"/>
      <c r="J571" s="55"/>
      <c r="K571" s="55"/>
      <c r="L571" s="63"/>
      <c r="M571" s="55"/>
      <c r="N571" s="55"/>
      <c r="O571" s="55"/>
      <c r="P571" s="55"/>
      <c r="Q571" s="55"/>
      <c r="R571" s="63"/>
      <c r="S571" s="55"/>
    </row>
    <row r="572" spans="1:19" ht="15" x14ac:dyDescent="0.25">
      <c r="A572" s="109"/>
      <c r="B572" s="109"/>
      <c r="C572" s="55"/>
      <c r="D572" s="55"/>
      <c r="E572" s="55"/>
      <c r="F572" s="55"/>
      <c r="G572" s="63"/>
      <c r="H572" s="55"/>
      <c r="I572" s="55"/>
      <c r="J572" s="55"/>
      <c r="K572" s="55"/>
      <c r="L572" s="63"/>
      <c r="M572" s="55"/>
      <c r="N572" s="55"/>
      <c r="O572" s="55"/>
      <c r="P572" s="55"/>
      <c r="Q572" s="55"/>
      <c r="R572" s="63"/>
      <c r="S572" s="55"/>
    </row>
    <row r="573" spans="1:19" ht="15" x14ac:dyDescent="0.25">
      <c r="A573" s="109"/>
      <c r="B573" s="109"/>
      <c r="C573" s="55"/>
      <c r="D573" s="55"/>
      <c r="E573" s="55"/>
      <c r="F573" s="55"/>
      <c r="G573" s="63"/>
      <c r="H573" s="55"/>
      <c r="I573" s="55"/>
      <c r="J573" s="55"/>
      <c r="K573" s="55"/>
      <c r="L573" s="63"/>
      <c r="M573" s="55"/>
      <c r="N573" s="55"/>
      <c r="O573" s="55"/>
      <c r="P573" s="55"/>
      <c r="Q573" s="55"/>
      <c r="R573" s="63"/>
      <c r="S573" s="55"/>
    </row>
    <row r="574" spans="1:19" ht="15" x14ac:dyDescent="0.25">
      <c r="A574" s="109"/>
      <c r="B574" s="109"/>
      <c r="C574" s="55"/>
      <c r="D574" s="55"/>
      <c r="E574" s="55"/>
      <c r="F574" s="55"/>
      <c r="G574" s="63"/>
      <c r="H574" s="55"/>
      <c r="I574" s="55"/>
      <c r="J574" s="55"/>
      <c r="K574" s="55"/>
      <c r="L574" s="63"/>
      <c r="M574" s="55"/>
      <c r="N574" s="55"/>
      <c r="O574" s="55"/>
      <c r="P574" s="55"/>
      <c r="Q574" s="55"/>
      <c r="R574" s="63"/>
      <c r="S574" s="55"/>
    </row>
    <row r="575" spans="1:19" ht="15" x14ac:dyDescent="0.25">
      <c r="A575" s="109"/>
      <c r="B575" s="109"/>
      <c r="C575" s="55"/>
      <c r="D575" s="55"/>
      <c r="E575" s="55"/>
      <c r="F575" s="55"/>
      <c r="G575" s="63"/>
      <c r="H575" s="55"/>
      <c r="I575" s="55"/>
      <c r="J575" s="55"/>
      <c r="K575" s="55"/>
      <c r="L575" s="63"/>
      <c r="M575" s="55"/>
      <c r="N575" s="55"/>
      <c r="O575" s="55"/>
      <c r="P575" s="55"/>
      <c r="Q575" s="55"/>
      <c r="R575" s="63"/>
      <c r="S575" s="55"/>
    </row>
    <row r="576" spans="1:19" ht="15" x14ac:dyDescent="0.25">
      <c r="A576" s="109"/>
      <c r="B576" s="109"/>
      <c r="C576" s="55"/>
      <c r="D576" s="55"/>
      <c r="E576" s="55"/>
      <c r="F576" s="55"/>
      <c r="G576" s="63"/>
      <c r="H576" s="55"/>
      <c r="I576" s="55"/>
      <c r="J576" s="55"/>
      <c r="K576" s="55"/>
      <c r="L576" s="63"/>
      <c r="M576" s="55"/>
      <c r="N576" s="55"/>
      <c r="O576" s="55"/>
      <c r="P576" s="55"/>
      <c r="Q576" s="55"/>
      <c r="R576" s="63"/>
      <c r="S576" s="55"/>
    </row>
    <row r="577" spans="1:19" ht="15" x14ac:dyDescent="0.25">
      <c r="A577" s="109"/>
      <c r="B577" s="109"/>
      <c r="C577" s="55"/>
      <c r="D577" s="55"/>
      <c r="E577" s="55"/>
      <c r="F577" s="55"/>
      <c r="G577" s="63"/>
      <c r="H577" s="55"/>
      <c r="I577" s="55"/>
      <c r="J577" s="55"/>
      <c r="K577" s="55"/>
      <c r="L577" s="63"/>
      <c r="M577" s="55"/>
      <c r="N577" s="55"/>
      <c r="O577" s="55"/>
      <c r="P577" s="55"/>
      <c r="Q577" s="55"/>
      <c r="R577" s="63"/>
      <c r="S577" s="55"/>
    </row>
    <row r="578" spans="1:19" ht="15" x14ac:dyDescent="0.25">
      <c r="A578" s="109"/>
      <c r="B578" s="109"/>
      <c r="C578" s="55"/>
      <c r="D578" s="55"/>
      <c r="E578" s="55"/>
      <c r="F578" s="55"/>
      <c r="G578" s="63"/>
      <c r="H578" s="55"/>
      <c r="I578" s="55"/>
      <c r="J578" s="55"/>
      <c r="K578" s="55"/>
      <c r="L578" s="63"/>
      <c r="M578" s="55"/>
      <c r="N578" s="55"/>
      <c r="O578" s="55"/>
      <c r="P578" s="55"/>
      <c r="Q578" s="55"/>
      <c r="R578" s="63"/>
      <c r="S578" s="55"/>
    </row>
    <row r="579" spans="1:19" ht="15" x14ac:dyDescent="0.25">
      <c r="A579" s="109"/>
      <c r="B579" s="109"/>
      <c r="C579" s="55"/>
      <c r="D579" s="55"/>
      <c r="E579" s="55"/>
      <c r="F579" s="55"/>
      <c r="G579" s="63"/>
      <c r="H579" s="55"/>
      <c r="I579" s="55"/>
      <c r="J579" s="55"/>
      <c r="K579" s="55"/>
      <c r="L579" s="63"/>
      <c r="M579" s="55"/>
      <c r="N579" s="55"/>
      <c r="O579" s="55"/>
      <c r="P579" s="55"/>
      <c r="Q579" s="55"/>
      <c r="R579" s="63"/>
      <c r="S579" s="55"/>
    </row>
    <row r="580" spans="1:19" ht="15" x14ac:dyDescent="0.25">
      <c r="A580" s="109"/>
      <c r="B580" s="109"/>
      <c r="C580" s="55"/>
      <c r="D580" s="55"/>
      <c r="E580" s="55"/>
      <c r="F580" s="55"/>
      <c r="G580" s="63"/>
      <c r="H580" s="55"/>
      <c r="I580" s="55"/>
      <c r="J580" s="55"/>
      <c r="K580" s="55"/>
      <c r="L580" s="63"/>
      <c r="M580" s="55"/>
      <c r="N580" s="55"/>
      <c r="O580" s="55"/>
      <c r="P580" s="55"/>
      <c r="Q580" s="55"/>
      <c r="R580" s="63"/>
      <c r="S580" s="55"/>
    </row>
    <row r="581" spans="1:19" ht="15" x14ac:dyDescent="0.25">
      <c r="A581" s="109"/>
      <c r="B581" s="109"/>
      <c r="C581" s="55"/>
      <c r="D581" s="55"/>
      <c r="E581" s="55"/>
      <c r="F581" s="55"/>
      <c r="G581" s="63"/>
      <c r="H581" s="55"/>
      <c r="I581" s="55"/>
      <c r="J581" s="55"/>
      <c r="K581" s="55"/>
      <c r="L581" s="63"/>
      <c r="M581" s="55"/>
      <c r="N581" s="55"/>
      <c r="O581" s="55"/>
      <c r="P581" s="55"/>
      <c r="Q581" s="55"/>
      <c r="R581" s="63"/>
      <c r="S581" s="55"/>
    </row>
    <row r="582" spans="1:19" ht="15" x14ac:dyDescent="0.25">
      <c r="A582" s="109"/>
      <c r="B582" s="109"/>
      <c r="C582" s="55"/>
      <c r="D582" s="55"/>
      <c r="E582" s="55"/>
      <c r="F582" s="55"/>
      <c r="G582" s="63"/>
      <c r="H582" s="55"/>
      <c r="I582" s="55"/>
      <c r="J582" s="55"/>
      <c r="K582" s="55"/>
      <c r="L582" s="63"/>
      <c r="M582" s="55"/>
      <c r="N582" s="55"/>
      <c r="O582" s="55"/>
      <c r="P582" s="55"/>
      <c r="Q582" s="55"/>
      <c r="R582" s="63"/>
      <c r="S582" s="55"/>
    </row>
    <row r="583" spans="1:19" ht="15" x14ac:dyDescent="0.25">
      <c r="A583" s="109"/>
      <c r="B583" s="109"/>
      <c r="C583" s="55"/>
      <c r="D583" s="55"/>
      <c r="E583" s="55"/>
      <c r="F583" s="55"/>
      <c r="G583" s="63"/>
      <c r="H583" s="55"/>
      <c r="I583" s="55"/>
      <c r="J583" s="55"/>
      <c r="K583" s="55"/>
      <c r="L583" s="63"/>
      <c r="M583" s="55"/>
      <c r="N583" s="55"/>
      <c r="O583" s="55"/>
      <c r="P583" s="55"/>
      <c r="Q583" s="55"/>
      <c r="R583" s="63"/>
      <c r="S583" s="55"/>
    </row>
    <row r="584" spans="1:19" ht="15" x14ac:dyDescent="0.25">
      <c r="A584" s="109"/>
      <c r="B584" s="109"/>
      <c r="C584" s="55"/>
      <c r="D584" s="55"/>
      <c r="E584" s="55"/>
      <c r="F584" s="55"/>
      <c r="G584" s="63"/>
      <c r="H584" s="55"/>
      <c r="I584" s="55"/>
      <c r="J584" s="55"/>
      <c r="K584" s="55"/>
      <c r="L584" s="63"/>
      <c r="M584" s="55"/>
      <c r="N584" s="55"/>
      <c r="O584" s="55"/>
      <c r="P584" s="55"/>
      <c r="Q584" s="55"/>
      <c r="R584" s="63"/>
      <c r="S584" s="55"/>
    </row>
    <row r="585" spans="1:19" ht="15" x14ac:dyDescent="0.25">
      <c r="A585" s="109"/>
      <c r="B585" s="109"/>
      <c r="C585" s="55"/>
      <c r="D585" s="55"/>
      <c r="E585" s="55"/>
      <c r="F585" s="55"/>
      <c r="G585" s="63"/>
      <c r="H585" s="55"/>
      <c r="I585" s="55"/>
      <c r="J585" s="55"/>
      <c r="K585" s="55"/>
      <c r="L585" s="63"/>
      <c r="M585" s="55"/>
      <c r="N585" s="55"/>
      <c r="O585" s="55"/>
      <c r="P585" s="55"/>
      <c r="Q585" s="55"/>
      <c r="R585" s="63"/>
      <c r="S585" s="55"/>
    </row>
    <row r="586" spans="1:19" ht="15" x14ac:dyDescent="0.25">
      <c r="A586" s="109"/>
      <c r="B586" s="109"/>
      <c r="C586" s="55"/>
      <c r="D586" s="55"/>
      <c r="E586" s="55"/>
      <c r="F586" s="55"/>
      <c r="G586" s="63"/>
      <c r="H586" s="55"/>
      <c r="I586" s="55"/>
      <c r="J586" s="55"/>
      <c r="K586" s="55"/>
      <c r="L586" s="63"/>
      <c r="M586" s="55"/>
      <c r="N586" s="55"/>
      <c r="O586" s="55"/>
      <c r="P586" s="55"/>
      <c r="Q586" s="55"/>
      <c r="R586" s="63"/>
      <c r="S586" s="55"/>
    </row>
    <row r="587" spans="1:19" ht="15" x14ac:dyDescent="0.25">
      <c r="A587" s="109"/>
      <c r="B587" s="109"/>
      <c r="C587" s="55"/>
      <c r="D587" s="55"/>
      <c r="E587" s="55"/>
      <c r="F587" s="55"/>
      <c r="G587" s="63"/>
      <c r="H587" s="55"/>
      <c r="I587" s="55"/>
      <c r="J587" s="55"/>
      <c r="K587" s="55"/>
      <c r="L587" s="63"/>
      <c r="M587" s="55"/>
      <c r="N587" s="55"/>
      <c r="O587" s="55"/>
      <c r="P587" s="55"/>
      <c r="Q587" s="55"/>
      <c r="R587" s="63"/>
      <c r="S587" s="55"/>
    </row>
    <row r="588" spans="1:19" ht="15" x14ac:dyDescent="0.25">
      <c r="A588" s="109"/>
      <c r="B588" s="109"/>
      <c r="C588" s="55"/>
      <c r="D588" s="55"/>
      <c r="E588" s="55"/>
      <c r="F588" s="55"/>
      <c r="G588" s="63"/>
      <c r="H588" s="55"/>
      <c r="I588" s="55"/>
      <c r="J588" s="55"/>
      <c r="K588" s="55"/>
      <c r="L588" s="63"/>
      <c r="M588" s="55"/>
      <c r="N588" s="55"/>
      <c r="O588" s="55"/>
      <c r="P588" s="55"/>
      <c r="Q588" s="55"/>
      <c r="R588" s="63"/>
      <c r="S588" s="55"/>
    </row>
    <row r="589" spans="1:19" ht="15" x14ac:dyDescent="0.25">
      <c r="A589" s="109"/>
      <c r="B589" s="109"/>
      <c r="C589" s="55"/>
      <c r="D589" s="55"/>
      <c r="E589" s="55"/>
      <c r="F589" s="55"/>
      <c r="G589" s="63"/>
      <c r="H589" s="55"/>
      <c r="I589" s="55"/>
      <c r="J589" s="55"/>
      <c r="K589" s="55"/>
      <c r="L589" s="63"/>
      <c r="M589" s="55"/>
      <c r="N589" s="55"/>
      <c r="O589" s="55"/>
      <c r="P589" s="55"/>
      <c r="Q589" s="55"/>
      <c r="R589" s="63"/>
      <c r="S589" s="55"/>
    </row>
    <row r="590" spans="1:19" ht="15" x14ac:dyDescent="0.25">
      <c r="A590" s="109"/>
      <c r="B590" s="109"/>
      <c r="C590" s="55"/>
      <c r="D590" s="55"/>
      <c r="E590" s="55"/>
      <c r="F590" s="55"/>
      <c r="G590" s="63"/>
      <c r="H590" s="55"/>
      <c r="I590" s="55"/>
      <c r="J590" s="55"/>
      <c r="K590" s="55"/>
      <c r="L590" s="63"/>
      <c r="M590" s="55"/>
      <c r="N590" s="55"/>
      <c r="O590" s="55"/>
      <c r="P590" s="55"/>
      <c r="Q590" s="55"/>
      <c r="R590" s="63"/>
      <c r="S590" s="55"/>
    </row>
    <row r="591" spans="1:19" ht="15" x14ac:dyDescent="0.25">
      <c r="A591" s="109"/>
      <c r="B591" s="109"/>
      <c r="C591" s="55"/>
      <c r="D591" s="55"/>
      <c r="E591" s="55"/>
      <c r="F591" s="55"/>
      <c r="G591" s="63"/>
      <c r="H591" s="55"/>
      <c r="I591" s="55"/>
      <c r="J591" s="55"/>
      <c r="K591" s="55"/>
      <c r="L591" s="63"/>
      <c r="M591" s="55"/>
      <c r="N591" s="55"/>
      <c r="O591" s="55"/>
      <c r="P591" s="55"/>
      <c r="Q591" s="55"/>
      <c r="R591" s="63"/>
      <c r="S591" s="55"/>
    </row>
    <row r="592" spans="1:19" ht="15" x14ac:dyDescent="0.25">
      <c r="A592" s="109"/>
      <c r="B592" s="109"/>
      <c r="C592" s="55"/>
      <c r="D592" s="55"/>
      <c r="E592" s="55"/>
      <c r="F592" s="55"/>
      <c r="G592" s="63"/>
      <c r="H592" s="55"/>
      <c r="I592" s="55"/>
      <c r="J592" s="55"/>
      <c r="K592" s="55"/>
      <c r="L592" s="63"/>
      <c r="M592" s="55"/>
      <c r="N592" s="55"/>
      <c r="O592" s="55"/>
      <c r="P592" s="55"/>
      <c r="Q592" s="55"/>
      <c r="R592" s="63"/>
      <c r="S592" s="55"/>
    </row>
    <row r="593" spans="1:19" ht="15" x14ac:dyDescent="0.25">
      <c r="A593" s="109"/>
      <c r="B593" s="109"/>
      <c r="C593" s="55"/>
      <c r="D593" s="55"/>
      <c r="E593" s="55"/>
      <c r="F593" s="55"/>
      <c r="G593" s="63"/>
      <c r="H593" s="55"/>
      <c r="I593" s="55"/>
      <c r="J593" s="55"/>
      <c r="K593" s="55"/>
      <c r="L593" s="63"/>
      <c r="M593" s="55"/>
      <c r="N593" s="55"/>
      <c r="O593" s="55"/>
      <c r="P593" s="55"/>
      <c r="Q593" s="55"/>
      <c r="R593" s="63"/>
      <c r="S593" s="55"/>
    </row>
    <row r="594" spans="1:19" ht="15" x14ac:dyDescent="0.25">
      <c r="A594" s="109"/>
      <c r="B594" s="109"/>
      <c r="C594" s="55"/>
      <c r="D594" s="55"/>
      <c r="E594" s="55"/>
      <c r="F594" s="55"/>
      <c r="G594" s="63"/>
      <c r="H594" s="55"/>
      <c r="I594" s="55"/>
      <c r="J594" s="55"/>
      <c r="K594" s="55"/>
      <c r="L594" s="63"/>
      <c r="M594" s="55"/>
      <c r="N594" s="55"/>
      <c r="O594" s="55"/>
      <c r="P594" s="55"/>
      <c r="Q594" s="55"/>
      <c r="R594" s="63"/>
      <c r="S594" s="55"/>
    </row>
    <row r="595" spans="1:19" ht="15" x14ac:dyDescent="0.25">
      <c r="A595" s="109"/>
      <c r="B595" s="109"/>
      <c r="C595" s="55"/>
      <c r="D595" s="55"/>
      <c r="E595" s="55"/>
      <c r="F595" s="55"/>
      <c r="G595" s="63"/>
      <c r="H595" s="55"/>
      <c r="I595" s="55"/>
      <c r="J595" s="55"/>
      <c r="K595" s="55"/>
      <c r="L595" s="63"/>
      <c r="M595" s="55"/>
      <c r="N595" s="55"/>
      <c r="O595" s="55"/>
      <c r="P595" s="55"/>
      <c r="Q595" s="55"/>
      <c r="R595" s="63"/>
      <c r="S595" s="55"/>
    </row>
    <row r="596" spans="1:19" ht="15" x14ac:dyDescent="0.25">
      <c r="A596" s="109"/>
      <c r="B596" s="109"/>
      <c r="C596" s="55"/>
      <c r="D596" s="55"/>
      <c r="E596" s="55"/>
      <c r="F596" s="55"/>
      <c r="G596" s="63"/>
      <c r="H596" s="55"/>
      <c r="I596" s="55"/>
      <c r="J596" s="55"/>
      <c r="K596" s="55"/>
      <c r="L596" s="63"/>
      <c r="M596" s="55"/>
      <c r="N596" s="55"/>
      <c r="O596" s="55"/>
      <c r="P596" s="55"/>
      <c r="Q596" s="55"/>
      <c r="R596" s="63"/>
      <c r="S596" s="55"/>
    </row>
    <row r="597" spans="1:19" ht="15" x14ac:dyDescent="0.25">
      <c r="A597" s="109"/>
      <c r="B597" s="109"/>
      <c r="C597" s="55"/>
      <c r="D597" s="55"/>
      <c r="E597" s="55"/>
      <c r="F597" s="55"/>
      <c r="G597" s="63"/>
      <c r="H597" s="55"/>
      <c r="I597" s="55"/>
      <c r="J597" s="55"/>
      <c r="K597" s="55"/>
      <c r="L597" s="63"/>
      <c r="M597" s="55"/>
      <c r="N597" s="55"/>
      <c r="O597" s="55"/>
      <c r="P597" s="55"/>
      <c r="Q597" s="55"/>
      <c r="R597" s="63"/>
      <c r="S597" s="55"/>
    </row>
    <row r="598" spans="1:19" ht="15" x14ac:dyDescent="0.25">
      <c r="A598" s="109"/>
      <c r="B598" s="109"/>
      <c r="C598" s="55"/>
      <c r="D598" s="55"/>
      <c r="E598" s="55"/>
      <c r="F598" s="55"/>
      <c r="G598" s="63"/>
      <c r="H598" s="55"/>
      <c r="I598" s="55"/>
      <c r="J598" s="55"/>
      <c r="K598" s="55"/>
      <c r="L598" s="63"/>
      <c r="M598" s="55"/>
      <c r="N598" s="55"/>
      <c r="O598" s="55"/>
      <c r="P598" s="55"/>
      <c r="Q598" s="55"/>
      <c r="R598" s="63"/>
      <c r="S598" s="55"/>
    </row>
    <row r="599" spans="1:19" ht="15" x14ac:dyDescent="0.25">
      <c r="A599" s="109"/>
      <c r="B599" s="109"/>
      <c r="C599" s="55"/>
      <c r="D599" s="55"/>
      <c r="E599" s="55"/>
      <c r="F599" s="55"/>
      <c r="G599" s="63"/>
      <c r="H599" s="55"/>
      <c r="I599" s="55"/>
      <c r="J599" s="55"/>
      <c r="K599" s="55"/>
      <c r="L599" s="63"/>
      <c r="M599" s="55"/>
      <c r="N599" s="55"/>
      <c r="O599" s="55"/>
      <c r="P599" s="55"/>
      <c r="Q599" s="55"/>
      <c r="R599" s="63"/>
      <c r="S599" s="55"/>
    </row>
    <row r="600" spans="1:19" ht="15" x14ac:dyDescent="0.25">
      <c r="A600" s="109"/>
      <c r="B600" s="109"/>
      <c r="C600" s="55"/>
      <c r="D600" s="55"/>
      <c r="E600" s="55"/>
      <c r="F600" s="55"/>
      <c r="G600" s="63"/>
      <c r="H600" s="55"/>
      <c r="I600" s="55"/>
      <c r="J600" s="55"/>
      <c r="K600" s="55"/>
      <c r="L600" s="63"/>
      <c r="M600" s="55"/>
      <c r="N600" s="55"/>
      <c r="O600" s="55"/>
      <c r="P600" s="55"/>
      <c r="Q600" s="55"/>
      <c r="R600" s="63"/>
      <c r="S600" s="55"/>
    </row>
    <row r="601" spans="1:19" ht="15" x14ac:dyDescent="0.25">
      <c r="A601" s="109"/>
      <c r="B601" s="109"/>
      <c r="C601" s="55"/>
      <c r="D601" s="55"/>
      <c r="E601" s="55"/>
      <c r="F601" s="55"/>
      <c r="G601" s="63"/>
      <c r="H601" s="55"/>
      <c r="I601" s="55"/>
      <c r="J601" s="55"/>
      <c r="K601" s="55"/>
      <c r="L601" s="63"/>
      <c r="M601" s="55"/>
      <c r="N601" s="55"/>
      <c r="O601" s="55"/>
      <c r="P601" s="55"/>
      <c r="Q601" s="55"/>
      <c r="R601" s="63"/>
      <c r="S601" s="55"/>
    </row>
    <row r="602" spans="1:19" ht="15" x14ac:dyDescent="0.25">
      <c r="A602" s="109"/>
      <c r="B602" s="109"/>
      <c r="C602" s="55"/>
      <c r="D602" s="55"/>
      <c r="E602" s="55"/>
      <c r="F602" s="55"/>
      <c r="G602" s="63"/>
      <c r="H602" s="55"/>
      <c r="I602" s="55"/>
      <c r="J602" s="55"/>
      <c r="K602" s="55"/>
      <c r="L602" s="63"/>
      <c r="M602" s="55"/>
      <c r="N602" s="55"/>
      <c r="O602" s="55"/>
      <c r="P602" s="55"/>
      <c r="Q602" s="55"/>
      <c r="R602" s="63"/>
      <c r="S602" s="55"/>
    </row>
    <row r="603" spans="1:19" ht="15" x14ac:dyDescent="0.25">
      <c r="A603" s="109"/>
      <c r="B603" s="109"/>
      <c r="C603" s="55"/>
      <c r="D603" s="55"/>
      <c r="E603" s="55"/>
      <c r="F603" s="55"/>
      <c r="G603" s="63"/>
      <c r="H603" s="55"/>
      <c r="I603" s="55"/>
      <c r="J603" s="55"/>
      <c r="K603" s="55"/>
      <c r="L603" s="63"/>
      <c r="M603" s="55"/>
      <c r="N603" s="55"/>
      <c r="O603" s="55"/>
      <c r="P603" s="55"/>
      <c r="Q603" s="55"/>
      <c r="R603" s="63"/>
      <c r="S603" s="55"/>
    </row>
    <row r="604" spans="1:19" ht="15" x14ac:dyDescent="0.25">
      <c r="A604" s="109"/>
      <c r="B604" s="109"/>
      <c r="C604" s="55"/>
      <c r="D604" s="55"/>
      <c r="E604" s="55"/>
      <c r="F604" s="55"/>
      <c r="G604" s="63"/>
      <c r="H604" s="55"/>
      <c r="I604" s="55"/>
      <c r="J604" s="55"/>
      <c r="K604" s="55"/>
      <c r="L604" s="63"/>
      <c r="M604" s="55"/>
      <c r="N604" s="55"/>
      <c r="O604" s="55"/>
      <c r="P604" s="55"/>
      <c r="Q604" s="55"/>
      <c r="R604" s="63"/>
      <c r="S604" s="55"/>
    </row>
    <row r="605" spans="1:19" ht="15" x14ac:dyDescent="0.25">
      <c r="A605" s="109"/>
      <c r="B605" s="109"/>
      <c r="C605" s="55"/>
      <c r="D605" s="55"/>
      <c r="E605" s="55"/>
      <c r="F605" s="55"/>
      <c r="G605" s="63"/>
      <c r="H605" s="55"/>
      <c r="I605" s="55"/>
      <c r="J605" s="55"/>
      <c r="K605" s="55"/>
      <c r="L605" s="63"/>
      <c r="M605" s="55"/>
      <c r="N605" s="55"/>
      <c r="O605" s="55"/>
      <c r="P605" s="55"/>
      <c r="Q605" s="55"/>
      <c r="R605" s="63"/>
      <c r="S605" s="55"/>
    </row>
    <row r="606" spans="1:19" ht="15" x14ac:dyDescent="0.25">
      <c r="A606" s="109"/>
      <c r="B606" s="109"/>
      <c r="C606" s="55"/>
      <c r="D606" s="55"/>
      <c r="E606" s="55"/>
      <c r="F606" s="55"/>
      <c r="G606" s="63"/>
      <c r="H606" s="55"/>
      <c r="I606" s="55"/>
      <c r="J606" s="55"/>
      <c r="K606" s="55"/>
      <c r="L606" s="63"/>
      <c r="M606" s="55"/>
      <c r="N606" s="55"/>
      <c r="O606" s="55"/>
      <c r="P606" s="55"/>
      <c r="Q606" s="55"/>
      <c r="R606" s="63"/>
      <c r="S606" s="55"/>
    </row>
    <row r="607" spans="1:19" ht="15" x14ac:dyDescent="0.25">
      <c r="A607" s="109"/>
      <c r="B607" s="109"/>
      <c r="C607" s="55"/>
      <c r="D607" s="55"/>
      <c r="E607" s="55"/>
      <c r="F607" s="55"/>
      <c r="G607" s="63"/>
      <c r="H607" s="55"/>
      <c r="I607" s="55"/>
      <c r="J607" s="55"/>
      <c r="K607" s="55"/>
      <c r="L607" s="63"/>
      <c r="M607" s="55"/>
      <c r="N607" s="55"/>
      <c r="O607" s="55"/>
      <c r="P607" s="55"/>
      <c r="Q607" s="55"/>
      <c r="R607" s="63"/>
      <c r="S607" s="55"/>
    </row>
    <row r="608" spans="1:19" ht="15" x14ac:dyDescent="0.25">
      <c r="A608" s="109"/>
      <c r="B608" s="109"/>
      <c r="C608" s="55"/>
      <c r="D608" s="55"/>
      <c r="E608" s="55"/>
      <c r="F608" s="55"/>
      <c r="G608" s="63"/>
      <c r="H608" s="55"/>
      <c r="I608" s="55"/>
      <c r="J608" s="55"/>
      <c r="K608" s="55"/>
      <c r="L608" s="63"/>
      <c r="M608" s="55"/>
      <c r="N608" s="55"/>
      <c r="O608" s="55"/>
      <c r="P608" s="55"/>
      <c r="Q608" s="55"/>
      <c r="R608" s="63"/>
      <c r="S608" s="55"/>
    </row>
    <row r="609" spans="1:19" ht="15" x14ac:dyDescent="0.25">
      <c r="A609" s="109"/>
      <c r="B609" s="109"/>
      <c r="C609" s="55"/>
      <c r="D609" s="55"/>
      <c r="E609" s="55"/>
      <c r="F609" s="55"/>
      <c r="G609" s="63"/>
      <c r="H609" s="55"/>
      <c r="I609" s="55"/>
      <c r="J609" s="55"/>
      <c r="K609" s="55"/>
      <c r="L609" s="63"/>
      <c r="M609" s="55"/>
      <c r="N609" s="55"/>
      <c r="O609" s="55"/>
      <c r="P609" s="55"/>
      <c r="Q609" s="55"/>
      <c r="R609" s="63"/>
      <c r="S609" s="55"/>
    </row>
    <row r="610" spans="1:19" ht="15" x14ac:dyDescent="0.25">
      <c r="A610" s="109"/>
      <c r="B610" s="109"/>
      <c r="C610" s="55"/>
      <c r="D610" s="55"/>
      <c r="E610" s="55"/>
      <c r="F610" s="55"/>
      <c r="G610" s="63"/>
      <c r="H610" s="55"/>
      <c r="I610" s="55"/>
      <c r="J610" s="55"/>
      <c r="K610" s="55"/>
      <c r="L610" s="63"/>
      <c r="M610" s="55"/>
      <c r="N610" s="55"/>
      <c r="O610" s="55"/>
      <c r="P610" s="55"/>
      <c r="Q610" s="55"/>
      <c r="R610" s="63"/>
      <c r="S610" s="55"/>
    </row>
    <row r="611" spans="1:19" ht="15" x14ac:dyDescent="0.25">
      <c r="A611" s="109"/>
      <c r="B611" s="109"/>
      <c r="C611" s="55"/>
      <c r="D611" s="55"/>
      <c r="E611" s="55"/>
      <c r="F611" s="55"/>
      <c r="G611" s="63"/>
      <c r="H611" s="55"/>
      <c r="I611" s="55"/>
      <c r="J611" s="55"/>
      <c r="K611" s="55"/>
      <c r="L611" s="63"/>
      <c r="M611" s="55"/>
      <c r="N611" s="55"/>
      <c r="O611" s="55"/>
      <c r="P611" s="55"/>
      <c r="Q611" s="55"/>
      <c r="R611" s="63"/>
      <c r="S611" s="55"/>
    </row>
    <row r="612" spans="1:19" ht="15" x14ac:dyDescent="0.25">
      <c r="A612" s="109"/>
      <c r="B612" s="109"/>
      <c r="C612" s="55"/>
      <c r="D612" s="55"/>
      <c r="E612" s="55"/>
      <c r="F612" s="55"/>
      <c r="G612" s="63"/>
      <c r="H612" s="55"/>
      <c r="I612" s="55"/>
      <c r="J612" s="55"/>
      <c r="K612" s="55"/>
      <c r="L612" s="63"/>
      <c r="M612" s="55"/>
      <c r="N612" s="55"/>
      <c r="O612" s="55"/>
      <c r="P612" s="55"/>
      <c r="Q612" s="55"/>
      <c r="R612" s="63"/>
      <c r="S612" s="55"/>
    </row>
    <row r="613" spans="1:19" ht="15" x14ac:dyDescent="0.25">
      <c r="A613" s="109"/>
      <c r="B613" s="109"/>
      <c r="C613" s="55"/>
      <c r="D613" s="55"/>
      <c r="E613" s="55"/>
      <c r="F613" s="55"/>
      <c r="G613" s="63"/>
      <c r="H613" s="55"/>
      <c r="I613" s="55"/>
      <c r="J613" s="55"/>
      <c r="K613" s="55"/>
      <c r="L613" s="63"/>
      <c r="M613" s="55"/>
      <c r="N613" s="55"/>
      <c r="O613" s="55"/>
      <c r="P613" s="55"/>
      <c r="Q613" s="55"/>
      <c r="R613" s="63"/>
      <c r="S613" s="55"/>
    </row>
    <row r="614" spans="1:19" ht="15" x14ac:dyDescent="0.25">
      <c r="A614" s="109"/>
      <c r="B614" s="109"/>
      <c r="C614" s="55"/>
      <c r="D614" s="55"/>
      <c r="E614" s="55"/>
      <c r="F614" s="55"/>
      <c r="G614" s="63"/>
      <c r="H614" s="55"/>
      <c r="I614" s="55"/>
      <c r="J614" s="55"/>
      <c r="K614" s="55"/>
      <c r="L614" s="63"/>
      <c r="M614" s="55"/>
      <c r="N614" s="55"/>
      <c r="O614" s="55"/>
      <c r="P614" s="55"/>
      <c r="Q614" s="55"/>
      <c r="R614" s="63"/>
      <c r="S614" s="55"/>
    </row>
    <row r="615" spans="1:19" ht="15" x14ac:dyDescent="0.25">
      <c r="A615" s="109"/>
      <c r="B615" s="109"/>
      <c r="C615" s="55"/>
      <c r="D615" s="55"/>
      <c r="E615" s="55"/>
      <c r="F615" s="55"/>
      <c r="G615" s="63"/>
      <c r="H615" s="55"/>
      <c r="I615" s="55"/>
      <c r="J615" s="55"/>
      <c r="K615" s="55"/>
      <c r="L615" s="63"/>
      <c r="M615" s="55"/>
      <c r="N615" s="55"/>
      <c r="O615" s="55"/>
      <c r="P615" s="55"/>
      <c r="Q615" s="55"/>
      <c r="R615" s="63"/>
      <c r="S615" s="55"/>
    </row>
    <row r="616" spans="1:19" ht="15" x14ac:dyDescent="0.25">
      <c r="A616" s="109"/>
      <c r="B616" s="109"/>
      <c r="C616" s="55"/>
      <c r="D616" s="55"/>
      <c r="E616" s="55"/>
      <c r="F616" s="55"/>
      <c r="G616" s="63"/>
      <c r="H616" s="55"/>
      <c r="I616" s="55"/>
      <c r="J616" s="55"/>
      <c r="K616" s="55"/>
      <c r="L616" s="63"/>
      <c r="M616" s="55"/>
      <c r="N616" s="55"/>
      <c r="O616" s="55"/>
      <c r="P616" s="55"/>
      <c r="Q616" s="55"/>
      <c r="R616" s="63"/>
      <c r="S616" s="55"/>
    </row>
    <row r="617" spans="1:19" ht="15" x14ac:dyDescent="0.25">
      <c r="A617" s="109"/>
      <c r="B617" s="109"/>
      <c r="C617" s="55"/>
      <c r="D617" s="55"/>
      <c r="E617" s="55"/>
      <c r="F617" s="55"/>
      <c r="G617" s="63"/>
      <c r="H617" s="55"/>
      <c r="I617" s="55"/>
      <c r="J617" s="55"/>
      <c r="K617" s="55"/>
      <c r="L617" s="63"/>
      <c r="M617" s="55"/>
      <c r="N617" s="55"/>
      <c r="O617" s="55"/>
      <c r="P617" s="55"/>
      <c r="Q617" s="55"/>
      <c r="R617" s="63"/>
      <c r="S617" s="55"/>
    </row>
    <row r="618" spans="1:19" ht="15" x14ac:dyDescent="0.25">
      <c r="A618" s="109"/>
      <c r="B618" s="109"/>
      <c r="C618" s="55"/>
      <c r="D618" s="55"/>
      <c r="E618" s="55"/>
      <c r="F618" s="55"/>
      <c r="G618" s="63"/>
      <c r="H618" s="55"/>
      <c r="I618" s="55"/>
      <c r="J618" s="55"/>
      <c r="K618" s="55"/>
      <c r="L618" s="63"/>
      <c r="M618" s="55"/>
      <c r="N618" s="55"/>
      <c r="O618" s="55"/>
      <c r="P618" s="55"/>
      <c r="Q618" s="55"/>
      <c r="R618" s="63"/>
      <c r="S618" s="55"/>
    </row>
    <row r="619" spans="1:19" ht="15" x14ac:dyDescent="0.25">
      <c r="A619" s="109"/>
      <c r="B619" s="109"/>
      <c r="C619" s="55"/>
      <c r="D619" s="55"/>
      <c r="E619" s="55"/>
      <c r="F619" s="55"/>
      <c r="G619" s="63"/>
      <c r="H619" s="55"/>
      <c r="I619" s="55"/>
      <c r="J619" s="55"/>
      <c r="K619" s="55"/>
      <c r="L619" s="63"/>
      <c r="M619" s="55"/>
      <c r="N619" s="55"/>
      <c r="O619" s="55"/>
      <c r="P619" s="55"/>
      <c r="Q619" s="55"/>
      <c r="R619" s="63"/>
      <c r="S619" s="55"/>
    </row>
    <row r="620" spans="1:19" ht="15" x14ac:dyDescent="0.25">
      <c r="A620" s="109"/>
      <c r="B620" s="109"/>
      <c r="C620" s="55"/>
      <c r="D620" s="55"/>
      <c r="E620" s="55"/>
      <c r="F620" s="55"/>
      <c r="G620" s="63"/>
      <c r="H620" s="55"/>
      <c r="I620" s="55"/>
      <c r="J620" s="55"/>
      <c r="K620" s="55"/>
      <c r="L620" s="63"/>
      <c r="M620" s="55"/>
      <c r="N620" s="55"/>
      <c r="O620" s="55"/>
      <c r="P620" s="55"/>
      <c r="Q620" s="55"/>
      <c r="R620" s="63"/>
      <c r="S620" s="55"/>
    </row>
    <row r="621" spans="1:19" ht="15" x14ac:dyDescent="0.25">
      <c r="A621" s="109"/>
      <c r="B621" s="109"/>
      <c r="C621" s="55"/>
      <c r="D621" s="55"/>
      <c r="E621" s="55"/>
      <c r="F621" s="55"/>
      <c r="G621" s="63"/>
      <c r="H621" s="55"/>
      <c r="I621" s="55"/>
      <c r="J621" s="55"/>
      <c r="K621" s="55"/>
      <c r="L621" s="63"/>
      <c r="M621" s="55"/>
      <c r="N621" s="55"/>
      <c r="O621" s="55"/>
      <c r="P621" s="55"/>
      <c r="Q621" s="55"/>
      <c r="R621" s="63"/>
      <c r="S621" s="55"/>
    </row>
    <row r="622" spans="1:19" ht="15" x14ac:dyDescent="0.25">
      <c r="A622" s="109"/>
      <c r="B622" s="109"/>
      <c r="C622" s="55"/>
      <c r="D622" s="55"/>
      <c r="E622" s="55"/>
      <c r="F622" s="55"/>
      <c r="G622" s="63"/>
      <c r="H622" s="55"/>
      <c r="I622" s="55"/>
      <c r="J622" s="55"/>
      <c r="K622" s="55"/>
      <c r="L622" s="63"/>
      <c r="M622" s="55"/>
      <c r="N622" s="55"/>
      <c r="O622" s="55"/>
      <c r="P622" s="55"/>
      <c r="Q622" s="55"/>
      <c r="R622" s="63"/>
      <c r="S622" s="55"/>
    </row>
    <row r="623" spans="1:19" ht="15" x14ac:dyDescent="0.25">
      <c r="A623" s="109"/>
      <c r="B623" s="109"/>
      <c r="C623" s="55"/>
      <c r="D623" s="55"/>
      <c r="E623" s="55"/>
      <c r="F623" s="55"/>
      <c r="G623" s="63"/>
      <c r="H623" s="55"/>
      <c r="I623" s="55"/>
      <c r="J623" s="55"/>
      <c r="K623" s="55"/>
      <c r="L623" s="63"/>
      <c r="M623" s="55"/>
      <c r="N623" s="55"/>
      <c r="O623" s="55"/>
      <c r="P623" s="55"/>
      <c r="Q623" s="55"/>
      <c r="R623" s="63"/>
      <c r="S623" s="55"/>
    </row>
    <row r="624" spans="1:19" ht="15" x14ac:dyDescent="0.25">
      <c r="A624" s="109"/>
      <c r="B624" s="109"/>
      <c r="C624" s="55"/>
      <c r="D624" s="55"/>
      <c r="E624" s="55"/>
      <c r="F624" s="55"/>
      <c r="G624" s="63"/>
      <c r="H624" s="55"/>
      <c r="I624" s="55"/>
      <c r="J624" s="55"/>
      <c r="K624" s="55"/>
      <c r="L624" s="63"/>
      <c r="M624" s="55"/>
      <c r="N624" s="55"/>
      <c r="O624" s="55"/>
      <c r="P624" s="55"/>
      <c r="Q624" s="55"/>
      <c r="R624" s="63"/>
      <c r="S624" s="55"/>
    </row>
    <row r="625" spans="1:19" ht="15" x14ac:dyDescent="0.25">
      <c r="A625" s="109"/>
      <c r="B625" s="109"/>
      <c r="C625" s="55"/>
      <c r="D625" s="55"/>
      <c r="E625" s="55"/>
      <c r="F625" s="55"/>
      <c r="G625" s="63"/>
      <c r="H625" s="55"/>
      <c r="I625" s="55"/>
      <c r="J625" s="55"/>
      <c r="K625" s="55"/>
      <c r="L625" s="63"/>
      <c r="M625" s="55"/>
      <c r="N625" s="55"/>
      <c r="O625" s="55"/>
      <c r="P625" s="55"/>
      <c r="Q625" s="55"/>
      <c r="R625" s="63"/>
      <c r="S625" s="55"/>
    </row>
    <row r="626" spans="1:19" ht="15" x14ac:dyDescent="0.25">
      <c r="A626" s="109"/>
      <c r="B626" s="109"/>
      <c r="C626" s="55"/>
      <c r="D626" s="55"/>
      <c r="E626" s="55"/>
      <c r="F626" s="55"/>
      <c r="G626" s="63"/>
      <c r="H626" s="55"/>
      <c r="I626" s="55"/>
      <c r="J626" s="55"/>
      <c r="K626" s="55"/>
      <c r="L626" s="63"/>
      <c r="M626" s="55"/>
      <c r="N626" s="55"/>
      <c r="O626" s="55"/>
      <c r="P626" s="55"/>
      <c r="Q626" s="55"/>
      <c r="R626" s="63"/>
      <c r="S626" s="55"/>
    </row>
    <row r="627" spans="1:19" ht="15" x14ac:dyDescent="0.25">
      <c r="A627" s="109"/>
      <c r="B627" s="109"/>
      <c r="C627" s="55"/>
      <c r="D627" s="55"/>
      <c r="E627" s="55"/>
      <c r="F627" s="55"/>
      <c r="G627" s="63"/>
      <c r="H627" s="55"/>
      <c r="I627" s="55"/>
      <c r="J627" s="55"/>
      <c r="K627" s="55"/>
      <c r="L627" s="63"/>
      <c r="M627" s="55"/>
      <c r="N627" s="55"/>
      <c r="O627" s="55"/>
      <c r="P627" s="55"/>
      <c r="Q627" s="55"/>
      <c r="R627" s="63"/>
      <c r="S627" s="55"/>
    </row>
    <row r="628" spans="1:19" ht="15" x14ac:dyDescent="0.25">
      <c r="A628" s="109"/>
      <c r="B628" s="109"/>
      <c r="C628" s="55"/>
      <c r="D628" s="55"/>
      <c r="E628" s="55"/>
      <c r="F628" s="55"/>
      <c r="G628" s="63"/>
      <c r="H628" s="55"/>
      <c r="I628" s="55"/>
      <c r="J628" s="55"/>
      <c r="K628" s="55"/>
      <c r="L628" s="63"/>
      <c r="M628" s="55"/>
      <c r="N628" s="55"/>
      <c r="O628" s="55"/>
      <c r="P628" s="55"/>
      <c r="Q628" s="55"/>
      <c r="R628" s="63"/>
      <c r="S628" s="55"/>
    </row>
    <row r="629" spans="1:19" ht="15" x14ac:dyDescent="0.25">
      <c r="A629" s="109"/>
      <c r="B629" s="109"/>
      <c r="C629" s="55"/>
      <c r="D629" s="55"/>
      <c r="E629" s="55"/>
      <c r="F629" s="55"/>
      <c r="G629" s="63"/>
      <c r="H629" s="55"/>
      <c r="I629" s="55"/>
      <c r="J629" s="55"/>
      <c r="K629" s="55"/>
      <c r="L629" s="63"/>
      <c r="M629" s="55"/>
      <c r="N629" s="55"/>
      <c r="O629" s="55"/>
      <c r="P629" s="55"/>
      <c r="Q629" s="55"/>
      <c r="R629" s="63"/>
      <c r="S629" s="55"/>
    </row>
    <row r="630" spans="1:19" ht="15" x14ac:dyDescent="0.25">
      <c r="A630" s="109"/>
      <c r="B630" s="109"/>
      <c r="C630" s="55"/>
      <c r="D630" s="55"/>
      <c r="E630" s="55"/>
      <c r="F630" s="55"/>
      <c r="G630" s="63"/>
      <c r="H630" s="55"/>
      <c r="I630" s="55"/>
      <c r="J630" s="55"/>
      <c r="K630" s="55"/>
      <c r="L630" s="63"/>
      <c r="M630" s="55"/>
      <c r="N630" s="55"/>
      <c r="O630" s="55"/>
      <c r="P630" s="55"/>
      <c r="Q630" s="55"/>
      <c r="R630" s="63"/>
      <c r="S630" s="55"/>
    </row>
    <row r="631" spans="1:19" ht="15" x14ac:dyDescent="0.25">
      <c r="A631" s="109"/>
      <c r="B631" s="109"/>
      <c r="C631" s="55"/>
      <c r="D631" s="55"/>
      <c r="E631" s="55"/>
      <c r="F631" s="55"/>
      <c r="G631" s="63"/>
      <c r="H631" s="55"/>
      <c r="I631" s="55"/>
      <c r="J631" s="55"/>
      <c r="K631" s="55"/>
      <c r="L631" s="63"/>
      <c r="M631" s="55"/>
      <c r="N631" s="55"/>
      <c r="O631" s="55"/>
      <c r="P631" s="55"/>
      <c r="Q631" s="55"/>
      <c r="R631" s="63"/>
      <c r="S631" s="55"/>
    </row>
    <row r="632" spans="1:19" ht="15" x14ac:dyDescent="0.25">
      <c r="A632" s="109"/>
      <c r="B632" s="109"/>
      <c r="C632" s="55"/>
      <c r="D632" s="55"/>
      <c r="E632" s="55"/>
      <c r="F632" s="55"/>
      <c r="G632" s="63"/>
      <c r="H632" s="55"/>
      <c r="I632" s="55"/>
      <c r="J632" s="55"/>
      <c r="K632" s="55"/>
      <c r="L632" s="63"/>
      <c r="M632" s="55"/>
      <c r="N632" s="55"/>
      <c r="O632" s="55"/>
      <c r="P632" s="55"/>
      <c r="Q632" s="55"/>
      <c r="R632" s="63"/>
      <c r="S632" s="55"/>
    </row>
    <row r="633" spans="1:19" ht="15" x14ac:dyDescent="0.25">
      <c r="A633" s="109"/>
      <c r="B633" s="109"/>
      <c r="C633" s="55"/>
      <c r="D633" s="55"/>
      <c r="E633" s="55"/>
      <c r="F633" s="55"/>
      <c r="G633" s="63"/>
      <c r="H633" s="55"/>
      <c r="I633" s="55"/>
      <c r="J633" s="55"/>
      <c r="K633" s="55"/>
      <c r="L633" s="63"/>
      <c r="M633" s="55"/>
      <c r="N633" s="55"/>
      <c r="O633" s="55"/>
      <c r="P633" s="55"/>
      <c r="Q633" s="55"/>
      <c r="R633" s="63"/>
      <c r="S633" s="55"/>
    </row>
    <row r="634" spans="1:19" ht="15" x14ac:dyDescent="0.25">
      <c r="A634" s="109"/>
      <c r="B634" s="109"/>
      <c r="C634" s="55"/>
      <c r="D634" s="55"/>
      <c r="E634" s="55"/>
      <c r="F634" s="55"/>
      <c r="G634" s="63"/>
      <c r="H634" s="55"/>
      <c r="I634" s="55"/>
      <c r="J634" s="55"/>
      <c r="K634" s="55"/>
      <c r="L634" s="63"/>
      <c r="M634" s="55"/>
      <c r="N634" s="55"/>
      <c r="O634" s="55"/>
      <c r="P634" s="55"/>
      <c r="Q634" s="55"/>
      <c r="R634" s="63"/>
      <c r="S634" s="55"/>
    </row>
    <row r="635" spans="1:19" ht="15" x14ac:dyDescent="0.25">
      <c r="A635" s="109"/>
      <c r="B635" s="109"/>
      <c r="C635" s="55"/>
      <c r="D635" s="55"/>
      <c r="E635" s="55"/>
      <c r="F635" s="55"/>
      <c r="G635" s="63"/>
      <c r="H635" s="55"/>
      <c r="I635" s="55"/>
      <c r="J635" s="55"/>
      <c r="K635" s="55"/>
      <c r="L635" s="63"/>
      <c r="M635" s="55"/>
      <c r="N635" s="55"/>
      <c r="O635" s="55"/>
      <c r="P635" s="55"/>
      <c r="Q635" s="55"/>
      <c r="R635" s="63"/>
      <c r="S635" s="55"/>
    </row>
    <row r="636" spans="1:19" ht="15" x14ac:dyDescent="0.25">
      <c r="A636" s="109"/>
      <c r="B636" s="109"/>
      <c r="C636" s="55"/>
      <c r="D636" s="55"/>
      <c r="E636" s="55"/>
      <c r="F636" s="55"/>
      <c r="G636" s="63"/>
      <c r="H636" s="55"/>
      <c r="I636" s="55"/>
      <c r="J636" s="55"/>
      <c r="K636" s="55"/>
      <c r="L636" s="63"/>
      <c r="M636" s="55"/>
      <c r="N636" s="55"/>
      <c r="O636" s="55"/>
      <c r="P636" s="55"/>
      <c r="Q636" s="55"/>
      <c r="R636" s="63"/>
      <c r="S636" s="55"/>
    </row>
    <row r="637" spans="1:19" ht="15" x14ac:dyDescent="0.25">
      <c r="A637" s="109"/>
      <c r="B637" s="109"/>
      <c r="C637" s="55"/>
      <c r="D637" s="55"/>
      <c r="E637" s="55"/>
      <c r="F637" s="55"/>
      <c r="G637" s="63"/>
      <c r="H637" s="55"/>
      <c r="I637" s="55"/>
      <c r="J637" s="55"/>
      <c r="K637" s="55"/>
      <c r="L637" s="63"/>
      <c r="M637" s="55"/>
      <c r="N637" s="55"/>
      <c r="O637" s="55"/>
      <c r="P637" s="55"/>
      <c r="Q637" s="55"/>
      <c r="R637" s="63"/>
      <c r="S637" s="55"/>
    </row>
    <row r="638" spans="1:19" ht="15" x14ac:dyDescent="0.25">
      <c r="A638" s="109"/>
      <c r="B638" s="109"/>
      <c r="C638" s="55"/>
      <c r="D638" s="55"/>
      <c r="E638" s="55"/>
      <c r="F638" s="55"/>
      <c r="G638" s="63"/>
      <c r="H638" s="55"/>
      <c r="I638" s="55"/>
      <c r="J638" s="55"/>
      <c r="K638" s="55"/>
      <c r="L638" s="63"/>
      <c r="M638" s="55"/>
      <c r="N638" s="55"/>
      <c r="O638" s="55"/>
      <c r="P638" s="55"/>
      <c r="Q638" s="55"/>
      <c r="R638" s="63"/>
      <c r="S638" s="55"/>
    </row>
    <row r="639" spans="1:19" ht="15" x14ac:dyDescent="0.25">
      <c r="A639" s="109"/>
      <c r="B639" s="109"/>
      <c r="C639" s="55"/>
      <c r="D639" s="55"/>
      <c r="E639" s="55"/>
      <c r="F639" s="55"/>
      <c r="G639" s="63"/>
      <c r="H639" s="55"/>
      <c r="I639" s="55"/>
      <c r="J639" s="55"/>
      <c r="K639" s="55"/>
      <c r="L639" s="63"/>
      <c r="M639" s="55"/>
      <c r="N639" s="55"/>
      <c r="O639" s="55"/>
      <c r="P639" s="55"/>
      <c r="Q639" s="55"/>
      <c r="R639" s="63"/>
      <c r="S639" s="55"/>
    </row>
    <row r="640" spans="1:19" ht="15" x14ac:dyDescent="0.25">
      <c r="A640" s="109"/>
      <c r="B640" s="109"/>
      <c r="C640" s="55"/>
      <c r="D640" s="55"/>
      <c r="E640" s="55"/>
      <c r="F640" s="55"/>
      <c r="G640" s="63"/>
      <c r="H640" s="55"/>
      <c r="I640" s="55"/>
      <c r="J640" s="55"/>
      <c r="K640" s="55"/>
      <c r="L640" s="63"/>
      <c r="M640" s="55"/>
      <c r="N640" s="55"/>
      <c r="O640" s="55"/>
      <c r="P640" s="55"/>
      <c r="Q640" s="55"/>
      <c r="R640" s="63"/>
      <c r="S640" s="55"/>
    </row>
    <row r="641" spans="1:19" ht="15" x14ac:dyDescent="0.25">
      <c r="A641" s="109"/>
      <c r="B641" s="109"/>
      <c r="C641" s="55"/>
      <c r="D641" s="55"/>
      <c r="E641" s="55"/>
      <c r="F641" s="55"/>
      <c r="G641" s="63"/>
      <c r="H641" s="55"/>
      <c r="I641" s="55"/>
      <c r="J641" s="55"/>
      <c r="K641" s="55"/>
      <c r="L641" s="63"/>
      <c r="M641" s="55"/>
      <c r="N641" s="55"/>
      <c r="O641" s="55"/>
      <c r="P641" s="55"/>
      <c r="Q641" s="55"/>
      <c r="R641" s="63"/>
      <c r="S641" s="55"/>
    </row>
    <row r="642" spans="1:19" ht="15" x14ac:dyDescent="0.25">
      <c r="A642" s="109"/>
      <c r="B642" s="109"/>
      <c r="C642" s="55"/>
      <c r="D642" s="55"/>
      <c r="E642" s="55"/>
      <c r="F642" s="55"/>
      <c r="G642" s="63"/>
      <c r="H642" s="55"/>
      <c r="I642" s="55"/>
      <c r="J642" s="55"/>
      <c r="K642" s="55"/>
      <c r="L642" s="63"/>
      <c r="M642" s="55"/>
      <c r="N642" s="55"/>
      <c r="O642" s="55"/>
      <c r="P642" s="55"/>
      <c r="Q642" s="55"/>
      <c r="R642" s="63"/>
      <c r="S642" s="55"/>
    </row>
    <row r="643" spans="1:19" ht="15" x14ac:dyDescent="0.25">
      <c r="A643" s="109"/>
      <c r="B643" s="109"/>
      <c r="C643" s="55"/>
      <c r="D643" s="55"/>
      <c r="E643" s="55"/>
      <c r="F643" s="55"/>
      <c r="G643" s="63"/>
      <c r="H643" s="55"/>
      <c r="I643" s="55"/>
      <c r="J643" s="55"/>
      <c r="K643" s="55"/>
      <c r="L643" s="63"/>
      <c r="M643" s="55"/>
      <c r="N643" s="55"/>
      <c r="O643" s="55"/>
      <c r="P643" s="55"/>
      <c r="Q643" s="55"/>
      <c r="R643" s="63"/>
      <c r="S643" s="55"/>
    </row>
    <row r="644" spans="1:19" ht="15" x14ac:dyDescent="0.25">
      <c r="A644" s="109"/>
      <c r="B644" s="109"/>
      <c r="C644" s="55"/>
      <c r="D644" s="55"/>
      <c r="E644" s="55"/>
      <c r="F644" s="55"/>
      <c r="G644" s="63"/>
      <c r="H644" s="55"/>
      <c r="I644" s="55"/>
      <c r="J644" s="55"/>
      <c r="K644" s="55"/>
      <c r="L644" s="63"/>
      <c r="M644" s="55"/>
      <c r="N644" s="55"/>
      <c r="O644" s="55"/>
      <c r="P644" s="55"/>
      <c r="Q644" s="55"/>
      <c r="R644" s="63"/>
      <c r="S644" s="55"/>
    </row>
    <row r="645" spans="1:19" ht="15" x14ac:dyDescent="0.25">
      <c r="A645" s="109"/>
      <c r="B645" s="109"/>
      <c r="C645" s="55"/>
      <c r="D645" s="55"/>
      <c r="E645" s="55"/>
      <c r="F645" s="55"/>
      <c r="G645" s="63"/>
      <c r="H645" s="55"/>
      <c r="I645" s="55"/>
      <c r="J645" s="55"/>
      <c r="K645" s="55"/>
      <c r="L645" s="63"/>
      <c r="M645" s="55"/>
      <c r="N645" s="55"/>
      <c r="O645" s="55"/>
      <c r="P645" s="55"/>
      <c r="Q645" s="55"/>
      <c r="R645" s="63"/>
      <c r="S645" s="55"/>
    </row>
    <row r="646" spans="1:19" ht="15" x14ac:dyDescent="0.25">
      <c r="A646" s="109"/>
      <c r="B646" s="109"/>
      <c r="C646" s="55"/>
      <c r="D646" s="55"/>
      <c r="E646" s="55"/>
      <c r="F646" s="55"/>
      <c r="G646" s="63"/>
      <c r="H646" s="55"/>
      <c r="I646" s="55"/>
      <c r="J646" s="55"/>
      <c r="K646" s="55"/>
      <c r="L646" s="63"/>
      <c r="M646" s="55"/>
      <c r="N646" s="55"/>
      <c r="O646" s="55"/>
      <c r="P646" s="55"/>
      <c r="Q646" s="55"/>
      <c r="R646" s="63"/>
      <c r="S646" s="55"/>
    </row>
    <row r="647" spans="1:19" ht="15" x14ac:dyDescent="0.25">
      <c r="A647" s="109"/>
      <c r="B647" s="109"/>
      <c r="C647" s="55"/>
      <c r="D647" s="55"/>
      <c r="E647" s="55"/>
      <c r="F647" s="55"/>
      <c r="G647" s="63"/>
      <c r="H647" s="55"/>
      <c r="I647" s="55"/>
      <c r="J647" s="55"/>
      <c r="K647" s="55"/>
      <c r="L647" s="63"/>
      <c r="M647" s="55"/>
      <c r="N647" s="55"/>
      <c r="O647" s="55"/>
      <c r="P647" s="55"/>
      <c r="Q647" s="55"/>
      <c r="R647" s="63"/>
      <c r="S647" s="55"/>
    </row>
    <row r="648" spans="1:19" ht="15" x14ac:dyDescent="0.25">
      <c r="A648" s="109"/>
      <c r="B648" s="109"/>
      <c r="C648" s="55"/>
      <c r="D648" s="55"/>
      <c r="E648" s="55"/>
      <c r="F648" s="55"/>
      <c r="G648" s="63"/>
      <c r="H648" s="55"/>
      <c r="I648" s="55"/>
      <c r="J648" s="55"/>
      <c r="K648" s="55"/>
      <c r="L648" s="63"/>
      <c r="M648" s="55"/>
      <c r="N648" s="55"/>
      <c r="O648" s="55"/>
      <c r="P648" s="55"/>
      <c r="Q648" s="55"/>
      <c r="R648" s="63"/>
      <c r="S648" s="55"/>
    </row>
    <row r="649" spans="1:19" ht="15" x14ac:dyDescent="0.25">
      <c r="A649" s="109"/>
      <c r="B649" s="109"/>
      <c r="C649" s="55"/>
      <c r="D649" s="55"/>
      <c r="E649" s="55"/>
      <c r="F649" s="55"/>
      <c r="G649" s="63"/>
      <c r="H649" s="55"/>
      <c r="I649" s="55"/>
      <c r="J649" s="55"/>
      <c r="K649" s="55"/>
      <c r="L649" s="63"/>
      <c r="M649" s="55"/>
      <c r="N649" s="55"/>
      <c r="O649" s="55"/>
      <c r="P649" s="55"/>
      <c r="Q649" s="55"/>
      <c r="R649" s="63"/>
      <c r="S649" s="55"/>
    </row>
    <row r="650" spans="1:19" ht="15" x14ac:dyDescent="0.25">
      <c r="A650" s="109"/>
      <c r="B650" s="109"/>
      <c r="C650" s="55"/>
      <c r="D650" s="55"/>
      <c r="E650" s="55"/>
      <c r="F650" s="55"/>
      <c r="G650" s="63"/>
      <c r="H650" s="55"/>
      <c r="I650" s="55"/>
      <c r="J650" s="55"/>
      <c r="K650" s="55"/>
      <c r="L650" s="63"/>
      <c r="M650" s="55"/>
      <c r="N650" s="55"/>
      <c r="O650" s="55"/>
      <c r="P650" s="55"/>
      <c r="Q650" s="55"/>
      <c r="R650" s="63"/>
      <c r="S650" s="55"/>
    </row>
    <row r="651" spans="1:19" ht="15" x14ac:dyDescent="0.25">
      <c r="A651" s="109"/>
      <c r="B651" s="109"/>
      <c r="C651" s="55"/>
      <c r="D651" s="55"/>
      <c r="E651" s="55"/>
      <c r="F651" s="55"/>
      <c r="G651" s="63"/>
      <c r="H651" s="55"/>
      <c r="I651" s="55"/>
      <c r="J651" s="55"/>
      <c r="K651" s="55"/>
      <c r="L651" s="63"/>
      <c r="M651" s="55"/>
      <c r="N651" s="55"/>
      <c r="O651" s="55"/>
      <c r="P651" s="55"/>
      <c r="Q651" s="55"/>
      <c r="R651" s="63"/>
      <c r="S651" s="55"/>
    </row>
    <row r="652" spans="1:19" ht="15" x14ac:dyDescent="0.25">
      <c r="A652" s="109"/>
      <c r="B652" s="109"/>
      <c r="C652" s="55"/>
      <c r="D652" s="55"/>
      <c r="E652" s="55"/>
      <c r="F652" s="55"/>
      <c r="G652" s="63"/>
      <c r="H652" s="55"/>
      <c r="I652" s="55"/>
      <c r="J652" s="55"/>
      <c r="K652" s="55"/>
      <c r="L652" s="63"/>
      <c r="M652" s="55"/>
      <c r="N652" s="55"/>
      <c r="O652" s="55"/>
      <c r="P652" s="55"/>
      <c r="Q652" s="55"/>
      <c r="R652" s="63"/>
      <c r="S652" s="55"/>
    </row>
    <row r="653" spans="1:19" ht="15" x14ac:dyDescent="0.25">
      <c r="A653" s="109"/>
      <c r="B653" s="109"/>
      <c r="C653" s="55"/>
      <c r="D653" s="55"/>
      <c r="E653" s="55"/>
      <c r="F653" s="55"/>
      <c r="G653" s="63"/>
      <c r="H653" s="55"/>
      <c r="I653" s="55"/>
      <c r="J653" s="55"/>
      <c r="K653" s="55"/>
      <c r="L653" s="63"/>
      <c r="M653" s="55"/>
      <c r="N653" s="55"/>
      <c r="O653" s="55"/>
      <c r="P653" s="55"/>
      <c r="Q653" s="55"/>
      <c r="R653" s="63"/>
      <c r="S653" s="55"/>
    </row>
    <row r="654" spans="1:19" ht="15" x14ac:dyDescent="0.25">
      <c r="A654" s="109"/>
      <c r="B654" s="109"/>
      <c r="C654" s="55"/>
      <c r="D654" s="55"/>
      <c r="E654" s="55"/>
      <c r="F654" s="55"/>
      <c r="G654" s="63"/>
      <c r="H654" s="55"/>
      <c r="I654" s="55"/>
      <c r="J654" s="55"/>
      <c r="K654" s="55"/>
      <c r="L654" s="63"/>
      <c r="M654" s="55"/>
      <c r="N654" s="55"/>
      <c r="O654" s="55"/>
      <c r="P654" s="55"/>
      <c r="Q654" s="55"/>
      <c r="R654" s="63"/>
      <c r="S654" s="55"/>
    </row>
    <row r="655" spans="1:19" ht="15" x14ac:dyDescent="0.25">
      <c r="A655" s="109"/>
      <c r="B655" s="109"/>
      <c r="C655" s="55"/>
      <c r="D655" s="55"/>
      <c r="E655" s="55"/>
      <c r="F655" s="55"/>
      <c r="G655" s="63"/>
      <c r="H655" s="55"/>
      <c r="I655" s="55"/>
      <c r="J655" s="55"/>
      <c r="K655" s="55"/>
      <c r="L655" s="63"/>
      <c r="M655" s="55"/>
      <c r="N655" s="55"/>
      <c r="O655" s="55"/>
      <c r="P655" s="55"/>
      <c r="Q655" s="55"/>
      <c r="R655" s="63"/>
      <c r="S655" s="55"/>
    </row>
    <row r="656" spans="1:19" ht="15" x14ac:dyDescent="0.25">
      <c r="A656" s="109"/>
      <c r="B656" s="109"/>
      <c r="C656" s="55"/>
      <c r="D656" s="55"/>
      <c r="E656" s="55"/>
      <c r="F656" s="55"/>
      <c r="G656" s="63"/>
      <c r="H656" s="55"/>
      <c r="I656" s="55"/>
      <c r="J656" s="55"/>
      <c r="K656" s="55"/>
      <c r="L656" s="63"/>
      <c r="M656" s="55"/>
      <c r="N656" s="55"/>
      <c r="O656" s="55"/>
      <c r="P656" s="55"/>
      <c r="Q656" s="55"/>
      <c r="R656" s="63"/>
      <c r="S656" s="55"/>
    </row>
    <row r="657" spans="1:19" ht="15" x14ac:dyDescent="0.25">
      <c r="A657" s="109"/>
      <c r="B657" s="109"/>
      <c r="C657" s="55"/>
      <c r="D657" s="55"/>
      <c r="E657" s="55"/>
      <c r="F657" s="55"/>
      <c r="G657" s="63"/>
      <c r="H657" s="55"/>
      <c r="I657" s="55"/>
      <c r="J657" s="55"/>
      <c r="K657" s="55"/>
      <c r="L657" s="63"/>
      <c r="M657" s="55"/>
      <c r="N657" s="55"/>
      <c r="O657" s="55"/>
      <c r="P657" s="55"/>
      <c r="Q657" s="55"/>
      <c r="R657" s="63"/>
      <c r="S657" s="55"/>
    </row>
    <row r="658" spans="1:19" ht="15" x14ac:dyDescent="0.25">
      <c r="A658" s="109"/>
      <c r="B658" s="109"/>
      <c r="C658" s="55"/>
      <c r="D658" s="55"/>
      <c r="E658" s="55"/>
      <c r="F658" s="55"/>
      <c r="G658" s="63"/>
      <c r="H658" s="55"/>
      <c r="I658" s="55"/>
      <c r="J658" s="55"/>
      <c r="K658" s="55"/>
      <c r="L658" s="63"/>
      <c r="M658" s="55"/>
      <c r="N658" s="55"/>
      <c r="O658" s="55"/>
      <c r="P658" s="55"/>
      <c r="Q658" s="55"/>
      <c r="R658" s="63"/>
      <c r="S658" s="55"/>
    </row>
    <row r="659" spans="1:19" ht="15" x14ac:dyDescent="0.25">
      <c r="A659" s="109"/>
      <c r="B659" s="109"/>
      <c r="C659" s="55"/>
      <c r="D659" s="55"/>
      <c r="E659" s="55"/>
      <c r="F659" s="55"/>
      <c r="G659" s="63"/>
      <c r="H659" s="55"/>
      <c r="I659" s="55"/>
      <c r="J659" s="55"/>
      <c r="K659" s="55"/>
      <c r="L659" s="63"/>
      <c r="M659" s="55"/>
      <c r="N659" s="55"/>
      <c r="O659" s="55"/>
      <c r="P659" s="55"/>
      <c r="Q659" s="55"/>
      <c r="R659" s="63"/>
      <c r="S659" s="55"/>
    </row>
    <row r="660" spans="1:19" ht="15" x14ac:dyDescent="0.25">
      <c r="A660" s="109"/>
      <c r="B660" s="109"/>
      <c r="C660" s="55"/>
      <c r="D660" s="55"/>
      <c r="E660" s="55"/>
      <c r="F660" s="55"/>
      <c r="G660" s="63"/>
      <c r="H660" s="55"/>
      <c r="I660" s="55"/>
      <c r="J660" s="55"/>
      <c r="K660" s="55"/>
      <c r="L660" s="63"/>
      <c r="M660" s="55"/>
      <c r="N660" s="55"/>
      <c r="O660" s="55"/>
      <c r="P660" s="55"/>
      <c r="Q660" s="55"/>
      <c r="R660" s="63"/>
      <c r="S660" s="55"/>
    </row>
    <row r="661" spans="1:19" ht="15" x14ac:dyDescent="0.25">
      <c r="A661" s="109"/>
      <c r="B661" s="109"/>
      <c r="C661" s="55"/>
      <c r="D661" s="55"/>
      <c r="E661" s="55"/>
      <c r="F661" s="55"/>
      <c r="G661" s="63"/>
      <c r="H661" s="55"/>
      <c r="I661" s="55"/>
      <c r="J661" s="55"/>
      <c r="K661" s="55"/>
      <c r="L661" s="63"/>
      <c r="M661" s="55"/>
      <c r="N661" s="55"/>
      <c r="O661" s="55"/>
      <c r="P661" s="55"/>
      <c r="Q661" s="55"/>
      <c r="R661" s="63"/>
      <c r="S661" s="55"/>
    </row>
    <row r="662" spans="1:19" ht="15" x14ac:dyDescent="0.25">
      <c r="A662" s="109"/>
      <c r="B662" s="109"/>
      <c r="C662" s="55"/>
      <c r="D662" s="55"/>
      <c r="E662" s="55"/>
      <c r="F662" s="55"/>
      <c r="G662" s="63"/>
      <c r="H662" s="55"/>
      <c r="I662" s="55"/>
      <c r="J662" s="55"/>
      <c r="K662" s="55"/>
      <c r="L662" s="63"/>
      <c r="M662" s="55"/>
      <c r="N662" s="55"/>
      <c r="O662" s="55"/>
      <c r="P662" s="55"/>
      <c r="Q662" s="55"/>
      <c r="R662" s="63"/>
      <c r="S662" s="55"/>
    </row>
    <row r="663" spans="1:19" ht="15" x14ac:dyDescent="0.25">
      <c r="A663" s="109"/>
      <c r="B663" s="109"/>
      <c r="C663" s="55"/>
      <c r="D663" s="55"/>
      <c r="E663" s="55"/>
      <c r="F663" s="55"/>
      <c r="G663" s="63"/>
      <c r="H663" s="55"/>
      <c r="I663" s="55"/>
      <c r="J663" s="55"/>
      <c r="K663" s="55"/>
      <c r="L663" s="63"/>
      <c r="M663" s="55"/>
      <c r="N663" s="55"/>
      <c r="O663" s="55"/>
      <c r="P663" s="55"/>
      <c r="Q663" s="55"/>
      <c r="R663" s="63"/>
      <c r="S663" s="55"/>
    </row>
    <row r="664" spans="1:19" ht="15" x14ac:dyDescent="0.25">
      <c r="A664" s="109"/>
      <c r="B664" s="109"/>
      <c r="C664" s="55"/>
      <c r="D664" s="55"/>
      <c r="E664" s="55"/>
      <c r="F664" s="55"/>
      <c r="G664" s="63"/>
      <c r="H664" s="55"/>
      <c r="I664" s="55"/>
      <c r="J664" s="55"/>
      <c r="K664" s="55"/>
      <c r="L664" s="63"/>
      <c r="M664" s="55"/>
      <c r="N664" s="55"/>
      <c r="O664" s="55"/>
      <c r="P664" s="55"/>
      <c r="Q664" s="55"/>
      <c r="R664" s="63"/>
      <c r="S664" s="55"/>
    </row>
    <row r="665" spans="1:19" ht="15" x14ac:dyDescent="0.25">
      <c r="A665" s="109"/>
      <c r="B665" s="109"/>
      <c r="C665" s="55"/>
      <c r="D665" s="55"/>
      <c r="E665" s="55"/>
      <c r="F665" s="55"/>
      <c r="G665" s="63"/>
      <c r="H665" s="55"/>
      <c r="I665" s="55"/>
      <c r="J665" s="55"/>
      <c r="K665" s="55"/>
      <c r="L665" s="63"/>
      <c r="M665" s="55"/>
      <c r="N665" s="55"/>
      <c r="O665" s="55"/>
      <c r="P665" s="55"/>
      <c r="Q665" s="55"/>
      <c r="R665" s="63"/>
      <c r="S665" s="55"/>
    </row>
    <row r="666" spans="1:19" ht="15" x14ac:dyDescent="0.25">
      <c r="A666" s="109"/>
      <c r="B666" s="109"/>
      <c r="C666" s="55"/>
      <c r="D666" s="55"/>
      <c r="E666" s="55"/>
      <c r="F666" s="55"/>
      <c r="G666" s="63"/>
      <c r="H666" s="55"/>
      <c r="I666" s="55"/>
      <c r="J666" s="55"/>
      <c r="K666" s="55"/>
      <c r="L666" s="63"/>
      <c r="M666" s="55"/>
      <c r="N666" s="55"/>
      <c r="O666" s="55"/>
      <c r="P666" s="55"/>
      <c r="Q666" s="55"/>
      <c r="R666" s="63"/>
      <c r="S666" s="55"/>
    </row>
    <row r="667" spans="1:19" ht="15" x14ac:dyDescent="0.25">
      <c r="A667" s="109"/>
      <c r="B667" s="109"/>
      <c r="C667" s="55"/>
      <c r="D667" s="55"/>
      <c r="E667" s="55"/>
      <c r="F667" s="55"/>
      <c r="G667" s="63"/>
      <c r="H667" s="55"/>
      <c r="I667" s="55"/>
      <c r="J667" s="55"/>
      <c r="K667" s="55"/>
      <c r="L667" s="63"/>
      <c r="M667" s="55"/>
      <c r="N667" s="55"/>
      <c r="O667" s="55"/>
      <c r="P667" s="55"/>
      <c r="Q667" s="55"/>
      <c r="R667" s="63"/>
      <c r="S667" s="55"/>
    </row>
    <row r="668" spans="1:19" ht="15" x14ac:dyDescent="0.25">
      <c r="A668" s="109"/>
      <c r="B668" s="109"/>
      <c r="C668" s="55"/>
      <c r="D668" s="55"/>
      <c r="E668" s="55"/>
      <c r="F668" s="55"/>
      <c r="G668" s="63"/>
      <c r="H668" s="55"/>
      <c r="I668" s="55"/>
      <c r="J668" s="55"/>
      <c r="K668" s="55"/>
      <c r="L668" s="63"/>
      <c r="M668" s="55"/>
      <c r="N668" s="55"/>
      <c r="O668" s="55"/>
      <c r="P668" s="55"/>
      <c r="Q668" s="55"/>
      <c r="R668" s="63"/>
      <c r="S668" s="55"/>
    </row>
    <row r="669" spans="1:19" ht="15" x14ac:dyDescent="0.25">
      <c r="A669" s="109"/>
      <c r="B669" s="109"/>
      <c r="C669" s="55"/>
      <c r="D669" s="55"/>
      <c r="E669" s="55"/>
      <c r="F669" s="55"/>
      <c r="G669" s="63"/>
      <c r="H669" s="55"/>
      <c r="I669" s="55"/>
      <c r="J669" s="55"/>
      <c r="K669" s="55"/>
      <c r="L669" s="63"/>
      <c r="M669" s="55"/>
      <c r="N669" s="55"/>
      <c r="O669" s="55"/>
      <c r="P669" s="55"/>
      <c r="Q669" s="55"/>
      <c r="R669" s="63"/>
      <c r="S669" s="55"/>
    </row>
    <row r="670" spans="1:19" ht="15" x14ac:dyDescent="0.25">
      <c r="A670" s="109"/>
      <c r="B670" s="109"/>
      <c r="C670" s="55"/>
      <c r="D670" s="55"/>
      <c r="E670" s="55"/>
      <c r="F670" s="55"/>
      <c r="G670" s="63"/>
      <c r="H670" s="55"/>
      <c r="I670" s="55"/>
      <c r="J670" s="55"/>
      <c r="K670" s="55"/>
      <c r="L670" s="63"/>
      <c r="M670" s="55"/>
      <c r="N670" s="55"/>
      <c r="O670" s="55"/>
      <c r="P670" s="55"/>
      <c r="Q670" s="55"/>
      <c r="R670" s="63"/>
      <c r="S670" s="55"/>
    </row>
    <row r="671" spans="1:19" ht="15" x14ac:dyDescent="0.25">
      <c r="A671" s="109"/>
      <c r="B671" s="109"/>
      <c r="C671" s="55"/>
      <c r="D671" s="55"/>
      <c r="E671" s="55"/>
      <c r="F671" s="55"/>
      <c r="G671" s="63"/>
      <c r="H671" s="55"/>
      <c r="I671" s="55"/>
      <c r="J671" s="55"/>
      <c r="K671" s="55"/>
      <c r="L671" s="63"/>
      <c r="M671" s="55"/>
      <c r="N671" s="55"/>
      <c r="O671" s="55"/>
      <c r="P671" s="55"/>
      <c r="Q671" s="55"/>
      <c r="R671" s="63"/>
      <c r="S671" s="55"/>
    </row>
    <row r="672" spans="1:19" ht="15" x14ac:dyDescent="0.25">
      <c r="A672" s="109"/>
      <c r="B672" s="109"/>
      <c r="C672" s="55"/>
      <c r="D672" s="55"/>
      <c r="E672" s="55"/>
      <c r="F672" s="55"/>
      <c r="G672" s="63"/>
      <c r="H672" s="55"/>
      <c r="I672" s="55"/>
      <c r="J672" s="55"/>
      <c r="K672" s="55"/>
      <c r="L672" s="63"/>
      <c r="M672" s="55"/>
      <c r="N672" s="55"/>
      <c r="O672" s="55"/>
      <c r="P672" s="55"/>
      <c r="Q672" s="55"/>
      <c r="R672" s="63"/>
      <c r="S672" s="55"/>
    </row>
    <row r="673" spans="1:19" ht="15" x14ac:dyDescent="0.25">
      <c r="A673" s="109"/>
      <c r="B673" s="109"/>
      <c r="C673" s="55"/>
      <c r="D673" s="55"/>
      <c r="E673" s="55"/>
      <c r="F673" s="55"/>
      <c r="G673" s="63"/>
      <c r="H673" s="55"/>
      <c r="I673" s="55"/>
      <c r="J673" s="55"/>
      <c r="K673" s="55"/>
      <c r="L673" s="63"/>
      <c r="M673" s="55"/>
      <c r="N673" s="55"/>
      <c r="O673" s="55"/>
      <c r="P673" s="55"/>
      <c r="Q673" s="55"/>
      <c r="R673" s="63"/>
      <c r="S673" s="55"/>
    </row>
    <row r="674" spans="1:19" ht="15" x14ac:dyDescent="0.25">
      <c r="A674" s="109"/>
      <c r="B674" s="109"/>
      <c r="C674" s="55"/>
      <c r="D674" s="55"/>
      <c r="E674" s="55"/>
      <c r="F674" s="55"/>
      <c r="G674" s="63"/>
      <c r="H674" s="55"/>
      <c r="I674" s="55"/>
      <c r="J674" s="55"/>
      <c r="K674" s="55"/>
      <c r="L674" s="63"/>
      <c r="M674" s="55"/>
      <c r="N674" s="55"/>
      <c r="O674" s="55"/>
      <c r="P674" s="55"/>
      <c r="Q674" s="55"/>
      <c r="R674" s="63"/>
      <c r="S674" s="55"/>
    </row>
    <row r="675" spans="1:19" ht="15" x14ac:dyDescent="0.25">
      <c r="A675" s="109"/>
      <c r="B675" s="109"/>
      <c r="C675" s="55"/>
      <c r="D675" s="55"/>
      <c r="E675" s="55"/>
      <c r="F675" s="55"/>
      <c r="G675" s="63"/>
      <c r="H675" s="55"/>
      <c r="I675" s="55"/>
      <c r="J675" s="55"/>
      <c r="K675" s="55"/>
      <c r="L675" s="63"/>
      <c r="M675" s="55"/>
      <c r="N675" s="55"/>
      <c r="O675" s="55"/>
      <c r="P675" s="55"/>
      <c r="Q675" s="55"/>
      <c r="R675" s="63"/>
      <c r="S675" s="55"/>
    </row>
    <row r="676" spans="1:19" ht="15" x14ac:dyDescent="0.25">
      <c r="A676" s="109"/>
      <c r="B676" s="109"/>
      <c r="C676" s="55"/>
      <c r="D676" s="55"/>
      <c r="E676" s="55"/>
      <c r="F676" s="55"/>
      <c r="G676" s="63"/>
      <c r="H676" s="55"/>
      <c r="I676" s="55"/>
      <c r="J676" s="55"/>
      <c r="K676" s="55"/>
      <c r="L676" s="63"/>
      <c r="M676" s="55"/>
      <c r="N676" s="55"/>
      <c r="O676" s="55"/>
      <c r="P676" s="55"/>
      <c r="Q676" s="55"/>
      <c r="R676" s="63"/>
      <c r="S676" s="55"/>
    </row>
    <row r="677" spans="1:19" ht="15" x14ac:dyDescent="0.25">
      <c r="A677" s="109"/>
      <c r="B677" s="109"/>
      <c r="C677" s="55"/>
      <c r="D677" s="55"/>
      <c r="E677" s="55"/>
      <c r="F677" s="55"/>
      <c r="G677" s="63"/>
      <c r="H677" s="55"/>
      <c r="I677" s="55"/>
      <c r="J677" s="55"/>
      <c r="K677" s="55"/>
      <c r="L677" s="63"/>
      <c r="M677" s="55"/>
      <c r="N677" s="55"/>
      <c r="O677" s="55"/>
      <c r="P677" s="55"/>
      <c r="Q677" s="55"/>
      <c r="R677" s="63"/>
      <c r="S677" s="55"/>
    </row>
    <row r="678" spans="1:19" ht="15" x14ac:dyDescent="0.25">
      <c r="A678" s="109"/>
      <c r="B678" s="109"/>
      <c r="C678" s="55"/>
      <c r="D678" s="55"/>
      <c r="E678" s="55"/>
      <c r="F678" s="55"/>
      <c r="G678" s="63"/>
      <c r="H678" s="55"/>
      <c r="I678" s="55"/>
      <c r="J678" s="55"/>
      <c r="K678" s="55"/>
      <c r="L678" s="63"/>
      <c r="M678" s="55"/>
      <c r="N678" s="55"/>
      <c r="O678" s="55"/>
      <c r="P678" s="55"/>
      <c r="Q678" s="55"/>
      <c r="R678" s="63"/>
      <c r="S678" s="55"/>
    </row>
    <row r="679" spans="1:19" ht="15" x14ac:dyDescent="0.25">
      <c r="A679" s="109"/>
      <c r="B679" s="109"/>
      <c r="C679" s="55"/>
      <c r="D679" s="55"/>
      <c r="E679" s="55"/>
      <c r="F679" s="55"/>
      <c r="G679" s="63"/>
      <c r="H679" s="55"/>
      <c r="I679" s="55"/>
      <c r="J679" s="55"/>
      <c r="K679" s="55"/>
      <c r="L679" s="63"/>
      <c r="M679" s="55"/>
      <c r="N679" s="55"/>
      <c r="O679" s="55"/>
      <c r="P679" s="55"/>
      <c r="Q679" s="55"/>
      <c r="R679" s="63"/>
      <c r="S679" s="55"/>
    </row>
    <row r="680" spans="1:19" ht="15" x14ac:dyDescent="0.25">
      <c r="A680" s="109"/>
      <c r="B680" s="109"/>
      <c r="C680" s="55"/>
      <c r="D680" s="55"/>
      <c r="E680" s="55"/>
      <c r="F680" s="55"/>
      <c r="G680" s="63"/>
      <c r="H680" s="55"/>
      <c r="I680" s="55"/>
      <c r="J680" s="55"/>
      <c r="K680" s="55"/>
      <c r="L680" s="63"/>
      <c r="M680" s="55"/>
      <c r="N680" s="55"/>
      <c r="O680" s="55"/>
      <c r="P680" s="55"/>
      <c r="Q680" s="55"/>
      <c r="R680" s="63"/>
      <c r="S680" s="55"/>
    </row>
    <row r="681" spans="1:19" ht="15" x14ac:dyDescent="0.25">
      <c r="A681" s="109"/>
      <c r="B681" s="109"/>
      <c r="C681" s="55"/>
      <c r="D681" s="55"/>
      <c r="E681" s="55"/>
      <c r="F681" s="55"/>
      <c r="G681" s="63"/>
      <c r="H681" s="55"/>
      <c r="I681" s="55"/>
      <c r="J681" s="55"/>
      <c r="K681" s="55"/>
      <c r="L681" s="63"/>
      <c r="M681" s="55"/>
      <c r="N681" s="55"/>
      <c r="O681" s="55"/>
      <c r="P681" s="55"/>
      <c r="Q681" s="55"/>
      <c r="R681" s="63"/>
      <c r="S681" s="55"/>
    </row>
    <row r="682" spans="1:19" ht="15" x14ac:dyDescent="0.25">
      <c r="A682" s="109"/>
      <c r="B682" s="109"/>
      <c r="C682" s="55"/>
      <c r="D682" s="55"/>
      <c r="E682" s="55"/>
      <c r="F682" s="55"/>
      <c r="G682" s="63"/>
      <c r="H682" s="55"/>
      <c r="I682" s="55"/>
      <c r="J682" s="55"/>
      <c r="K682" s="55"/>
      <c r="L682" s="63"/>
      <c r="M682" s="55"/>
      <c r="N682" s="55"/>
      <c r="O682" s="55"/>
      <c r="P682" s="55"/>
      <c r="Q682" s="55"/>
      <c r="R682" s="63"/>
      <c r="S682" s="55"/>
    </row>
    <row r="683" spans="1:19" ht="15" x14ac:dyDescent="0.25">
      <c r="A683" s="109"/>
      <c r="B683" s="109"/>
      <c r="C683" s="55"/>
      <c r="D683" s="55"/>
      <c r="E683" s="55"/>
      <c r="F683" s="55"/>
      <c r="G683" s="63"/>
      <c r="H683" s="55"/>
      <c r="I683" s="55"/>
      <c r="J683" s="55"/>
      <c r="K683" s="55"/>
      <c r="L683" s="63"/>
      <c r="M683" s="55"/>
      <c r="N683" s="55"/>
      <c r="O683" s="55"/>
      <c r="P683" s="55"/>
      <c r="Q683" s="55"/>
      <c r="R683" s="63"/>
      <c r="S683" s="55"/>
    </row>
    <row r="684" spans="1:19" ht="15" x14ac:dyDescent="0.25">
      <c r="A684" s="109"/>
      <c r="B684" s="109"/>
      <c r="C684" s="55"/>
      <c r="D684" s="55"/>
      <c r="E684" s="55"/>
      <c r="F684" s="55"/>
      <c r="G684" s="63"/>
      <c r="H684" s="55"/>
      <c r="I684" s="55"/>
      <c r="J684" s="55"/>
      <c r="K684" s="55"/>
      <c r="L684" s="63"/>
      <c r="M684" s="55"/>
      <c r="N684" s="55"/>
      <c r="O684" s="55"/>
      <c r="P684" s="55"/>
      <c r="Q684" s="55"/>
      <c r="R684" s="63"/>
      <c r="S684" s="55"/>
    </row>
    <row r="685" spans="1:19" ht="15" x14ac:dyDescent="0.25">
      <c r="A685" s="109"/>
      <c r="B685" s="109"/>
      <c r="C685" s="55"/>
      <c r="D685" s="55"/>
      <c r="E685" s="55"/>
      <c r="F685" s="55"/>
      <c r="G685" s="63"/>
      <c r="H685" s="55"/>
      <c r="I685" s="55"/>
      <c r="J685" s="55"/>
      <c r="K685" s="55"/>
      <c r="L685" s="63"/>
      <c r="M685" s="55"/>
      <c r="N685" s="55"/>
      <c r="O685" s="55"/>
      <c r="P685" s="55"/>
      <c r="Q685" s="55"/>
      <c r="R685" s="63"/>
      <c r="S685" s="55"/>
    </row>
    <row r="686" spans="1:19" ht="15" x14ac:dyDescent="0.25">
      <c r="A686" s="109"/>
      <c r="B686" s="109"/>
      <c r="C686" s="55"/>
      <c r="D686" s="55"/>
      <c r="E686" s="55"/>
      <c r="F686" s="55"/>
      <c r="G686" s="63"/>
      <c r="H686" s="55"/>
      <c r="I686" s="55"/>
      <c r="J686" s="55"/>
      <c r="K686" s="55"/>
      <c r="L686" s="63"/>
      <c r="M686" s="55"/>
      <c r="N686" s="55"/>
      <c r="O686" s="55"/>
      <c r="P686" s="55"/>
      <c r="Q686" s="55"/>
      <c r="R686" s="63"/>
      <c r="S686" s="55"/>
    </row>
    <row r="687" spans="1:19" ht="15" x14ac:dyDescent="0.25">
      <c r="A687" s="109"/>
      <c r="B687" s="109"/>
      <c r="C687" s="55"/>
      <c r="D687" s="55"/>
      <c r="E687" s="55"/>
      <c r="F687" s="55"/>
      <c r="G687" s="63"/>
      <c r="H687" s="55"/>
      <c r="I687" s="55"/>
      <c r="J687" s="55"/>
      <c r="K687" s="55"/>
      <c r="L687" s="63"/>
      <c r="M687" s="55"/>
      <c r="N687" s="55"/>
      <c r="O687" s="55"/>
      <c r="P687" s="55"/>
      <c r="Q687" s="55"/>
      <c r="R687" s="63"/>
      <c r="S687" s="55"/>
    </row>
    <row r="688" spans="1:19" ht="15" x14ac:dyDescent="0.25">
      <c r="A688" s="109"/>
      <c r="B688" s="109"/>
      <c r="C688" s="55"/>
      <c r="D688" s="55"/>
      <c r="E688" s="55"/>
      <c r="F688" s="55"/>
      <c r="G688" s="63"/>
      <c r="H688" s="55"/>
      <c r="I688" s="55"/>
      <c r="J688" s="55"/>
      <c r="K688" s="55"/>
      <c r="L688" s="63"/>
      <c r="M688" s="55"/>
      <c r="N688" s="55"/>
      <c r="O688" s="55"/>
      <c r="P688" s="55"/>
      <c r="Q688" s="55"/>
      <c r="R688" s="63"/>
      <c r="S688" s="55"/>
    </row>
    <row r="689" spans="1:19" ht="15" x14ac:dyDescent="0.25">
      <c r="A689" s="109"/>
      <c r="B689" s="109"/>
      <c r="C689" s="55"/>
      <c r="D689" s="55"/>
      <c r="E689" s="55"/>
      <c r="F689" s="55"/>
      <c r="G689" s="63"/>
      <c r="H689" s="55"/>
      <c r="I689" s="55"/>
      <c r="J689" s="55"/>
      <c r="K689" s="55"/>
      <c r="L689" s="63"/>
      <c r="M689" s="55"/>
      <c r="N689" s="55"/>
      <c r="O689" s="55"/>
      <c r="P689" s="55"/>
      <c r="Q689" s="55"/>
      <c r="R689" s="63"/>
      <c r="S689" s="55"/>
    </row>
    <row r="690" spans="1:19" ht="15" x14ac:dyDescent="0.25">
      <c r="A690" s="109"/>
      <c r="B690" s="109"/>
      <c r="C690" s="55"/>
      <c r="D690" s="55"/>
      <c r="E690" s="55"/>
      <c r="F690" s="55"/>
      <c r="G690" s="63"/>
      <c r="H690" s="55"/>
      <c r="I690" s="55"/>
      <c r="J690" s="55"/>
      <c r="K690" s="55"/>
      <c r="L690" s="63"/>
      <c r="M690" s="55"/>
      <c r="N690" s="55"/>
      <c r="O690" s="55"/>
      <c r="P690" s="55"/>
      <c r="Q690" s="55"/>
      <c r="R690" s="63"/>
      <c r="S690" s="55"/>
    </row>
    <row r="691" spans="1:19" ht="15" x14ac:dyDescent="0.25">
      <c r="A691" s="109"/>
      <c r="B691" s="109"/>
      <c r="C691" s="55"/>
      <c r="D691" s="55"/>
      <c r="E691" s="55"/>
      <c r="F691" s="55"/>
      <c r="G691" s="63"/>
      <c r="H691" s="55"/>
      <c r="I691" s="55"/>
      <c r="J691" s="55"/>
      <c r="K691" s="55"/>
      <c r="L691" s="63"/>
      <c r="M691" s="55"/>
      <c r="N691" s="55"/>
      <c r="O691" s="55"/>
      <c r="P691" s="55"/>
      <c r="Q691" s="55"/>
      <c r="R691" s="63"/>
      <c r="S691" s="55"/>
    </row>
    <row r="692" spans="1:19" ht="15" x14ac:dyDescent="0.25">
      <c r="A692" s="109"/>
      <c r="B692" s="109"/>
      <c r="C692" s="55"/>
      <c r="D692" s="55"/>
      <c r="E692" s="55"/>
      <c r="F692" s="55"/>
      <c r="G692" s="63"/>
      <c r="H692" s="55"/>
      <c r="I692" s="55"/>
      <c r="J692" s="55"/>
      <c r="K692" s="55"/>
      <c r="L692" s="63"/>
      <c r="M692" s="55"/>
      <c r="N692" s="55"/>
      <c r="O692" s="55"/>
      <c r="P692" s="55"/>
      <c r="Q692" s="55"/>
      <c r="R692" s="63"/>
      <c r="S692" s="55"/>
    </row>
    <row r="693" spans="1:19" ht="15" x14ac:dyDescent="0.25">
      <c r="A693" s="109"/>
      <c r="B693" s="109"/>
      <c r="C693" s="55"/>
      <c r="D693" s="55"/>
      <c r="E693" s="55"/>
      <c r="F693" s="55"/>
      <c r="G693" s="63"/>
      <c r="H693" s="55"/>
      <c r="I693" s="55"/>
      <c r="J693" s="55"/>
      <c r="K693" s="55"/>
      <c r="L693" s="63"/>
      <c r="M693" s="55"/>
      <c r="N693" s="55"/>
      <c r="O693" s="55"/>
      <c r="P693" s="55"/>
      <c r="Q693" s="55"/>
      <c r="R693" s="63"/>
      <c r="S693" s="55"/>
    </row>
    <row r="694" spans="1:19" ht="15" x14ac:dyDescent="0.25">
      <c r="A694" s="109"/>
      <c r="B694" s="109"/>
      <c r="C694" s="55"/>
      <c r="D694" s="55"/>
      <c r="E694" s="55"/>
      <c r="F694" s="55"/>
      <c r="G694" s="63"/>
      <c r="H694" s="55"/>
      <c r="I694" s="55"/>
      <c r="J694" s="55"/>
      <c r="K694" s="55"/>
      <c r="L694" s="63"/>
      <c r="M694" s="55"/>
      <c r="N694" s="55"/>
      <c r="O694" s="55"/>
      <c r="P694" s="55"/>
      <c r="Q694" s="55"/>
      <c r="R694" s="63"/>
      <c r="S694" s="55"/>
    </row>
    <row r="695" spans="1:19" ht="15" x14ac:dyDescent="0.25">
      <c r="A695" s="109"/>
      <c r="B695" s="109"/>
      <c r="C695" s="55"/>
      <c r="D695" s="55"/>
      <c r="E695" s="55"/>
      <c r="F695" s="55"/>
      <c r="G695" s="63"/>
      <c r="H695" s="55"/>
      <c r="I695" s="55"/>
      <c r="J695" s="55"/>
      <c r="K695" s="55"/>
      <c r="L695" s="63"/>
      <c r="M695" s="55"/>
      <c r="N695" s="55"/>
      <c r="O695" s="55"/>
      <c r="P695" s="55"/>
      <c r="Q695" s="55"/>
      <c r="R695" s="63"/>
      <c r="S695" s="55"/>
    </row>
    <row r="696" spans="1:19" ht="15" x14ac:dyDescent="0.25">
      <c r="A696" s="109"/>
      <c r="B696" s="109"/>
      <c r="C696" s="55"/>
      <c r="D696" s="55"/>
      <c r="E696" s="55"/>
      <c r="F696" s="55"/>
      <c r="G696" s="63"/>
      <c r="H696" s="55"/>
      <c r="I696" s="55"/>
      <c r="J696" s="55"/>
      <c r="K696" s="55"/>
      <c r="L696" s="63"/>
      <c r="M696" s="55"/>
      <c r="N696" s="55"/>
      <c r="O696" s="55"/>
      <c r="P696" s="55"/>
      <c r="Q696" s="55"/>
      <c r="R696" s="63"/>
      <c r="S696" s="55"/>
    </row>
    <row r="697" spans="1:19" ht="15" x14ac:dyDescent="0.25">
      <c r="A697" s="109"/>
      <c r="B697" s="109"/>
      <c r="C697" s="55"/>
      <c r="D697" s="55"/>
      <c r="E697" s="55"/>
      <c r="F697" s="55"/>
      <c r="G697" s="63"/>
      <c r="H697" s="55"/>
      <c r="I697" s="55"/>
      <c r="J697" s="55"/>
      <c r="K697" s="55"/>
      <c r="L697" s="63"/>
      <c r="M697" s="55"/>
      <c r="N697" s="55"/>
      <c r="O697" s="55"/>
      <c r="P697" s="55"/>
      <c r="Q697" s="55"/>
      <c r="R697" s="63"/>
      <c r="S697" s="55"/>
    </row>
    <row r="698" spans="1:19" ht="15" x14ac:dyDescent="0.25">
      <c r="A698" s="109"/>
      <c r="B698" s="109"/>
      <c r="C698" s="55"/>
      <c r="D698" s="55"/>
      <c r="E698" s="55"/>
      <c r="F698" s="55"/>
      <c r="G698" s="63"/>
      <c r="H698" s="55"/>
      <c r="I698" s="55"/>
      <c r="J698" s="55"/>
      <c r="K698" s="55"/>
      <c r="L698" s="63"/>
      <c r="M698" s="55"/>
      <c r="N698" s="55"/>
      <c r="O698" s="55"/>
      <c r="P698" s="55"/>
      <c r="Q698" s="55"/>
      <c r="R698" s="63"/>
      <c r="S698" s="55"/>
    </row>
    <row r="699" spans="1:19" ht="15" x14ac:dyDescent="0.25">
      <c r="A699" s="109"/>
      <c r="B699" s="109"/>
      <c r="C699" s="55"/>
      <c r="D699" s="55"/>
      <c r="E699" s="55"/>
      <c r="F699" s="55"/>
      <c r="G699" s="63"/>
      <c r="H699" s="55"/>
      <c r="I699" s="55"/>
      <c r="J699" s="55"/>
      <c r="K699" s="55"/>
      <c r="L699" s="63"/>
      <c r="M699" s="55"/>
      <c r="N699" s="55"/>
      <c r="O699" s="55"/>
      <c r="P699" s="55"/>
      <c r="Q699" s="55"/>
      <c r="R699" s="63"/>
      <c r="S699" s="55"/>
    </row>
    <row r="700" spans="1:19" ht="15" x14ac:dyDescent="0.25">
      <c r="A700" s="109"/>
      <c r="B700" s="109"/>
      <c r="C700" s="55"/>
      <c r="D700" s="55"/>
      <c r="E700" s="55"/>
      <c r="F700" s="55"/>
      <c r="G700" s="63"/>
      <c r="H700" s="55"/>
      <c r="I700" s="55"/>
      <c r="J700" s="55"/>
      <c r="K700" s="55"/>
      <c r="L700" s="63"/>
      <c r="M700" s="55"/>
      <c r="N700" s="55"/>
      <c r="O700" s="55"/>
      <c r="P700" s="55"/>
      <c r="Q700" s="55"/>
      <c r="R700" s="63"/>
      <c r="S700" s="55"/>
    </row>
    <row r="701" spans="1:19" ht="15" x14ac:dyDescent="0.25">
      <c r="A701" s="109"/>
      <c r="B701" s="109"/>
      <c r="C701" s="55"/>
      <c r="D701" s="55"/>
      <c r="E701" s="55"/>
      <c r="F701" s="55"/>
      <c r="G701" s="63"/>
      <c r="H701" s="55"/>
      <c r="I701" s="55"/>
      <c r="J701" s="55"/>
      <c r="K701" s="55"/>
      <c r="L701" s="63"/>
      <c r="M701" s="55"/>
      <c r="N701" s="55"/>
      <c r="O701" s="55"/>
      <c r="P701" s="55"/>
      <c r="Q701" s="55"/>
      <c r="R701" s="63"/>
      <c r="S701" s="55"/>
    </row>
    <row r="702" spans="1:19" ht="15" x14ac:dyDescent="0.25">
      <c r="A702" s="109"/>
      <c r="B702" s="109"/>
      <c r="C702" s="55"/>
      <c r="D702" s="55"/>
      <c r="E702" s="55"/>
      <c r="F702" s="55"/>
      <c r="G702" s="63"/>
      <c r="H702" s="55"/>
      <c r="I702" s="55"/>
      <c r="J702" s="55"/>
      <c r="K702" s="55"/>
      <c r="L702" s="63"/>
      <c r="M702" s="55"/>
      <c r="N702" s="55"/>
      <c r="O702" s="55"/>
      <c r="P702" s="55"/>
      <c r="Q702" s="55"/>
      <c r="R702" s="63"/>
      <c r="S702" s="55"/>
    </row>
    <row r="703" spans="1:19" ht="15" x14ac:dyDescent="0.25">
      <c r="A703" s="109"/>
      <c r="B703" s="109"/>
      <c r="C703" s="55"/>
      <c r="D703" s="55"/>
      <c r="E703" s="55"/>
      <c r="F703" s="55"/>
      <c r="G703" s="63"/>
      <c r="H703" s="55"/>
      <c r="I703" s="55"/>
      <c r="J703" s="55"/>
      <c r="K703" s="55"/>
      <c r="L703" s="63"/>
      <c r="M703" s="55"/>
      <c r="N703" s="55"/>
      <c r="O703" s="55"/>
      <c r="P703" s="55"/>
      <c r="Q703" s="55"/>
      <c r="R703" s="63"/>
      <c r="S703" s="55"/>
    </row>
    <row r="704" spans="1:19" ht="15" x14ac:dyDescent="0.25">
      <c r="A704" s="109"/>
      <c r="B704" s="109"/>
      <c r="C704" s="55"/>
      <c r="D704" s="55"/>
      <c r="E704" s="55"/>
      <c r="F704" s="55"/>
      <c r="G704" s="63"/>
      <c r="H704" s="55"/>
      <c r="I704" s="55"/>
      <c r="J704" s="55"/>
      <c r="K704" s="55"/>
      <c r="L704" s="63"/>
      <c r="M704" s="55"/>
      <c r="N704" s="55"/>
      <c r="O704" s="55"/>
      <c r="P704" s="55"/>
      <c r="Q704" s="55"/>
      <c r="R704" s="63"/>
      <c r="S704" s="55"/>
    </row>
    <row r="705" spans="1:19" ht="15" x14ac:dyDescent="0.25">
      <c r="A705" s="109"/>
      <c r="B705" s="109"/>
      <c r="C705" s="55"/>
      <c r="D705" s="55"/>
      <c r="E705" s="55"/>
      <c r="F705" s="55"/>
      <c r="G705" s="63"/>
      <c r="H705" s="55"/>
      <c r="I705" s="55"/>
      <c r="J705" s="55"/>
      <c r="K705" s="55"/>
      <c r="L705" s="63"/>
      <c r="M705" s="55"/>
      <c r="N705" s="55"/>
      <c r="O705" s="55"/>
      <c r="P705" s="55"/>
      <c r="Q705" s="55"/>
      <c r="R705" s="63"/>
      <c r="S705" s="55"/>
    </row>
    <row r="706" spans="1:19" ht="15" x14ac:dyDescent="0.25">
      <c r="A706" s="109"/>
      <c r="B706" s="109"/>
      <c r="C706" s="55"/>
      <c r="D706" s="55"/>
      <c r="E706" s="55"/>
      <c r="F706" s="55"/>
      <c r="G706" s="63"/>
      <c r="H706" s="55"/>
      <c r="I706" s="55"/>
      <c r="J706" s="55"/>
      <c r="K706" s="55"/>
      <c r="L706" s="63"/>
      <c r="M706" s="55"/>
      <c r="N706" s="55"/>
      <c r="O706" s="55"/>
      <c r="P706" s="55"/>
      <c r="Q706" s="55"/>
      <c r="R706" s="63"/>
      <c r="S706" s="55"/>
    </row>
    <row r="707" spans="1:19" ht="15" x14ac:dyDescent="0.25">
      <c r="A707" s="109"/>
      <c r="B707" s="109"/>
      <c r="C707" s="55"/>
      <c r="D707" s="55"/>
      <c r="E707" s="55"/>
      <c r="F707" s="55"/>
      <c r="G707" s="63"/>
      <c r="H707" s="55"/>
      <c r="I707" s="55"/>
      <c r="J707" s="55"/>
      <c r="K707" s="55"/>
      <c r="L707" s="63"/>
      <c r="M707" s="55"/>
      <c r="N707" s="55"/>
      <c r="O707" s="55"/>
      <c r="P707" s="55"/>
      <c r="Q707" s="55"/>
      <c r="R707" s="63"/>
      <c r="S707" s="55"/>
    </row>
    <row r="708" spans="1:19" ht="15" x14ac:dyDescent="0.25">
      <c r="A708" s="109"/>
      <c r="B708" s="109"/>
      <c r="C708" s="55"/>
      <c r="D708" s="55"/>
      <c r="E708" s="55"/>
      <c r="F708" s="55"/>
      <c r="G708" s="63"/>
      <c r="H708" s="55"/>
      <c r="I708" s="55"/>
      <c r="J708" s="55"/>
      <c r="K708" s="55"/>
      <c r="L708" s="63"/>
      <c r="M708" s="55"/>
      <c r="N708" s="55"/>
      <c r="O708" s="55"/>
      <c r="P708" s="55"/>
      <c r="Q708" s="55"/>
      <c r="R708" s="63"/>
      <c r="S708" s="55"/>
    </row>
    <row r="709" spans="1:19" ht="15" x14ac:dyDescent="0.25">
      <c r="A709" s="109"/>
      <c r="B709" s="109"/>
      <c r="C709" s="55"/>
      <c r="D709" s="55"/>
      <c r="E709" s="55"/>
      <c r="F709" s="55"/>
      <c r="G709" s="63"/>
      <c r="H709" s="55"/>
      <c r="I709" s="55"/>
      <c r="J709" s="55"/>
      <c r="K709" s="55"/>
      <c r="L709" s="63"/>
      <c r="M709" s="55"/>
      <c r="N709" s="55"/>
      <c r="O709" s="55"/>
      <c r="P709" s="55"/>
      <c r="Q709" s="55"/>
      <c r="R709" s="63"/>
      <c r="S709" s="55"/>
    </row>
    <row r="710" spans="1:19" ht="15" x14ac:dyDescent="0.25">
      <c r="A710" s="109"/>
      <c r="B710" s="109"/>
      <c r="C710" s="55"/>
      <c r="D710" s="55"/>
      <c r="E710" s="55"/>
      <c r="F710" s="55"/>
      <c r="G710" s="63"/>
      <c r="H710" s="55"/>
      <c r="I710" s="55"/>
      <c r="J710" s="55"/>
      <c r="K710" s="55"/>
      <c r="L710" s="63"/>
      <c r="M710" s="55"/>
      <c r="N710" s="55"/>
      <c r="O710" s="55"/>
      <c r="P710" s="55"/>
      <c r="Q710" s="55"/>
      <c r="R710" s="63"/>
      <c r="S710" s="55"/>
    </row>
    <row r="711" spans="1:19" ht="15" x14ac:dyDescent="0.25">
      <c r="A711" s="109"/>
      <c r="B711" s="109"/>
      <c r="C711" s="55"/>
      <c r="D711" s="55"/>
      <c r="E711" s="55"/>
      <c r="F711" s="55"/>
      <c r="G711" s="63"/>
      <c r="H711" s="55"/>
      <c r="I711" s="55"/>
      <c r="J711" s="55"/>
      <c r="K711" s="55"/>
      <c r="L711" s="63"/>
      <c r="M711" s="55"/>
      <c r="N711" s="55"/>
      <c r="O711" s="55"/>
      <c r="P711" s="55"/>
      <c r="Q711" s="55"/>
      <c r="R711" s="63"/>
      <c r="S711" s="55"/>
    </row>
    <row r="712" spans="1:19" ht="15" x14ac:dyDescent="0.25">
      <c r="A712" s="109"/>
      <c r="B712" s="109"/>
      <c r="C712" s="55"/>
      <c r="D712" s="55"/>
      <c r="E712" s="55"/>
      <c r="F712" s="55"/>
      <c r="G712" s="63"/>
      <c r="H712" s="55"/>
      <c r="I712" s="55"/>
      <c r="J712" s="55"/>
      <c r="K712" s="55"/>
      <c r="L712" s="63"/>
      <c r="M712" s="55"/>
      <c r="N712" s="55"/>
      <c r="O712" s="55"/>
      <c r="P712" s="55"/>
      <c r="Q712" s="55"/>
      <c r="R712" s="63"/>
      <c r="S712" s="55"/>
    </row>
    <row r="713" spans="1:19" ht="15" x14ac:dyDescent="0.25">
      <c r="A713" s="109"/>
      <c r="B713" s="109"/>
      <c r="C713" s="55"/>
      <c r="D713" s="55"/>
      <c r="E713" s="55"/>
      <c r="F713" s="55"/>
      <c r="G713" s="63"/>
      <c r="H713" s="55"/>
      <c r="I713" s="55"/>
      <c r="J713" s="55"/>
      <c r="K713" s="55"/>
      <c r="L713" s="63"/>
      <c r="M713" s="55"/>
      <c r="N713" s="55"/>
      <c r="O713" s="55"/>
      <c r="P713" s="55"/>
      <c r="Q713" s="55"/>
      <c r="R713" s="63"/>
      <c r="S713" s="55"/>
    </row>
    <row r="714" spans="1:19" ht="15" x14ac:dyDescent="0.25">
      <c r="A714" s="109"/>
      <c r="B714" s="109"/>
      <c r="C714" s="55"/>
      <c r="D714" s="55"/>
      <c r="E714" s="55"/>
      <c r="F714" s="55"/>
      <c r="G714" s="63"/>
      <c r="H714" s="55"/>
      <c r="I714" s="55"/>
      <c r="J714" s="55"/>
      <c r="K714" s="55"/>
      <c r="L714" s="63"/>
      <c r="M714" s="55"/>
      <c r="N714" s="55"/>
      <c r="O714" s="55"/>
      <c r="P714" s="55"/>
      <c r="Q714" s="55"/>
      <c r="R714" s="63"/>
      <c r="S714" s="55"/>
    </row>
    <row r="715" spans="1:19" ht="15" x14ac:dyDescent="0.25">
      <c r="A715" s="109"/>
      <c r="B715" s="109"/>
      <c r="C715" s="55"/>
      <c r="D715" s="55"/>
      <c r="E715" s="55"/>
      <c r="F715" s="55"/>
      <c r="G715" s="63"/>
      <c r="H715" s="55"/>
      <c r="I715" s="55"/>
      <c r="J715" s="55"/>
      <c r="K715" s="55"/>
      <c r="L715" s="63"/>
      <c r="M715" s="55"/>
      <c r="N715" s="55"/>
      <c r="O715" s="55"/>
      <c r="P715" s="55"/>
      <c r="Q715" s="55"/>
      <c r="R715" s="63"/>
      <c r="S715" s="55"/>
    </row>
    <row r="716" spans="1:19" ht="15" x14ac:dyDescent="0.25">
      <c r="A716" s="109"/>
      <c r="B716" s="109"/>
      <c r="C716" s="55"/>
      <c r="D716" s="55"/>
      <c r="E716" s="55"/>
      <c r="F716" s="55"/>
      <c r="G716" s="63"/>
      <c r="H716" s="55"/>
      <c r="I716" s="55"/>
      <c r="J716" s="55"/>
      <c r="K716" s="55"/>
      <c r="L716" s="63"/>
      <c r="M716" s="55"/>
      <c r="N716" s="55"/>
      <c r="O716" s="55"/>
      <c r="P716" s="55"/>
      <c r="Q716" s="55"/>
      <c r="R716" s="63"/>
      <c r="S716" s="55"/>
    </row>
    <row r="717" spans="1:19" ht="15" x14ac:dyDescent="0.25">
      <c r="A717" s="109"/>
      <c r="B717" s="109"/>
      <c r="C717" s="55"/>
      <c r="D717" s="55"/>
      <c r="E717" s="55"/>
      <c r="F717" s="55"/>
      <c r="G717" s="63"/>
      <c r="H717" s="55"/>
      <c r="I717" s="55"/>
      <c r="J717" s="55"/>
      <c r="K717" s="55"/>
      <c r="L717" s="63"/>
      <c r="M717" s="55"/>
      <c r="N717" s="55"/>
      <c r="O717" s="55"/>
      <c r="P717" s="55"/>
      <c r="Q717" s="55"/>
      <c r="R717" s="63"/>
      <c r="S717" s="55"/>
    </row>
    <row r="718" spans="1:19" ht="15" x14ac:dyDescent="0.25">
      <c r="A718" s="109"/>
      <c r="B718" s="109"/>
      <c r="C718" s="55"/>
      <c r="D718" s="55"/>
      <c r="E718" s="55"/>
      <c r="F718" s="55"/>
      <c r="G718" s="63"/>
      <c r="H718" s="55"/>
      <c r="I718" s="55"/>
      <c r="J718" s="55"/>
      <c r="K718" s="55"/>
      <c r="L718" s="63"/>
      <c r="M718" s="55"/>
      <c r="N718" s="55"/>
      <c r="O718" s="55"/>
      <c r="P718" s="55"/>
      <c r="Q718" s="55"/>
      <c r="R718" s="63"/>
      <c r="S718" s="55"/>
    </row>
    <row r="719" spans="1:19" ht="15" x14ac:dyDescent="0.25">
      <c r="A719" s="109"/>
      <c r="B719" s="109"/>
      <c r="C719" s="55"/>
      <c r="D719" s="55"/>
      <c r="E719" s="55"/>
      <c r="F719" s="55"/>
      <c r="G719" s="63"/>
      <c r="H719" s="55"/>
      <c r="I719" s="55"/>
      <c r="J719" s="55"/>
      <c r="K719" s="55"/>
      <c r="L719" s="63"/>
      <c r="M719" s="55"/>
      <c r="N719" s="55"/>
      <c r="O719" s="55"/>
      <c r="P719" s="55"/>
      <c r="Q719" s="55"/>
      <c r="R719" s="63"/>
      <c r="S719" s="55"/>
    </row>
    <row r="720" spans="1:19" ht="15" x14ac:dyDescent="0.25">
      <c r="A720" s="109"/>
      <c r="B720" s="109"/>
      <c r="C720" s="55"/>
      <c r="D720" s="55"/>
      <c r="E720" s="55"/>
      <c r="F720" s="55"/>
      <c r="G720" s="63"/>
      <c r="H720" s="55"/>
      <c r="I720" s="55"/>
      <c r="J720" s="55"/>
      <c r="K720" s="55"/>
      <c r="L720" s="63"/>
      <c r="M720" s="55"/>
      <c r="N720" s="55"/>
      <c r="O720" s="55"/>
      <c r="P720" s="55"/>
      <c r="Q720" s="55"/>
      <c r="R720" s="63"/>
      <c r="S720" s="55"/>
    </row>
    <row r="721" spans="1:19" ht="15" x14ac:dyDescent="0.25">
      <c r="A721" s="109"/>
      <c r="B721" s="109"/>
      <c r="C721" s="55"/>
      <c r="D721" s="55"/>
      <c r="E721" s="55"/>
      <c r="F721" s="55"/>
      <c r="G721" s="63"/>
      <c r="H721" s="55"/>
      <c r="I721" s="55"/>
      <c r="J721" s="55"/>
      <c r="K721" s="55"/>
      <c r="L721" s="63"/>
      <c r="M721" s="55"/>
      <c r="N721" s="55"/>
      <c r="O721" s="55"/>
      <c r="P721" s="55"/>
      <c r="Q721" s="55"/>
      <c r="R721" s="63"/>
      <c r="S721" s="55"/>
    </row>
    <row r="722" spans="1:19" ht="15" x14ac:dyDescent="0.25">
      <c r="A722" s="109"/>
      <c r="B722" s="109"/>
      <c r="C722" s="55"/>
      <c r="D722" s="55"/>
      <c r="E722" s="55"/>
      <c r="F722" s="55"/>
      <c r="G722" s="63"/>
      <c r="H722" s="55"/>
      <c r="I722" s="55"/>
      <c r="J722" s="55"/>
      <c r="K722" s="55"/>
      <c r="L722" s="63"/>
      <c r="M722" s="55"/>
      <c r="N722" s="55"/>
      <c r="O722" s="55"/>
      <c r="P722" s="55"/>
      <c r="Q722" s="55"/>
      <c r="R722" s="63"/>
      <c r="S722" s="55"/>
    </row>
    <row r="723" spans="1:19" ht="15" x14ac:dyDescent="0.25">
      <c r="A723" s="109"/>
      <c r="B723" s="109"/>
      <c r="C723" s="55"/>
      <c r="D723" s="55"/>
      <c r="E723" s="55"/>
      <c r="F723" s="55"/>
      <c r="G723" s="63"/>
      <c r="H723" s="55"/>
      <c r="I723" s="55"/>
      <c r="J723" s="55"/>
      <c r="K723" s="55"/>
      <c r="L723" s="63"/>
      <c r="M723" s="55"/>
      <c r="N723" s="55"/>
      <c r="O723" s="55"/>
      <c r="P723" s="55"/>
      <c r="Q723" s="55"/>
      <c r="R723" s="63"/>
      <c r="S723" s="55"/>
    </row>
    <row r="724" spans="1:19" ht="15" x14ac:dyDescent="0.25">
      <c r="A724" s="109"/>
      <c r="B724" s="109"/>
      <c r="C724" s="55"/>
      <c r="D724" s="55"/>
      <c r="E724" s="55"/>
      <c r="F724" s="55"/>
      <c r="G724" s="63"/>
      <c r="H724" s="55"/>
      <c r="I724" s="55"/>
      <c r="J724" s="55"/>
      <c r="K724" s="55"/>
      <c r="L724" s="63"/>
      <c r="M724" s="55"/>
      <c r="N724" s="55"/>
      <c r="O724" s="55"/>
      <c r="P724" s="55"/>
      <c r="Q724" s="55"/>
      <c r="R724" s="63"/>
      <c r="S724" s="55"/>
    </row>
    <row r="725" spans="1:19" ht="15" x14ac:dyDescent="0.25">
      <c r="A725" s="109"/>
      <c r="B725" s="109"/>
      <c r="C725" s="55"/>
      <c r="D725" s="55"/>
      <c r="E725" s="55"/>
      <c r="F725" s="55"/>
      <c r="G725" s="63"/>
      <c r="H725" s="55"/>
      <c r="I725" s="55"/>
      <c r="J725" s="55"/>
      <c r="K725" s="55"/>
      <c r="L725" s="63"/>
      <c r="M725" s="55"/>
      <c r="N725" s="55"/>
      <c r="O725" s="55"/>
      <c r="P725" s="55"/>
      <c r="Q725" s="55"/>
      <c r="R725" s="63"/>
      <c r="S725" s="55"/>
    </row>
    <row r="726" spans="1:19" ht="15" x14ac:dyDescent="0.25">
      <c r="A726" s="109"/>
      <c r="B726" s="109"/>
      <c r="C726" s="55"/>
      <c r="D726" s="55"/>
      <c r="E726" s="55"/>
      <c r="F726" s="55"/>
      <c r="G726" s="63"/>
      <c r="H726" s="55"/>
      <c r="I726" s="55"/>
      <c r="J726" s="55"/>
      <c r="K726" s="55"/>
      <c r="L726" s="63"/>
      <c r="M726" s="55"/>
      <c r="N726" s="55"/>
      <c r="O726" s="55"/>
      <c r="P726" s="55"/>
      <c r="Q726" s="55"/>
      <c r="R726" s="63"/>
      <c r="S726" s="55"/>
    </row>
    <row r="727" spans="1:19" ht="15" x14ac:dyDescent="0.25">
      <c r="A727" s="109"/>
      <c r="B727" s="109"/>
      <c r="C727" s="55"/>
      <c r="D727" s="55"/>
      <c r="E727" s="55"/>
      <c r="F727" s="55"/>
      <c r="G727" s="63"/>
      <c r="H727" s="55"/>
      <c r="I727" s="55"/>
      <c r="J727" s="55"/>
      <c r="K727" s="55"/>
      <c r="L727" s="63"/>
      <c r="M727" s="55"/>
      <c r="N727" s="55"/>
      <c r="O727" s="55"/>
      <c r="P727" s="55"/>
      <c r="Q727" s="55"/>
      <c r="R727" s="63"/>
      <c r="S727" s="55"/>
    </row>
    <row r="728" spans="1:19" ht="15" x14ac:dyDescent="0.25">
      <c r="A728" s="109"/>
      <c r="B728" s="109"/>
      <c r="C728" s="55"/>
      <c r="D728" s="55"/>
      <c r="E728" s="55"/>
      <c r="F728" s="55"/>
      <c r="G728" s="63"/>
      <c r="H728" s="55"/>
      <c r="I728" s="55"/>
      <c r="J728" s="55"/>
      <c r="K728" s="55"/>
      <c r="L728" s="63"/>
      <c r="M728" s="55"/>
      <c r="N728" s="55"/>
      <c r="O728" s="55"/>
      <c r="P728" s="55"/>
      <c r="Q728" s="55"/>
      <c r="R728" s="63"/>
      <c r="S728" s="55"/>
    </row>
    <row r="729" spans="1:19" ht="15" x14ac:dyDescent="0.25">
      <c r="A729" s="109"/>
      <c r="B729" s="109"/>
      <c r="C729" s="55"/>
      <c r="D729" s="55"/>
      <c r="E729" s="55"/>
      <c r="F729" s="55"/>
      <c r="G729" s="63"/>
      <c r="H729" s="55"/>
      <c r="I729" s="55"/>
      <c r="J729" s="55"/>
      <c r="K729" s="55"/>
      <c r="L729" s="63"/>
      <c r="M729" s="55"/>
      <c r="N729" s="55"/>
      <c r="O729" s="55"/>
      <c r="P729" s="55"/>
      <c r="Q729" s="55"/>
      <c r="R729" s="63"/>
      <c r="S729" s="55"/>
    </row>
    <row r="730" spans="1:19" ht="15" x14ac:dyDescent="0.25">
      <c r="A730" s="109"/>
      <c r="B730" s="109"/>
      <c r="C730" s="55"/>
      <c r="D730" s="55"/>
      <c r="E730" s="55"/>
      <c r="F730" s="55"/>
      <c r="G730" s="63"/>
      <c r="H730" s="55"/>
      <c r="I730" s="55"/>
      <c r="J730" s="55"/>
      <c r="K730" s="55"/>
      <c r="L730" s="63"/>
      <c r="M730" s="55"/>
      <c r="N730" s="55"/>
      <c r="O730" s="55"/>
      <c r="P730" s="55"/>
      <c r="Q730" s="55"/>
      <c r="R730" s="63"/>
      <c r="S730" s="55"/>
    </row>
    <row r="731" spans="1:19" ht="15" x14ac:dyDescent="0.25">
      <c r="A731" s="109"/>
      <c r="B731" s="109"/>
      <c r="C731" s="55"/>
      <c r="D731" s="55"/>
      <c r="E731" s="55"/>
      <c r="F731" s="55"/>
      <c r="G731" s="63"/>
      <c r="H731" s="55"/>
      <c r="I731" s="55"/>
      <c r="J731" s="55"/>
      <c r="K731" s="55"/>
      <c r="L731" s="63"/>
      <c r="M731" s="55"/>
      <c r="N731" s="55"/>
      <c r="O731" s="55"/>
      <c r="P731" s="55"/>
      <c r="Q731" s="55"/>
      <c r="R731" s="63"/>
      <c r="S731" s="55"/>
    </row>
    <row r="732" spans="1:19" ht="15" x14ac:dyDescent="0.25">
      <c r="A732" s="109"/>
      <c r="B732" s="109"/>
      <c r="C732" s="55"/>
      <c r="D732" s="55"/>
      <c r="E732" s="55"/>
      <c r="F732" s="55"/>
      <c r="G732" s="63"/>
      <c r="H732" s="55"/>
      <c r="I732" s="55"/>
      <c r="J732" s="55"/>
      <c r="K732" s="55"/>
      <c r="L732" s="63"/>
      <c r="M732" s="55"/>
      <c r="N732" s="55"/>
      <c r="O732" s="55"/>
      <c r="P732" s="55"/>
      <c r="Q732" s="55"/>
      <c r="R732" s="63"/>
      <c r="S732" s="55"/>
    </row>
    <row r="733" spans="1:19" ht="15" x14ac:dyDescent="0.25">
      <c r="A733" s="109"/>
      <c r="B733" s="109"/>
      <c r="C733" s="55"/>
      <c r="D733" s="55"/>
      <c r="E733" s="55"/>
      <c r="F733" s="55"/>
      <c r="G733" s="63"/>
      <c r="H733" s="55"/>
      <c r="I733" s="55"/>
      <c r="J733" s="55"/>
      <c r="K733" s="55"/>
      <c r="L733" s="63"/>
      <c r="M733" s="55"/>
      <c r="N733" s="55"/>
      <c r="O733" s="55"/>
      <c r="P733" s="55"/>
      <c r="Q733" s="55"/>
      <c r="R733" s="63"/>
      <c r="S733" s="55"/>
    </row>
    <row r="734" spans="1:19" ht="15" x14ac:dyDescent="0.25">
      <c r="A734" s="109"/>
      <c r="B734" s="109"/>
      <c r="C734" s="55"/>
      <c r="D734" s="55"/>
      <c r="E734" s="55"/>
      <c r="F734" s="55"/>
      <c r="G734" s="63"/>
      <c r="H734" s="55"/>
      <c r="I734" s="55"/>
      <c r="J734" s="55"/>
      <c r="K734" s="55"/>
      <c r="L734" s="63"/>
      <c r="M734" s="55"/>
      <c r="N734" s="55"/>
      <c r="O734" s="55"/>
      <c r="P734" s="55"/>
      <c r="Q734" s="55"/>
      <c r="R734" s="63"/>
      <c r="S734" s="55"/>
    </row>
    <row r="735" spans="1:19" ht="15" x14ac:dyDescent="0.25">
      <c r="A735" s="109"/>
      <c r="B735" s="109"/>
      <c r="C735" s="55"/>
      <c r="D735" s="55"/>
      <c r="E735" s="55"/>
      <c r="F735" s="55"/>
      <c r="G735" s="63"/>
      <c r="H735" s="55"/>
      <c r="I735" s="55"/>
      <c r="J735" s="55"/>
      <c r="K735" s="55"/>
      <c r="L735" s="63"/>
      <c r="M735" s="55"/>
      <c r="N735" s="55"/>
      <c r="O735" s="55"/>
      <c r="P735" s="55"/>
      <c r="Q735" s="55"/>
      <c r="R735" s="63"/>
      <c r="S735" s="55"/>
    </row>
    <row r="736" spans="1:19" ht="15" x14ac:dyDescent="0.25">
      <c r="A736" s="109"/>
      <c r="B736" s="109"/>
      <c r="C736" s="55"/>
      <c r="D736" s="55"/>
      <c r="E736" s="55"/>
      <c r="F736" s="55"/>
      <c r="G736" s="63"/>
      <c r="H736" s="55"/>
      <c r="I736" s="55"/>
      <c r="J736" s="55"/>
      <c r="K736" s="55"/>
      <c r="L736" s="63"/>
      <c r="M736" s="55"/>
      <c r="N736" s="55"/>
      <c r="O736" s="55"/>
      <c r="P736" s="55"/>
      <c r="Q736" s="55"/>
      <c r="R736" s="63"/>
      <c r="S736" s="55"/>
    </row>
    <row r="737" spans="1:19" ht="15" x14ac:dyDescent="0.25">
      <c r="A737" s="109"/>
      <c r="B737" s="109"/>
      <c r="C737" s="55"/>
      <c r="D737" s="55"/>
      <c r="E737" s="55"/>
      <c r="F737" s="55"/>
      <c r="G737" s="63"/>
      <c r="H737" s="55"/>
      <c r="I737" s="55"/>
      <c r="J737" s="55"/>
      <c r="K737" s="55"/>
      <c r="L737" s="63"/>
      <c r="M737" s="55"/>
      <c r="N737" s="55"/>
      <c r="O737" s="55"/>
      <c r="P737" s="55"/>
      <c r="Q737" s="55"/>
      <c r="R737" s="63"/>
      <c r="S737" s="55"/>
    </row>
    <row r="738" spans="1:19" ht="15" x14ac:dyDescent="0.25">
      <c r="A738" s="109"/>
      <c r="B738" s="109"/>
      <c r="C738" s="55"/>
      <c r="D738" s="55"/>
      <c r="E738" s="55"/>
      <c r="F738" s="55"/>
      <c r="G738" s="63"/>
      <c r="H738" s="55"/>
      <c r="I738" s="55"/>
      <c r="J738" s="55"/>
      <c r="K738" s="55"/>
      <c r="L738" s="63"/>
      <c r="M738" s="55"/>
      <c r="N738" s="55"/>
      <c r="O738" s="55"/>
      <c r="P738" s="55"/>
      <c r="Q738" s="55"/>
      <c r="R738" s="63"/>
      <c r="S738" s="55"/>
    </row>
    <row r="739" spans="1:19" ht="15" x14ac:dyDescent="0.25">
      <c r="A739" s="109"/>
      <c r="B739" s="109"/>
      <c r="C739" s="55"/>
      <c r="D739" s="55"/>
      <c r="E739" s="55"/>
      <c r="F739" s="55"/>
      <c r="G739" s="63"/>
      <c r="H739" s="55"/>
      <c r="I739" s="55"/>
      <c r="J739" s="55"/>
      <c r="K739" s="55"/>
      <c r="L739" s="63"/>
      <c r="M739" s="55"/>
      <c r="N739" s="55"/>
      <c r="O739" s="55"/>
      <c r="P739" s="55"/>
      <c r="Q739" s="55"/>
      <c r="R739" s="63"/>
      <c r="S739" s="55"/>
    </row>
    <row r="740" spans="1:19" ht="15" x14ac:dyDescent="0.25">
      <c r="A740" s="109"/>
      <c r="B740" s="109"/>
      <c r="C740" s="55"/>
      <c r="D740" s="55"/>
      <c r="E740" s="55"/>
      <c r="F740" s="55"/>
      <c r="G740" s="63"/>
      <c r="H740" s="55"/>
      <c r="I740" s="55"/>
      <c r="J740" s="55"/>
      <c r="K740" s="55"/>
      <c r="L740" s="63"/>
      <c r="M740" s="55"/>
      <c r="N740" s="55"/>
      <c r="O740" s="55"/>
      <c r="P740" s="55"/>
      <c r="Q740" s="55"/>
      <c r="R740" s="63"/>
      <c r="S740" s="55"/>
    </row>
    <row r="741" spans="1:19" ht="15" x14ac:dyDescent="0.25">
      <c r="A741" s="109"/>
      <c r="B741" s="109"/>
      <c r="C741" s="55"/>
      <c r="D741" s="55"/>
      <c r="E741" s="55"/>
      <c r="F741" s="55"/>
      <c r="G741" s="63"/>
      <c r="H741" s="55"/>
      <c r="I741" s="55"/>
      <c r="J741" s="55"/>
      <c r="K741" s="55"/>
      <c r="L741" s="63"/>
      <c r="M741" s="55"/>
      <c r="N741" s="55"/>
      <c r="O741" s="55"/>
      <c r="P741" s="55"/>
      <c r="Q741" s="55"/>
      <c r="R741" s="63"/>
      <c r="S741" s="55"/>
    </row>
    <row r="742" spans="1:19" ht="15" x14ac:dyDescent="0.25">
      <c r="A742" s="109"/>
      <c r="B742" s="109"/>
      <c r="C742" s="55"/>
      <c r="D742" s="55"/>
      <c r="E742" s="55"/>
      <c r="F742" s="55"/>
      <c r="G742" s="63"/>
      <c r="H742" s="55"/>
      <c r="I742" s="55"/>
      <c r="J742" s="55"/>
      <c r="K742" s="55"/>
      <c r="L742" s="63"/>
      <c r="M742" s="55"/>
      <c r="N742" s="55"/>
      <c r="O742" s="55"/>
      <c r="P742" s="55"/>
      <c r="Q742" s="55"/>
      <c r="R742" s="63"/>
      <c r="S742" s="55"/>
    </row>
    <row r="743" spans="1:19" ht="15" x14ac:dyDescent="0.25">
      <c r="A743" s="109"/>
      <c r="B743" s="109"/>
      <c r="C743" s="55"/>
      <c r="D743" s="55"/>
      <c r="E743" s="55"/>
      <c r="F743" s="55"/>
      <c r="G743" s="63"/>
      <c r="H743" s="55"/>
      <c r="I743" s="55"/>
      <c r="J743" s="55"/>
      <c r="K743" s="55"/>
      <c r="L743" s="63"/>
      <c r="M743" s="55"/>
      <c r="N743" s="55"/>
      <c r="O743" s="55"/>
      <c r="P743" s="55"/>
      <c r="Q743" s="55"/>
      <c r="R743" s="63"/>
      <c r="S743" s="55"/>
    </row>
    <row r="744" spans="1:19" ht="15" x14ac:dyDescent="0.25">
      <c r="A744" s="109"/>
      <c r="B744" s="109"/>
      <c r="C744" s="55"/>
      <c r="D744" s="55"/>
      <c r="E744" s="55"/>
      <c r="F744" s="55"/>
      <c r="G744" s="63"/>
      <c r="H744" s="55"/>
      <c r="I744" s="55"/>
      <c r="J744" s="55"/>
      <c r="K744" s="55"/>
      <c r="L744" s="63"/>
      <c r="M744" s="55"/>
      <c r="N744" s="55"/>
      <c r="O744" s="55"/>
      <c r="P744" s="55"/>
      <c r="Q744" s="55"/>
      <c r="R744" s="63"/>
      <c r="S744" s="55"/>
    </row>
    <row r="745" spans="1:19" ht="15" x14ac:dyDescent="0.25">
      <c r="A745" s="109"/>
      <c r="B745" s="109"/>
      <c r="C745" s="55"/>
      <c r="D745" s="55"/>
      <c r="E745" s="55"/>
      <c r="F745" s="55"/>
      <c r="G745" s="63"/>
      <c r="H745" s="55"/>
      <c r="I745" s="55"/>
      <c r="J745" s="55"/>
      <c r="K745" s="55"/>
      <c r="L745" s="63"/>
      <c r="M745" s="55"/>
      <c r="N745" s="55"/>
      <c r="O745" s="55"/>
      <c r="P745" s="55"/>
      <c r="Q745" s="55"/>
      <c r="R745" s="63"/>
      <c r="S745" s="55"/>
    </row>
    <row r="746" spans="1:19" ht="15" x14ac:dyDescent="0.25">
      <c r="A746" s="109"/>
      <c r="B746" s="109"/>
      <c r="C746" s="55"/>
      <c r="D746" s="55"/>
      <c r="E746" s="55"/>
      <c r="F746" s="55"/>
      <c r="G746" s="63"/>
      <c r="H746" s="55"/>
      <c r="I746" s="55"/>
      <c r="J746" s="55"/>
      <c r="K746" s="55"/>
      <c r="L746" s="63"/>
      <c r="M746" s="55"/>
      <c r="N746" s="55"/>
      <c r="O746" s="55"/>
      <c r="P746" s="55"/>
      <c r="Q746" s="55"/>
      <c r="R746" s="63"/>
      <c r="S746" s="55"/>
    </row>
    <row r="747" spans="1:19" ht="15" x14ac:dyDescent="0.25">
      <c r="A747" s="109"/>
      <c r="B747" s="109"/>
      <c r="C747" s="55"/>
      <c r="D747" s="55"/>
      <c r="E747" s="55"/>
      <c r="F747" s="55"/>
      <c r="G747" s="63"/>
      <c r="H747" s="55"/>
      <c r="I747" s="55"/>
      <c r="J747" s="55"/>
      <c r="K747" s="55"/>
      <c r="L747" s="63"/>
      <c r="M747" s="55"/>
      <c r="N747" s="55"/>
      <c r="O747" s="55"/>
      <c r="P747" s="55"/>
      <c r="Q747" s="55"/>
      <c r="R747" s="63"/>
      <c r="S747" s="55"/>
    </row>
    <row r="748" spans="1:19" ht="15" x14ac:dyDescent="0.25">
      <c r="A748" s="109"/>
      <c r="B748" s="109"/>
      <c r="C748" s="55"/>
      <c r="D748" s="55"/>
      <c r="E748" s="55"/>
      <c r="F748" s="55"/>
      <c r="G748" s="63"/>
      <c r="H748" s="55"/>
      <c r="I748" s="55"/>
      <c r="J748" s="55"/>
      <c r="K748" s="55"/>
      <c r="L748" s="63"/>
      <c r="M748" s="55"/>
      <c r="N748" s="55"/>
      <c r="O748" s="55"/>
      <c r="P748" s="55"/>
      <c r="Q748" s="55"/>
      <c r="R748" s="63"/>
      <c r="S748" s="55"/>
    </row>
    <row r="749" spans="1:19" ht="15" x14ac:dyDescent="0.25">
      <c r="A749" s="109"/>
      <c r="B749" s="109"/>
      <c r="C749" s="55"/>
      <c r="D749" s="55"/>
      <c r="E749" s="55"/>
      <c r="F749" s="55"/>
      <c r="G749" s="63"/>
      <c r="H749" s="55"/>
      <c r="I749" s="55"/>
      <c r="J749" s="55"/>
      <c r="K749" s="55"/>
      <c r="L749" s="63"/>
      <c r="M749" s="55"/>
      <c r="N749" s="55"/>
      <c r="O749" s="55"/>
      <c r="P749" s="55"/>
      <c r="Q749" s="55"/>
      <c r="R749" s="63"/>
      <c r="S749" s="55"/>
    </row>
    <row r="750" spans="1:19" ht="15" x14ac:dyDescent="0.25">
      <c r="A750" s="109"/>
      <c r="B750" s="109"/>
      <c r="C750" s="55"/>
      <c r="D750" s="55"/>
      <c r="E750" s="55"/>
      <c r="F750" s="55"/>
      <c r="G750" s="63"/>
      <c r="H750" s="55"/>
      <c r="I750" s="55"/>
      <c r="J750" s="55"/>
      <c r="K750" s="55"/>
      <c r="L750" s="63"/>
      <c r="M750" s="55"/>
      <c r="N750" s="55"/>
      <c r="O750" s="55"/>
      <c r="P750" s="55"/>
      <c r="Q750" s="55"/>
      <c r="R750" s="63"/>
      <c r="S750" s="55"/>
    </row>
    <row r="751" spans="1:19" ht="15" x14ac:dyDescent="0.25">
      <c r="A751" s="109"/>
      <c r="B751" s="109"/>
      <c r="C751" s="55"/>
      <c r="D751" s="55"/>
      <c r="E751" s="55"/>
      <c r="F751" s="55"/>
      <c r="G751" s="63"/>
      <c r="H751" s="55"/>
      <c r="I751" s="55"/>
      <c r="J751" s="55"/>
      <c r="K751" s="55"/>
      <c r="L751" s="63"/>
      <c r="M751" s="55"/>
      <c r="N751" s="55"/>
      <c r="O751" s="55"/>
      <c r="P751" s="55"/>
      <c r="Q751" s="55"/>
      <c r="R751" s="63"/>
      <c r="S751" s="55"/>
    </row>
    <row r="752" spans="1:19" ht="15" x14ac:dyDescent="0.25">
      <c r="A752" s="109"/>
      <c r="B752" s="109"/>
      <c r="C752" s="55"/>
      <c r="D752" s="55"/>
      <c r="E752" s="55"/>
      <c r="F752" s="55"/>
      <c r="G752" s="63"/>
      <c r="H752" s="55"/>
      <c r="I752" s="55"/>
      <c r="J752" s="55"/>
      <c r="K752" s="55"/>
      <c r="L752" s="63"/>
      <c r="M752" s="55"/>
      <c r="N752" s="55"/>
      <c r="O752" s="55"/>
      <c r="P752" s="55"/>
      <c r="Q752" s="55"/>
      <c r="R752" s="63"/>
      <c r="S752" s="55"/>
    </row>
    <row r="753" spans="1:19" ht="15" x14ac:dyDescent="0.25">
      <c r="A753" s="109"/>
      <c r="B753" s="109"/>
      <c r="C753" s="55"/>
      <c r="D753" s="55"/>
      <c r="E753" s="55"/>
      <c r="F753" s="55"/>
      <c r="G753" s="63"/>
      <c r="H753" s="55"/>
      <c r="I753" s="55"/>
      <c r="J753" s="55"/>
      <c r="K753" s="55"/>
      <c r="L753" s="63"/>
      <c r="M753" s="55"/>
      <c r="N753" s="55"/>
      <c r="O753" s="55"/>
      <c r="P753" s="55"/>
      <c r="Q753" s="55"/>
      <c r="R753" s="63"/>
      <c r="S753" s="55"/>
    </row>
    <row r="754" spans="1:19" ht="15" x14ac:dyDescent="0.25">
      <c r="A754" s="109"/>
      <c r="B754" s="109"/>
      <c r="C754" s="55"/>
      <c r="D754" s="55"/>
      <c r="E754" s="55"/>
      <c r="F754" s="55"/>
      <c r="G754" s="63"/>
      <c r="H754" s="55"/>
      <c r="I754" s="55"/>
      <c r="J754" s="55"/>
      <c r="K754" s="55"/>
      <c r="L754" s="63"/>
      <c r="M754" s="55"/>
      <c r="N754" s="55"/>
      <c r="O754" s="55"/>
      <c r="P754" s="55"/>
      <c r="Q754" s="55"/>
      <c r="R754" s="63"/>
      <c r="S754" s="55"/>
    </row>
    <row r="755" spans="1:19" ht="15" x14ac:dyDescent="0.25">
      <c r="A755" s="109"/>
      <c r="B755" s="109"/>
      <c r="C755" s="55"/>
      <c r="D755" s="55"/>
      <c r="E755" s="55"/>
      <c r="F755" s="55"/>
      <c r="G755" s="63"/>
      <c r="H755" s="55"/>
      <c r="I755" s="55"/>
      <c r="J755" s="55"/>
      <c r="K755" s="55"/>
      <c r="L755" s="63"/>
      <c r="M755" s="55"/>
      <c r="N755" s="55"/>
      <c r="O755" s="55"/>
      <c r="P755" s="55"/>
      <c r="Q755" s="55"/>
      <c r="R755" s="63"/>
      <c r="S755" s="55"/>
    </row>
    <row r="756" spans="1:19" ht="15" x14ac:dyDescent="0.25">
      <c r="A756" s="109"/>
      <c r="B756" s="109"/>
      <c r="C756" s="55"/>
      <c r="D756" s="55"/>
      <c r="E756" s="55"/>
      <c r="F756" s="55"/>
      <c r="G756" s="63"/>
      <c r="H756" s="55"/>
      <c r="I756" s="55"/>
      <c r="J756" s="55"/>
      <c r="K756" s="55"/>
      <c r="L756" s="63"/>
      <c r="M756" s="55"/>
      <c r="N756" s="55"/>
      <c r="O756" s="55"/>
      <c r="P756" s="55"/>
      <c r="Q756" s="55"/>
      <c r="R756" s="63"/>
      <c r="S756" s="55"/>
    </row>
    <row r="757" spans="1:19" ht="15" x14ac:dyDescent="0.25">
      <c r="A757" s="109"/>
      <c r="B757" s="109"/>
      <c r="C757" s="55"/>
      <c r="D757" s="55"/>
      <c r="E757" s="55"/>
      <c r="F757" s="55"/>
      <c r="G757" s="63"/>
      <c r="H757" s="55"/>
      <c r="I757" s="55"/>
      <c r="J757" s="55"/>
      <c r="K757" s="55"/>
      <c r="L757" s="63"/>
      <c r="M757" s="55"/>
      <c r="N757" s="55"/>
      <c r="O757" s="55"/>
      <c r="P757" s="55"/>
      <c r="Q757" s="55"/>
      <c r="R757" s="63"/>
      <c r="S757" s="55"/>
    </row>
    <row r="758" spans="1:19" ht="15" x14ac:dyDescent="0.25">
      <c r="A758" s="109"/>
      <c r="B758" s="109"/>
      <c r="C758" s="55"/>
      <c r="D758" s="55"/>
      <c r="E758" s="55"/>
      <c r="F758" s="55"/>
      <c r="G758" s="63"/>
      <c r="H758" s="55"/>
      <c r="I758" s="55"/>
      <c r="J758" s="55"/>
      <c r="K758" s="55"/>
      <c r="L758" s="63"/>
      <c r="M758" s="55"/>
      <c r="N758" s="55"/>
      <c r="O758" s="55"/>
      <c r="P758" s="55"/>
      <c r="Q758" s="55"/>
      <c r="R758" s="63"/>
      <c r="S758" s="55"/>
    </row>
    <row r="759" spans="1:19" ht="15" x14ac:dyDescent="0.25">
      <c r="A759" s="109"/>
      <c r="B759" s="109"/>
      <c r="C759" s="55"/>
      <c r="D759" s="55"/>
      <c r="E759" s="55"/>
      <c r="F759" s="55"/>
      <c r="G759" s="63"/>
      <c r="H759" s="55"/>
      <c r="I759" s="55"/>
      <c r="J759" s="55"/>
      <c r="K759" s="55"/>
      <c r="L759" s="63"/>
      <c r="M759" s="55"/>
      <c r="N759" s="55"/>
      <c r="O759" s="55"/>
      <c r="P759" s="55"/>
      <c r="Q759" s="55"/>
      <c r="R759" s="63"/>
      <c r="S759" s="55"/>
    </row>
    <row r="760" spans="1:19" ht="15" x14ac:dyDescent="0.25">
      <c r="A760" s="109"/>
      <c r="B760" s="109"/>
      <c r="C760" s="55"/>
      <c r="D760" s="55"/>
      <c r="E760" s="55"/>
      <c r="F760" s="55"/>
      <c r="G760" s="63"/>
      <c r="H760" s="55"/>
      <c r="I760" s="55"/>
      <c r="J760" s="55"/>
      <c r="K760" s="55"/>
      <c r="L760" s="63"/>
      <c r="M760" s="55"/>
      <c r="N760" s="55"/>
      <c r="O760" s="55"/>
      <c r="P760" s="55"/>
      <c r="Q760" s="55"/>
      <c r="R760" s="63"/>
      <c r="S760" s="55"/>
    </row>
    <row r="761" spans="1:19" ht="15" x14ac:dyDescent="0.25">
      <c r="A761" s="109"/>
      <c r="B761" s="109"/>
      <c r="C761" s="55"/>
      <c r="D761" s="55"/>
      <c r="E761" s="55"/>
      <c r="F761" s="55"/>
      <c r="G761" s="63"/>
      <c r="H761" s="55"/>
      <c r="I761" s="55"/>
      <c r="J761" s="55"/>
      <c r="K761" s="55"/>
      <c r="L761" s="63"/>
      <c r="M761" s="55"/>
      <c r="N761" s="55"/>
      <c r="O761" s="55"/>
      <c r="P761" s="55"/>
      <c r="Q761" s="55"/>
      <c r="R761" s="63"/>
      <c r="S761" s="55"/>
    </row>
    <row r="762" spans="1:19" ht="15" x14ac:dyDescent="0.25">
      <c r="A762" s="109"/>
      <c r="B762" s="109"/>
      <c r="C762" s="55"/>
      <c r="D762" s="55"/>
      <c r="E762" s="55"/>
      <c r="F762" s="55"/>
      <c r="G762" s="63"/>
      <c r="H762" s="55"/>
      <c r="I762" s="55"/>
      <c r="J762" s="55"/>
      <c r="K762" s="55"/>
      <c r="L762" s="63"/>
      <c r="M762" s="55"/>
      <c r="N762" s="55"/>
      <c r="O762" s="55"/>
      <c r="P762" s="55"/>
      <c r="Q762" s="55"/>
      <c r="R762" s="63"/>
      <c r="S762" s="55"/>
    </row>
    <row r="763" spans="1:19" ht="15" x14ac:dyDescent="0.25">
      <c r="A763" s="109"/>
      <c r="B763" s="109"/>
      <c r="C763" s="55"/>
      <c r="D763" s="55"/>
      <c r="E763" s="55"/>
      <c r="F763" s="55"/>
      <c r="G763" s="63"/>
      <c r="H763" s="55"/>
      <c r="I763" s="55"/>
      <c r="J763" s="55"/>
      <c r="K763" s="55"/>
      <c r="L763" s="63"/>
      <c r="M763" s="55"/>
      <c r="N763" s="55"/>
      <c r="O763" s="55"/>
      <c r="P763" s="55"/>
      <c r="Q763" s="55"/>
      <c r="R763" s="63"/>
      <c r="S763" s="55"/>
    </row>
    <row r="764" spans="1:19" ht="15" x14ac:dyDescent="0.25">
      <c r="A764" s="109"/>
      <c r="B764" s="109"/>
      <c r="C764" s="55"/>
      <c r="D764" s="55"/>
      <c r="E764" s="55"/>
      <c r="F764" s="55"/>
      <c r="G764" s="63"/>
      <c r="H764" s="55"/>
      <c r="I764" s="55"/>
      <c r="J764" s="55"/>
      <c r="K764" s="55"/>
      <c r="L764" s="63"/>
      <c r="M764" s="55"/>
      <c r="N764" s="55"/>
      <c r="O764" s="55"/>
      <c r="P764" s="55"/>
      <c r="Q764" s="55"/>
      <c r="R764" s="63"/>
      <c r="S764" s="55"/>
    </row>
    <row r="765" spans="1:19" ht="15" x14ac:dyDescent="0.25">
      <c r="A765" s="109"/>
      <c r="B765" s="109"/>
      <c r="C765" s="55"/>
      <c r="D765" s="55"/>
      <c r="E765" s="55"/>
      <c r="F765" s="55"/>
      <c r="G765" s="63"/>
      <c r="H765" s="55"/>
      <c r="I765" s="55"/>
      <c r="J765" s="55"/>
      <c r="K765" s="55"/>
      <c r="L765" s="63"/>
      <c r="M765" s="55"/>
      <c r="N765" s="55"/>
      <c r="O765" s="55"/>
      <c r="P765" s="55"/>
      <c r="Q765" s="55"/>
      <c r="R765" s="63"/>
      <c r="S765" s="55"/>
    </row>
    <row r="766" spans="1:19" ht="15" x14ac:dyDescent="0.25">
      <c r="A766" s="109"/>
      <c r="B766" s="109"/>
      <c r="C766" s="55"/>
      <c r="D766" s="55"/>
      <c r="E766" s="55"/>
      <c r="F766" s="55"/>
      <c r="G766" s="63"/>
      <c r="H766" s="55"/>
      <c r="I766" s="55"/>
      <c r="J766" s="55"/>
      <c r="K766" s="55"/>
      <c r="L766" s="63"/>
      <c r="M766" s="55"/>
      <c r="N766" s="55"/>
      <c r="O766" s="55"/>
      <c r="P766" s="55"/>
      <c r="Q766" s="55"/>
      <c r="R766" s="63"/>
      <c r="S766" s="55"/>
    </row>
    <row r="767" spans="1:19" ht="15" x14ac:dyDescent="0.25">
      <c r="A767" s="109"/>
      <c r="B767" s="109"/>
      <c r="C767" s="55"/>
      <c r="D767" s="55"/>
      <c r="E767" s="55"/>
      <c r="F767" s="55"/>
      <c r="G767" s="63"/>
      <c r="H767" s="55"/>
      <c r="I767" s="55"/>
      <c r="J767" s="55"/>
      <c r="K767" s="55"/>
      <c r="L767" s="63"/>
      <c r="M767" s="55"/>
      <c r="N767" s="55"/>
      <c r="O767" s="55"/>
      <c r="P767" s="55"/>
      <c r="Q767" s="55"/>
      <c r="R767" s="63"/>
      <c r="S767" s="55"/>
    </row>
    <row r="768" spans="1:19" ht="15" x14ac:dyDescent="0.25">
      <c r="A768" s="109"/>
      <c r="B768" s="109"/>
      <c r="C768" s="55"/>
      <c r="D768" s="55"/>
      <c r="E768" s="55"/>
      <c r="F768" s="55"/>
      <c r="G768" s="63"/>
      <c r="H768" s="55"/>
      <c r="I768" s="55"/>
      <c r="J768" s="55"/>
      <c r="K768" s="55"/>
      <c r="L768" s="63"/>
      <c r="M768" s="55"/>
      <c r="N768" s="55"/>
      <c r="O768" s="55"/>
      <c r="P768" s="55"/>
      <c r="Q768" s="55"/>
      <c r="R768" s="63"/>
      <c r="S768" s="55"/>
    </row>
    <row r="769" spans="1:19" ht="15" x14ac:dyDescent="0.25">
      <c r="A769" s="109"/>
      <c r="B769" s="109"/>
      <c r="C769" s="55"/>
      <c r="D769" s="55"/>
      <c r="E769" s="55"/>
      <c r="F769" s="55"/>
      <c r="G769" s="63"/>
      <c r="H769" s="55"/>
      <c r="I769" s="55"/>
      <c r="J769" s="55"/>
      <c r="K769" s="55"/>
      <c r="L769" s="63"/>
      <c r="M769" s="55"/>
      <c r="N769" s="55"/>
      <c r="O769" s="55"/>
      <c r="P769" s="55"/>
      <c r="Q769" s="55"/>
      <c r="R769" s="63"/>
      <c r="S769" s="55"/>
    </row>
    <row r="770" spans="1:19" ht="15" x14ac:dyDescent="0.25">
      <c r="A770" s="109"/>
      <c r="B770" s="109"/>
      <c r="C770" s="55"/>
      <c r="D770" s="55"/>
      <c r="E770" s="55"/>
      <c r="F770" s="55"/>
      <c r="G770" s="63"/>
      <c r="H770" s="55"/>
      <c r="I770" s="55"/>
      <c r="J770" s="55"/>
      <c r="K770" s="55"/>
      <c r="L770" s="63"/>
      <c r="M770" s="55"/>
      <c r="N770" s="55"/>
      <c r="O770" s="55"/>
      <c r="P770" s="55"/>
      <c r="Q770" s="55"/>
      <c r="R770" s="63"/>
      <c r="S770" s="55"/>
    </row>
    <row r="771" spans="1:19" ht="15" x14ac:dyDescent="0.25">
      <c r="A771" s="109"/>
      <c r="B771" s="109"/>
      <c r="C771" s="55"/>
      <c r="D771" s="55"/>
      <c r="E771" s="55"/>
      <c r="F771" s="55"/>
      <c r="G771" s="63"/>
      <c r="H771" s="55"/>
      <c r="I771" s="55"/>
      <c r="J771" s="55"/>
      <c r="K771" s="55"/>
      <c r="L771" s="63"/>
      <c r="M771" s="55"/>
      <c r="N771" s="55"/>
      <c r="O771" s="55"/>
      <c r="P771" s="55"/>
      <c r="Q771" s="55"/>
      <c r="R771" s="63"/>
      <c r="S771" s="55"/>
    </row>
    <row r="772" spans="1:19" ht="15" x14ac:dyDescent="0.25">
      <c r="A772" s="109"/>
      <c r="B772" s="109"/>
      <c r="C772" s="55"/>
      <c r="D772" s="55"/>
      <c r="E772" s="55"/>
      <c r="F772" s="55"/>
      <c r="G772" s="63"/>
      <c r="H772" s="55"/>
      <c r="I772" s="55"/>
      <c r="J772" s="55"/>
      <c r="K772" s="55"/>
      <c r="L772" s="63"/>
      <c r="M772" s="55"/>
      <c r="N772" s="55"/>
      <c r="O772" s="55"/>
      <c r="P772" s="55"/>
      <c r="Q772" s="55"/>
      <c r="R772" s="63"/>
      <c r="S772" s="55"/>
    </row>
    <row r="773" spans="1:19" ht="15" x14ac:dyDescent="0.25">
      <c r="A773" s="109"/>
      <c r="B773" s="109"/>
      <c r="C773" s="55"/>
      <c r="D773" s="55"/>
      <c r="E773" s="55"/>
      <c r="F773" s="55"/>
      <c r="G773" s="63"/>
      <c r="H773" s="55"/>
      <c r="I773" s="55"/>
      <c r="J773" s="55"/>
      <c r="K773" s="55"/>
      <c r="L773" s="63"/>
      <c r="M773" s="55"/>
      <c r="N773" s="55"/>
      <c r="O773" s="55"/>
      <c r="P773" s="55"/>
      <c r="Q773" s="55"/>
      <c r="R773" s="63"/>
      <c r="S773" s="55"/>
    </row>
    <row r="774" spans="1:19" ht="15" x14ac:dyDescent="0.25">
      <c r="A774" s="109"/>
      <c r="B774" s="109"/>
      <c r="C774" s="55"/>
      <c r="D774" s="55"/>
      <c r="E774" s="55"/>
      <c r="F774" s="55"/>
      <c r="G774" s="63"/>
      <c r="H774" s="55"/>
      <c r="I774" s="55"/>
      <c r="J774" s="55"/>
      <c r="K774" s="55"/>
      <c r="L774" s="63"/>
      <c r="M774" s="55"/>
      <c r="N774" s="55"/>
      <c r="O774" s="55"/>
      <c r="P774" s="55"/>
      <c r="Q774" s="55"/>
      <c r="R774" s="63"/>
      <c r="S774" s="55"/>
    </row>
    <row r="775" spans="1:19" ht="15" x14ac:dyDescent="0.25">
      <c r="A775" s="109"/>
      <c r="B775" s="109"/>
      <c r="C775" s="55"/>
      <c r="D775" s="55"/>
      <c r="E775" s="55"/>
      <c r="F775" s="55"/>
      <c r="G775" s="63"/>
      <c r="H775" s="55"/>
      <c r="I775" s="55"/>
      <c r="J775" s="55"/>
      <c r="K775" s="55"/>
      <c r="L775" s="63"/>
      <c r="M775" s="55"/>
      <c r="N775" s="55"/>
      <c r="O775" s="55"/>
      <c r="P775" s="55"/>
      <c r="Q775" s="55"/>
      <c r="R775" s="63"/>
      <c r="S775" s="55"/>
    </row>
    <row r="776" spans="1:19" ht="15" x14ac:dyDescent="0.25">
      <c r="A776" s="109"/>
      <c r="B776" s="109"/>
      <c r="C776" s="55"/>
      <c r="D776" s="55"/>
      <c r="E776" s="55"/>
      <c r="F776" s="55"/>
      <c r="G776" s="63"/>
      <c r="H776" s="55"/>
      <c r="I776" s="55"/>
      <c r="J776" s="55"/>
      <c r="K776" s="55"/>
      <c r="L776" s="63"/>
      <c r="M776" s="55"/>
      <c r="N776" s="55"/>
      <c r="O776" s="55"/>
      <c r="P776" s="55"/>
      <c r="Q776" s="55"/>
      <c r="R776" s="63"/>
      <c r="S776" s="55"/>
    </row>
    <row r="777" spans="1:19" ht="15" x14ac:dyDescent="0.25">
      <c r="A777" s="109"/>
      <c r="B777" s="109"/>
      <c r="C777" s="55"/>
      <c r="D777" s="55"/>
      <c r="E777" s="55"/>
      <c r="F777" s="55"/>
      <c r="G777" s="63"/>
      <c r="H777" s="55"/>
      <c r="I777" s="55"/>
      <c r="J777" s="55"/>
      <c r="K777" s="55"/>
      <c r="L777" s="63"/>
      <c r="M777" s="55"/>
      <c r="N777" s="55"/>
      <c r="O777" s="55"/>
      <c r="P777" s="55"/>
      <c r="Q777" s="55"/>
      <c r="R777" s="63"/>
      <c r="S777" s="55"/>
    </row>
    <row r="778" spans="1:19" ht="15" x14ac:dyDescent="0.25">
      <c r="A778" s="109"/>
      <c r="B778" s="109"/>
      <c r="C778" s="55"/>
      <c r="D778" s="55"/>
      <c r="E778" s="55"/>
      <c r="F778" s="55"/>
      <c r="G778" s="63"/>
      <c r="H778" s="55"/>
      <c r="I778" s="55"/>
      <c r="J778" s="55"/>
      <c r="K778" s="55"/>
      <c r="L778" s="63"/>
      <c r="M778" s="55"/>
      <c r="N778" s="55"/>
      <c r="O778" s="55"/>
      <c r="P778" s="55"/>
      <c r="Q778" s="55"/>
      <c r="R778" s="63"/>
      <c r="S778" s="55"/>
    </row>
    <row r="779" spans="1:19" ht="15" x14ac:dyDescent="0.25">
      <c r="A779" s="109"/>
      <c r="B779" s="109"/>
      <c r="C779" s="55"/>
      <c r="D779" s="55"/>
      <c r="E779" s="55"/>
      <c r="F779" s="55"/>
      <c r="G779" s="63"/>
      <c r="H779" s="55"/>
      <c r="I779" s="55"/>
      <c r="J779" s="55"/>
      <c r="K779" s="55"/>
      <c r="L779" s="63"/>
      <c r="M779" s="55"/>
      <c r="N779" s="55"/>
      <c r="O779" s="55"/>
      <c r="P779" s="55"/>
      <c r="Q779" s="55"/>
      <c r="R779" s="63"/>
      <c r="S779" s="55"/>
    </row>
    <row r="780" spans="1:19" ht="15" x14ac:dyDescent="0.25">
      <c r="A780" s="109"/>
      <c r="B780" s="109"/>
      <c r="C780" s="55"/>
      <c r="D780" s="55"/>
      <c r="E780" s="55"/>
      <c r="F780" s="55"/>
      <c r="G780" s="63"/>
      <c r="H780" s="55"/>
      <c r="I780" s="55"/>
      <c r="J780" s="55"/>
      <c r="K780" s="55"/>
      <c r="L780" s="63"/>
      <c r="M780" s="55"/>
      <c r="N780" s="55"/>
      <c r="O780" s="55"/>
      <c r="P780" s="55"/>
      <c r="Q780" s="55"/>
      <c r="R780" s="63"/>
      <c r="S780" s="55"/>
    </row>
    <row r="781" spans="1:19" ht="15" x14ac:dyDescent="0.25">
      <c r="A781" s="109"/>
      <c r="B781" s="109"/>
      <c r="C781" s="55"/>
      <c r="D781" s="55"/>
      <c r="E781" s="55"/>
      <c r="F781" s="55"/>
      <c r="G781" s="63"/>
      <c r="H781" s="55"/>
      <c r="I781" s="55"/>
      <c r="J781" s="55"/>
      <c r="K781" s="55"/>
      <c r="L781" s="63"/>
      <c r="M781" s="55"/>
      <c r="N781" s="55"/>
      <c r="O781" s="55"/>
      <c r="P781" s="55"/>
      <c r="Q781" s="55"/>
      <c r="R781" s="63"/>
      <c r="S781" s="55"/>
    </row>
    <row r="782" spans="1:19" ht="15" x14ac:dyDescent="0.25">
      <c r="A782" s="109"/>
      <c r="B782" s="109"/>
      <c r="C782" s="55"/>
      <c r="D782" s="55"/>
      <c r="E782" s="55"/>
      <c r="F782" s="55"/>
      <c r="G782" s="63"/>
      <c r="H782" s="55"/>
      <c r="I782" s="55"/>
      <c r="J782" s="55"/>
      <c r="K782" s="55"/>
      <c r="L782" s="63"/>
      <c r="M782" s="55"/>
      <c r="N782" s="55"/>
      <c r="O782" s="55"/>
      <c r="P782" s="55"/>
      <c r="Q782" s="55"/>
      <c r="R782" s="63"/>
      <c r="S782" s="55"/>
    </row>
    <row r="783" spans="1:19" ht="15" x14ac:dyDescent="0.25">
      <c r="A783" s="109"/>
      <c r="B783" s="109"/>
      <c r="C783" s="55"/>
      <c r="D783" s="55"/>
      <c r="E783" s="55"/>
      <c r="F783" s="55"/>
      <c r="G783" s="63"/>
      <c r="H783" s="55"/>
      <c r="I783" s="55"/>
      <c r="J783" s="55"/>
      <c r="K783" s="55"/>
      <c r="L783" s="63"/>
      <c r="M783" s="55"/>
      <c r="N783" s="55"/>
      <c r="O783" s="55"/>
      <c r="P783" s="55"/>
      <c r="Q783" s="55"/>
      <c r="R783" s="63"/>
      <c r="S783" s="55"/>
    </row>
    <row r="784" spans="1:19" ht="15" x14ac:dyDescent="0.25">
      <c r="A784" s="109"/>
      <c r="B784" s="109"/>
      <c r="C784" s="55"/>
      <c r="D784" s="55"/>
      <c r="E784" s="55"/>
      <c r="F784" s="55"/>
      <c r="G784" s="63"/>
      <c r="H784" s="55"/>
      <c r="I784" s="55"/>
      <c r="J784" s="55"/>
      <c r="K784" s="55"/>
      <c r="L784" s="63"/>
      <c r="M784" s="55"/>
      <c r="N784" s="55"/>
      <c r="O784" s="55"/>
      <c r="P784" s="55"/>
      <c r="Q784" s="55"/>
      <c r="R784" s="63"/>
      <c r="S784" s="55"/>
    </row>
    <row r="785" spans="1:19" ht="15" x14ac:dyDescent="0.25">
      <c r="A785" s="109"/>
      <c r="B785" s="109"/>
      <c r="C785" s="55"/>
      <c r="D785" s="55"/>
      <c r="E785" s="55"/>
      <c r="F785" s="55"/>
      <c r="G785" s="63"/>
      <c r="H785" s="55"/>
      <c r="I785" s="55"/>
      <c r="J785" s="55"/>
      <c r="K785" s="55"/>
      <c r="L785" s="63"/>
      <c r="M785" s="55"/>
      <c r="N785" s="55"/>
      <c r="O785" s="55"/>
      <c r="P785" s="55"/>
      <c r="Q785" s="55"/>
      <c r="R785" s="63"/>
      <c r="S785" s="55"/>
    </row>
    <row r="786" spans="1:19" ht="15" x14ac:dyDescent="0.25">
      <c r="A786" s="109"/>
      <c r="B786" s="109"/>
      <c r="C786" s="55"/>
      <c r="D786" s="55"/>
      <c r="E786" s="55"/>
      <c r="F786" s="55"/>
      <c r="G786" s="63"/>
      <c r="H786" s="55"/>
      <c r="I786" s="55"/>
      <c r="J786" s="55"/>
      <c r="K786" s="55"/>
      <c r="L786" s="63"/>
      <c r="M786" s="55"/>
      <c r="N786" s="55"/>
      <c r="O786" s="55"/>
      <c r="P786" s="55"/>
      <c r="Q786" s="55"/>
      <c r="R786" s="63"/>
      <c r="S786" s="55"/>
    </row>
    <row r="787" spans="1:19" ht="15" x14ac:dyDescent="0.25">
      <c r="A787" s="109"/>
      <c r="B787" s="109"/>
      <c r="C787" s="55"/>
      <c r="D787" s="55"/>
      <c r="E787" s="55"/>
      <c r="F787" s="55"/>
      <c r="G787" s="63"/>
      <c r="H787" s="55"/>
      <c r="I787" s="55"/>
      <c r="J787" s="55"/>
      <c r="K787" s="55"/>
      <c r="L787" s="63"/>
      <c r="M787" s="55"/>
      <c r="N787" s="55"/>
      <c r="O787" s="55"/>
      <c r="P787" s="55"/>
      <c r="Q787" s="55"/>
      <c r="R787" s="63"/>
      <c r="S787" s="55"/>
    </row>
    <row r="788" spans="1:19" ht="15" x14ac:dyDescent="0.25">
      <c r="A788" s="109"/>
      <c r="B788" s="109"/>
      <c r="C788" s="55"/>
      <c r="D788" s="55"/>
      <c r="E788" s="55"/>
      <c r="F788" s="55"/>
      <c r="G788" s="63"/>
      <c r="H788" s="55"/>
      <c r="I788" s="55"/>
      <c r="J788" s="55"/>
      <c r="K788" s="55"/>
      <c r="L788" s="63"/>
      <c r="M788" s="55"/>
      <c r="N788" s="55"/>
      <c r="O788" s="55"/>
      <c r="P788" s="55"/>
      <c r="Q788" s="55"/>
      <c r="R788" s="63"/>
      <c r="S788" s="55"/>
    </row>
    <row r="789" spans="1:19" ht="15" x14ac:dyDescent="0.25">
      <c r="A789" s="109"/>
      <c r="B789" s="109"/>
      <c r="C789" s="55"/>
      <c r="D789" s="55"/>
      <c r="E789" s="55"/>
      <c r="F789" s="55"/>
      <c r="G789" s="63"/>
      <c r="H789" s="55"/>
      <c r="I789" s="55"/>
      <c r="J789" s="55"/>
      <c r="K789" s="55"/>
      <c r="L789" s="63"/>
      <c r="M789" s="55"/>
      <c r="N789" s="55"/>
      <c r="O789" s="55"/>
      <c r="P789" s="55"/>
      <c r="Q789" s="55"/>
      <c r="R789" s="63"/>
      <c r="S789" s="55"/>
    </row>
    <row r="790" spans="1:19" ht="15" x14ac:dyDescent="0.25">
      <c r="A790" s="109"/>
      <c r="B790" s="109"/>
      <c r="C790" s="55"/>
      <c r="D790" s="55"/>
      <c r="E790" s="55"/>
      <c r="F790" s="55"/>
      <c r="G790" s="63"/>
      <c r="H790" s="55"/>
      <c r="I790" s="55"/>
      <c r="J790" s="55"/>
      <c r="K790" s="55"/>
      <c r="L790" s="63"/>
      <c r="M790" s="55"/>
      <c r="N790" s="55"/>
      <c r="O790" s="55"/>
      <c r="P790" s="55"/>
      <c r="Q790" s="55"/>
      <c r="R790" s="63"/>
      <c r="S790" s="55"/>
    </row>
    <row r="791" spans="1:19" ht="15" x14ac:dyDescent="0.25">
      <c r="A791" s="109"/>
      <c r="B791" s="109"/>
      <c r="C791" s="55"/>
      <c r="D791" s="55"/>
      <c r="E791" s="55"/>
      <c r="F791" s="55"/>
      <c r="G791" s="63"/>
      <c r="H791" s="55"/>
      <c r="I791" s="55"/>
      <c r="J791" s="55"/>
      <c r="K791" s="55"/>
      <c r="L791" s="63"/>
      <c r="M791" s="55"/>
      <c r="N791" s="55"/>
      <c r="O791" s="55"/>
      <c r="P791" s="55"/>
      <c r="Q791" s="55"/>
      <c r="R791" s="63"/>
      <c r="S791" s="55"/>
    </row>
    <row r="792" spans="1:19" ht="15" x14ac:dyDescent="0.25">
      <c r="A792" s="109"/>
      <c r="B792" s="109"/>
      <c r="C792" s="55"/>
      <c r="D792" s="55"/>
      <c r="E792" s="55"/>
      <c r="F792" s="55"/>
      <c r="G792" s="63"/>
      <c r="H792" s="55"/>
      <c r="I792" s="55"/>
      <c r="J792" s="55"/>
      <c r="K792" s="55"/>
      <c r="L792" s="63"/>
      <c r="M792" s="55"/>
      <c r="N792" s="55"/>
      <c r="O792" s="55"/>
      <c r="P792" s="55"/>
      <c r="Q792" s="55"/>
      <c r="R792" s="63"/>
      <c r="S792" s="55"/>
    </row>
    <row r="793" spans="1:19" ht="15" x14ac:dyDescent="0.25">
      <c r="A793" s="109"/>
      <c r="B793" s="109"/>
      <c r="C793" s="55"/>
      <c r="D793" s="55"/>
      <c r="E793" s="55"/>
      <c r="F793" s="55"/>
      <c r="G793" s="63"/>
      <c r="H793" s="55"/>
      <c r="I793" s="55"/>
      <c r="J793" s="55"/>
      <c r="K793" s="55"/>
      <c r="L793" s="63"/>
      <c r="M793" s="55"/>
      <c r="N793" s="55"/>
      <c r="O793" s="55"/>
      <c r="P793" s="55"/>
      <c r="Q793" s="55"/>
      <c r="R793" s="63"/>
      <c r="S793" s="55"/>
    </row>
    <row r="794" spans="1:19" ht="15" x14ac:dyDescent="0.25">
      <c r="A794" s="109"/>
      <c r="B794" s="109"/>
      <c r="C794" s="55"/>
      <c r="D794" s="55"/>
      <c r="E794" s="55"/>
      <c r="F794" s="55"/>
      <c r="G794" s="63"/>
      <c r="H794" s="55"/>
      <c r="I794" s="55"/>
      <c r="J794" s="55"/>
      <c r="K794" s="55"/>
      <c r="L794" s="63"/>
      <c r="M794" s="55"/>
      <c r="N794" s="55"/>
      <c r="O794" s="55"/>
      <c r="P794" s="55"/>
      <c r="Q794" s="55"/>
      <c r="R794" s="63"/>
      <c r="S794" s="55"/>
    </row>
    <row r="795" spans="1:19" ht="15" x14ac:dyDescent="0.25">
      <c r="A795" s="109"/>
      <c r="B795" s="109"/>
      <c r="C795" s="55"/>
      <c r="D795" s="55"/>
      <c r="E795" s="55"/>
      <c r="F795" s="55"/>
      <c r="G795" s="63"/>
      <c r="H795" s="55"/>
      <c r="I795" s="55"/>
      <c r="J795" s="55"/>
      <c r="K795" s="55"/>
      <c r="L795" s="63"/>
      <c r="M795" s="55"/>
      <c r="N795" s="55"/>
      <c r="O795" s="55"/>
      <c r="P795" s="55"/>
      <c r="Q795" s="55"/>
      <c r="R795" s="63"/>
      <c r="S795" s="55"/>
    </row>
    <row r="796" spans="1:19" ht="15" x14ac:dyDescent="0.25">
      <c r="A796" s="109"/>
      <c r="B796" s="109"/>
      <c r="C796" s="55"/>
      <c r="D796" s="55"/>
      <c r="E796" s="55"/>
      <c r="F796" s="55"/>
      <c r="G796" s="63"/>
      <c r="H796" s="55"/>
      <c r="I796" s="55"/>
      <c r="J796" s="55"/>
      <c r="K796" s="55"/>
      <c r="L796" s="63"/>
      <c r="M796" s="55"/>
      <c r="N796" s="55"/>
      <c r="O796" s="55"/>
      <c r="P796" s="55"/>
      <c r="Q796" s="55"/>
      <c r="R796" s="63"/>
      <c r="S796" s="55"/>
    </row>
    <row r="797" spans="1:19" ht="15" x14ac:dyDescent="0.25">
      <c r="A797" s="109"/>
      <c r="B797" s="109"/>
      <c r="C797" s="55"/>
      <c r="D797" s="55"/>
      <c r="E797" s="55"/>
      <c r="F797" s="55"/>
      <c r="G797" s="63"/>
      <c r="H797" s="55"/>
      <c r="I797" s="55"/>
      <c r="J797" s="55"/>
      <c r="K797" s="55"/>
      <c r="L797" s="63"/>
      <c r="M797" s="55"/>
      <c r="N797" s="55"/>
      <c r="O797" s="55"/>
      <c r="P797" s="55"/>
      <c r="Q797" s="55"/>
      <c r="R797" s="63"/>
      <c r="S797" s="55"/>
    </row>
    <row r="798" spans="1:19" ht="15" x14ac:dyDescent="0.25">
      <c r="A798" s="109"/>
      <c r="B798" s="109"/>
      <c r="C798" s="55"/>
      <c r="D798" s="55"/>
      <c r="E798" s="55"/>
      <c r="F798" s="55"/>
      <c r="G798" s="63"/>
      <c r="H798" s="55"/>
      <c r="I798" s="55"/>
      <c r="J798" s="55"/>
      <c r="K798" s="55"/>
      <c r="L798" s="63"/>
      <c r="M798" s="55"/>
      <c r="N798" s="55"/>
      <c r="O798" s="55"/>
      <c r="P798" s="55"/>
      <c r="Q798" s="55"/>
      <c r="R798" s="63"/>
      <c r="S798" s="55"/>
    </row>
    <row r="799" spans="1:19" ht="15" x14ac:dyDescent="0.25">
      <c r="A799" s="109"/>
      <c r="B799" s="109"/>
      <c r="C799" s="55"/>
      <c r="D799" s="55"/>
      <c r="E799" s="55"/>
      <c r="F799" s="55"/>
      <c r="G799" s="63"/>
      <c r="H799" s="55"/>
      <c r="I799" s="55"/>
      <c r="J799" s="55"/>
      <c r="K799" s="55"/>
      <c r="L799" s="63"/>
      <c r="M799" s="55"/>
      <c r="N799" s="55"/>
      <c r="O799" s="55"/>
      <c r="P799" s="55"/>
      <c r="Q799" s="55"/>
      <c r="R799" s="63"/>
      <c r="S799" s="55"/>
    </row>
    <row r="800" spans="1:19" ht="15" x14ac:dyDescent="0.25">
      <c r="A800" s="109"/>
      <c r="B800" s="109"/>
      <c r="C800" s="55"/>
      <c r="D800" s="55"/>
      <c r="E800" s="55"/>
      <c r="F800" s="55"/>
      <c r="G800" s="63"/>
      <c r="H800" s="55"/>
      <c r="I800" s="55"/>
      <c r="J800" s="55"/>
      <c r="K800" s="55"/>
      <c r="L800" s="63"/>
      <c r="M800" s="55"/>
      <c r="N800" s="55"/>
      <c r="O800" s="55"/>
      <c r="P800" s="55"/>
      <c r="Q800" s="55"/>
      <c r="R800" s="63"/>
      <c r="S800" s="55"/>
    </row>
    <row r="801" spans="1:19" ht="15" x14ac:dyDescent="0.25">
      <c r="A801" s="109"/>
      <c r="B801" s="109"/>
      <c r="C801" s="55"/>
      <c r="D801" s="55"/>
      <c r="E801" s="55"/>
      <c r="F801" s="55"/>
      <c r="G801" s="63"/>
      <c r="H801" s="55"/>
      <c r="I801" s="55"/>
      <c r="J801" s="55"/>
      <c r="K801" s="55"/>
      <c r="L801" s="63"/>
      <c r="M801" s="55"/>
      <c r="N801" s="55"/>
      <c r="O801" s="55"/>
      <c r="P801" s="55"/>
      <c r="Q801" s="55"/>
      <c r="R801" s="63"/>
      <c r="S801" s="55"/>
    </row>
    <row r="802" spans="1:19" ht="15" x14ac:dyDescent="0.25">
      <c r="A802" s="109"/>
      <c r="B802" s="109"/>
      <c r="C802" s="55"/>
      <c r="D802" s="55"/>
      <c r="E802" s="55"/>
      <c r="F802" s="55"/>
      <c r="G802" s="63"/>
      <c r="H802" s="55"/>
      <c r="I802" s="55"/>
      <c r="J802" s="55"/>
      <c r="K802" s="55"/>
      <c r="L802" s="63"/>
      <c r="M802" s="55"/>
      <c r="N802" s="55"/>
      <c r="O802" s="55"/>
      <c r="P802" s="55"/>
      <c r="Q802" s="55"/>
      <c r="R802" s="63"/>
      <c r="S802" s="55"/>
    </row>
    <row r="803" spans="1:19" ht="15" x14ac:dyDescent="0.25">
      <c r="A803" s="109"/>
      <c r="B803" s="109"/>
      <c r="C803" s="55"/>
      <c r="D803" s="55"/>
      <c r="E803" s="55"/>
      <c r="F803" s="55"/>
      <c r="G803" s="63"/>
      <c r="H803" s="55"/>
      <c r="I803" s="55"/>
      <c r="J803" s="55"/>
      <c r="K803" s="55"/>
      <c r="L803" s="63"/>
      <c r="M803" s="55"/>
      <c r="N803" s="55"/>
      <c r="O803" s="55"/>
      <c r="P803" s="55"/>
      <c r="Q803" s="55"/>
      <c r="R803" s="63"/>
      <c r="S803" s="55"/>
    </row>
    <row r="804" spans="1:19" ht="15" x14ac:dyDescent="0.25">
      <c r="A804" s="109"/>
      <c r="B804" s="109"/>
      <c r="C804" s="55"/>
      <c r="D804" s="55"/>
      <c r="E804" s="55"/>
      <c r="F804" s="55"/>
      <c r="G804" s="63"/>
      <c r="H804" s="55"/>
      <c r="I804" s="55"/>
      <c r="J804" s="55"/>
      <c r="K804" s="55"/>
      <c r="L804" s="63"/>
      <c r="M804" s="55"/>
      <c r="N804" s="55"/>
      <c r="O804" s="55"/>
      <c r="P804" s="55"/>
      <c r="Q804" s="55"/>
      <c r="R804" s="63"/>
      <c r="S804" s="55"/>
    </row>
    <row r="805" spans="1:19" ht="15" x14ac:dyDescent="0.25">
      <c r="A805" s="109"/>
      <c r="B805" s="109"/>
      <c r="C805" s="55"/>
      <c r="D805" s="55"/>
      <c r="E805" s="55"/>
      <c r="F805" s="55"/>
      <c r="G805" s="63"/>
      <c r="H805" s="55"/>
      <c r="I805" s="55"/>
      <c r="J805" s="55"/>
      <c r="K805" s="55"/>
      <c r="L805" s="63"/>
      <c r="M805" s="55"/>
      <c r="N805" s="55"/>
      <c r="O805" s="55"/>
      <c r="P805" s="55"/>
      <c r="Q805" s="55"/>
      <c r="R805" s="63"/>
      <c r="S805" s="55"/>
    </row>
    <row r="806" spans="1:19" ht="15" x14ac:dyDescent="0.25">
      <c r="A806" s="109"/>
      <c r="B806" s="109"/>
      <c r="C806" s="55"/>
      <c r="D806" s="55"/>
      <c r="E806" s="55"/>
      <c r="F806" s="55"/>
      <c r="G806" s="63"/>
      <c r="H806" s="55"/>
      <c r="I806" s="55"/>
      <c r="J806" s="55"/>
      <c r="K806" s="55"/>
      <c r="L806" s="63"/>
      <c r="M806" s="55"/>
      <c r="N806" s="55"/>
      <c r="O806" s="55"/>
      <c r="P806" s="55"/>
      <c r="Q806" s="55"/>
      <c r="R806" s="63"/>
      <c r="S806" s="55"/>
    </row>
    <row r="807" spans="1:19" ht="15" x14ac:dyDescent="0.25">
      <c r="A807" s="109"/>
      <c r="B807" s="109"/>
      <c r="C807" s="55"/>
      <c r="D807" s="55"/>
      <c r="E807" s="55"/>
      <c r="F807" s="55"/>
      <c r="G807" s="63"/>
      <c r="H807" s="55"/>
      <c r="I807" s="55"/>
      <c r="J807" s="55"/>
      <c r="K807" s="55"/>
      <c r="L807" s="63"/>
      <c r="M807" s="55"/>
      <c r="N807" s="55"/>
      <c r="O807" s="55"/>
      <c r="P807" s="55"/>
      <c r="Q807" s="55"/>
      <c r="R807" s="63"/>
      <c r="S807" s="55"/>
    </row>
    <row r="808" spans="1:19" ht="15" x14ac:dyDescent="0.25">
      <c r="A808" s="109"/>
      <c r="B808" s="109"/>
      <c r="C808" s="55"/>
      <c r="D808" s="55"/>
      <c r="E808" s="55"/>
      <c r="F808" s="55"/>
      <c r="G808" s="63"/>
      <c r="H808" s="55"/>
      <c r="I808" s="55"/>
      <c r="J808" s="55"/>
      <c r="K808" s="55"/>
      <c r="L808" s="63"/>
      <c r="M808" s="55"/>
      <c r="N808" s="55"/>
      <c r="O808" s="55"/>
      <c r="P808" s="55"/>
      <c r="Q808" s="55"/>
      <c r="R808" s="63"/>
      <c r="S808" s="55"/>
    </row>
    <row r="809" spans="1:19" ht="15" x14ac:dyDescent="0.25">
      <c r="A809" s="109"/>
      <c r="B809" s="109"/>
      <c r="C809" s="55"/>
      <c r="D809" s="55"/>
      <c r="E809" s="55"/>
      <c r="F809" s="55"/>
      <c r="G809" s="63"/>
      <c r="H809" s="55"/>
      <c r="I809" s="55"/>
      <c r="J809" s="55"/>
      <c r="K809" s="55"/>
      <c r="L809" s="63"/>
      <c r="M809" s="55"/>
      <c r="N809" s="55"/>
      <c r="O809" s="55"/>
      <c r="P809" s="55"/>
      <c r="Q809" s="55"/>
      <c r="R809" s="63"/>
      <c r="S809" s="55"/>
    </row>
    <row r="810" spans="1:19" ht="15" x14ac:dyDescent="0.25">
      <c r="A810" s="109"/>
      <c r="B810" s="109"/>
      <c r="C810" s="55"/>
      <c r="D810" s="55"/>
      <c r="E810" s="55"/>
      <c r="F810" s="55"/>
      <c r="G810" s="63"/>
      <c r="H810" s="55"/>
      <c r="I810" s="55"/>
      <c r="J810" s="55"/>
      <c r="K810" s="55"/>
      <c r="L810" s="63"/>
      <c r="M810" s="55"/>
      <c r="N810" s="55"/>
      <c r="O810" s="55"/>
      <c r="P810" s="55"/>
      <c r="Q810" s="55"/>
      <c r="R810" s="63"/>
      <c r="S810" s="55"/>
    </row>
    <row r="811" spans="1:19" ht="15" x14ac:dyDescent="0.25">
      <c r="A811" s="109"/>
      <c r="B811" s="109"/>
      <c r="C811" s="55"/>
      <c r="D811" s="55"/>
      <c r="E811" s="55"/>
      <c r="F811" s="55"/>
      <c r="G811" s="63"/>
      <c r="H811" s="55"/>
      <c r="I811" s="55"/>
      <c r="J811" s="55"/>
      <c r="K811" s="55"/>
      <c r="L811" s="63"/>
      <c r="M811" s="55"/>
      <c r="N811" s="55"/>
      <c r="O811" s="55"/>
      <c r="P811" s="55"/>
      <c r="Q811" s="55"/>
      <c r="R811" s="63"/>
      <c r="S811" s="55"/>
    </row>
    <row r="812" spans="1:19" ht="15" x14ac:dyDescent="0.25">
      <c r="A812" s="109"/>
      <c r="B812" s="109"/>
      <c r="C812" s="55"/>
      <c r="D812" s="55"/>
      <c r="E812" s="55"/>
      <c r="F812" s="55"/>
      <c r="G812" s="63"/>
      <c r="H812" s="55"/>
      <c r="I812" s="55"/>
      <c r="J812" s="55"/>
      <c r="K812" s="55"/>
      <c r="L812" s="63"/>
      <c r="M812" s="55"/>
      <c r="N812" s="55"/>
      <c r="O812" s="55"/>
      <c r="P812" s="55"/>
      <c r="Q812" s="55"/>
      <c r="R812" s="63"/>
      <c r="S812" s="55"/>
    </row>
    <row r="813" spans="1:19" ht="15" x14ac:dyDescent="0.25">
      <c r="A813" s="109"/>
      <c r="B813" s="109"/>
      <c r="C813" s="55"/>
      <c r="D813" s="55"/>
      <c r="E813" s="55"/>
      <c r="F813" s="55"/>
      <c r="G813" s="63"/>
      <c r="H813" s="55"/>
      <c r="I813" s="55"/>
      <c r="J813" s="55"/>
      <c r="K813" s="55"/>
      <c r="L813" s="63"/>
      <c r="M813" s="55"/>
      <c r="N813" s="55"/>
      <c r="O813" s="55"/>
      <c r="P813" s="55"/>
      <c r="Q813" s="55"/>
      <c r="R813" s="63"/>
      <c r="S813" s="55"/>
    </row>
    <row r="814" spans="1:19" ht="15" x14ac:dyDescent="0.25">
      <c r="A814" s="109"/>
      <c r="B814" s="109"/>
      <c r="C814" s="55"/>
      <c r="D814" s="55"/>
      <c r="E814" s="55"/>
      <c r="F814" s="55"/>
      <c r="G814" s="63"/>
      <c r="H814" s="55"/>
      <c r="I814" s="55"/>
      <c r="J814" s="55"/>
      <c r="K814" s="55"/>
      <c r="L814" s="63"/>
      <c r="M814" s="55"/>
      <c r="N814" s="55"/>
      <c r="O814" s="55"/>
      <c r="P814" s="55"/>
      <c r="Q814" s="55"/>
      <c r="R814" s="63"/>
      <c r="S814" s="55"/>
    </row>
    <row r="815" spans="1:19" ht="15" x14ac:dyDescent="0.25">
      <c r="A815" s="109"/>
      <c r="B815" s="109"/>
      <c r="C815" s="55"/>
      <c r="D815" s="55"/>
      <c r="E815" s="55"/>
      <c r="F815" s="55"/>
      <c r="G815" s="63"/>
      <c r="H815" s="55"/>
      <c r="I815" s="55"/>
      <c r="J815" s="55"/>
      <c r="K815" s="55"/>
      <c r="L815" s="63"/>
      <c r="M815" s="55"/>
      <c r="N815" s="55"/>
      <c r="O815" s="55"/>
      <c r="P815" s="55"/>
      <c r="Q815" s="55"/>
      <c r="R815" s="63"/>
      <c r="S815" s="55"/>
    </row>
    <row r="816" spans="1:19" ht="15" x14ac:dyDescent="0.25">
      <c r="A816" s="109"/>
      <c r="B816" s="109"/>
      <c r="C816" s="55"/>
      <c r="D816" s="55"/>
      <c r="E816" s="55"/>
      <c r="F816" s="55"/>
      <c r="G816" s="63"/>
      <c r="H816" s="55"/>
      <c r="I816" s="55"/>
      <c r="J816" s="55"/>
      <c r="K816" s="55"/>
      <c r="L816" s="63"/>
      <c r="M816" s="55"/>
      <c r="N816" s="55"/>
      <c r="O816" s="55"/>
      <c r="P816" s="55"/>
      <c r="Q816" s="55"/>
      <c r="R816" s="63"/>
      <c r="S816" s="55"/>
    </row>
    <row r="817" spans="1:19" ht="15" x14ac:dyDescent="0.25">
      <c r="A817" s="109"/>
      <c r="B817" s="109"/>
      <c r="C817" s="55"/>
      <c r="D817" s="55"/>
      <c r="E817" s="55"/>
      <c r="F817" s="55"/>
      <c r="G817" s="63"/>
      <c r="H817" s="55"/>
      <c r="I817" s="55"/>
      <c r="J817" s="55"/>
      <c r="K817" s="55"/>
      <c r="L817" s="63"/>
      <c r="M817" s="55"/>
      <c r="N817" s="55"/>
      <c r="O817" s="55"/>
      <c r="P817" s="55"/>
      <c r="Q817" s="55"/>
      <c r="R817" s="63"/>
      <c r="S817" s="55"/>
    </row>
    <row r="818" spans="1:19" ht="15" x14ac:dyDescent="0.25">
      <c r="A818" s="109"/>
      <c r="B818" s="109"/>
      <c r="C818" s="55"/>
      <c r="D818" s="55"/>
      <c r="E818" s="55"/>
      <c r="F818" s="55"/>
      <c r="G818" s="63"/>
      <c r="H818" s="55"/>
      <c r="I818" s="55"/>
      <c r="J818" s="55"/>
      <c r="K818" s="55"/>
      <c r="L818" s="63"/>
      <c r="M818" s="55"/>
      <c r="N818" s="55"/>
      <c r="O818" s="55"/>
      <c r="P818" s="55"/>
      <c r="Q818" s="55"/>
      <c r="R818" s="63"/>
      <c r="S818" s="55"/>
    </row>
    <row r="819" spans="1:19" ht="15" x14ac:dyDescent="0.25">
      <c r="A819" s="109"/>
      <c r="B819" s="109"/>
      <c r="C819" s="55"/>
      <c r="D819" s="55"/>
      <c r="E819" s="55"/>
      <c r="F819" s="55"/>
      <c r="G819" s="63"/>
      <c r="H819" s="55"/>
      <c r="I819" s="55"/>
      <c r="J819" s="55"/>
      <c r="K819" s="55"/>
      <c r="L819" s="63"/>
      <c r="M819" s="55"/>
      <c r="N819" s="55"/>
      <c r="O819" s="55"/>
      <c r="P819" s="55"/>
      <c r="Q819" s="55"/>
      <c r="R819" s="63"/>
      <c r="S819" s="55"/>
    </row>
    <row r="820" spans="1:19" ht="15" x14ac:dyDescent="0.25">
      <c r="A820" s="109"/>
      <c r="B820" s="109"/>
      <c r="C820" s="55"/>
      <c r="D820" s="55"/>
      <c r="E820" s="55"/>
      <c r="F820" s="55"/>
      <c r="G820" s="63"/>
      <c r="H820" s="55"/>
      <c r="I820" s="55"/>
      <c r="J820" s="55"/>
      <c r="K820" s="55"/>
      <c r="L820" s="63"/>
      <c r="M820" s="55"/>
      <c r="N820" s="55"/>
      <c r="O820" s="55"/>
      <c r="P820" s="55"/>
      <c r="Q820" s="55"/>
      <c r="R820" s="63"/>
      <c r="S820" s="55"/>
    </row>
    <row r="821" spans="1:19" ht="15" x14ac:dyDescent="0.25">
      <c r="A821" s="109"/>
      <c r="B821" s="109"/>
      <c r="C821" s="55"/>
      <c r="D821" s="55"/>
      <c r="E821" s="55"/>
      <c r="F821" s="55"/>
      <c r="G821" s="63"/>
      <c r="H821" s="55"/>
      <c r="I821" s="55"/>
      <c r="J821" s="55"/>
      <c r="K821" s="55"/>
      <c r="L821" s="63"/>
      <c r="M821" s="55"/>
      <c r="N821" s="55"/>
      <c r="O821" s="55"/>
      <c r="P821" s="55"/>
      <c r="Q821" s="55"/>
      <c r="R821" s="63"/>
      <c r="S821" s="55"/>
    </row>
    <row r="822" spans="1:19" ht="15" x14ac:dyDescent="0.25">
      <c r="A822" s="109"/>
      <c r="B822" s="109"/>
      <c r="C822" s="55"/>
      <c r="D822" s="55"/>
      <c r="E822" s="55"/>
      <c r="F822" s="55"/>
      <c r="G822" s="63"/>
      <c r="H822" s="55"/>
      <c r="I822" s="55"/>
      <c r="J822" s="55"/>
      <c r="K822" s="55"/>
      <c r="L822" s="63"/>
      <c r="M822" s="55"/>
      <c r="N822" s="55"/>
      <c r="O822" s="55"/>
      <c r="P822" s="55"/>
      <c r="Q822" s="55"/>
      <c r="R822" s="63"/>
      <c r="S822" s="55"/>
    </row>
    <row r="823" spans="1:19" ht="15" x14ac:dyDescent="0.25">
      <c r="A823" s="109"/>
      <c r="B823" s="109"/>
      <c r="C823" s="55"/>
      <c r="D823" s="55"/>
      <c r="E823" s="55"/>
      <c r="F823" s="55"/>
      <c r="G823" s="63"/>
      <c r="H823" s="55"/>
      <c r="I823" s="55"/>
      <c r="J823" s="55"/>
      <c r="K823" s="55"/>
      <c r="L823" s="63"/>
      <c r="M823" s="55"/>
      <c r="N823" s="55"/>
      <c r="O823" s="55"/>
      <c r="P823" s="55"/>
      <c r="Q823" s="55"/>
      <c r="R823" s="63"/>
      <c r="S823" s="55"/>
    </row>
    <row r="824" spans="1:19" ht="15" x14ac:dyDescent="0.25">
      <c r="A824" s="109"/>
      <c r="B824" s="109"/>
      <c r="C824" s="55"/>
      <c r="D824" s="55"/>
      <c r="E824" s="55"/>
      <c r="F824" s="55"/>
      <c r="G824" s="63"/>
      <c r="H824" s="55"/>
      <c r="I824" s="55"/>
      <c r="J824" s="55"/>
      <c r="K824" s="55"/>
      <c r="L824" s="63"/>
      <c r="M824" s="55"/>
      <c r="N824" s="55"/>
      <c r="O824" s="55"/>
      <c r="P824" s="55"/>
      <c r="Q824" s="55"/>
      <c r="R824" s="63"/>
      <c r="S824" s="55"/>
    </row>
    <row r="825" spans="1:19" ht="15" x14ac:dyDescent="0.25">
      <c r="A825" s="109"/>
      <c r="B825" s="109"/>
      <c r="C825" s="55"/>
      <c r="D825" s="55"/>
      <c r="E825" s="55"/>
      <c r="F825" s="55"/>
      <c r="G825" s="63"/>
      <c r="H825" s="55"/>
      <c r="I825" s="55"/>
      <c r="J825" s="55"/>
      <c r="K825" s="55"/>
      <c r="L825" s="63"/>
      <c r="M825" s="55"/>
      <c r="N825" s="55"/>
      <c r="O825" s="55"/>
      <c r="P825" s="55"/>
      <c r="Q825" s="55"/>
      <c r="R825" s="63"/>
      <c r="S825" s="55"/>
    </row>
    <row r="826" spans="1:19" ht="15" x14ac:dyDescent="0.25">
      <c r="A826" s="109"/>
      <c r="B826" s="109"/>
      <c r="C826" s="55"/>
      <c r="D826" s="55"/>
      <c r="E826" s="55"/>
      <c r="F826" s="55"/>
      <c r="G826" s="63"/>
      <c r="H826" s="55"/>
      <c r="I826" s="55"/>
      <c r="J826" s="55"/>
      <c r="K826" s="55"/>
      <c r="L826" s="63"/>
      <c r="M826" s="55"/>
      <c r="N826" s="55"/>
      <c r="O826" s="55"/>
      <c r="P826" s="55"/>
      <c r="Q826" s="55"/>
      <c r="R826" s="63"/>
      <c r="S826" s="55"/>
    </row>
    <row r="827" spans="1:19" ht="15" x14ac:dyDescent="0.25">
      <c r="A827" s="109"/>
      <c r="B827" s="109"/>
      <c r="C827" s="55"/>
      <c r="D827" s="55"/>
      <c r="E827" s="55"/>
      <c r="F827" s="55"/>
      <c r="G827" s="63"/>
      <c r="H827" s="55"/>
      <c r="I827" s="55"/>
      <c r="J827" s="55"/>
      <c r="K827" s="55"/>
      <c r="L827" s="63"/>
      <c r="M827" s="55"/>
      <c r="N827" s="55"/>
      <c r="O827" s="55"/>
      <c r="P827" s="55"/>
      <c r="Q827" s="55"/>
      <c r="R827" s="63"/>
      <c r="S827" s="55"/>
    </row>
    <row r="828" spans="1:19" ht="15" x14ac:dyDescent="0.25">
      <c r="A828" s="109"/>
      <c r="B828" s="109"/>
      <c r="C828" s="55"/>
      <c r="D828" s="55"/>
      <c r="E828" s="55"/>
      <c r="F828" s="55"/>
      <c r="G828" s="63"/>
      <c r="H828" s="55"/>
      <c r="I828" s="55"/>
      <c r="J828" s="55"/>
      <c r="K828" s="55"/>
      <c r="L828" s="63"/>
      <c r="M828" s="55"/>
      <c r="N828" s="55"/>
      <c r="O828" s="55"/>
      <c r="P828" s="55"/>
      <c r="Q828" s="55"/>
      <c r="R828" s="63"/>
      <c r="S828" s="55"/>
    </row>
    <row r="829" spans="1:19" ht="15" x14ac:dyDescent="0.25">
      <c r="A829" s="109"/>
      <c r="B829" s="109"/>
      <c r="C829" s="55"/>
      <c r="D829" s="55"/>
      <c r="E829" s="55"/>
      <c r="F829" s="55"/>
      <c r="G829" s="63"/>
      <c r="H829" s="55"/>
      <c r="I829" s="55"/>
      <c r="J829" s="55"/>
      <c r="K829" s="55"/>
      <c r="L829" s="63"/>
      <c r="M829" s="55"/>
      <c r="N829" s="55"/>
      <c r="O829" s="55"/>
      <c r="P829" s="55"/>
      <c r="Q829" s="55"/>
      <c r="R829" s="63"/>
      <c r="S829" s="55"/>
    </row>
    <row r="830" spans="1:19" ht="15" x14ac:dyDescent="0.25">
      <c r="A830" s="109"/>
      <c r="B830" s="109"/>
      <c r="C830" s="55"/>
      <c r="D830" s="55"/>
      <c r="E830" s="55"/>
      <c r="F830" s="55"/>
      <c r="G830" s="63"/>
      <c r="H830" s="55"/>
      <c r="I830" s="55"/>
      <c r="J830" s="55"/>
      <c r="K830" s="55"/>
      <c r="L830" s="63"/>
      <c r="M830" s="55"/>
      <c r="N830" s="55"/>
      <c r="O830" s="55"/>
      <c r="P830" s="55"/>
      <c r="Q830" s="55"/>
      <c r="R830" s="63"/>
      <c r="S830" s="55"/>
    </row>
    <row r="831" spans="1:19" ht="15" x14ac:dyDescent="0.25">
      <c r="A831" s="109"/>
      <c r="B831" s="109"/>
      <c r="C831" s="55"/>
      <c r="D831" s="55"/>
      <c r="E831" s="55"/>
      <c r="F831" s="55"/>
      <c r="G831" s="63"/>
      <c r="H831" s="55"/>
      <c r="I831" s="55"/>
      <c r="J831" s="55"/>
      <c r="K831" s="55"/>
      <c r="L831" s="63"/>
      <c r="M831" s="55"/>
      <c r="N831" s="55"/>
      <c r="O831" s="55"/>
      <c r="P831" s="55"/>
      <c r="Q831" s="55"/>
      <c r="R831" s="63"/>
      <c r="S831" s="55"/>
    </row>
    <row r="832" spans="1:19" ht="15" x14ac:dyDescent="0.25">
      <c r="A832" s="109"/>
      <c r="B832" s="109"/>
      <c r="C832" s="55"/>
      <c r="D832" s="55"/>
      <c r="E832" s="55"/>
      <c r="F832" s="55"/>
      <c r="G832" s="63"/>
      <c r="H832" s="55"/>
      <c r="I832" s="55"/>
      <c r="J832" s="55"/>
      <c r="K832" s="55"/>
      <c r="L832" s="63"/>
      <c r="M832" s="55"/>
      <c r="N832" s="55"/>
      <c r="O832" s="55"/>
      <c r="P832" s="55"/>
      <c r="Q832" s="55"/>
      <c r="R832" s="63"/>
      <c r="S832" s="55"/>
    </row>
    <row r="833" spans="1:19" ht="15" x14ac:dyDescent="0.25">
      <c r="A833" s="109"/>
      <c r="B833" s="109"/>
      <c r="C833" s="55"/>
      <c r="D833" s="55"/>
      <c r="E833" s="55"/>
      <c r="F833" s="55"/>
      <c r="G833" s="63"/>
      <c r="H833" s="55"/>
      <c r="I833" s="55"/>
      <c r="J833" s="55"/>
      <c r="K833" s="55"/>
      <c r="L833" s="63"/>
      <c r="M833" s="55"/>
      <c r="N833" s="55"/>
      <c r="O833" s="55"/>
      <c r="P833" s="55"/>
      <c r="Q833" s="55"/>
      <c r="R833" s="63"/>
      <c r="S833" s="55"/>
    </row>
    <row r="834" spans="1:19" ht="15" x14ac:dyDescent="0.25">
      <c r="A834" s="109"/>
      <c r="B834" s="109"/>
      <c r="C834" s="55"/>
      <c r="D834" s="55"/>
      <c r="E834" s="55"/>
      <c r="F834" s="55"/>
      <c r="G834" s="63"/>
      <c r="H834" s="55"/>
      <c r="I834" s="55"/>
      <c r="J834" s="55"/>
      <c r="K834" s="55"/>
      <c r="L834" s="63"/>
      <c r="M834" s="55"/>
      <c r="N834" s="55"/>
      <c r="O834" s="55"/>
      <c r="P834" s="55"/>
      <c r="Q834" s="55"/>
      <c r="R834" s="63"/>
      <c r="S834" s="55"/>
    </row>
    <row r="835" spans="1:19" ht="15" x14ac:dyDescent="0.25">
      <c r="A835" s="109"/>
      <c r="B835" s="109"/>
      <c r="C835" s="55"/>
      <c r="D835" s="55"/>
      <c r="E835" s="55"/>
      <c r="F835" s="55"/>
      <c r="G835" s="63"/>
      <c r="H835" s="55"/>
      <c r="I835" s="55"/>
      <c r="J835" s="55"/>
      <c r="K835" s="55"/>
      <c r="L835" s="63"/>
      <c r="M835" s="55"/>
      <c r="N835" s="55"/>
      <c r="O835" s="55"/>
      <c r="P835" s="55"/>
      <c r="Q835" s="55"/>
      <c r="R835" s="63"/>
      <c r="S835" s="55"/>
    </row>
    <row r="836" spans="1:19" ht="15" x14ac:dyDescent="0.25">
      <c r="A836" s="109"/>
      <c r="B836" s="109"/>
      <c r="C836" s="55"/>
      <c r="D836" s="55"/>
      <c r="E836" s="55"/>
      <c r="F836" s="55"/>
      <c r="G836" s="63"/>
      <c r="H836" s="55"/>
      <c r="I836" s="55"/>
      <c r="J836" s="55"/>
      <c r="K836" s="55"/>
      <c r="L836" s="63"/>
      <c r="M836" s="55"/>
      <c r="N836" s="55"/>
      <c r="O836" s="55"/>
      <c r="P836" s="55"/>
      <c r="Q836" s="55"/>
      <c r="R836" s="63"/>
      <c r="S836" s="55"/>
    </row>
    <row r="837" spans="1:19" ht="15" x14ac:dyDescent="0.25">
      <c r="A837" s="109"/>
      <c r="B837" s="109"/>
      <c r="C837" s="55"/>
      <c r="D837" s="55"/>
      <c r="E837" s="55"/>
      <c r="F837" s="55"/>
      <c r="G837" s="63"/>
      <c r="H837" s="55"/>
      <c r="I837" s="55"/>
      <c r="J837" s="55"/>
      <c r="K837" s="55"/>
      <c r="L837" s="63"/>
      <c r="M837" s="55"/>
      <c r="N837" s="55"/>
      <c r="O837" s="55"/>
      <c r="P837" s="55"/>
      <c r="Q837" s="55"/>
      <c r="R837" s="63"/>
      <c r="S837" s="55"/>
    </row>
    <row r="838" spans="1:19" ht="15" x14ac:dyDescent="0.25">
      <c r="A838" s="109"/>
      <c r="B838" s="109"/>
      <c r="C838" s="55"/>
      <c r="D838" s="55"/>
      <c r="E838" s="55"/>
      <c r="F838" s="55"/>
      <c r="G838" s="63"/>
      <c r="H838" s="55"/>
      <c r="I838" s="55"/>
      <c r="J838" s="55"/>
      <c r="K838" s="55"/>
      <c r="L838" s="63"/>
      <c r="M838" s="55"/>
      <c r="N838" s="55"/>
      <c r="O838" s="55"/>
      <c r="P838" s="55"/>
      <c r="Q838" s="55"/>
      <c r="R838" s="63"/>
      <c r="S838" s="55"/>
    </row>
    <row r="839" spans="1:19" ht="15" x14ac:dyDescent="0.25">
      <c r="A839" s="109"/>
      <c r="B839" s="109"/>
      <c r="C839" s="55"/>
      <c r="D839" s="55"/>
      <c r="E839" s="55"/>
      <c r="F839" s="55"/>
      <c r="G839" s="63"/>
      <c r="H839" s="55"/>
      <c r="I839" s="55"/>
      <c r="J839" s="55"/>
      <c r="K839" s="55"/>
      <c r="L839" s="63"/>
      <c r="M839" s="55"/>
      <c r="N839" s="55"/>
      <c r="O839" s="55"/>
      <c r="P839" s="55"/>
      <c r="Q839" s="55"/>
      <c r="R839" s="63"/>
      <c r="S839" s="55"/>
    </row>
    <row r="840" spans="1:19" ht="15" x14ac:dyDescent="0.25">
      <c r="A840" s="109"/>
      <c r="B840" s="109"/>
      <c r="C840" s="55"/>
      <c r="D840" s="55"/>
      <c r="E840" s="55"/>
      <c r="F840" s="55"/>
      <c r="G840" s="63"/>
      <c r="H840" s="55"/>
      <c r="I840" s="55"/>
      <c r="J840" s="55"/>
      <c r="K840" s="55"/>
      <c r="L840" s="63"/>
      <c r="M840" s="55"/>
      <c r="N840" s="55"/>
      <c r="O840" s="55"/>
      <c r="P840" s="55"/>
      <c r="Q840" s="55"/>
      <c r="R840" s="63"/>
      <c r="S840" s="55"/>
    </row>
    <row r="841" spans="1:19" ht="15" x14ac:dyDescent="0.25">
      <c r="A841" s="109"/>
      <c r="B841" s="109"/>
      <c r="C841" s="55"/>
      <c r="D841" s="55"/>
      <c r="E841" s="55"/>
      <c r="F841" s="55"/>
      <c r="G841" s="63"/>
      <c r="H841" s="55"/>
      <c r="I841" s="55"/>
      <c r="J841" s="55"/>
      <c r="K841" s="55"/>
      <c r="L841" s="63"/>
      <c r="M841" s="55"/>
      <c r="N841" s="55"/>
      <c r="O841" s="55"/>
      <c r="P841" s="55"/>
      <c r="Q841" s="55"/>
      <c r="R841" s="63"/>
      <c r="S841" s="55"/>
    </row>
    <row r="842" spans="1:19" ht="15" x14ac:dyDescent="0.25">
      <c r="A842" s="109"/>
      <c r="B842" s="109"/>
      <c r="C842" s="55"/>
      <c r="D842" s="55"/>
      <c r="E842" s="55"/>
      <c r="F842" s="55"/>
      <c r="G842" s="63"/>
      <c r="H842" s="55"/>
      <c r="I842" s="55"/>
      <c r="J842" s="55"/>
      <c r="K842" s="55"/>
      <c r="L842" s="63"/>
      <c r="M842" s="55"/>
      <c r="N842" s="55"/>
      <c r="O842" s="55"/>
      <c r="P842" s="55"/>
      <c r="Q842" s="55"/>
      <c r="R842" s="63"/>
      <c r="S842" s="55"/>
    </row>
    <row r="843" spans="1:19" ht="15" x14ac:dyDescent="0.25">
      <c r="A843" s="109"/>
      <c r="B843" s="109"/>
      <c r="C843" s="55"/>
      <c r="D843" s="55"/>
      <c r="E843" s="55"/>
      <c r="F843" s="55"/>
      <c r="G843" s="63"/>
      <c r="H843" s="55"/>
      <c r="I843" s="55"/>
      <c r="J843" s="55"/>
      <c r="K843" s="55"/>
      <c r="L843" s="63"/>
      <c r="M843" s="55"/>
      <c r="N843" s="55"/>
      <c r="O843" s="55"/>
      <c r="P843" s="55"/>
      <c r="Q843" s="55"/>
      <c r="R843" s="63"/>
      <c r="S843" s="55"/>
    </row>
    <row r="844" spans="1:19" ht="15" x14ac:dyDescent="0.25">
      <c r="A844" s="109"/>
      <c r="B844" s="109"/>
      <c r="C844" s="55"/>
      <c r="D844" s="55"/>
      <c r="E844" s="55"/>
      <c r="F844" s="55"/>
      <c r="G844" s="63"/>
      <c r="H844" s="55"/>
      <c r="I844" s="55"/>
      <c r="J844" s="55"/>
      <c r="K844" s="55"/>
      <c r="L844" s="63"/>
      <c r="M844" s="55"/>
      <c r="N844" s="55"/>
      <c r="O844" s="55"/>
      <c r="P844" s="55"/>
      <c r="Q844" s="55"/>
      <c r="R844" s="63"/>
      <c r="S844" s="55"/>
    </row>
    <row r="845" spans="1:19" ht="15" x14ac:dyDescent="0.25">
      <c r="A845" s="109"/>
      <c r="B845" s="109"/>
      <c r="C845" s="55"/>
      <c r="D845" s="55"/>
      <c r="E845" s="55"/>
      <c r="F845" s="55"/>
      <c r="G845" s="63"/>
      <c r="H845" s="55"/>
      <c r="I845" s="55"/>
      <c r="J845" s="55"/>
      <c r="K845" s="55"/>
      <c r="L845" s="63"/>
      <c r="M845" s="55"/>
      <c r="N845" s="55"/>
      <c r="O845" s="55"/>
      <c r="P845" s="55"/>
      <c r="Q845" s="55"/>
      <c r="R845" s="63"/>
      <c r="S845" s="55"/>
    </row>
    <row r="846" spans="1:19" ht="15" x14ac:dyDescent="0.25">
      <c r="A846" s="109"/>
      <c r="B846" s="109"/>
      <c r="C846" s="55"/>
      <c r="D846" s="55"/>
      <c r="E846" s="55"/>
      <c r="F846" s="55"/>
      <c r="G846" s="63"/>
      <c r="H846" s="55"/>
      <c r="I846" s="55"/>
      <c r="J846" s="55"/>
      <c r="K846" s="55"/>
      <c r="L846" s="63"/>
      <c r="M846" s="55"/>
      <c r="N846" s="55"/>
      <c r="O846" s="55"/>
      <c r="P846" s="55"/>
      <c r="Q846" s="55"/>
      <c r="R846" s="63"/>
      <c r="S846" s="55"/>
    </row>
    <row r="847" spans="1:19" ht="15" x14ac:dyDescent="0.25">
      <c r="A847" s="109"/>
      <c r="B847" s="109"/>
      <c r="C847" s="55"/>
      <c r="D847" s="55"/>
      <c r="E847" s="55"/>
      <c r="F847" s="55"/>
      <c r="G847" s="63"/>
      <c r="H847" s="55"/>
      <c r="I847" s="55"/>
      <c r="J847" s="55"/>
      <c r="K847" s="55"/>
      <c r="L847" s="63"/>
      <c r="M847" s="55"/>
      <c r="N847" s="55"/>
      <c r="O847" s="55"/>
      <c r="P847" s="55"/>
      <c r="Q847" s="55"/>
      <c r="R847" s="63"/>
      <c r="S847" s="55"/>
    </row>
    <row r="848" spans="1:19" ht="15" x14ac:dyDescent="0.25">
      <c r="A848" s="109"/>
      <c r="B848" s="109"/>
      <c r="C848" s="55"/>
      <c r="D848" s="55"/>
      <c r="E848" s="55"/>
      <c r="F848" s="55"/>
      <c r="G848" s="63"/>
      <c r="H848" s="55"/>
      <c r="I848" s="55"/>
      <c r="J848" s="55"/>
      <c r="K848" s="55"/>
      <c r="L848" s="63"/>
      <c r="M848" s="55"/>
      <c r="N848" s="55"/>
      <c r="O848" s="55"/>
      <c r="P848" s="55"/>
      <c r="Q848" s="55"/>
      <c r="R848" s="63"/>
      <c r="S848" s="55"/>
    </row>
    <row r="849" spans="1:19" ht="15" x14ac:dyDescent="0.25">
      <c r="A849" s="109"/>
      <c r="B849" s="109"/>
      <c r="C849" s="55"/>
      <c r="D849" s="55"/>
      <c r="E849" s="55"/>
      <c r="F849" s="55"/>
      <c r="G849" s="63"/>
      <c r="H849" s="55"/>
      <c r="I849" s="55"/>
      <c r="J849" s="55"/>
      <c r="K849" s="55"/>
      <c r="L849" s="63"/>
      <c r="M849" s="55"/>
      <c r="N849" s="55"/>
      <c r="O849" s="55"/>
      <c r="P849" s="55"/>
      <c r="Q849" s="55"/>
      <c r="R849" s="63"/>
      <c r="S849" s="55"/>
    </row>
    <row r="850" spans="1:19" ht="15" x14ac:dyDescent="0.25">
      <c r="A850" s="109"/>
      <c r="B850" s="109"/>
      <c r="C850" s="55"/>
      <c r="D850" s="55"/>
      <c r="E850" s="55"/>
      <c r="F850" s="55"/>
      <c r="G850" s="63"/>
      <c r="H850" s="55"/>
      <c r="I850" s="55"/>
      <c r="J850" s="55"/>
      <c r="K850" s="55"/>
      <c r="L850" s="63"/>
      <c r="M850" s="55"/>
      <c r="N850" s="55"/>
      <c r="O850" s="55"/>
      <c r="P850" s="55"/>
      <c r="Q850" s="55"/>
      <c r="R850" s="63"/>
      <c r="S850" s="55"/>
    </row>
    <row r="851" spans="1:19" ht="15" x14ac:dyDescent="0.25">
      <c r="A851" s="109"/>
      <c r="B851" s="109"/>
      <c r="C851" s="55"/>
      <c r="D851" s="55"/>
      <c r="E851" s="55"/>
      <c r="F851" s="55"/>
      <c r="G851" s="63"/>
      <c r="H851" s="55"/>
      <c r="I851" s="55"/>
      <c r="J851" s="55"/>
      <c r="K851" s="55"/>
      <c r="L851" s="63"/>
      <c r="M851" s="55"/>
      <c r="N851" s="55"/>
      <c r="O851" s="55"/>
      <c r="P851" s="55"/>
      <c r="Q851" s="55"/>
      <c r="R851" s="63"/>
      <c r="S851" s="55"/>
    </row>
    <row r="852" spans="1:19" ht="15" x14ac:dyDescent="0.25">
      <c r="A852" s="109"/>
      <c r="B852" s="109"/>
      <c r="C852" s="55"/>
      <c r="D852" s="55"/>
      <c r="E852" s="55"/>
      <c r="F852" s="55"/>
      <c r="G852" s="63"/>
      <c r="H852" s="55"/>
      <c r="I852" s="55"/>
      <c r="J852" s="55"/>
      <c r="K852" s="55"/>
      <c r="L852" s="63"/>
      <c r="M852" s="55"/>
      <c r="N852" s="55"/>
      <c r="O852" s="55"/>
      <c r="P852" s="55"/>
      <c r="Q852" s="55"/>
      <c r="R852" s="63"/>
      <c r="S852" s="55"/>
    </row>
    <row r="853" spans="1:19" ht="15" x14ac:dyDescent="0.25">
      <c r="A853" s="109"/>
      <c r="B853" s="109"/>
      <c r="C853" s="55"/>
      <c r="D853" s="55"/>
      <c r="E853" s="55"/>
      <c r="F853" s="55"/>
      <c r="G853" s="63"/>
      <c r="H853" s="55"/>
      <c r="I853" s="55"/>
      <c r="J853" s="55"/>
      <c r="K853" s="55"/>
      <c r="L853" s="63"/>
      <c r="M853" s="55"/>
      <c r="N853" s="55"/>
      <c r="O853" s="55"/>
      <c r="P853" s="55"/>
      <c r="Q853" s="55"/>
      <c r="R853" s="63"/>
      <c r="S853" s="55"/>
    </row>
    <row r="854" spans="1:19" ht="15" x14ac:dyDescent="0.25">
      <c r="A854" s="109"/>
      <c r="B854" s="109"/>
      <c r="C854" s="55"/>
      <c r="D854" s="55"/>
      <c r="E854" s="55"/>
      <c r="F854" s="55"/>
      <c r="G854" s="63"/>
      <c r="H854" s="55"/>
      <c r="I854" s="55"/>
      <c r="J854" s="55"/>
      <c r="K854" s="55"/>
      <c r="L854" s="63"/>
      <c r="M854" s="55"/>
      <c r="N854" s="55"/>
      <c r="O854" s="55"/>
      <c r="P854" s="55"/>
      <c r="Q854" s="55"/>
      <c r="R854" s="63"/>
      <c r="S854" s="55"/>
    </row>
    <row r="855" spans="1:19" ht="15" x14ac:dyDescent="0.25">
      <c r="A855" s="109"/>
      <c r="B855" s="109"/>
      <c r="C855" s="55"/>
      <c r="D855" s="55"/>
      <c r="E855" s="55"/>
      <c r="F855" s="55"/>
      <c r="G855" s="63"/>
      <c r="H855" s="55"/>
      <c r="I855" s="55"/>
      <c r="J855" s="55"/>
      <c r="K855" s="55"/>
      <c r="L855" s="63"/>
      <c r="M855" s="55"/>
      <c r="N855" s="55"/>
      <c r="O855" s="55"/>
      <c r="P855" s="55"/>
      <c r="Q855" s="55"/>
      <c r="R855" s="63"/>
      <c r="S855" s="55"/>
    </row>
    <row r="856" spans="1:19" ht="15" x14ac:dyDescent="0.25">
      <c r="A856" s="109"/>
      <c r="B856" s="109"/>
      <c r="C856" s="55"/>
      <c r="D856" s="55"/>
      <c r="E856" s="55"/>
      <c r="F856" s="55"/>
      <c r="G856" s="63"/>
      <c r="H856" s="55"/>
      <c r="I856" s="55"/>
      <c r="J856" s="55"/>
      <c r="K856" s="55"/>
      <c r="L856" s="63"/>
      <c r="M856" s="55"/>
      <c r="N856" s="55"/>
      <c r="O856" s="55"/>
      <c r="P856" s="55"/>
      <c r="Q856" s="55"/>
      <c r="R856" s="63"/>
      <c r="S856" s="55"/>
    </row>
    <row r="857" spans="1:19" ht="15" x14ac:dyDescent="0.25">
      <c r="A857" s="109"/>
      <c r="B857" s="109"/>
      <c r="C857" s="55"/>
      <c r="D857" s="55"/>
      <c r="E857" s="55"/>
      <c r="F857" s="55"/>
      <c r="G857" s="63"/>
      <c r="H857" s="55"/>
      <c r="I857" s="55"/>
      <c r="J857" s="55"/>
      <c r="K857" s="55"/>
      <c r="L857" s="63"/>
      <c r="M857" s="55"/>
      <c r="N857" s="55"/>
      <c r="O857" s="55"/>
      <c r="P857" s="55"/>
      <c r="Q857" s="55"/>
      <c r="R857" s="63"/>
      <c r="S857" s="55"/>
    </row>
    <row r="858" spans="1:19" ht="15" x14ac:dyDescent="0.25">
      <c r="A858" s="109"/>
      <c r="B858" s="109"/>
      <c r="C858" s="55"/>
      <c r="D858" s="55"/>
      <c r="E858" s="55"/>
      <c r="F858" s="55"/>
      <c r="G858" s="63"/>
      <c r="H858" s="55"/>
      <c r="I858" s="55"/>
      <c r="J858" s="55"/>
      <c r="K858" s="55"/>
      <c r="L858" s="63"/>
      <c r="M858" s="55"/>
      <c r="N858" s="55"/>
      <c r="O858" s="55"/>
      <c r="P858" s="55"/>
      <c r="Q858" s="55"/>
      <c r="R858" s="63"/>
      <c r="S858" s="55"/>
    </row>
    <row r="859" spans="1:19" ht="15" x14ac:dyDescent="0.25">
      <c r="A859" s="109"/>
      <c r="B859" s="109"/>
      <c r="C859" s="55"/>
      <c r="D859" s="55"/>
      <c r="E859" s="55"/>
      <c r="F859" s="55"/>
      <c r="G859" s="63"/>
      <c r="H859" s="55"/>
      <c r="I859" s="55"/>
      <c r="J859" s="55"/>
      <c r="K859" s="55"/>
      <c r="L859" s="63"/>
      <c r="M859" s="55"/>
      <c r="N859" s="55"/>
      <c r="O859" s="55"/>
      <c r="P859" s="55"/>
      <c r="Q859" s="55"/>
      <c r="R859" s="63"/>
      <c r="S859" s="55"/>
    </row>
    <row r="860" spans="1:19" ht="15" x14ac:dyDescent="0.25">
      <c r="A860" s="109"/>
      <c r="B860" s="109"/>
      <c r="C860" s="55"/>
      <c r="D860" s="55"/>
      <c r="E860" s="55"/>
      <c r="F860" s="55"/>
      <c r="G860" s="63"/>
      <c r="H860" s="55"/>
      <c r="I860" s="55"/>
      <c r="J860" s="55"/>
      <c r="K860" s="55"/>
      <c r="L860" s="63"/>
      <c r="M860" s="55"/>
      <c r="N860" s="55"/>
      <c r="O860" s="55"/>
      <c r="P860" s="55"/>
      <c r="Q860" s="55"/>
      <c r="R860" s="63"/>
      <c r="S860" s="55"/>
    </row>
    <row r="861" spans="1:19" ht="15" x14ac:dyDescent="0.25">
      <c r="A861" s="109"/>
      <c r="B861" s="109"/>
      <c r="C861" s="55"/>
      <c r="D861" s="55"/>
      <c r="E861" s="55"/>
      <c r="F861" s="55"/>
      <c r="G861" s="63"/>
      <c r="H861" s="55"/>
      <c r="I861" s="55"/>
      <c r="J861" s="55"/>
      <c r="K861" s="55"/>
      <c r="L861" s="63"/>
      <c r="M861" s="55"/>
      <c r="N861" s="55"/>
      <c r="O861" s="55"/>
      <c r="P861" s="55"/>
      <c r="Q861" s="55"/>
      <c r="R861" s="63"/>
      <c r="S861" s="55"/>
    </row>
    <row r="862" spans="1:19" ht="15" x14ac:dyDescent="0.25">
      <c r="A862" s="109"/>
      <c r="B862" s="109"/>
      <c r="C862" s="55"/>
      <c r="D862" s="55"/>
      <c r="E862" s="55"/>
      <c r="F862" s="55"/>
      <c r="G862" s="63"/>
      <c r="H862" s="55"/>
      <c r="I862" s="55"/>
      <c r="J862" s="55"/>
      <c r="K862" s="55"/>
      <c r="L862" s="63"/>
      <c r="M862" s="55"/>
      <c r="N862" s="55"/>
      <c r="O862" s="55"/>
      <c r="P862" s="55"/>
      <c r="Q862" s="55"/>
      <c r="R862" s="63"/>
      <c r="S862" s="55"/>
    </row>
    <row r="863" spans="1:19" ht="15" x14ac:dyDescent="0.25">
      <c r="A863" s="109"/>
      <c r="B863" s="109"/>
      <c r="C863" s="55"/>
      <c r="D863" s="55"/>
      <c r="E863" s="55"/>
      <c r="F863" s="55"/>
      <c r="G863" s="63"/>
      <c r="H863" s="55"/>
      <c r="I863" s="55"/>
      <c r="J863" s="55"/>
      <c r="K863" s="55"/>
      <c r="L863" s="63"/>
      <c r="M863" s="55"/>
      <c r="N863" s="55"/>
      <c r="O863" s="55"/>
      <c r="P863" s="55"/>
      <c r="Q863" s="55"/>
      <c r="R863" s="63"/>
      <c r="S863" s="55"/>
    </row>
    <row r="864" spans="1:19" ht="15" x14ac:dyDescent="0.25">
      <c r="A864" s="109"/>
      <c r="B864" s="109"/>
      <c r="C864" s="55"/>
      <c r="D864" s="55"/>
      <c r="E864" s="55"/>
      <c r="F864" s="55"/>
      <c r="G864" s="63"/>
      <c r="H864" s="55"/>
      <c r="I864" s="55"/>
      <c r="J864" s="55"/>
      <c r="K864" s="55"/>
      <c r="L864" s="63"/>
      <c r="M864" s="55"/>
      <c r="N864" s="55"/>
      <c r="O864" s="55"/>
      <c r="P864" s="55"/>
      <c r="Q864" s="55"/>
      <c r="R864" s="63"/>
      <c r="S864" s="55"/>
    </row>
    <row r="865" spans="1:19" ht="15" x14ac:dyDescent="0.25">
      <c r="A865" s="109"/>
      <c r="B865" s="109"/>
      <c r="C865" s="55"/>
      <c r="D865" s="55"/>
      <c r="E865" s="55"/>
      <c r="F865" s="55"/>
      <c r="G865" s="63"/>
      <c r="H865" s="55"/>
      <c r="I865" s="55"/>
      <c r="J865" s="55"/>
      <c r="K865" s="55"/>
      <c r="L865" s="63"/>
      <c r="M865" s="55"/>
      <c r="N865" s="55"/>
      <c r="O865" s="55"/>
      <c r="P865" s="55"/>
      <c r="Q865" s="55"/>
      <c r="R865" s="63"/>
      <c r="S865" s="55"/>
    </row>
    <row r="866" spans="1:19" ht="15" x14ac:dyDescent="0.25">
      <c r="A866" s="109"/>
      <c r="B866" s="109"/>
      <c r="C866" s="55"/>
      <c r="D866" s="55"/>
      <c r="E866" s="55"/>
      <c r="F866" s="55"/>
      <c r="G866" s="63"/>
      <c r="H866" s="55"/>
      <c r="I866" s="55"/>
      <c r="J866" s="55"/>
      <c r="K866" s="55"/>
      <c r="L866" s="63"/>
      <c r="M866" s="55"/>
      <c r="N866" s="55"/>
      <c r="O866" s="55"/>
      <c r="P866" s="55"/>
      <c r="Q866" s="55"/>
      <c r="R866" s="63"/>
      <c r="S866" s="55"/>
    </row>
    <row r="867" spans="1:19" ht="15" x14ac:dyDescent="0.25">
      <c r="A867" s="109"/>
      <c r="B867" s="109"/>
      <c r="C867" s="55"/>
      <c r="D867" s="55"/>
      <c r="E867" s="55"/>
      <c r="F867" s="55"/>
      <c r="G867" s="63"/>
      <c r="H867" s="55"/>
      <c r="I867" s="55"/>
      <c r="J867" s="55"/>
      <c r="K867" s="55"/>
      <c r="L867" s="63"/>
      <c r="M867" s="55"/>
      <c r="N867" s="55"/>
      <c r="O867" s="55"/>
      <c r="P867" s="55"/>
      <c r="Q867" s="55"/>
      <c r="R867" s="63"/>
      <c r="S867" s="55"/>
    </row>
    <row r="868" spans="1:19" ht="15" x14ac:dyDescent="0.25">
      <c r="A868" s="109"/>
      <c r="B868" s="109"/>
      <c r="C868" s="55"/>
      <c r="D868" s="55"/>
      <c r="E868" s="55"/>
      <c r="F868" s="55"/>
      <c r="G868" s="63"/>
      <c r="H868" s="55"/>
      <c r="I868" s="55"/>
      <c r="J868" s="55"/>
      <c r="K868" s="55"/>
      <c r="L868" s="63"/>
      <c r="M868" s="55"/>
      <c r="N868" s="55"/>
      <c r="O868" s="55"/>
      <c r="P868" s="55"/>
      <c r="Q868" s="55"/>
      <c r="R868" s="63"/>
      <c r="S868" s="55"/>
    </row>
    <row r="869" spans="1:19" ht="15" x14ac:dyDescent="0.25">
      <c r="A869" s="109"/>
      <c r="B869" s="109"/>
      <c r="C869" s="55"/>
      <c r="D869" s="55"/>
      <c r="E869" s="55"/>
      <c r="F869" s="55"/>
      <c r="G869" s="63"/>
      <c r="H869" s="55"/>
      <c r="I869" s="55"/>
      <c r="J869" s="55"/>
      <c r="K869" s="55"/>
      <c r="L869" s="63"/>
      <c r="M869" s="55"/>
      <c r="N869" s="55"/>
      <c r="O869" s="55"/>
      <c r="P869" s="55"/>
      <c r="Q869" s="55"/>
      <c r="R869" s="63"/>
      <c r="S869" s="55"/>
    </row>
    <row r="870" spans="1:19" ht="15" x14ac:dyDescent="0.25">
      <c r="A870" s="109"/>
      <c r="B870" s="109"/>
      <c r="C870" s="55"/>
      <c r="D870" s="55"/>
      <c r="E870" s="55"/>
      <c r="F870" s="55"/>
      <c r="G870" s="63"/>
      <c r="H870" s="55"/>
      <c r="I870" s="55"/>
      <c r="J870" s="55"/>
      <c r="K870" s="55"/>
      <c r="L870" s="63"/>
      <c r="M870" s="55"/>
      <c r="N870" s="55"/>
      <c r="O870" s="55"/>
      <c r="P870" s="55"/>
      <c r="Q870" s="55"/>
      <c r="R870" s="63"/>
      <c r="S870" s="55"/>
    </row>
    <row r="871" spans="1:19" ht="15" x14ac:dyDescent="0.25">
      <c r="A871" s="109"/>
      <c r="B871" s="109"/>
      <c r="C871" s="55"/>
      <c r="D871" s="55"/>
      <c r="E871" s="55"/>
      <c r="F871" s="55"/>
      <c r="G871" s="63"/>
      <c r="H871" s="55"/>
      <c r="I871" s="55"/>
      <c r="J871" s="55"/>
      <c r="K871" s="55"/>
      <c r="L871" s="63"/>
      <c r="M871" s="55"/>
      <c r="N871" s="55"/>
      <c r="O871" s="55"/>
      <c r="P871" s="55"/>
      <c r="Q871" s="55"/>
      <c r="R871" s="63"/>
      <c r="S871" s="55"/>
    </row>
    <row r="872" spans="1:19" ht="15" x14ac:dyDescent="0.25">
      <c r="A872" s="109"/>
      <c r="B872" s="109"/>
      <c r="C872" s="55"/>
      <c r="D872" s="55"/>
      <c r="E872" s="55"/>
      <c r="F872" s="55"/>
      <c r="G872" s="63"/>
      <c r="H872" s="55"/>
      <c r="I872" s="55"/>
      <c r="J872" s="55"/>
      <c r="K872" s="55"/>
      <c r="L872" s="63"/>
      <c r="M872" s="55"/>
      <c r="N872" s="55"/>
      <c r="O872" s="55"/>
      <c r="P872" s="55"/>
      <c r="Q872" s="55"/>
      <c r="R872" s="63"/>
      <c r="S872" s="55"/>
    </row>
    <row r="873" spans="1:19" ht="15" x14ac:dyDescent="0.25">
      <c r="A873" s="109"/>
      <c r="B873" s="109"/>
      <c r="C873" s="55"/>
      <c r="D873" s="55"/>
      <c r="E873" s="55"/>
      <c r="F873" s="55"/>
      <c r="G873" s="63"/>
      <c r="H873" s="55"/>
      <c r="I873" s="55"/>
      <c r="J873" s="55"/>
      <c r="K873" s="55"/>
      <c r="L873" s="63"/>
      <c r="M873" s="55"/>
      <c r="N873" s="55"/>
      <c r="O873" s="55"/>
      <c r="P873" s="55"/>
      <c r="Q873" s="55"/>
      <c r="R873" s="63"/>
      <c r="S873" s="55"/>
    </row>
    <row r="874" spans="1:19" ht="15" x14ac:dyDescent="0.25">
      <c r="A874" s="109"/>
      <c r="B874" s="109"/>
      <c r="C874" s="55"/>
      <c r="D874" s="55"/>
      <c r="E874" s="55"/>
      <c r="F874" s="55"/>
      <c r="G874" s="63"/>
      <c r="H874" s="55"/>
      <c r="I874" s="55"/>
      <c r="J874" s="55"/>
      <c r="K874" s="55"/>
      <c r="L874" s="63"/>
      <c r="M874" s="55"/>
      <c r="N874" s="55"/>
      <c r="O874" s="55"/>
      <c r="P874" s="55"/>
      <c r="Q874" s="55"/>
      <c r="R874" s="63"/>
      <c r="S874" s="55"/>
    </row>
    <row r="875" spans="1:19" ht="15" x14ac:dyDescent="0.25">
      <c r="A875" s="109"/>
      <c r="B875" s="109"/>
      <c r="C875" s="55"/>
      <c r="D875" s="55"/>
      <c r="E875" s="55"/>
      <c r="F875" s="55"/>
      <c r="G875" s="63"/>
      <c r="H875" s="55"/>
      <c r="I875" s="55"/>
      <c r="J875" s="55"/>
      <c r="K875" s="55"/>
      <c r="L875" s="63"/>
      <c r="M875" s="55"/>
      <c r="N875" s="55"/>
      <c r="O875" s="55"/>
      <c r="P875" s="55"/>
      <c r="Q875" s="55"/>
      <c r="R875" s="63"/>
      <c r="S875" s="55"/>
    </row>
    <row r="876" spans="1:19" ht="15" x14ac:dyDescent="0.25">
      <c r="A876" s="109"/>
      <c r="B876" s="109"/>
      <c r="C876" s="55"/>
      <c r="D876" s="55"/>
      <c r="E876" s="55"/>
      <c r="F876" s="55"/>
      <c r="G876" s="63"/>
      <c r="H876" s="55"/>
      <c r="I876" s="55"/>
      <c r="J876" s="55"/>
      <c r="K876" s="55"/>
      <c r="L876" s="63"/>
      <c r="M876" s="55"/>
      <c r="N876" s="55"/>
      <c r="O876" s="55"/>
      <c r="P876" s="55"/>
      <c r="Q876" s="55"/>
      <c r="R876" s="63"/>
      <c r="S876" s="55"/>
    </row>
    <row r="877" spans="1:19" ht="15" x14ac:dyDescent="0.25">
      <c r="A877" s="109"/>
      <c r="B877" s="109"/>
      <c r="C877" s="55"/>
      <c r="D877" s="55"/>
      <c r="E877" s="55"/>
      <c r="F877" s="55"/>
      <c r="G877" s="63"/>
      <c r="H877" s="55"/>
      <c r="I877" s="55"/>
      <c r="J877" s="55"/>
      <c r="K877" s="55"/>
      <c r="L877" s="63"/>
      <c r="M877" s="55"/>
      <c r="N877" s="55"/>
      <c r="O877" s="55"/>
      <c r="P877" s="55"/>
      <c r="Q877" s="55"/>
      <c r="R877" s="63"/>
      <c r="S877" s="55"/>
    </row>
    <row r="878" spans="1:19" ht="15" x14ac:dyDescent="0.25">
      <c r="A878" s="109"/>
      <c r="B878" s="109"/>
      <c r="C878" s="55"/>
      <c r="D878" s="55"/>
      <c r="E878" s="55"/>
      <c r="F878" s="55"/>
      <c r="G878" s="63"/>
      <c r="H878" s="55"/>
      <c r="I878" s="55"/>
      <c r="J878" s="55"/>
      <c r="K878" s="55"/>
      <c r="L878" s="63"/>
      <c r="M878" s="55"/>
      <c r="N878" s="55"/>
      <c r="O878" s="55"/>
      <c r="P878" s="55"/>
      <c r="Q878" s="55"/>
      <c r="R878" s="63"/>
      <c r="S878" s="55"/>
    </row>
    <row r="879" spans="1:19" ht="15" x14ac:dyDescent="0.25">
      <c r="A879" s="109"/>
      <c r="B879" s="109"/>
      <c r="C879" s="55"/>
      <c r="D879" s="55"/>
      <c r="E879" s="55"/>
      <c r="F879" s="55"/>
      <c r="G879" s="63"/>
      <c r="H879" s="55"/>
      <c r="I879" s="55"/>
      <c r="J879" s="55"/>
      <c r="K879" s="55"/>
      <c r="L879" s="63"/>
      <c r="M879" s="55"/>
      <c r="N879" s="55"/>
      <c r="O879" s="55"/>
      <c r="P879" s="55"/>
      <c r="Q879" s="55"/>
      <c r="R879" s="63"/>
      <c r="S879" s="55"/>
    </row>
    <row r="880" spans="1:19" ht="15" x14ac:dyDescent="0.25">
      <c r="A880" s="109"/>
      <c r="B880" s="109"/>
      <c r="C880" s="55"/>
      <c r="D880" s="55"/>
      <c r="E880" s="55"/>
      <c r="F880" s="55"/>
      <c r="G880" s="63"/>
      <c r="H880" s="55"/>
      <c r="I880" s="55"/>
      <c r="J880" s="55"/>
      <c r="K880" s="55"/>
      <c r="L880" s="63"/>
      <c r="M880" s="55"/>
      <c r="N880" s="55"/>
      <c r="O880" s="55"/>
      <c r="P880" s="55"/>
      <c r="Q880" s="55"/>
      <c r="R880" s="63"/>
      <c r="S880" s="55"/>
    </row>
    <row r="881" spans="1:19" ht="15" x14ac:dyDescent="0.25">
      <c r="A881" s="109"/>
      <c r="B881" s="109"/>
      <c r="C881" s="55"/>
      <c r="D881" s="55"/>
      <c r="E881" s="55"/>
      <c r="F881" s="55"/>
      <c r="G881" s="63"/>
      <c r="H881" s="55"/>
      <c r="I881" s="55"/>
      <c r="J881" s="55"/>
      <c r="K881" s="55"/>
      <c r="L881" s="63"/>
      <c r="M881" s="55"/>
      <c r="N881" s="55"/>
      <c r="O881" s="55"/>
      <c r="P881" s="55"/>
      <c r="Q881" s="55"/>
      <c r="R881" s="63"/>
      <c r="S881" s="55"/>
    </row>
    <row r="882" spans="1:19" ht="15" x14ac:dyDescent="0.25">
      <c r="A882" s="109"/>
      <c r="B882" s="109"/>
      <c r="C882" s="55"/>
      <c r="D882" s="55"/>
      <c r="E882" s="55"/>
      <c r="F882" s="55"/>
      <c r="G882" s="63"/>
      <c r="H882" s="55"/>
      <c r="I882" s="55"/>
      <c r="J882" s="55"/>
      <c r="K882" s="55"/>
      <c r="L882" s="63"/>
      <c r="M882" s="55"/>
      <c r="N882" s="55"/>
      <c r="O882" s="55"/>
      <c r="P882" s="55"/>
      <c r="Q882" s="55"/>
      <c r="R882" s="63"/>
      <c r="S882" s="55"/>
    </row>
    <row r="883" spans="1:19" ht="15" x14ac:dyDescent="0.25">
      <c r="A883" s="109"/>
      <c r="B883" s="109"/>
      <c r="C883" s="55"/>
      <c r="D883" s="55"/>
      <c r="E883" s="55"/>
      <c r="F883" s="55"/>
      <c r="G883" s="63"/>
      <c r="H883" s="55"/>
      <c r="I883" s="55"/>
      <c r="J883" s="55"/>
      <c r="K883" s="55"/>
      <c r="L883" s="63"/>
      <c r="M883" s="55"/>
      <c r="N883" s="55"/>
      <c r="O883" s="55"/>
      <c r="P883" s="55"/>
      <c r="Q883" s="55"/>
      <c r="R883" s="63"/>
      <c r="S883" s="55"/>
    </row>
    <row r="884" spans="1:19" ht="15" x14ac:dyDescent="0.25">
      <c r="A884" s="109"/>
      <c r="B884" s="109"/>
      <c r="C884" s="55"/>
      <c r="D884" s="55"/>
      <c r="E884" s="55"/>
      <c r="F884" s="55"/>
      <c r="G884" s="63"/>
      <c r="H884" s="55"/>
      <c r="I884" s="55"/>
      <c r="J884" s="55"/>
      <c r="K884" s="55"/>
      <c r="L884" s="63"/>
      <c r="M884" s="55"/>
      <c r="N884" s="55"/>
      <c r="O884" s="55"/>
      <c r="P884" s="55"/>
      <c r="Q884" s="55"/>
      <c r="R884" s="63"/>
      <c r="S884" s="55"/>
    </row>
    <row r="885" spans="1:19" ht="15" x14ac:dyDescent="0.25">
      <c r="A885" s="109"/>
      <c r="B885" s="109"/>
      <c r="C885" s="55"/>
      <c r="D885" s="55"/>
      <c r="E885" s="55"/>
      <c r="F885" s="55"/>
      <c r="G885" s="63"/>
      <c r="H885" s="55"/>
      <c r="I885" s="55"/>
      <c r="J885" s="55"/>
      <c r="K885" s="55"/>
      <c r="L885" s="63"/>
      <c r="M885" s="55"/>
      <c r="N885" s="55"/>
      <c r="O885" s="55"/>
      <c r="P885" s="55"/>
      <c r="Q885" s="55"/>
      <c r="R885" s="63"/>
      <c r="S885" s="55"/>
    </row>
    <row r="886" spans="1:19" ht="15" x14ac:dyDescent="0.25">
      <c r="A886" s="109"/>
      <c r="B886" s="109"/>
      <c r="C886" s="55"/>
      <c r="D886" s="55"/>
      <c r="E886" s="55"/>
      <c r="F886" s="55"/>
      <c r="G886" s="63"/>
      <c r="H886" s="55"/>
      <c r="I886" s="55"/>
      <c r="J886" s="55"/>
      <c r="K886" s="55"/>
      <c r="L886" s="63"/>
      <c r="M886" s="55"/>
      <c r="N886" s="55"/>
      <c r="O886" s="55"/>
      <c r="P886" s="55"/>
      <c r="Q886" s="55"/>
      <c r="R886" s="63"/>
      <c r="S886" s="55"/>
    </row>
    <row r="887" spans="1:19" ht="15" x14ac:dyDescent="0.25">
      <c r="A887" s="109"/>
      <c r="B887" s="109"/>
      <c r="C887" s="55"/>
      <c r="D887" s="55"/>
      <c r="E887" s="55"/>
      <c r="F887" s="55"/>
      <c r="G887" s="63"/>
      <c r="H887" s="55"/>
      <c r="I887" s="55"/>
      <c r="J887" s="55"/>
      <c r="K887" s="55"/>
      <c r="L887" s="63"/>
      <c r="M887" s="55"/>
      <c r="N887" s="55"/>
      <c r="O887" s="55"/>
      <c r="P887" s="55"/>
      <c r="Q887" s="55"/>
      <c r="R887" s="63"/>
      <c r="S887" s="55"/>
    </row>
    <row r="888" spans="1:19" ht="15" x14ac:dyDescent="0.25">
      <c r="A888" s="109"/>
      <c r="B888" s="109"/>
      <c r="C888" s="55"/>
      <c r="D888" s="55"/>
      <c r="E888" s="55"/>
      <c r="F888" s="55"/>
      <c r="G888" s="63"/>
      <c r="H888" s="55"/>
      <c r="I888" s="55"/>
      <c r="J888" s="55"/>
      <c r="K888" s="55"/>
      <c r="L888" s="63"/>
      <c r="M888" s="55"/>
      <c r="N888" s="55"/>
      <c r="O888" s="55"/>
      <c r="P888" s="55"/>
      <c r="Q888" s="55"/>
      <c r="R888" s="63"/>
      <c r="S888" s="55"/>
    </row>
    <row r="889" spans="1:19" ht="15" x14ac:dyDescent="0.25">
      <c r="A889" s="109"/>
      <c r="B889" s="109"/>
      <c r="C889" s="55"/>
      <c r="D889" s="55"/>
      <c r="E889" s="55"/>
      <c r="F889" s="55"/>
      <c r="G889" s="63"/>
      <c r="H889" s="55"/>
      <c r="I889" s="55"/>
      <c r="J889" s="55"/>
      <c r="K889" s="55"/>
      <c r="L889" s="63"/>
      <c r="M889" s="55"/>
      <c r="N889" s="55"/>
      <c r="O889" s="55"/>
      <c r="P889" s="55"/>
      <c r="Q889" s="55"/>
      <c r="R889" s="63"/>
      <c r="S889" s="55"/>
    </row>
    <row r="890" spans="1:19" ht="15" x14ac:dyDescent="0.25">
      <c r="A890" s="109"/>
      <c r="B890" s="109"/>
      <c r="C890" s="55"/>
      <c r="D890" s="55"/>
      <c r="E890" s="55"/>
      <c r="F890" s="55"/>
      <c r="G890" s="63"/>
      <c r="H890" s="55"/>
      <c r="I890" s="55"/>
      <c r="J890" s="55"/>
      <c r="K890" s="55"/>
      <c r="L890" s="63"/>
      <c r="M890" s="55"/>
      <c r="N890" s="55"/>
      <c r="O890" s="55"/>
      <c r="P890" s="55"/>
      <c r="Q890" s="55"/>
      <c r="R890" s="63"/>
      <c r="S890" s="55"/>
    </row>
    <row r="891" spans="1:19" ht="15" x14ac:dyDescent="0.25">
      <c r="A891" s="109"/>
      <c r="B891" s="109"/>
      <c r="C891" s="55"/>
      <c r="D891" s="55"/>
      <c r="E891" s="55"/>
      <c r="F891" s="55"/>
      <c r="G891" s="63"/>
      <c r="H891" s="55"/>
      <c r="I891" s="55"/>
      <c r="J891" s="55"/>
      <c r="K891" s="55"/>
      <c r="L891" s="63"/>
      <c r="M891" s="55"/>
      <c r="N891" s="55"/>
      <c r="O891" s="55"/>
      <c r="P891" s="55"/>
      <c r="Q891" s="55"/>
      <c r="R891" s="63"/>
      <c r="S891" s="55"/>
    </row>
    <row r="892" spans="1:19" ht="15" x14ac:dyDescent="0.25">
      <c r="A892" s="109"/>
      <c r="B892" s="109"/>
      <c r="C892" s="55"/>
      <c r="D892" s="55"/>
      <c r="E892" s="55"/>
      <c r="F892" s="55"/>
      <c r="G892" s="63"/>
      <c r="H892" s="55"/>
      <c r="I892" s="55"/>
      <c r="J892" s="55"/>
      <c r="K892" s="55"/>
      <c r="L892" s="63"/>
      <c r="M892" s="55"/>
      <c r="N892" s="55"/>
      <c r="O892" s="55"/>
      <c r="P892" s="55"/>
      <c r="Q892" s="55"/>
      <c r="R892" s="63"/>
      <c r="S892" s="55"/>
    </row>
    <row r="893" spans="1:19" ht="15" x14ac:dyDescent="0.25">
      <c r="A893" s="109"/>
      <c r="B893" s="109"/>
      <c r="C893" s="55"/>
      <c r="D893" s="55"/>
      <c r="E893" s="55"/>
      <c r="F893" s="55"/>
      <c r="G893" s="63"/>
      <c r="H893" s="55"/>
      <c r="I893" s="55"/>
      <c r="J893" s="55"/>
      <c r="K893" s="55"/>
      <c r="L893" s="63"/>
      <c r="M893" s="55"/>
      <c r="N893" s="55"/>
      <c r="O893" s="55"/>
      <c r="P893" s="55"/>
      <c r="Q893" s="55"/>
      <c r="R893" s="63"/>
      <c r="S893" s="55"/>
    </row>
    <row r="894" spans="1:19" ht="15" x14ac:dyDescent="0.25">
      <c r="A894" s="109"/>
      <c r="B894" s="109"/>
      <c r="C894" s="55"/>
      <c r="D894" s="55"/>
      <c r="E894" s="55"/>
      <c r="F894" s="55"/>
      <c r="G894" s="63"/>
      <c r="H894" s="55"/>
      <c r="I894" s="55"/>
      <c r="J894" s="55"/>
      <c r="K894" s="55"/>
      <c r="L894" s="63"/>
      <c r="M894" s="55"/>
      <c r="N894" s="55"/>
      <c r="O894" s="55"/>
      <c r="P894" s="55"/>
      <c r="Q894" s="55"/>
      <c r="R894" s="63"/>
      <c r="S894" s="55"/>
    </row>
    <row r="895" spans="1:19" ht="15" x14ac:dyDescent="0.25">
      <c r="A895" s="109"/>
      <c r="B895" s="109"/>
      <c r="C895" s="55"/>
      <c r="D895" s="55"/>
      <c r="E895" s="55"/>
      <c r="F895" s="55"/>
      <c r="G895" s="63"/>
      <c r="H895" s="55"/>
      <c r="I895" s="55"/>
      <c r="J895" s="55"/>
      <c r="K895" s="55"/>
      <c r="L895" s="63"/>
      <c r="M895" s="55"/>
      <c r="N895" s="55"/>
      <c r="O895" s="55"/>
      <c r="P895" s="55"/>
      <c r="Q895" s="55"/>
      <c r="R895" s="63"/>
      <c r="S895" s="55"/>
    </row>
    <row r="896" spans="1:19" ht="15" x14ac:dyDescent="0.25">
      <c r="A896" s="109"/>
      <c r="B896" s="109"/>
      <c r="C896" s="55"/>
      <c r="D896" s="55"/>
      <c r="E896" s="55"/>
      <c r="F896" s="55"/>
      <c r="G896" s="63"/>
      <c r="H896" s="55"/>
      <c r="I896" s="55"/>
      <c r="J896" s="55"/>
      <c r="K896" s="55"/>
      <c r="L896" s="63"/>
      <c r="M896" s="55"/>
      <c r="N896" s="55"/>
      <c r="O896" s="55"/>
      <c r="P896" s="55"/>
      <c r="Q896" s="55"/>
      <c r="R896" s="63"/>
      <c r="S896" s="55"/>
    </row>
    <row r="897" spans="1:19" ht="15" x14ac:dyDescent="0.25">
      <c r="A897" s="109"/>
      <c r="B897" s="109"/>
      <c r="C897" s="55"/>
      <c r="D897" s="55"/>
      <c r="E897" s="55"/>
      <c r="F897" s="55"/>
      <c r="G897" s="63"/>
      <c r="H897" s="55"/>
      <c r="I897" s="55"/>
      <c r="J897" s="55"/>
      <c r="K897" s="55"/>
      <c r="L897" s="63"/>
      <c r="M897" s="55"/>
      <c r="N897" s="55"/>
      <c r="O897" s="55"/>
      <c r="P897" s="55"/>
      <c r="Q897" s="55"/>
      <c r="R897" s="63"/>
      <c r="S897" s="55"/>
    </row>
    <row r="898" spans="1:19" ht="15" x14ac:dyDescent="0.25">
      <c r="A898" s="109"/>
      <c r="B898" s="109"/>
      <c r="C898" s="55"/>
      <c r="D898" s="55"/>
      <c r="E898" s="55"/>
      <c r="F898" s="55"/>
      <c r="G898" s="63"/>
      <c r="H898" s="55"/>
      <c r="I898" s="55"/>
      <c r="J898" s="55"/>
      <c r="K898" s="55"/>
      <c r="L898" s="63"/>
      <c r="M898" s="55"/>
      <c r="N898" s="55"/>
      <c r="O898" s="55"/>
      <c r="P898" s="55"/>
      <c r="Q898" s="55"/>
      <c r="R898" s="63"/>
      <c r="S898" s="55"/>
    </row>
    <row r="899" spans="1:19" ht="15" x14ac:dyDescent="0.25">
      <c r="A899" s="109"/>
      <c r="B899" s="109"/>
      <c r="C899" s="55"/>
      <c r="D899" s="55"/>
      <c r="E899" s="55"/>
      <c r="F899" s="55"/>
      <c r="G899" s="63"/>
      <c r="H899" s="55"/>
      <c r="I899" s="55"/>
      <c r="J899" s="55"/>
      <c r="K899" s="55"/>
      <c r="L899" s="63"/>
      <c r="M899" s="55"/>
      <c r="N899" s="55"/>
      <c r="O899" s="55"/>
      <c r="P899" s="55"/>
      <c r="Q899" s="55"/>
      <c r="R899" s="63"/>
      <c r="S899" s="55"/>
    </row>
    <row r="900" spans="1:19" ht="15" x14ac:dyDescent="0.25">
      <c r="A900" s="109"/>
      <c r="B900" s="109"/>
      <c r="C900" s="55"/>
      <c r="D900" s="55"/>
      <c r="E900" s="55"/>
      <c r="F900" s="55"/>
      <c r="G900" s="63"/>
      <c r="H900" s="55"/>
      <c r="I900" s="55"/>
      <c r="J900" s="55"/>
      <c r="K900" s="55"/>
      <c r="L900" s="63"/>
      <c r="M900" s="55"/>
      <c r="N900" s="55"/>
      <c r="O900" s="55"/>
      <c r="P900" s="55"/>
      <c r="Q900" s="55"/>
      <c r="R900" s="63"/>
      <c r="S900" s="55"/>
    </row>
    <row r="901" spans="1:19" ht="15" x14ac:dyDescent="0.25">
      <c r="A901" s="109"/>
      <c r="B901" s="109"/>
      <c r="C901" s="55"/>
      <c r="D901" s="55"/>
      <c r="E901" s="55"/>
      <c r="F901" s="55"/>
      <c r="G901" s="63"/>
      <c r="H901" s="55"/>
      <c r="I901" s="55"/>
      <c r="J901" s="55"/>
      <c r="K901" s="55"/>
      <c r="L901" s="63"/>
      <c r="M901" s="55"/>
      <c r="N901" s="55"/>
      <c r="O901" s="55"/>
      <c r="P901" s="55"/>
      <c r="Q901" s="55"/>
      <c r="R901" s="63"/>
      <c r="S901" s="55"/>
    </row>
    <row r="902" spans="1:19" ht="15" x14ac:dyDescent="0.25">
      <c r="A902" s="109"/>
      <c r="B902" s="109"/>
      <c r="C902" s="55"/>
      <c r="D902" s="55"/>
      <c r="E902" s="55"/>
      <c r="F902" s="55"/>
      <c r="G902" s="63"/>
      <c r="H902" s="55"/>
      <c r="I902" s="55"/>
      <c r="J902" s="55"/>
      <c r="K902" s="55"/>
      <c r="L902" s="63"/>
      <c r="M902" s="55"/>
      <c r="N902" s="55"/>
      <c r="O902" s="55"/>
      <c r="P902" s="55"/>
      <c r="Q902" s="55"/>
      <c r="R902" s="63"/>
      <c r="S902" s="55"/>
    </row>
    <row r="903" spans="1:19" ht="15" x14ac:dyDescent="0.25">
      <c r="A903" s="109"/>
      <c r="B903" s="109"/>
      <c r="C903" s="55"/>
      <c r="D903" s="55"/>
      <c r="E903" s="55"/>
      <c r="F903" s="55"/>
      <c r="G903" s="63"/>
      <c r="H903" s="55"/>
      <c r="I903" s="55"/>
      <c r="J903" s="55"/>
      <c r="K903" s="55"/>
      <c r="L903" s="63"/>
      <c r="M903" s="55"/>
      <c r="N903" s="55"/>
      <c r="O903" s="55"/>
      <c r="P903" s="55"/>
      <c r="Q903" s="55"/>
      <c r="R903" s="63"/>
      <c r="S903" s="55"/>
    </row>
    <row r="904" spans="1:19" ht="15" x14ac:dyDescent="0.25">
      <c r="A904" s="109"/>
      <c r="B904" s="109"/>
      <c r="C904" s="55"/>
      <c r="D904" s="55"/>
      <c r="E904" s="55"/>
      <c r="F904" s="55"/>
      <c r="G904" s="63"/>
      <c r="H904" s="55"/>
      <c r="I904" s="55"/>
      <c r="J904" s="55"/>
      <c r="K904" s="55"/>
      <c r="L904" s="63"/>
      <c r="M904" s="55"/>
      <c r="N904" s="55"/>
      <c r="O904" s="55"/>
      <c r="P904" s="55"/>
      <c r="Q904" s="55"/>
      <c r="R904" s="63"/>
      <c r="S904" s="55"/>
    </row>
    <row r="905" spans="1:19" ht="15" x14ac:dyDescent="0.25">
      <c r="A905" s="109"/>
      <c r="B905" s="109"/>
      <c r="C905" s="55"/>
      <c r="D905" s="55"/>
      <c r="E905" s="55"/>
      <c r="F905" s="55"/>
      <c r="G905" s="63"/>
      <c r="H905" s="55"/>
      <c r="I905" s="55"/>
      <c r="J905" s="55"/>
      <c r="K905" s="55"/>
      <c r="L905" s="63"/>
      <c r="M905" s="55"/>
      <c r="N905" s="55"/>
      <c r="O905" s="55"/>
      <c r="P905" s="55"/>
      <c r="Q905" s="55"/>
      <c r="R905" s="63"/>
      <c r="S905" s="55"/>
    </row>
    <row r="906" spans="1:19" ht="15" x14ac:dyDescent="0.25">
      <c r="A906" s="109"/>
      <c r="B906" s="109"/>
      <c r="C906" s="55"/>
      <c r="D906" s="55"/>
      <c r="E906" s="55"/>
      <c r="F906" s="55"/>
      <c r="G906" s="63"/>
      <c r="H906" s="55"/>
      <c r="I906" s="55"/>
      <c r="J906" s="55"/>
      <c r="K906" s="55"/>
      <c r="L906" s="63"/>
      <c r="M906" s="55"/>
      <c r="N906" s="55"/>
      <c r="O906" s="55"/>
      <c r="P906" s="55"/>
      <c r="Q906" s="55"/>
      <c r="R906" s="63"/>
      <c r="S906" s="55"/>
    </row>
    <row r="907" spans="1:19" ht="15" x14ac:dyDescent="0.25">
      <c r="A907" s="109"/>
      <c r="B907" s="109"/>
      <c r="C907" s="55"/>
      <c r="D907" s="55"/>
      <c r="E907" s="55"/>
      <c r="F907" s="55"/>
      <c r="G907" s="63"/>
      <c r="H907" s="55"/>
      <c r="I907" s="55"/>
      <c r="J907" s="55"/>
      <c r="K907" s="55"/>
      <c r="L907" s="63"/>
      <c r="M907" s="55"/>
      <c r="N907" s="55"/>
      <c r="O907" s="55"/>
      <c r="P907" s="55"/>
      <c r="Q907" s="55"/>
      <c r="R907" s="63"/>
      <c r="S907" s="55"/>
    </row>
    <row r="908" spans="1:19" ht="15" x14ac:dyDescent="0.25">
      <c r="A908" s="109"/>
      <c r="B908" s="109"/>
      <c r="C908" s="55"/>
      <c r="D908" s="55"/>
      <c r="E908" s="55"/>
      <c r="F908" s="55"/>
      <c r="G908" s="63"/>
      <c r="H908" s="55"/>
      <c r="I908" s="55"/>
      <c r="J908" s="55"/>
      <c r="K908" s="55"/>
      <c r="L908" s="63"/>
      <c r="M908" s="55"/>
      <c r="N908" s="55"/>
      <c r="O908" s="55"/>
      <c r="P908" s="55"/>
      <c r="Q908" s="55"/>
      <c r="R908" s="63"/>
      <c r="S908" s="55"/>
    </row>
    <row r="909" spans="1:19" ht="15" x14ac:dyDescent="0.25">
      <c r="A909" s="109"/>
      <c r="B909" s="109"/>
      <c r="C909" s="55"/>
      <c r="D909" s="55"/>
      <c r="E909" s="55"/>
      <c r="F909" s="55"/>
      <c r="G909" s="63"/>
      <c r="H909" s="55"/>
      <c r="I909" s="55"/>
      <c r="J909" s="55"/>
      <c r="K909" s="55"/>
      <c r="L909" s="63"/>
      <c r="M909" s="55"/>
      <c r="N909" s="55"/>
      <c r="O909" s="55"/>
      <c r="P909" s="55"/>
      <c r="Q909" s="55"/>
      <c r="R909" s="63"/>
      <c r="S909" s="55"/>
    </row>
    <row r="910" spans="1:19" ht="15" x14ac:dyDescent="0.25">
      <c r="A910" s="109"/>
      <c r="B910" s="109"/>
      <c r="C910" s="55"/>
      <c r="D910" s="55"/>
      <c r="E910" s="55"/>
      <c r="F910" s="55"/>
      <c r="G910" s="63"/>
      <c r="H910" s="55"/>
      <c r="I910" s="55"/>
      <c r="J910" s="55"/>
      <c r="K910" s="55"/>
      <c r="L910" s="63"/>
      <c r="M910" s="55"/>
      <c r="N910" s="55"/>
      <c r="O910" s="55"/>
      <c r="P910" s="55"/>
      <c r="Q910" s="55"/>
      <c r="R910" s="63"/>
      <c r="S910" s="55"/>
    </row>
    <row r="911" spans="1:19" ht="15" x14ac:dyDescent="0.25">
      <c r="A911" s="109"/>
      <c r="B911" s="109"/>
      <c r="C911" s="55"/>
      <c r="D911" s="55"/>
      <c r="E911" s="55"/>
      <c r="F911" s="55"/>
      <c r="G911" s="63"/>
      <c r="H911" s="55"/>
      <c r="I911" s="55"/>
      <c r="J911" s="55"/>
      <c r="K911" s="55"/>
      <c r="L911" s="63"/>
      <c r="M911" s="55"/>
      <c r="N911" s="55"/>
      <c r="O911" s="55"/>
      <c r="P911" s="55"/>
      <c r="Q911" s="55"/>
      <c r="R911" s="63"/>
      <c r="S911" s="55"/>
    </row>
    <row r="912" spans="1:19" ht="15" x14ac:dyDescent="0.25">
      <c r="A912" s="109"/>
      <c r="B912" s="109"/>
      <c r="C912" s="55"/>
      <c r="D912" s="55"/>
      <c r="E912" s="55"/>
      <c r="F912" s="55"/>
      <c r="G912" s="63"/>
      <c r="H912" s="55"/>
      <c r="I912" s="55"/>
      <c r="J912" s="55"/>
      <c r="K912" s="55"/>
      <c r="L912" s="63"/>
      <c r="M912" s="55"/>
      <c r="N912" s="55"/>
      <c r="O912" s="55"/>
      <c r="P912" s="55"/>
      <c r="Q912" s="55"/>
      <c r="R912" s="63"/>
      <c r="S912" s="55"/>
    </row>
    <row r="913" spans="1:19" ht="15" x14ac:dyDescent="0.25">
      <c r="A913" s="109"/>
      <c r="B913" s="109"/>
      <c r="C913" s="55"/>
      <c r="D913" s="55"/>
      <c r="E913" s="55"/>
      <c r="F913" s="55"/>
      <c r="G913" s="63"/>
      <c r="H913" s="55"/>
      <c r="I913" s="55"/>
      <c r="J913" s="55"/>
      <c r="K913" s="55"/>
      <c r="L913" s="63"/>
      <c r="M913" s="55"/>
      <c r="N913" s="55"/>
      <c r="O913" s="55"/>
      <c r="P913" s="55"/>
      <c r="Q913" s="55"/>
      <c r="R913" s="63"/>
      <c r="S913" s="55"/>
    </row>
    <row r="914" spans="1:19" ht="15" x14ac:dyDescent="0.25">
      <c r="A914" s="109"/>
      <c r="B914" s="109"/>
      <c r="C914" s="55"/>
      <c r="D914" s="55"/>
      <c r="E914" s="55"/>
      <c r="F914" s="55"/>
      <c r="G914" s="63"/>
      <c r="H914" s="55"/>
      <c r="I914" s="55"/>
      <c r="J914" s="55"/>
      <c r="K914" s="55"/>
      <c r="L914" s="63"/>
      <c r="M914" s="55"/>
      <c r="N914" s="55"/>
      <c r="O914" s="55"/>
      <c r="P914" s="55"/>
      <c r="Q914" s="55"/>
      <c r="R914" s="63"/>
      <c r="S914" s="55"/>
    </row>
    <row r="915" spans="1:19" ht="15" x14ac:dyDescent="0.25">
      <c r="A915" s="109"/>
      <c r="B915" s="109"/>
      <c r="C915" s="55"/>
      <c r="D915" s="55"/>
      <c r="E915" s="55"/>
      <c r="F915" s="55"/>
      <c r="G915" s="63"/>
      <c r="H915" s="55"/>
      <c r="I915" s="55"/>
      <c r="J915" s="55"/>
      <c r="K915" s="55"/>
      <c r="L915" s="63"/>
      <c r="M915" s="55"/>
      <c r="N915" s="55"/>
      <c r="O915" s="55"/>
      <c r="P915" s="55"/>
      <c r="Q915" s="55"/>
      <c r="R915" s="63"/>
      <c r="S915" s="55"/>
    </row>
    <row r="916" spans="1:19" ht="15" x14ac:dyDescent="0.25">
      <c r="A916" s="109"/>
      <c r="B916" s="109"/>
      <c r="C916" s="55"/>
      <c r="D916" s="55"/>
      <c r="E916" s="55"/>
      <c r="F916" s="55"/>
      <c r="G916" s="63"/>
      <c r="H916" s="55"/>
      <c r="I916" s="55"/>
      <c r="J916" s="55"/>
      <c r="K916" s="55"/>
      <c r="L916" s="63"/>
      <c r="M916" s="55"/>
      <c r="N916" s="55"/>
      <c r="O916" s="55"/>
      <c r="P916" s="55"/>
      <c r="Q916" s="55"/>
      <c r="R916" s="63"/>
      <c r="S916" s="55"/>
    </row>
    <row r="917" spans="1:19" ht="15" x14ac:dyDescent="0.25">
      <c r="A917" s="109"/>
      <c r="B917" s="109"/>
      <c r="C917" s="55"/>
      <c r="D917" s="55"/>
      <c r="E917" s="55"/>
      <c r="F917" s="55"/>
      <c r="G917" s="63"/>
      <c r="H917" s="55"/>
      <c r="I917" s="55"/>
      <c r="J917" s="55"/>
      <c r="K917" s="55"/>
      <c r="L917" s="63"/>
      <c r="M917" s="55"/>
      <c r="N917" s="55"/>
      <c r="O917" s="55"/>
      <c r="P917" s="55"/>
      <c r="Q917" s="55"/>
      <c r="R917" s="63"/>
      <c r="S917" s="55"/>
    </row>
    <row r="918" spans="1:19" ht="15" x14ac:dyDescent="0.25">
      <c r="A918" s="109"/>
      <c r="B918" s="109"/>
      <c r="C918" s="55"/>
      <c r="D918" s="55"/>
      <c r="E918" s="55"/>
      <c r="F918" s="55"/>
      <c r="G918" s="63"/>
      <c r="H918" s="55"/>
      <c r="I918" s="55"/>
      <c r="J918" s="55"/>
      <c r="K918" s="55"/>
      <c r="L918" s="63"/>
      <c r="M918" s="55"/>
      <c r="N918" s="55"/>
      <c r="O918" s="55"/>
      <c r="P918" s="55"/>
      <c r="Q918" s="55"/>
      <c r="R918" s="63"/>
      <c r="S918" s="55"/>
    </row>
    <row r="919" spans="1:19" ht="15" x14ac:dyDescent="0.25">
      <c r="A919" s="109"/>
      <c r="B919" s="109"/>
      <c r="C919" s="55"/>
      <c r="D919" s="55"/>
      <c r="E919" s="55"/>
      <c r="F919" s="55"/>
      <c r="G919" s="63"/>
      <c r="H919" s="55"/>
      <c r="I919" s="55"/>
      <c r="J919" s="55"/>
      <c r="K919" s="55"/>
      <c r="L919" s="63"/>
      <c r="M919" s="55"/>
      <c r="N919" s="55"/>
      <c r="O919" s="55"/>
      <c r="P919" s="55"/>
      <c r="Q919" s="55"/>
      <c r="R919" s="63"/>
      <c r="S919" s="55"/>
    </row>
    <row r="920" spans="1:19" ht="15" x14ac:dyDescent="0.25">
      <c r="A920" s="109"/>
      <c r="B920" s="109"/>
      <c r="C920" s="55"/>
      <c r="D920" s="55"/>
      <c r="E920" s="55"/>
      <c r="F920" s="55"/>
      <c r="G920" s="63"/>
      <c r="H920" s="55"/>
      <c r="I920" s="55"/>
      <c r="J920" s="55"/>
      <c r="K920" s="55"/>
      <c r="L920" s="63"/>
      <c r="M920" s="55"/>
      <c r="N920" s="55"/>
      <c r="O920" s="55"/>
      <c r="P920" s="55"/>
      <c r="Q920" s="55"/>
      <c r="R920" s="63"/>
      <c r="S920" s="55"/>
    </row>
    <row r="921" spans="1:19" ht="15" x14ac:dyDescent="0.25">
      <c r="A921" s="109"/>
      <c r="B921" s="109"/>
      <c r="C921" s="55"/>
      <c r="D921" s="55"/>
      <c r="E921" s="55"/>
      <c r="F921" s="55"/>
      <c r="G921" s="63"/>
      <c r="H921" s="55"/>
      <c r="I921" s="55"/>
      <c r="J921" s="55"/>
      <c r="K921" s="55"/>
      <c r="L921" s="63"/>
      <c r="M921" s="55"/>
      <c r="N921" s="55"/>
      <c r="O921" s="55"/>
      <c r="P921" s="55"/>
      <c r="Q921" s="55"/>
      <c r="R921" s="63"/>
      <c r="S921" s="55"/>
    </row>
    <row r="922" spans="1:19" ht="15" x14ac:dyDescent="0.25">
      <c r="A922" s="109"/>
      <c r="B922" s="109"/>
      <c r="C922" s="55"/>
      <c r="D922" s="55"/>
      <c r="E922" s="55"/>
      <c r="F922" s="55"/>
      <c r="G922" s="63"/>
      <c r="H922" s="55"/>
      <c r="I922" s="55"/>
      <c r="J922" s="55"/>
      <c r="K922" s="55"/>
      <c r="L922" s="63"/>
      <c r="M922" s="55"/>
      <c r="N922" s="55"/>
      <c r="O922" s="55"/>
      <c r="P922" s="55"/>
      <c r="Q922" s="55"/>
      <c r="R922" s="63"/>
      <c r="S922" s="55"/>
    </row>
    <row r="923" spans="1:19" ht="15" x14ac:dyDescent="0.25">
      <c r="A923" s="109"/>
      <c r="B923" s="109"/>
      <c r="C923" s="55"/>
      <c r="D923" s="55"/>
      <c r="E923" s="55"/>
      <c r="F923" s="55"/>
      <c r="G923" s="63"/>
      <c r="H923" s="55"/>
      <c r="I923" s="55"/>
      <c r="J923" s="55"/>
      <c r="K923" s="55"/>
      <c r="L923" s="63"/>
      <c r="M923" s="55"/>
      <c r="N923" s="55"/>
      <c r="O923" s="55"/>
      <c r="P923" s="55"/>
      <c r="Q923" s="55"/>
      <c r="R923" s="63"/>
      <c r="S923" s="55"/>
    </row>
    <row r="924" spans="1:19" ht="15" x14ac:dyDescent="0.25">
      <c r="A924" s="109"/>
      <c r="B924" s="109"/>
      <c r="C924" s="55"/>
      <c r="D924" s="55"/>
      <c r="E924" s="55"/>
      <c r="F924" s="55"/>
      <c r="G924" s="63"/>
      <c r="H924" s="55"/>
      <c r="I924" s="55"/>
      <c r="J924" s="55"/>
      <c r="K924" s="55"/>
      <c r="L924" s="63"/>
      <c r="M924" s="55"/>
      <c r="N924" s="55"/>
      <c r="O924" s="55"/>
      <c r="P924" s="55"/>
      <c r="Q924" s="55"/>
      <c r="R924" s="63"/>
      <c r="S924" s="55"/>
    </row>
    <row r="925" spans="1:19" ht="15" x14ac:dyDescent="0.25">
      <c r="A925" s="109"/>
      <c r="B925" s="109"/>
      <c r="C925" s="55"/>
      <c r="D925" s="55"/>
      <c r="E925" s="55"/>
      <c r="F925" s="55"/>
      <c r="G925" s="63"/>
      <c r="H925" s="55"/>
      <c r="I925" s="55"/>
      <c r="J925" s="55"/>
      <c r="K925" s="55"/>
      <c r="L925" s="63"/>
      <c r="M925" s="55"/>
      <c r="N925" s="55"/>
      <c r="O925" s="55"/>
      <c r="P925" s="55"/>
      <c r="Q925" s="55"/>
      <c r="R925" s="63"/>
      <c r="S925" s="55"/>
    </row>
    <row r="926" spans="1:19" ht="15" x14ac:dyDescent="0.25">
      <c r="A926" s="109"/>
      <c r="B926" s="109"/>
      <c r="C926" s="55"/>
      <c r="D926" s="55"/>
      <c r="E926" s="55"/>
      <c r="F926" s="55"/>
      <c r="G926" s="63"/>
      <c r="H926" s="55"/>
      <c r="I926" s="55"/>
      <c r="J926" s="55"/>
      <c r="K926" s="55"/>
      <c r="L926" s="63"/>
      <c r="M926" s="55"/>
      <c r="N926" s="55"/>
      <c r="O926" s="55"/>
      <c r="P926" s="55"/>
      <c r="Q926" s="55"/>
      <c r="R926" s="63"/>
      <c r="S926" s="55"/>
    </row>
    <row r="927" spans="1:19" ht="15" x14ac:dyDescent="0.25">
      <c r="A927" s="109"/>
      <c r="B927" s="109"/>
      <c r="C927" s="55"/>
      <c r="D927" s="55"/>
      <c r="E927" s="55"/>
      <c r="F927" s="55"/>
      <c r="G927" s="63"/>
      <c r="H927" s="55"/>
      <c r="I927" s="55"/>
      <c r="J927" s="55"/>
      <c r="K927" s="55"/>
      <c r="L927" s="63"/>
      <c r="M927" s="55"/>
      <c r="N927" s="55"/>
      <c r="O927" s="55"/>
      <c r="P927" s="55"/>
      <c r="Q927" s="55"/>
      <c r="R927" s="63"/>
      <c r="S927" s="55"/>
    </row>
    <row r="928" spans="1:19" ht="15" x14ac:dyDescent="0.25">
      <c r="A928" s="109"/>
      <c r="B928" s="109"/>
      <c r="C928" s="55"/>
      <c r="D928" s="55"/>
      <c r="E928" s="55"/>
      <c r="F928" s="55"/>
      <c r="G928" s="63"/>
      <c r="H928" s="55"/>
      <c r="I928" s="55"/>
      <c r="J928" s="55"/>
      <c r="K928" s="55"/>
      <c r="L928" s="63"/>
      <c r="M928" s="55"/>
      <c r="N928" s="55"/>
      <c r="O928" s="55"/>
      <c r="P928" s="55"/>
      <c r="Q928" s="55"/>
      <c r="R928" s="63"/>
      <c r="S928" s="55"/>
    </row>
    <row r="929" spans="1:19" ht="15" x14ac:dyDescent="0.25">
      <c r="A929" s="109"/>
      <c r="B929" s="109"/>
      <c r="C929" s="55"/>
      <c r="D929" s="55"/>
      <c r="E929" s="55"/>
      <c r="F929" s="55"/>
      <c r="G929" s="63"/>
      <c r="H929" s="55"/>
      <c r="I929" s="55"/>
      <c r="J929" s="55"/>
      <c r="K929" s="55"/>
      <c r="L929" s="63"/>
      <c r="M929" s="55"/>
      <c r="N929" s="55"/>
      <c r="O929" s="55"/>
      <c r="P929" s="55"/>
      <c r="Q929" s="55"/>
      <c r="R929" s="63"/>
      <c r="S929" s="55"/>
    </row>
    <row r="930" spans="1:19" ht="15" x14ac:dyDescent="0.25">
      <c r="A930" s="109"/>
      <c r="B930" s="109"/>
      <c r="C930" s="55"/>
      <c r="D930" s="55"/>
      <c r="E930" s="55"/>
      <c r="F930" s="55"/>
      <c r="G930" s="63"/>
      <c r="H930" s="55"/>
      <c r="I930" s="55"/>
      <c r="J930" s="55"/>
      <c r="K930" s="55"/>
      <c r="L930" s="63"/>
      <c r="M930" s="55"/>
      <c r="N930" s="55"/>
      <c r="O930" s="55"/>
      <c r="P930" s="55"/>
      <c r="Q930" s="55"/>
      <c r="R930" s="63"/>
      <c r="S930" s="55"/>
    </row>
    <row r="931" spans="1:19" ht="15" x14ac:dyDescent="0.25">
      <c r="A931" s="109"/>
      <c r="B931" s="109"/>
      <c r="C931" s="55"/>
      <c r="D931" s="55"/>
      <c r="E931" s="55"/>
      <c r="F931" s="55"/>
      <c r="G931" s="63"/>
      <c r="H931" s="55"/>
      <c r="I931" s="55"/>
      <c r="J931" s="55"/>
      <c r="K931" s="55"/>
      <c r="L931" s="63"/>
      <c r="M931" s="55"/>
      <c r="N931" s="55"/>
      <c r="O931" s="55"/>
      <c r="P931" s="55"/>
      <c r="Q931" s="55"/>
      <c r="R931" s="63"/>
      <c r="S931" s="55"/>
    </row>
    <row r="932" spans="1:19" ht="15" x14ac:dyDescent="0.25">
      <c r="A932" s="109"/>
      <c r="B932" s="109"/>
      <c r="C932" s="55"/>
      <c r="D932" s="55"/>
      <c r="E932" s="55"/>
      <c r="F932" s="55"/>
      <c r="G932" s="63"/>
      <c r="H932" s="55"/>
      <c r="I932" s="55"/>
      <c r="J932" s="55"/>
      <c r="K932" s="55"/>
      <c r="L932" s="63"/>
      <c r="M932" s="55"/>
      <c r="N932" s="55"/>
      <c r="O932" s="55"/>
      <c r="P932" s="55"/>
      <c r="Q932" s="55"/>
      <c r="R932" s="63"/>
      <c r="S932" s="55"/>
    </row>
    <row r="933" spans="1:19" ht="15" x14ac:dyDescent="0.25">
      <c r="A933" s="109"/>
      <c r="B933" s="109"/>
      <c r="C933" s="55"/>
      <c r="D933" s="55"/>
      <c r="E933" s="55"/>
      <c r="F933" s="55"/>
      <c r="G933" s="63"/>
      <c r="H933" s="55"/>
      <c r="I933" s="55"/>
      <c r="J933" s="55"/>
      <c r="K933" s="55"/>
      <c r="L933" s="63"/>
      <c r="M933" s="55"/>
      <c r="N933" s="55"/>
      <c r="O933" s="55"/>
      <c r="P933" s="55"/>
      <c r="Q933" s="55"/>
      <c r="R933" s="63"/>
      <c r="S933" s="55"/>
    </row>
    <row r="934" spans="1:19" ht="15" x14ac:dyDescent="0.25">
      <c r="A934" s="109"/>
      <c r="B934" s="109"/>
      <c r="C934" s="55"/>
      <c r="D934" s="55"/>
      <c r="E934" s="55"/>
      <c r="F934" s="55"/>
      <c r="G934" s="63"/>
      <c r="H934" s="55"/>
      <c r="I934" s="55"/>
      <c r="J934" s="55"/>
      <c r="K934" s="55"/>
      <c r="L934" s="63"/>
      <c r="M934" s="55"/>
      <c r="N934" s="55"/>
      <c r="O934" s="55"/>
      <c r="P934" s="55"/>
      <c r="Q934" s="55"/>
      <c r="R934" s="63"/>
      <c r="S934" s="55"/>
    </row>
    <row r="935" spans="1:19" ht="15" x14ac:dyDescent="0.25">
      <c r="A935" s="109"/>
      <c r="B935" s="109"/>
      <c r="C935" s="55"/>
      <c r="D935" s="55"/>
      <c r="E935" s="55"/>
      <c r="F935" s="55"/>
      <c r="G935" s="63"/>
      <c r="H935" s="55"/>
      <c r="I935" s="55"/>
      <c r="J935" s="55"/>
      <c r="K935" s="55"/>
      <c r="L935" s="63"/>
      <c r="M935" s="55"/>
      <c r="N935" s="55"/>
      <c r="O935" s="55"/>
      <c r="P935" s="55"/>
      <c r="Q935" s="55"/>
      <c r="R935" s="63"/>
      <c r="S935" s="55"/>
    </row>
    <row r="936" spans="1:19" ht="15" x14ac:dyDescent="0.25">
      <c r="A936" s="109"/>
      <c r="B936" s="109"/>
      <c r="C936" s="55"/>
      <c r="D936" s="55"/>
      <c r="E936" s="55"/>
      <c r="F936" s="55"/>
      <c r="G936" s="63"/>
      <c r="H936" s="55"/>
      <c r="I936" s="55"/>
      <c r="J936" s="55"/>
      <c r="K936" s="55"/>
      <c r="L936" s="63"/>
      <c r="M936" s="55"/>
      <c r="N936" s="55"/>
      <c r="O936" s="55"/>
      <c r="P936" s="55"/>
      <c r="Q936" s="55"/>
      <c r="R936" s="63"/>
      <c r="S936" s="55"/>
    </row>
    <row r="937" spans="1:19" ht="15" x14ac:dyDescent="0.25">
      <c r="A937" s="109"/>
      <c r="B937" s="109"/>
      <c r="C937" s="55"/>
      <c r="D937" s="55"/>
      <c r="E937" s="55"/>
      <c r="F937" s="55"/>
      <c r="G937" s="63"/>
      <c r="H937" s="55"/>
      <c r="I937" s="55"/>
      <c r="J937" s="55"/>
      <c r="K937" s="55"/>
      <c r="L937" s="63"/>
      <c r="M937" s="55"/>
      <c r="N937" s="55"/>
      <c r="O937" s="55"/>
      <c r="P937" s="55"/>
      <c r="Q937" s="55"/>
      <c r="R937" s="63"/>
      <c r="S937" s="55"/>
    </row>
    <row r="938" spans="1:19" ht="15" x14ac:dyDescent="0.25">
      <c r="A938" s="109"/>
      <c r="B938" s="109"/>
      <c r="C938" s="55"/>
      <c r="D938" s="55"/>
      <c r="E938" s="55"/>
      <c r="F938" s="55"/>
      <c r="G938" s="63"/>
      <c r="H938" s="55"/>
      <c r="I938" s="55"/>
      <c r="J938" s="55"/>
      <c r="K938" s="55"/>
      <c r="L938" s="63"/>
      <c r="M938" s="55"/>
      <c r="N938" s="55"/>
      <c r="O938" s="55"/>
      <c r="P938" s="55"/>
      <c r="Q938" s="55"/>
      <c r="R938" s="63"/>
      <c r="S938" s="55"/>
    </row>
    <row r="939" spans="1:19" ht="15" x14ac:dyDescent="0.25">
      <c r="A939" s="109"/>
      <c r="B939" s="109"/>
      <c r="C939" s="55"/>
      <c r="D939" s="55"/>
      <c r="E939" s="55"/>
      <c r="F939" s="55"/>
      <c r="G939" s="63"/>
      <c r="H939" s="55"/>
      <c r="I939" s="55"/>
      <c r="J939" s="55"/>
      <c r="K939" s="55"/>
      <c r="L939" s="63"/>
      <c r="M939" s="55"/>
      <c r="N939" s="55"/>
      <c r="O939" s="55"/>
      <c r="P939" s="55"/>
      <c r="Q939" s="55"/>
      <c r="R939" s="63"/>
      <c r="S939" s="55"/>
    </row>
    <row r="940" spans="1:19" ht="15" x14ac:dyDescent="0.25">
      <c r="A940" s="109"/>
      <c r="B940" s="109"/>
      <c r="C940" s="55"/>
      <c r="D940" s="55"/>
      <c r="E940" s="55"/>
      <c r="F940" s="55"/>
      <c r="G940" s="63"/>
      <c r="H940" s="55"/>
      <c r="I940" s="55"/>
      <c r="J940" s="55"/>
      <c r="K940" s="55"/>
      <c r="L940" s="63"/>
      <c r="M940" s="55"/>
      <c r="N940" s="55"/>
      <c r="O940" s="55"/>
      <c r="P940" s="55"/>
      <c r="Q940" s="55"/>
      <c r="R940" s="63"/>
      <c r="S940" s="55"/>
    </row>
    <row r="941" spans="1:19" ht="15" x14ac:dyDescent="0.25">
      <c r="A941" s="109"/>
      <c r="B941" s="109"/>
      <c r="C941" s="55"/>
      <c r="D941" s="55"/>
      <c r="E941" s="55"/>
      <c r="F941" s="55"/>
      <c r="G941" s="63"/>
      <c r="H941" s="55"/>
      <c r="I941" s="55"/>
      <c r="J941" s="55"/>
      <c r="K941" s="55"/>
      <c r="L941" s="63"/>
      <c r="M941" s="55"/>
      <c r="N941" s="55"/>
      <c r="O941" s="55"/>
      <c r="P941" s="55"/>
      <c r="Q941" s="55"/>
      <c r="R941" s="63"/>
      <c r="S941" s="55"/>
    </row>
    <row r="942" spans="1:19" ht="15" x14ac:dyDescent="0.25">
      <c r="A942" s="109"/>
      <c r="B942" s="109"/>
      <c r="C942" s="55"/>
      <c r="D942" s="55"/>
      <c r="E942" s="55"/>
      <c r="F942" s="55"/>
      <c r="G942" s="63"/>
      <c r="H942" s="55"/>
      <c r="I942" s="55"/>
      <c r="J942" s="55"/>
      <c r="K942" s="55"/>
      <c r="L942" s="63"/>
      <c r="M942" s="55"/>
      <c r="N942" s="55"/>
      <c r="O942" s="55"/>
      <c r="P942" s="55"/>
      <c r="Q942" s="55"/>
      <c r="R942" s="63"/>
      <c r="S942" s="55"/>
    </row>
    <row r="943" spans="1:19" ht="15" x14ac:dyDescent="0.25">
      <c r="A943" s="109"/>
      <c r="B943" s="109"/>
      <c r="C943" s="55"/>
      <c r="D943" s="55"/>
      <c r="E943" s="55"/>
      <c r="F943" s="55"/>
      <c r="G943" s="63"/>
      <c r="H943" s="55"/>
      <c r="I943" s="55"/>
      <c r="J943" s="55"/>
      <c r="K943" s="55"/>
      <c r="L943" s="63"/>
      <c r="M943" s="55"/>
      <c r="N943" s="55"/>
      <c r="O943" s="55"/>
      <c r="P943" s="55"/>
      <c r="Q943" s="55"/>
      <c r="R943" s="63"/>
      <c r="S943" s="55"/>
    </row>
    <row r="944" spans="1:19" ht="15" x14ac:dyDescent="0.25">
      <c r="A944" s="109"/>
      <c r="B944" s="109"/>
      <c r="C944" s="55"/>
      <c r="D944" s="55"/>
      <c r="E944" s="55"/>
      <c r="F944" s="55"/>
      <c r="G944" s="63"/>
      <c r="H944" s="55"/>
      <c r="I944" s="55"/>
      <c r="J944" s="55"/>
      <c r="K944" s="55"/>
      <c r="L944" s="63"/>
      <c r="M944" s="55"/>
      <c r="N944" s="55"/>
      <c r="O944" s="55"/>
      <c r="P944" s="55"/>
      <c r="Q944" s="55"/>
      <c r="R944" s="63"/>
      <c r="S944" s="55"/>
    </row>
    <row r="945" spans="1:19" ht="15" x14ac:dyDescent="0.25">
      <c r="A945" s="109"/>
      <c r="B945" s="109"/>
      <c r="C945" s="55"/>
      <c r="D945" s="55"/>
      <c r="E945" s="55"/>
      <c r="F945" s="55"/>
      <c r="G945" s="63"/>
      <c r="H945" s="55"/>
      <c r="I945" s="55"/>
      <c r="J945" s="55"/>
      <c r="K945" s="55"/>
      <c r="L945" s="63"/>
      <c r="M945" s="55"/>
      <c r="N945" s="55"/>
      <c r="O945" s="55"/>
      <c r="P945" s="55"/>
      <c r="Q945" s="55"/>
      <c r="R945" s="63"/>
      <c r="S945" s="55"/>
    </row>
    <row r="946" spans="1:19" ht="15" x14ac:dyDescent="0.25">
      <c r="A946" s="109"/>
      <c r="B946" s="109"/>
      <c r="C946" s="55"/>
      <c r="D946" s="55"/>
      <c r="E946" s="55"/>
      <c r="F946" s="55"/>
      <c r="G946" s="63"/>
      <c r="H946" s="55"/>
      <c r="I946" s="55"/>
      <c r="J946" s="55"/>
      <c r="K946" s="55"/>
      <c r="L946" s="63"/>
      <c r="M946" s="55"/>
      <c r="N946" s="55"/>
      <c r="O946" s="55"/>
      <c r="P946" s="55"/>
      <c r="Q946" s="55"/>
      <c r="R946" s="63"/>
      <c r="S946" s="55"/>
    </row>
    <row r="947" spans="1:19" ht="15" x14ac:dyDescent="0.25">
      <c r="A947" s="109"/>
      <c r="B947" s="109"/>
      <c r="C947" s="55"/>
      <c r="D947" s="55"/>
      <c r="E947" s="55"/>
      <c r="F947" s="55"/>
      <c r="G947" s="63"/>
      <c r="H947" s="55"/>
      <c r="I947" s="55"/>
      <c r="J947" s="55"/>
      <c r="K947" s="55"/>
      <c r="L947" s="63"/>
      <c r="M947" s="55"/>
      <c r="N947" s="55"/>
      <c r="O947" s="55"/>
      <c r="P947" s="55"/>
      <c r="Q947" s="55"/>
      <c r="R947" s="63"/>
      <c r="S947" s="55"/>
    </row>
    <row r="948" spans="1:19" ht="15" x14ac:dyDescent="0.25">
      <c r="A948" s="109"/>
      <c r="B948" s="109"/>
      <c r="C948" s="55"/>
      <c r="D948" s="55"/>
      <c r="E948" s="55"/>
      <c r="F948" s="55"/>
      <c r="G948" s="63"/>
      <c r="H948" s="55"/>
      <c r="I948" s="55"/>
      <c r="J948" s="55"/>
      <c r="K948" s="55"/>
      <c r="L948" s="63"/>
      <c r="M948" s="55"/>
      <c r="N948" s="55"/>
      <c r="O948" s="55"/>
      <c r="P948" s="55"/>
      <c r="Q948" s="55"/>
      <c r="R948" s="63"/>
      <c r="S948" s="55"/>
    </row>
    <row r="949" spans="1:19" ht="15" x14ac:dyDescent="0.25">
      <c r="A949" s="109"/>
      <c r="B949" s="109"/>
      <c r="C949" s="55"/>
      <c r="D949" s="55"/>
      <c r="E949" s="55"/>
      <c r="F949" s="55"/>
      <c r="G949" s="63"/>
      <c r="H949" s="55"/>
      <c r="I949" s="55"/>
      <c r="J949" s="55"/>
      <c r="K949" s="55"/>
      <c r="L949" s="63"/>
      <c r="M949" s="55"/>
      <c r="N949" s="55"/>
      <c r="O949" s="55"/>
      <c r="P949" s="55"/>
      <c r="Q949" s="55"/>
      <c r="R949" s="63"/>
      <c r="S949" s="55"/>
    </row>
    <row r="950" spans="1:19" ht="15" x14ac:dyDescent="0.25">
      <c r="A950" s="109"/>
      <c r="B950" s="109"/>
      <c r="C950" s="55"/>
      <c r="D950" s="55"/>
      <c r="E950" s="55"/>
      <c r="F950" s="55"/>
      <c r="G950" s="63"/>
      <c r="H950" s="55"/>
      <c r="I950" s="55"/>
      <c r="J950" s="55"/>
      <c r="K950" s="55"/>
      <c r="L950" s="63"/>
      <c r="M950" s="55"/>
      <c r="N950" s="55"/>
      <c r="O950" s="55"/>
      <c r="P950" s="55"/>
      <c r="Q950" s="55"/>
      <c r="R950" s="63"/>
      <c r="S950" s="55"/>
    </row>
    <row r="951" spans="1:19" ht="15" x14ac:dyDescent="0.25">
      <c r="A951" s="109"/>
      <c r="B951" s="109"/>
      <c r="C951" s="55"/>
      <c r="D951" s="55"/>
      <c r="E951" s="55"/>
      <c r="F951" s="55"/>
      <c r="G951" s="63"/>
      <c r="H951" s="55"/>
      <c r="I951" s="55"/>
      <c r="J951" s="55"/>
      <c r="K951" s="55"/>
      <c r="L951" s="63"/>
      <c r="M951" s="55"/>
      <c r="N951" s="55"/>
      <c r="O951" s="55"/>
      <c r="P951" s="55"/>
      <c r="Q951" s="55"/>
      <c r="R951" s="63"/>
      <c r="S951" s="55"/>
    </row>
    <row r="952" spans="1:19" ht="15" x14ac:dyDescent="0.25">
      <c r="A952" s="109"/>
      <c r="B952" s="109"/>
      <c r="C952" s="55"/>
      <c r="D952" s="55"/>
      <c r="E952" s="55"/>
      <c r="F952" s="55"/>
      <c r="G952" s="63"/>
      <c r="H952" s="55"/>
      <c r="I952" s="55"/>
      <c r="J952" s="55"/>
      <c r="K952" s="55"/>
      <c r="L952" s="63"/>
      <c r="M952" s="55"/>
      <c r="N952" s="55"/>
      <c r="O952" s="55"/>
      <c r="P952" s="55"/>
      <c r="Q952" s="55"/>
      <c r="R952" s="63"/>
      <c r="S952" s="55"/>
    </row>
    <row r="953" spans="1:19" ht="15" x14ac:dyDescent="0.25">
      <c r="A953" s="109"/>
      <c r="B953" s="109"/>
      <c r="C953" s="55"/>
      <c r="D953" s="55"/>
      <c r="E953" s="55"/>
      <c r="F953" s="55"/>
      <c r="G953" s="63"/>
      <c r="H953" s="55"/>
      <c r="I953" s="55"/>
      <c r="J953" s="55"/>
      <c r="K953" s="55"/>
      <c r="L953" s="63"/>
      <c r="M953" s="55"/>
      <c r="N953" s="55"/>
      <c r="O953" s="55"/>
      <c r="P953" s="55"/>
      <c r="Q953" s="55"/>
      <c r="R953" s="63"/>
      <c r="S953" s="55"/>
    </row>
    <row r="954" spans="1:19" ht="15" x14ac:dyDescent="0.25">
      <c r="A954" s="109"/>
      <c r="B954" s="109"/>
      <c r="C954" s="55"/>
      <c r="D954" s="55"/>
      <c r="E954" s="55"/>
      <c r="F954" s="55"/>
      <c r="G954" s="63"/>
      <c r="H954" s="55"/>
      <c r="I954" s="55"/>
      <c r="J954" s="55"/>
      <c r="K954" s="55"/>
      <c r="L954" s="63"/>
      <c r="M954" s="55"/>
      <c r="N954" s="55"/>
      <c r="O954" s="55"/>
      <c r="P954" s="55"/>
      <c r="Q954" s="55"/>
      <c r="R954" s="63"/>
      <c r="S954" s="55"/>
    </row>
    <row r="955" spans="1:19" ht="15" x14ac:dyDescent="0.25">
      <c r="A955" s="109"/>
      <c r="B955" s="109"/>
      <c r="C955" s="55"/>
      <c r="D955" s="55"/>
      <c r="E955" s="55"/>
      <c r="F955" s="55"/>
      <c r="G955" s="63"/>
      <c r="H955" s="55"/>
      <c r="I955" s="55"/>
      <c r="J955" s="55"/>
      <c r="K955" s="55"/>
      <c r="L955" s="63"/>
      <c r="M955" s="55"/>
      <c r="N955" s="55"/>
      <c r="O955" s="55"/>
      <c r="P955" s="55"/>
      <c r="Q955" s="55"/>
      <c r="R955" s="63"/>
      <c r="S955" s="55"/>
    </row>
    <row r="956" spans="1:19" ht="15" x14ac:dyDescent="0.25">
      <c r="A956" s="109"/>
      <c r="B956" s="109"/>
      <c r="C956" s="55"/>
      <c r="D956" s="55"/>
      <c r="E956" s="55"/>
      <c r="F956" s="55"/>
      <c r="G956" s="63"/>
      <c r="H956" s="55"/>
      <c r="I956" s="55"/>
      <c r="J956" s="55"/>
      <c r="K956" s="55"/>
      <c r="L956" s="63"/>
      <c r="M956" s="55"/>
      <c r="N956" s="55"/>
      <c r="O956" s="55"/>
      <c r="P956" s="55"/>
      <c r="Q956" s="55"/>
      <c r="R956" s="63"/>
      <c r="S956" s="55"/>
    </row>
    <row r="957" spans="1:19" ht="15" x14ac:dyDescent="0.25">
      <c r="A957" s="109"/>
      <c r="B957" s="109"/>
      <c r="C957" s="55"/>
      <c r="D957" s="55"/>
      <c r="E957" s="55"/>
      <c r="F957" s="55"/>
      <c r="G957" s="63"/>
      <c r="H957" s="55"/>
      <c r="I957" s="55"/>
      <c r="J957" s="55"/>
      <c r="K957" s="55"/>
      <c r="L957" s="63"/>
      <c r="M957" s="55"/>
      <c r="N957" s="55"/>
      <c r="O957" s="55"/>
      <c r="P957" s="55"/>
      <c r="Q957" s="55"/>
      <c r="R957" s="63"/>
      <c r="S957" s="55"/>
    </row>
    <row r="958" spans="1:19" ht="15" x14ac:dyDescent="0.25">
      <c r="A958" s="109"/>
      <c r="B958" s="109"/>
      <c r="C958" s="55"/>
      <c r="D958" s="55"/>
      <c r="E958" s="55"/>
      <c r="F958" s="55"/>
      <c r="G958" s="63"/>
      <c r="H958" s="55"/>
      <c r="I958" s="55"/>
      <c r="J958" s="55"/>
      <c r="K958" s="55"/>
      <c r="L958" s="63"/>
      <c r="M958" s="55"/>
      <c r="N958" s="55"/>
      <c r="O958" s="55"/>
      <c r="P958" s="55"/>
      <c r="Q958" s="55"/>
      <c r="R958" s="63"/>
      <c r="S958" s="55"/>
    </row>
    <row r="959" spans="1:19" ht="15" x14ac:dyDescent="0.25">
      <c r="A959" s="109"/>
      <c r="B959" s="109"/>
      <c r="C959" s="55"/>
      <c r="D959" s="55"/>
      <c r="E959" s="55"/>
      <c r="F959" s="55"/>
      <c r="G959" s="63"/>
      <c r="H959" s="55"/>
      <c r="I959" s="55"/>
      <c r="J959" s="55"/>
      <c r="K959" s="55"/>
      <c r="L959" s="63"/>
      <c r="M959" s="55"/>
      <c r="N959" s="55"/>
      <c r="O959" s="55"/>
      <c r="P959" s="55"/>
      <c r="Q959" s="55"/>
      <c r="R959" s="63"/>
      <c r="S959" s="55"/>
    </row>
    <row r="960" spans="1:19" ht="15" x14ac:dyDescent="0.25">
      <c r="A960" s="109"/>
      <c r="B960" s="109"/>
      <c r="C960" s="55"/>
      <c r="D960" s="55"/>
      <c r="E960" s="55"/>
      <c r="F960" s="55"/>
      <c r="G960" s="63"/>
      <c r="H960" s="55"/>
      <c r="I960" s="55"/>
      <c r="J960" s="55"/>
      <c r="K960" s="55"/>
      <c r="L960" s="63"/>
      <c r="M960" s="55"/>
      <c r="N960" s="55"/>
      <c r="O960" s="55"/>
      <c r="P960" s="55"/>
      <c r="Q960" s="55"/>
      <c r="R960" s="63"/>
      <c r="S960" s="55"/>
    </row>
    <row r="961" spans="1:19" ht="15" x14ac:dyDescent="0.25">
      <c r="A961" s="109"/>
      <c r="B961" s="109"/>
      <c r="C961" s="55"/>
      <c r="D961" s="55"/>
      <c r="E961" s="55"/>
      <c r="F961" s="55"/>
      <c r="G961" s="63"/>
      <c r="H961" s="55"/>
      <c r="I961" s="55"/>
      <c r="J961" s="55"/>
      <c r="K961" s="55"/>
      <c r="L961" s="63"/>
      <c r="M961" s="55"/>
      <c r="N961" s="55"/>
      <c r="O961" s="55"/>
      <c r="P961" s="55"/>
      <c r="Q961" s="55"/>
      <c r="R961" s="63"/>
      <c r="S961" s="55"/>
    </row>
    <row r="962" spans="1:19" ht="15" x14ac:dyDescent="0.25">
      <c r="A962" s="109"/>
      <c r="B962" s="109"/>
      <c r="C962" s="55"/>
      <c r="D962" s="55"/>
      <c r="E962" s="55"/>
      <c r="F962" s="55"/>
      <c r="G962" s="63"/>
      <c r="H962" s="55"/>
      <c r="I962" s="55"/>
      <c r="J962" s="55"/>
      <c r="K962" s="55"/>
      <c r="L962" s="63"/>
      <c r="M962" s="55"/>
      <c r="N962" s="55"/>
      <c r="O962" s="55"/>
      <c r="P962" s="55"/>
      <c r="Q962" s="55"/>
      <c r="R962" s="63"/>
      <c r="S962" s="55"/>
    </row>
    <row r="963" spans="1:19" ht="15" x14ac:dyDescent="0.25">
      <c r="A963" s="109"/>
      <c r="B963" s="109"/>
      <c r="C963" s="55"/>
      <c r="D963" s="55"/>
      <c r="E963" s="55"/>
      <c r="F963" s="55"/>
      <c r="G963" s="63"/>
      <c r="H963" s="55"/>
      <c r="I963" s="55"/>
      <c r="J963" s="55"/>
      <c r="K963" s="55"/>
      <c r="L963" s="63"/>
      <c r="M963" s="55"/>
      <c r="N963" s="55"/>
      <c r="O963" s="55"/>
      <c r="P963" s="55"/>
      <c r="Q963" s="55"/>
      <c r="R963" s="63"/>
      <c r="S963" s="55"/>
    </row>
    <row r="964" spans="1:19" ht="15" x14ac:dyDescent="0.25">
      <c r="A964" s="109"/>
      <c r="B964" s="109"/>
      <c r="C964" s="55"/>
      <c r="D964" s="55"/>
      <c r="E964" s="55"/>
      <c r="F964" s="55"/>
      <c r="G964" s="63"/>
      <c r="H964" s="55"/>
      <c r="I964" s="55"/>
      <c r="J964" s="55"/>
      <c r="K964" s="55"/>
      <c r="L964" s="63"/>
      <c r="M964" s="55"/>
      <c r="N964" s="55"/>
      <c r="O964" s="55"/>
      <c r="P964" s="55"/>
      <c r="Q964" s="55"/>
      <c r="R964" s="63"/>
      <c r="S964" s="55"/>
    </row>
    <row r="965" spans="1:19" ht="15" x14ac:dyDescent="0.25">
      <c r="A965" s="109"/>
      <c r="B965" s="109"/>
      <c r="C965" s="55"/>
      <c r="D965" s="55"/>
      <c r="E965" s="55"/>
      <c r="F965" s="55"/>
      <c r="G965" s="63"/>
      <c r="H965" s="55"/>
      <c r="I965" s="55"/>
      <c r="J965" s="55"/>
      <c r="K965" s="55"/>
      <c r="L965" s="63"/>
      <c r="M965" s="55"/>
      <c r="N965" s="55"/>
      <c r="O965" s="55"/>
      <c r="P965" s="55"/>
      <c r="Q965" s="55"/>
      <c r="R965" s="63"/>
      <c r="S965" s="55"/>
    </row>
    <row r="966" spans="1:19" ht="15" x14ac:dyDescent="0.25">
      <c r="A966" s="109"/>
      <c r="B966" s="109"/>
      <c r="C966" s="55"/>
      <c r="D966" s="55"/>
      <c r="E966" s="55"/>
      <c r="F966" s="55"/>
      <c r="G966" s="63"/>
      <c r="H966" s="55"/>
      <c r="I966" s="55"/>
      <c r="J966" s="55"/>
      <c r="K966" s="55"/>
      <c r="L966" s="63"/>
      <c r="M966" s="55"/>
      <c r="N966" s="55"/>
      <c r="O966" s="55"/>
      <c r="P966" s="55"/>
      <c r="Q966" s="55"/>
      <c r="R966" s="63"/>
      <c r="S966" s="55"/>
    </row>
    <row r="967" spans="1:19" ht="15" x14ac:dyDescent="0.25">
      <c r="A967" s="109"/>
      <c r="B967" s="109"/>
      <c r="C967" s="55"/>
      <c r="D967" s="55"/>
      <c r="E967" s="55"/>
      <c r="F967" s="55"/>
      <c r="G967" s="63"/>
      <c r="H967" s="55"/>
      <c r="I967" s="55"/>
      <c r="J967" s="55"/>
      <c r="K967" s="55"/>
      <c r="L967" s="63"/>
      <c r="M967" s="55"/>
      <c r="N967" s="55"/>
      <c r="O967" s="55"/>
      <c r="P967" s="55"/>
      <c r="Q967" s="55"/>
      <c r="R967" s="63"/>
      <c r="S967" s="55"/>
    </row>
    <row r="968" spans="1:19" ht="15" x14ac:dyDescent="0.25">
      <c r="A968" s="109"/>
      <c r="B968" s="109"/>
      <c r="C968" s="55"/>
      <c r="D968" s="55"/>
      <c r="E968" s="55"/>
      <c r="F968" s="55"/>
      <c r="G968" s="63"/>
      <c r="H968" s="55"/>
      <c r="I968" s="55"/>
      <c r="J968" s="55"/>
      <c r="K968" s="55"/>
      <c r="L968" s="63"/>
      <c r="M968" s="55"/>
      <c r="N968" s="55"/>
      <c r="O968" s="55"/>
      <c r="P968" s="55"/>
      <c r="Q968" s="55"/>
      <c r="R968" s="63"/>
      <c r="S968" s="55"/>
    </row>
    <row r="969" spans="1:19" ht="15" x14ac:dyDescent="0.25">
      <c r="A969" s="109"/>
      <c r="B969" s="109"/>
      <c r="C969" s="55"/>
      <c r="D969" s="55"/>
      <c r="E969" s="55"/>
      <c r="F969" s="55"/>
      <c r="G969" s="63"/>
      <c r="H969" s="55"/>
      <c r="I969" s="55"/>
      <c r="J969" s="55"/>
      <c r="K969" s="55"/>
      <c r="L969" s="63"/>
      <c r="M969" s="55"/>
      <c r="N969" s="55"/>
      <c r="O969" s="55"/>
      <c r="P969" s="55"/>
      <c r="Q969" s="55"/>
      <c r="R969" s="63"/>
      <c r="S969" s="55"/>
    </row>
    <row r="970" spans="1:19" ht="15" x14ac:dyDescent="0.25">
      <c r="A970" s="109"/>
      <c r="B970" s="109"/>
      <c r="C970" s="55"/>
      <c r="D970" s="55"/>
      <c r="E970" s="55"/>
      <c r="F970" s="55"/>
      <c r="G970" s="63"/>
      <c r="H970" s="55"/>
      <c r="I970" s="55"/>
      <c r="J970" s="55"/>
      <c r="K970" s="55"/>
      <c r="L970" s="63"/>
      <c r="M970" s="55"/>
      <c r="N970" s="55"/>
      <c r="O970" s="55"/>
      <c r="P970" s="55"/>
      <c r="Q970" s="55"/>
      <c r="R970" s="63"/>
      <c r="S970" s="55"/>
    </row>
    <row r="971" spans="1:19" ht="15" x14ac:dyDescent="0.25">
      <c r="A971" s="109"/>
      <c r="B971" s="109"/>
      <c r="C971" s="55"/>
      <c r="D971" s="55"/>
      <c r="E971" s="55"/>
      <c r="F971" s="55"/>
      <c r="G971" s="63"/>
      <c r="H971" s="55"/>
      <c r="I971" s="55"/>
      <c r="J971" s="55"/>
      <c r="K971" s="55"/>
      <c r="L971" s="63"/>
      <c r="M971" s="55"/>
      <c r="N971" s="55"/>
      <c r="O971" s="55"/>
      <c r="P971" s="55"/>
      <c r="Q971" s="55"/>
      <c r="R971" s="63"/>
      <c r="S971" s="55"/>
    </row>
    <row r="972" spans="1:19" ht="15" x14ac:dyDescent="0.25">
      <c r="A972" s="109"/>
      <c r="B972" s="109"/>
      <c r="C972" s="55"/>
      <c r="D972" s="55"/>
      <c r="E972" s="55"/>
      <c r="F972" s="55"/>
      <c r="G972" s="63"/>
      <c r="H972" s="55"/>
      <c r="I972" s="55"/>
      <c r="J972" s="55"/>
      <c r="K972" s="55"/>
      <c r="L972" s="63"/>
      <c r="M972" s="55"/>
      <c r="N972" s="55"/>
      <c r="O972" s="55"/>
      <c r="P972" s="55"/>
      <c r="Q972" s="55"/>
      <c r="R972" s="63"/>
      <c r="S972" s="55"/>
    </row>
    <row r="973" spans="1:19" ht="15" x14ac:dyDescent="0.25">
      <c r="A973" s="109"/>
      <c r="B973" s="109"/>
      <c r="C973" s="55"/>
      <c r="D973" s="55"/>
      <c r="E973" s="55"/>
      <c r="F973" s="55"/>
      <c r="G973" s="63"/>
      <c r="H973" s="55"/>
      <c r="I973" s="55"/>
      <c r="J973" s="55"/>
      <c r="K973" s="55"/>
      <c r="L973" s="63"/>
      <c r="M973" s="55"/>
      <c r="N973" s="55"/>
      <c r="O973" s="55"/>
      <c r="P973" s="55"/>
      <c r="Q973" s="55"/>
      <c r="R973" s="63"/>
      <c r="S973" s="55"/>
    </row>
    <row r="974" spans="1:19" ht="15" x14ac:dyDescent="0.25">
      <c r="A974" s="109"/>
      <c r="B974" s="109"/>
      <c r="C974" s="55"/>
      <c r="D974" s="55"/>
      <c r="E974" s="55"/>
      <c r="F974" s="55"/>
      <c r="G974" s="63"/>
      <c r="H974" s="55"/>
      <c r="I974" s="55"/>
      <c r="J974" s="55"/>
      <c r="K974" s="55"/>
      <c r="L974" s="63"/>
      <c r="M974" s="55"/>
      <c r="N974" s="55"/>
      <c r="O974" s="55"/>
      <c r="P974" s="55"/>
      <c r="Q974" s="55"/>
      <c r="R974" s="63"/>
      <c r="S974" s="55"/>
    </row>
    <row r="975" spans="1:19" ht="15" x14ac:dyDescent="0.25">
      <c r="A975" s="109"/>
      <c r="B975" s="109"/>
      <c r="C975" s="55"/>
      <c r="D975" s="55"/>
      <c r="E975" s="55"/>
      <c r="F975" s="55"/>
      <c r="G975" s="63"/>
      <c r="H975" s="55"/>
      <c r="I975" s="55"/>
      <c r="J975" s="55"/>
      <c r="K975" s="55"/>
      <c r="L975" s="63"/>
      <c r="M975" s="55"/>
      <c r="N975" s="55"/>
      <c r="O975" s="55"/>
      <c r="P975" s="55"/>
      <c r="Q975" s="55"/>
      <c r="R975" s="63"/>
      <c r="S975" s="55"/>
    </row>
    <row r="976" spans="1:19" ht="15" x14ac:dyDescent="0.25">
      <c r="A976" s="109"/>
      <c r="B976" s="109"/>
      <c r="C976" s="55"/>
      <c r="D976" s="55"/>
      <c r="E976" s="55"/>
      <c r="F976" s="55"/>
      <c r="G976" s="63"/>
      <c r="H976" s="55"/>
      <c r="I976" s="55"/>
      <c r="J976" s="55"/>
      <c r="K976" s="55"/>
      <c r="L976" s="63"/>
      <c r="M976" s="55"/>
      <c r="N976" s="55"/>
      <c r="O976" s="55"/>
      <c r="P976" s="55"/>
      <c r="Q976" s="55"/>
      <c r="R976" s="63"/>
      <c r="S976" s="55"/>
    </row>
    <row r="977" spans="1:19" ht="15" x14ac:dyDescent="0.25">
      <c r="A977" s="109"/>
      <c r="B977" s="109"/>
      <c r="C977" s="55"/>
      <c r="D977" s="55"/>
      <c r="E977" s="55"/>
      <c r="F977" s="55"/>
      <c r="G977" s="63"/>
      <c r="H977" s="55"/>
      <c r="I977" s="55"/>
      <c r="J977" s="55"/>
      <c r="K977" s="55"/>
      <c r="L977" s="63"/>
      <c r="M977" s="55"/>
      <c r="N977" s="55"/>
      <c r="O977" s="55"/>
      <c r="P977" s="55"/>
      <c r="Q977" s="55"/>
      <c r="R977" s="63"/>
      <c r="S977" s="55"/>
    </row>
    <row r="978" spans="1:19" ht="15" x14ac:dyDescent="0.25">
      <c r="A978" s="109"/>
      <c r="B978" s="109"/>
      <c r="C978" s="55"/>
      <c r="D978" s="55"/>
      <c r="E978" s="55"/>
      <c r="F978" s="55"/>
      <c r="G978" s="63"/>
      <c r="H978" s="55"/>
      <c r="I978" s="55"/>
      <c r="J978" s="55"/>
      <c r="K978" s="55"/>
      <c r="L978" s="63"/>
      <c r="M978" s="55"/>
      <c r="N978" s="55"/>
      <c r="O978" s="55"/>
      <c r="P978" s="55"/>
      <c r="Q978" s="55"/>
      <c r="R978" s="63"/>
      <c r="S978" s="55"/>
    </row>
    <row r="979" spans="1:19" ht="15" x14ac:dyDescent="0.25">
      <c r="A979" s="109"/>
      <c r="B979" s="109"/>
      <c r="C979" s="55"/>
      <c r="D979" s="55"/>
      <c r="E979" s="55"/>
      <c r="F979" s="55"/>
      <c r="G979" s="63"/>
      <c r="H979" s="55"/>
      <c r="I979" s="55"/>
      <c r="J979" s="55"/>
      <c r="K979" s="55"/>
      <c r="L979" s="63"/>
      <c r="M979" s="55"/>
      <c r="N979" s="55"/>
      <c r="O979" s="55"/>
      <c r="P979" s="55"/>
      <c r="Q979" s="55"/>
      <c r="R979" s="63"/>
      <c r="S979" s="55"/>
    </row>
    <row r="980" spans="1:19" ht="15" x14ac:dyDescent="0.25">
      <c r="A980" s="109"/>
      <c r="B980" s="109"/>
      <c r="C980" s="55"/>
      <c r="D980" s="55"/>
      <c r="E980" s="55"/>
      <c r="F980" s="55"/>
      <c r="G980" s="63"/>
      <c r="H980" s="55"/>
      <c r="I980" s="55"/>
      <c r="J980" s="55"/>
      <c r="K980" s="55"/>
      <c r="L980" s="63"/>
      <c r="M980" s="55"/>
      <c r="N980" s="55"/>
      <c r="O980" s="55"/>
      <c r="P980" s="55"/>
      <c r="Q980" s="55"/>
      <c r="R980" s="63"/>
      <c r="S980" s="55"/>
    </row>
    <row r="981" spans="1:19" ht="15" x14ac:dyDescent="0.25">
      <c r="A981" s="109"/>
      <c r="B981" s="109"/>
      <c r="C981" s="55"/>
      <c r="D981" s="55"/>
      <c r="E981" s="55"/>
      <c r="F981" s="55"/>
      <c r="G981" s="63"/>
      <c r="H981" s="55"/>
      <c r="I981" s="55"/>
      <c r="J981" s="55"/>
      <c r="K981" s="55"/>
      <c r="L981" s="63"/>
      <c r="M981" s="55"/>
      <c r="N981" s="55"/>
      <c r="O981" s="55"/>
      <c r="P981" s="55"/>
      <c r="Q981" s="55"/>
      <c r="R981" s="63"/>
      <c r="S981" s="55"/>
    </row>
    <row r="982" spans="1:19" ht="15" x14ac:dyDescent="0.25">
      <c r="A982" s="109"/>
      <c r="B982" s="109"/>
      <c r="C982" s="55"/>
      <c r="D982" s="55"/>
      <c r="E982" s="55"/>
      <c r="F982" s="55"/>
      <c r="G982" s="63"/>
      <c r="H982" s="55"/>
      <c r="I982" s="55"/>
      <c r="J982" s="55"/>
      <c r="K982" s="55"/>
      <c r="L982" s="63"/>
      <c r="M982" s="55"/>
      <c r="N982" s="55"/>
      <c r="O982" s="55"/>
      <c r="P982" s="55"/>
      <c r="Q982" s="55"/>
      <c r="R982" s="63"/>
      <c r="S982" s="55"/>
    </row>
    <row r="983" spans="1:19" ht="15" x14ac:dyDescent="0.25">
      <c r="A983" s="109"/>
      <c r="B983" s="109"/>
      <c r="C983" s="55"/>
      <c r="D983" s="55"/>
      <c r="E983" s="55"/>
      <c r="F983" s="55"/>
      <c r="G983" s="63"/>
      <c r="H983" s="55"/>
      <c r="I983" s="55"/>
      <c r="J983" s="55"/>
      <c r="K983" s="55"/>
      <c r="L983" s="63"/>
      <c r="M983" s="55"/>
      <c r="N983" s="55"/>
      <c r="O983" s="55"/>
      <c r="P983" s="55"/>
      <c r="Q983" s="55"/>
      <c r="R983" s="63"/>
      <c r="S983" s="55"/>
    </row>
    <row r="984" spans="1:19" ht="15" x14ac:dyDescent="0.25">
      <c r="A984" s="109"/>
      <c r="B984" s="109"/>
      <c r="C984" s="55"/>
      <c r="D984" s="55"/>
      <c r="E984" s="55"/>
      <c r="F984" s="55"/>
      <c r="G984" s="63"/>
      <c r="H984" s="55"/>
      <c r="I984" s="55"/>
      <c r="J984" s="55"/>
      <c r="K984" s="55"/>
      <c r="L984" s="63"/>
      <c r="M984" s="55"/>
      <c r="N984" s="55"/>
      <c r="O984" s="55"/>
      <c r="P984" s="55"/>
      <c r="Q984" s="55"/>
      <c r="R984" s="63"/>
      <c r="S984" s="55"/>
    </row>
    <row r="985" spans="1:19" ht="15" x14ac:dyDescent="0.25">
      <c r="A985" s="109"/>
      <c r="B985" s="109"/>
      <c r="C985" s="55"/>
      <c r="D985" s="55"/>
      <c r="E985" s="55"/>
      <c r="F985" s="55"/>
      <c r="G985" s="63"/>
      <c r="H985" s="55"/>
      <c r="I985" s="55"/>
      <c r="J985" s="55"/>
      <c r="K985" s="55"/>
      <c r="L985" s="63"/>
      <c r="M985" s="55"/>
      <c r="N985" s="55"/>
      <c r="O985" s="55"/>
      <c r="P985" s="55"/>
      <c r="Q985" s="55"/>
      <c r="R985" s="63"/>
      <c r="S985" s="55"/>
    </row>
    <row r="986" spans="1:19" ht="15" x14ac:dyDescent="0.25">
      <c r="A986" s="109"/>
      <c r="B986" s="109"/>
      <c r="C986" s="55"/>
      <c r="D986" s="55"/>
      <c r="E986" s="55"/>
      <c r="F986" s="55"/>
      <c r="G986" s="63"/>
      <c r="H986" s="55"/>
      <c r="I986" s="55"/>
      <c r="J986" s="55"/>
      <c r="K986" s="55"/>
      <c r="L986" s="63"/>
      <c r="M986" s="55"/>
      <c r="N986" s="55"/>
      <c r="O986" s="55"/>
      <c r="P986" s="55"/>
      <c r="Q986" s="55"/>
      <c r="R986" s="63"/>
      <c r="S986" s="55"/>
    </row>
    <row r="987" spans="1:19" ht="15" x14ac:dyDescent="0.25">
      <c r="A987" s="109"/>
      <c r="B987" s="109"/>
      <c r="C987" s="55"/>
      <c r="D987" s="55"/>
      <c r="E987" s="55"/>
      <c r="F987" s="55"/>
      <c r="G987" s="63"/>
      <c r="H987" s="55"/>
      <c r="I987" s="55"/>
      <c r="J987" s="55"/>
      <c r="K987" s="55"/>
      <c r="L987" s="63"/>
      <c r="M987" s="55"/>
      <c r="N987" s="55"/>
      <c r="O987" s="55"/>
      <c r="P987" s="55"/>
      <c r="Q987" s="55"/>
      <c r="R987" s="63"/>
      <c r="S987" s="55"/>
    </row>
    <row r="988" spans="1:19" ht="15" x14ac:dyDescent="0.25">
      <c r="A988" s="109"/>
      <c r="B988" s="109"/>
      <c r="C988" s="55"/>
      <c r="D988" s="55"/>
      <c r="E988" s="55"/>
      <c r="F988" s="55"/>
      <c r="G988" s="63"/>
      <c r="H988" s="55"/>
      <c r="I988" s="55"/>
      <c r="J988" s="55"/>
      <c r="K988" s="55"/>
      <c r="L988" s="63"/>
      <c r="M988" s="55"/>
      <c r="N988" s="55"/>
      <c r="O988" s="55"/>
      <c r="P988" s="55"/>
      <c r="Q988" s="55"/>
      <c r="R988" s="63"/>
      <c r="S988" s="55"/>
    </row>
    <row r="989" spans="1:19" ht="15" x14ac:dyDescent="0.25">
      <c r="A989" s="109"/>
      <c r="B989" s="109"/>
      <c r="C989" s="55"/>
      <c r="D989" s="55"/>
      <c r="E989" s="55"/>
      <c r="F989" s="55"/>
      <c r="G989" s="63"/>
      <c r="H989" s="55"/>
      <c r="I989" s="55"/>
      <c r="J989" s="55"/>
      <c r="K989" s="55"/>
      <c r="L989" s="63"/>
      <c r="M989" s="55"/>
      <c r="N989" s="55"/>
      <c r="O989" s="55"/>
      <c r="P989" s="55"/>
      <c r="Q989" s="55"/>
      <c r="R989" s="63"/>
      <c r="S989" s="55"/>
    </row>
    <row r="990" spans="1:19" ht="15" x14ac:dyDescent="0.25">
      <c r="A990" s="109"/>
      <c r="B990" s="109"/>
      <c r="C990" s="55"/>
      <c r="D990" s="55"/>
      <c r="E990" s="55"/>
      <c r="F990" s="55"/>
      <c r="G990" s="63"/>
      <c r="H990" s="55"/>
      <c r="I990" s="55"/>
      <c r="J990" s="55"/>
      <c r="K990" s="55"/>
      <c r="L990" s="63"/>
      <c r="M990" s="55"/>
      <c r="N990" s="55"/>
      <c r="O990" s="55"/>
      <c r="P990" s="55"/>
      <c r="Q990" s="55"/>
      <c r="R990" s="63"/>
      <c r="S990" s="55"/>
    </row>
    <row r="991" spans="1:19" ht="15" x14ac:dyDescent="0.25">
      <c r="A991" s="109"/>
      <c r="B991" s="109"/>
      <c r="C991" s="55"/>
      <c r="D991" s="55"/>
      <c r="E991" s="55"/>
      <c r="F991" s="55"/>
      <c r="G991" s="63"/>
      <c r="H991" s="55"/>
      <c r="I991" s="55"/>
      <c r="J991" s="55"/>
      <c r="K991" s="55"/>
      <c r="L991" s="63"/>
      <c r="M991" s="55"/>
      <c r="N991" s="55"/>
      <c r="O991" s="55"/>
      <c r="P991" s="55"/>
      <c r="Q991" s="55"/>
      <c r="R991" s="63"/>
      <c r="S991" s="55"/>
    </row>
    <row r="992" spans="1:19" ht="15" x14ac:dyDescent="0.25">
      <c r="A992" s="109"/>
      <c r="B992" s="109"/>
      <c r="C992" s="55"/>
      <c r="D992" s="55"/>
      <c r="E992" s="55"/>
      <c r="F992" s="55"/>
      <c r="G992" s="63"/>
      <c r="H992" s="55"/>
      <c r="I992" s="55"/>
      <c r="J992" s="55"/>
      <c r="K992" s="55"/>
      <c r="L992" s="63"/>
      <c r="M992" s="55"/>
      <c r="N992" s="55"/>
      <c r="O992" s="55"/>
      <c r="P992" s="55"/>
      <c r="Q992" s="55"/>
      <c r="R992" s="63"/>
      <c r="S992" s="55"/>
    </row>
    <row r="993" spans="1:19" ht="15" x14ac:dyDescent="0.25">
      <c r="A993" s="109"/>
      <c r="B993" s="109"/>
      <c r="C993" s="55"/>
      <c r="D993" s="55"/>
      <c r="E993" s="55"/>
      <c r="F993" s="55"/>
      <c r="G993" s="63"/>
      <c r="H993" s="55"/>
      <c r="I993" s="55"/>
      <c r="J993" s="55"/>
      <c r="K993" s="55"/>
      <c r="L993" s="63"/>
      <c r="M993" s="55"/>
      <c r="N993" s="55"/>
      <c r="O993" s="55"/>
      <c r="P993" s="55"/>
      <c r="Q993" s="55"/>
      <c r="R993" s="63"/>
      <c r="S993" s="55"/>
    </row>
    <row r="994" spans="1:19" ht="15" x14ac:dyDescent="0.25">
      <c r="A994" s="109"/>
      <c r="B994" s="109"/>
      <c r="C994" s="55"/>
      <c r="D994" s="55"/>
      <c r="E994" s="55"/>
      <c r="F994" s="55"/>
      <c r="G994" s="63"/>
      <c r="H994" s="55"/>
      <c r="I994" s="55"/>
      <c r="J994" s="55"/>
      <c r="K994" s="55"/>
      <c r="L994" s="63"/>
      <c r="M994" s="55"/>
      <c r="N994" s="55"/>
      <c r="O994" s="55"/>
      <c r="P994" s="55"/>
      <c r="Q994" s="55"/>
      <c r="R994" s="63"/>
      <c r="S994" s="55"/>
    </row>
    <row r="995" spans="1:19" ht="15" x14ac:dyDescent="0.25">
      <c r="A995" s="109"/>
      <c r="B995" s="109"/>
      <c r="C995" s="55"/>
      <c r="D995" s="55"/>
      <c r="E995" s="55"/>
      <c r="F995" s="55"/>
      <c r="G995" s="63"/>
      <c r="H995" s="55"/>
      <c r="I995" s="55"/>
      <c r="J995" s="55"/>
      <c r="K995" s="55"/>
      <c r="L995" s="63"/>
      <c r="M995" s="55"/>
      <c r="N995" s="55"/>
      <c r="O995" s="55"/>
      <c r="P995" s="55"/>
      <c r="Q995" s="55"/>
      <c r="R995" s="63"/>
      <c r="S995" s="55"/>
    </row>
    <row r="996" spans="1:19" ht="15" x14ac:dyDescent="0.25">
      <c r="A996" s="109"/>
      <c r="B996" s="109"/>
      <c r="C996" s="55"/>
      <c r="D996" s="55"/>
      <c r="E996" s="55"/>
      <c r="F996" s="55"/>
      <c r="G996" s="63"/>
      <c r="H996" s="55"/>
      <c r="I996" s="55"/>
      <c r="J996" s="55"/>
      <c r="K996" s="55"/>
      <c r="L996" s="63"/>
      <c r="M996" s="55"/>
      <c r="N996" s="55"/>
      <c r="O996" s="55"/>
      <c r="P996" s="55"/>
      <c r="Q996" s="55"/>
      <c r="R996" s="63"/>
      <c r="S996" s="55"/>
    </row>
    <row r="997" spans="1:19" ht="15" x14ac:dyDescent="0.25">
      <c r="A997" s="109"/>
      <c r="B997" s="109"/>
      <c r="C997" s="55"/>
      <c r="D997" s="55"/>
      <c r="E997" s="55"/>
      <c r="F997" s="55"/>
      <c r="G997" s="63"/>
      <c r="H997" s="55"/>
      <c r="I997" s="55"/>
      <c r="J997" s="55"/>
      <c r="K997" s="55"/>
      <c r="L997" s="63"/>
      <c r="M997" s="55"/>
      <c r="N997" s="55"/>
      <c r="O997" s="55"/>
      <c r="P997" s="55"/>
      <c r="Q997" s="55"/>
      <c r="R997" s="63"/>
      <c r="S997" s="55"/>
    </row>
    <row r="998" spans="1:19" ht="15" x14ac:dyDescent="0.25">
      <c r="A998" s="109"/>
      <c r="B998" s="109"/>
      <c r="C998" s="55"/>
      <c r="D998" s="55"/>
      <c r="E998" s="55"/>
      <c r="F998" s="55"/>
      <c r="G998" s="63"/>
      <c r="H998" s="55"/>
      <c r="I998" s="55"/>
      <c r="J998" s="55"/>
      <c r="K998" s="55"/>
      <c r="L998" s="63"/>
      <c r="M998" s="55"/>
      <c r="N998" s="55"/>
      <c r="O998" s="55"/>
      <c r="P998" s="55"/>
      <c r="Q998" s="55"/>
      <c r="R998" s="63"/>
      <c r="S998" s="55"/>
    </row>
    <row r="999" spans="1:19" ht="15" x14ac:dyDescent="0.25">
      <c r="A999" s="109"/>
      <c r="B999" s="109"/>
      <c r="C999" s="55"/>
      <c r="D999" s="55"/>
      <c r="E999" s="55"/>
      <c r="F999" s="55"/>
      <c r="G999" s="63"/>
      <c r="H999" s="55"/>
      <c r="I999" s="55"/>
      <c r="J999" s="55"/>
      <c r="K999" s="55"/>
      <c r="L999" s="63"/>
      <c r="M999" s="55"/>
      <c r="N999" s="55"/>
      <c r="O999" s="55"/>
      <c r="P999" s="55"/>
      <c r="Q999" s="55"/>
      <c r="R999" s="63"/>
      <c r="S999" s="55"/>
    </row>
    <row r="1000" spans="1:19" ht="15" x14ac:dyDescent="0.25">
      <c r="A1000" s="109"/>
      <c r="B1000" s="109"/>
      <c r="C1000" s="55"/>
      <c r="D1000" s="55"/>
      <c r="E1000" s="55"/>
      <c r="F1000" s="55"/>
      <c r="G1000" s="63"/>
      <c r="H1000" s="55"/>
      <c r="I1000" s="55"/>
      <c r="J1000" s="55"/>
      <c r="K1000" s="55"/>
      <c r="L1000" s="63"/>
      <c r="M1000" s="55"/>
      <c r="N1000" s="55"/>
      <c r="O1000" s="55"/>
      <c r="P1000" s="55"/>
      <c r="Q1000" s="55"/>
      <c r="R1000" s="63"/>
      <c r="S1000" s="55"/>
    </row>
    <row r="1001" spans="1:19" ht="15" x14ac:dyDescent="0.25">
      <c r="A1001" s="109"/>
      <c r="B1001" s="109"/>
      <c r="C1001" s="55"/>
      <c r="D1001" s="55"/>
      <c r="E1001" s="55"/>
      <c r="F1001" s="55"/>
      <c r="G1001" s="63"/>
      <c r="H1001" s="55"/>
      <c r="I1001" s="55"/>
      <c r="J1001" s="55"/>
      <c r="K1001" s="55"/>
      <c r="L1001" s="63"/>
      <c r="M1001" s="55"/>
      <c r="N1001" s="55"/>
      <c r="O1001" s="55"/>
      <c r="P1001" s="55"/>
      <c r="Q1001" s="55"/>
      <c r="R1001" s="63"/>
      <c r="S1001" s="55"/>
    </row>
    <row r="1002" spans="1:19" ht="15" x14ac:dyDescent="0.25">
      <c r="A1002" s="109"/>
      <c r="B1002" s="109"/>
      <c r="C1002" s="55"/>
      <c r="D1002" s="55"/>
      <c r="E1002" s="55"/>
      <c r="F1002" s="55"/>
      <c r="G1002" s="63"/>
      <c r="H1002" s="55"/>
      <c r="I1002" s="55"/>
      <c r="J1002" s="55"/>
      <c r="K1002" s="55"/>
      <c r="L1002" s="63"/>
      <c r="M1002" s="55"/>
      <c r="N1002" s="55"/>
      <c r="O1002" s="55"/>
      <c r="P1002" s="55"/>
      <c r="Q1002" s="55"/>
      <c r="R1002" s="63"/>
      <c r="S1002" s="55"/>
    </row>
    <row r="1003" spans="1:19" ht="15" x14ac:dyDescent="0.25">
      <c r="A1003" s="109"/>
      <c r="B1003" s="109"/>
      <c r="C1003" s="55"/>
      <c r="D1003" s="55"/>
      <c r="E1003" s="55"/>
      <c r="F1003" s="55"/>
      <c r="G1003" s="63"/>
      <c r="H1003" s="55"/>
      <c r="I1003" s="55"/>
      <c r="J1003" s="55"/>
      <c r="K1003" s="55"/>
      <c r="L1003" s="63"/>
      <c r="M1003" s="55"/>
      <c r="N1003" s="55"/>
      <c r="O1003" s="55"/>
      <c r="P1003" s="55"/>
      <c r="Q1003" s="55"/>
      <c r="R1003" s="63"/>
      <c r="S1003" s="55"/>
    </row>
    <row r="1004" spans="1:19" ht="15" x14ac:dyDescent="0.25">
      <c r="A1004" s="109"/>
      <c r="B1004" s="109"/>
      <c r="C1004" s="55"/>
      <c r="D1004" s="55"/>
      <c r="E1004" s="55"/>
      <c r="F1004" s="55"/>
      <c r="G1004" s="63"/>
      <c r="H1004" s="55"/>
      <c r="I1004" s="55"/>
      <c r="J1004" s="55"/>
      <c r="K1004" s="55"/>
      <c r="L1004" s="63"/>
      <c r="M1004" s="55"/>
      <c r="N1004" s="55"/>
      <c r="O1004" s="55"/>
      <c r="P1004" s="55"/>
      <c r="Q1004" s="55"/>
      <c r="R1004" s="63"/>
      <c r="S1004" s="55"/>
    </row>
    <row r="1005" spans="1:19" ht="15" x14ac:dyDescent="0.25">
      <c r="A1005" s="109"/>
      <c r="B1005" s="109"/>
      <c r="C1005" s="55"/>
      <c r="D1005" s="55"/>
      <c r="E1005" s="55"/>
      <c r="F1005" s="55"/>
      <c r="G1005" s="63"/>
      <c r="H1005" s="55"/>
      <c r="I1005" s="55"/>
      <c r="J1005" s="55"/>
      <c r="K1005" s="55"/>
      <c r="L1005" s="63"/>
      <c r="M1005" s="55"/>
      <c r="N1005" s="55"/>
      <c r="O1005" s="55"/>
      <c r="P1005" s="55"/>
      <c r="Q1005" s="55"/>
      <c r="R1005" s="63"/>
      <c r="S1005" s="55"/>
    </row>
    <row r="1006" spans="1:19" ht="15" x14ac:dyDescent="0.25">
      <c r="A1006" s="109"/>
      <c r="B1006" s="109"/>
      <c r="C1006" s="55"/>
      <c r="D1006" s="55"/>
      <c r="E1006" s="55"/>
      <c r="F1006" s="55"/>
      <c r="G1006" s="63"/>
      <c r="H1006" s="55"/>
      <c r="I1006" s="55"/>
      <c r="J1006" s="55"/>
      <c r="K1006" s="55"/>
      <c r="L1006" s="63"/>
      <c r="M1006" s="55"/>
      <c r="N1006" s="55"/>
      <c r="O1006" s="55"/>
      <c r="P1006" s="55"/>
      <c r="Q1006" s="55"/>
      <c r="R1006" s="63"/>
      <c r="S1006" s="55"/>
    </row>
    <row r="1007" spans="1:19" ht="15" x14ac:dyDescent="0.25">
      <c r="A1007" s="109"/>
      <c r="B1007" s="109"/>
      <c r="C1007" s="55"/>
      <c r="D1007" s="55"/>
      <c r="E1007" s="55"/>
      <c r="F1007" s="55"/>
      <c r="G1007" s="63"/>
      <c r="H1007" s="55"/>
      <c r="I1007" s="55"/>
      <c r="J1007" s="55"/>
      <c r="K1007" s="55"/>
      <c r="L1007" s="63"/>
      <c r="M1007" s="55"/>
      <c r="N1007" s="55"/>
      <c r="O1007" s="55"/>
      <c r="P1007" s="55"/>
      <c r="Q1007" s="55"/>
      <c r="R1007" s="63"/>
      <c r="S1007" s="55"/>
    </row>
    <row r="1008" spans="1:19" ht="15" x14ac:dyDescent="0.25">
      <c r="A1008" s="109"/>
      <c r="B1008" s="109"/>
      <c r="C1008" s="55"/>
      <c r="D1008" s="55"/>
      <c r="E1008" s="55"/>
      <c r="F1008" s="55"/>
      <c r="G1008" s="63"/>
      <c r="H1008" s="55"/>
      <c r="I1008" s="55"/>
      <c r="J1008" s="55"/>
      <c r="K1008" s="55"/>
      <c r="L1008" s="63"/>
      <c r="M1008" s="55"/>
      <c r="N1008" s="55"/>
      <c r="O1008" s="55"/>
      <c r="P1008" s="55"/>
      <c r="Q1008" s="55"/>
      <c r="R1008" s="63"/>
      <c r="S1008" s="55"/>
    </row>
    <row r="1009" spans="1:19" ht="15" x14ac:dyDescent="0.25">
      <c r="A1009" s="109"/>
      <c r="B1009" s="109"/>
      <c r="C1009" s="55"/>
      <c r="D1009" s="55"/>
      <c r="E1009" s="55"/>
      <c r="F1009" s="55"/>
      <c r="G1009" s="63"/>
      <c r="H1009" s="55"/>
      <c r="I1009" s="55"/>
      <c r="J1009" s="55"/>
      <c r="K1009" s="55"/>
      <c r="L1009" s="63"/>
      <c r="M1009" s="55"/>
      <c r="N1009" s="55"/>
      <c r="O1009" s="55"/>
      <c r="P1009" s="55"/>
      <c r="Q1009" s="55"/>
      <c r="R1009" s="63"/>
      <c r="S1009" s="55"/>
    </row>
  </sheetData>
  <mergeCells count="3">
    <mergeCell ref="C1:G1"/>
    <mergeCell ref="H1:L1"/>
    <mergeCell ref="M1:R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defaultColWidth="12.5703125" defaultRowHeight="15.75" customHeight="1" x14ac:dyDescent="0.2"/>
  <sheetData>
    <row r="1" spans="1:14" x14ac:dyDescent="0.2">
      <c r="A1" s="98"/>
      <c r="B1" s="3" t="s">
        <v>176</v>
      </c>
      <c r="C1" s="98" t="s">
        <v>177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182</v>
      </c>
      <c r="I1" s="3" t="s">
        <v>214</v>
      </c>
      <c r="J1" s="3" t="s">
        <v>183</v>
      </c>
      <c r="K1" s="3" t="s">
        <v>184</v>
      </c>
      <c r="L1" s="3" t="s">
        <v>215</v>
      </c>
      <c r="M1" s="3" t="s">
        <v>185</v>
      </c>
      <c r="N1" s="3" t="s">
        <v>186</v>
      </c>
    </row>
    <row r="2" spans="1:14" x14ac:dyDescent="0.2">
      <c r="A2" s="98" t="s">
        <v>44</v>
      </c>
      <c r="B2" s="23">
        <f>D2*(1-'Provincial Secret Sheet'!B1)</f>
        <v>13984.831178571425</v>
      </c>
      <c r="C2" s="23">
        <f t="shared" ref="C2:C7" ca="1" si="0">J2+N2</f>
        <v>55073.55687</v>
      </c>
      <c r="D2" s="23">
        <f t="shared" ref="D2:D7" si="1">E2+H2</f>
        <v>13984.831178571425</v>
      </c>
      <c r="E2" s="23">
        <f>SUM(F2:G2)</f>
        <v>12184.831178571425</v>
      </c>
      <c r="F2" s="23">
        <f>'Ducal Economics'!E20</f>
        <v>3798.4257499999994</v>
      </c>
      <c r="G2" s="23">
        <f>SUM('Ducal Economics'!I16:I20)+(SUM(D3:D7)-SUM(B3:B7))</f>
        <v>8386.4054285714265</v>
      </c>
      <c r="H2" s="23">
        <v>1800</v>
      </c>
      <c r="I2" s="23">
        <f t="shared" ref="I2:I7" si="2">D2-B2</f>
        <v>0</v>
      </c>
      <c r="J2" s="23">
        <f t="shared" ref="J2:J7" ca="1" si="3">SUM(K2:M2)</f>
        <v>55073.55687</v>
      </c>
      <c r="K2" s="35">
        <f>'New Retinues Summary'!S9</f>
        <v>500</v>
      </c>
      <c r="L2" s="23">
        <f ca="1">'Knights Breakdown'!D2</f>
        <v>2427.8095499999999</v>
      </c>
      <c r="M2" s="23">
        <f>'New Provinces Summary'!I2*2+'Provincial Secret Sheet'!E1*0.008</f>
        <v>52145.747320000002</v>
      </c>
      <c r="N2" s="35">
        <v>0</v>
      </c>
    </row>
    <row r="3" spans="1:14" x14ac:dyDescent="0.2">
      <c r="A3" s="98" t="s">
        <v>50</v>
      </c>
      <c r="B3" s="23">
        <f>D3*(1-'Provincial Secret Sheet'!B2)</f>
        <v>21579.154916666666</v>
      </c>
      <c r="C3" s="23">
        <f t="shared" ca="1" si="0"/>
        <v>59451.199939709986</v>
      </c>
      <c r="D3" s="23">
        <f t="shared" si="1"/>
        <v>21579.154916666666</v>
      </c>
      <c r="E3" s="23">
        <f t="shared" ref="E3:E7" si="4">SUM(F3:H3)</f>
        <v>15279.154916666668</v>
      </c>
      <c r="F3" s="23">
        <f>'Ducal Economics'!E4</f>
        <v>3876.8601785714286</v>
      </c>
      <c r="G3" s="23">
        <f>SUM('Ducal Economics'!I4,'Ducal Economics'!I21:I26)</f>
        <v>5102.2947380952392</v>
      </c>
      <c r="H3" s="23">
        <v>6300</v>
      </c>
      <c r="I3" s="23">
        <f t="shared" si="2"/>
        <v>0</v>
      </c>
      <c r="J3" s="23">
        <f t="shared" ca="1" si="3"/>
        <v>59451.199939709986</v>
      </c>
      <c r="K3" s="35">
        <f>'New Retinues Summary'!S10</f>
        <v>2100</v>
      </c>
      <c r="L3" s="23">
        <f ca="1">'Knights Breakdown'!D3</f>
        <v>3833.5929749999996</v>
      </c>
      <c r="M3" s="23">
        <f>'New Provinces Summary'!I3*2+'Provincial Secret Sheet'!E2*0.008</f>
        <v>53517.606964709987</v>
      </c>
      <c r="N3" s="35">
        <v>0</v>
      </c>
    </row>
    <row r="4" spans="1:14" x14ac:dyDescent="0.2">
      <c r="A4" s="98" t="s">
        <v>54</v>
      </c>
      <c r="B4" s="23">
        <f>D4*(1-'Provincial Secret Sheet'!B3)</f>
        <v>1458.3964464285714</v>
      </c>
      <c r="C4" s="23">
        <f t="shared" ca="1" si="0"/>
        <v>779.63806124999996</v>
      </c>
      <c r="D4" s="23">
        <f t="shared" si="1"/>
        <v>1944.5285952380952</v>
      </c>
      <c r="E4" s="23">
        <f t="shared" si="4"/>
        <v>1944.5285952380952</v>
      </c>
      <c r="F4" s="23">
        <f>'Ducal Economics'!E3</f>
        <v>789.72350000000006</v>
      </c>
      <c r="G4" s="23">
        <f>SUM('Ducal Economics'!I41:I45,'Ducal Economics'!I3)</f>
        <v>1154.8050952380952</v>
      </c>
      <c r="H4" s="23">
        <v>0</v>
      </c>
      <c r="I4" s="23">
        <f t="shared" si="2"/>
        <v>486.13214880952387</v>
      </c>
      <c r="J4" s="23">
        <f t="shared" ca="1" si="3"/>
        <v>779.63806124999996</v>
      </c>
      <c r="K4" s="35">
        <f>'New Retinues Summary'!S11</f>
        <v>150</v>
      </c>
      <c r="L4" s="23">
        <f ca="1">'Knights Breakdown'!D4</f>
        <v>479.75578124999998</v>
      </c>
      <c r="M4" s="23">
        <f>'New Provinces Summary'!I4*2+'Provincial Secret Sheet'!E3*0.008</f>
        <v>149.88228000000001</v>
      </c>
      <c r="N4" s="35">
        <v>0</v>
      </c>
    </row>
    <row r="5" spans="1:14" x14ac:dyDescent="0.2">
      <c r="A5" s="98" t="s">
        <v>58</v>
      </c>
      <c r="B5" s="23">
        <f>D5*(1-'Provincial Secret Sheet'!B4)</f>
        <v>5025.3154642857153</v>
      </c>
      <c r="C5" s="23">
        <f t="shared" ca="1" si="0"/>
        <v>33662.108030000003</v>
      </c>
      <c r="D5" s="23">
        <f t="shared" si="1"/>
        <v>6700.4206190476198</v>
      </c>
      <c r="E5" s="23">
        <f t="shared" si="4"/>
        <v>6700.4206190476198</v>
      </c>
      <c r="F5" s="23">
        <f>'Ducal Economics'!E6</f>
        <v>3600.0564285714286</v>
      </c>
      <c r="G5" s="23">
        <f>SUM('Ducal Economics'!I6,'Ducal Economics'!I13:I15)</f>
        <v>3100.3641904761907</v>
      </c>
      <c r="H5" s="23">
        <v>0</v>
      </c>
      <c r="I5" s="23">
        <f t="shared" si="2"/>
        <v>1675.1051547619045</v>
      </c>
      <c r="J5" s="23">
        <f t="shared" ca="1" si="3"/>
        <v>33662.108030000003</v>
      </c>
      <c r="K5" s="35">
        <f>'New Retinues Summary'!S12</f>
        <v>0</v>
      </c>
      <c r="L5" s="23">
        <f ca="1">'Knights Breakdown'!D5</f>
        <v>1691.5877500000001</v>
      </c>
      <c r="M5" s="23">
        <f>'New Provinces Summary'!I5*2+'Provincial Secret Sheet'!E4*0.008</f>
        <v>31970.520280000001</v>
      </c>
      <c r="N5" s="35">
        <v>0</v>
      </c>
    </row>
    <row r="6" spans="1:14" x14ac:dyDescent="0.2">
      <c r="A6" s="98" t="s">
        <v>61</v>
      </c>
      <c r="B6" s="23">
        <f>D6*(1-'Provincial Secret Sheet'!B5)</f>
        <v>8369.3069107142856</v>
      </c>
      <c r="C6" s="23">
        <f t="shared" ca="1" si="0"/>
        <v>88006.994927499996</v>
      </c>
      <c r="D6" s="23">
        <f t="shared" si="1"/>
        <v>11159.075880952381</v>
      </c>
      <c r="E6" s="23">
        <f t="shared" si="4"/>
        <v>11159.075880952381</v>
      </c>
      <c r="F6" s="23">
        <f>'Ducal Economics'!E7</f>
        <v>4717.9266428571427</v>
      </c>
      <c r="G6" s="23">
        <f>SUM('Ducal Economics'!I5,'Ducal Economics'!I7:I12)</f>
        <v>6441.1492380952386</v>
      </c>
      <c r="H6" s="23">
        <v>0</v>
      </c>
      <c r="I6" s="23">
        <f t="shared" si="2"/>
        <v>2789.7689702380958</v>
      </c>
      <c r="J6" s="23">
        <f t="shared" ca="1" si="3"/>
        <v>88006.994927499996</v>
      </c>
      <c r="K6" s="35">
        <f>'New Retinues Summary'!S13</f>
        <v>100</v>
      </c>
      <c r="L6" s="23">
        <f ca="1">'Knights Breakdown'!D6</f>
        <v>5267.9716874999995</v>
      </c>
      <c r="M6" s="23">
        <f>'New Provinces Summary'!I6*2+'Provincial Secret Sheet'!E5*0.008</f>
        <v>82639.023239999995</v>
      </c>
      <c r="N6" s="35">
        <v>0</v>
      </c>
    </row>
    <row r="7" spans="1:14" x14ac:dyDescent="0.2">
      <c r="A7" s="98" t="s">
        <v>64</v>
      </c>
      <c r="B7" s="23">
        <f>D7*(1-'Provincial Secret Sheet'!B6)</f>
        <v>13826.411976190475</v>
      </c>
      <c r="C7" s="23">
        <f t="shared" ca="1" si="0"/>
        <v>51372.049206060561</v>
      </c>
      <c r="D7" s="23">
        <f t="shared" si="1"/>
        <v>13826.411976190475</v>
      </c>
      <c r="E7" s="23">
        <f t="shared" si="4"/>
        <v>12160.411976190475</v>
      </c>
      <c r="F7" s="23">
        <f>'Ducal Economics'!E2</f>
        <v>1831.0120714285715</v>
      </c>
      <c r="G7" s="23">
        <f>SUM('Ducal Economics'!I2,'Ducal Economics'!I27:I40)</f>
        <v>8663.3999047619036</v>
      </c>
      <c r="H7" s="23">
        <v>1666</v>
      </c>
      <c r="I7" s="23">
        <f t="shared" si="2"/>
        <v>0</v>
      </c>
      <c r="J7" s="23">
        <f t="shared" ca="1" si="3"/>
        <v>51372.049206060561</v>
      </c>
      <c r="K7" s="35">
        <f>'New Retinues Summary'!S14</f>
        <v>0</v>
      </c>
      <c r="L7" s="23">
        <f ca="1">'Knights Breakdown'!D7</f>
        <v>7004.8305</v>
      </c>
      <c r="M7" s="23">
        <f>'New Provinces Summary'!I7*2+'Provincial Secret Sheet'!E6*0.008</f>
        <v>44367.218706060565</v>
      </c>
      <c r="N7" s="35">
        <v>0</v>
      </c>
    </row>
    <row r="8" spans="1:14" x14ac:dyDescent="0.2">
      <c r="A8" s="104" t="s">
        <v>75</v>
      </c>
      <c r="B8" s="101">
        <f t="shared" ref="B8:N8" si="5">SUM(B2:B7)</f>
        <v>64243.416892857138</v>
      </c>
      <c r="C8" s="101">
        <f t="shared" ca="1" si="5"/>
        <v>288345.54703452054</v>
      </c>
      <c r="D8" s="101">
        <f t="shared" si="5"/>
        <v>69194.42316666666</v>
      </c>
      <c r="E8" s="101">
        <f t="shared" si="5"/>
        <v>59428.42316666666</v>
      </c>
      <c r="F8" s="101">
        <f t="shared" si="5"/>
        <v>18614.004571428573</v>
      </c>
      <c r="G8" s="101">
        <f t="shared" si="5"/>
        <v>32848.418595238094</v>
      </c>
      <c r="H8" s="101">
        <f t="shared" si="5"/>
        <v>9766</v>
      </c>
      <c r="I8" s="101">
        <f t="shared" si="5"/>
        <v>4951.0062738095239</v>
      </c>
      <c r="J8" s="101">
        <f t="shared" ca="1" si="5"/>
        <v>288345.54703452054</v>
      </c>
      <c r="K8" s="101">
        <f t="shared" si="5"/>
        <v>2850</v>
      </c>
      <c r="L8" s="101">
        <f t="shared" ca="1" si="5"/>
        <v>20705.54824375</v>
      </c>
      <c r="M8" s="101">
        <f t="shared" si="5"/>
        <v>264789.99879077054</v>
      </c>
      <c r="N8" s="101">
        <f t="shared" si="5"/>
        <v>0</v>
      </c>
    </row>
    <row r="9" spans="1:14" x14ac:dyDescent="0.2">
      <c r="A9" s="105" t="s">
        <v>81</v>
      </c>
      <c r="B9" s="23">
        <f t="shared" ref="B9:N9" si="6">AVERAGE(B2:B7)</f>
        <v>10707.236148809523</v>
      </c>
      <c r="C9" s="23">
        <f t="shared" ca="1" si="6"/>
        <v>48057.591172420092</v>
      </c>
      <c r="D9" s="23">
        <f t="shared" si="6"/>
        <v>11532.40386111111</v>
      </c>
      <c r="E9" s="23">
        <f t="shared" si="6"/>
        <v>9904.737194444444</v>
      </c>
      <c r="F9" s="23">
        <f t="shared" si="6"/>
        <v>3102.3340952380954</v>
      </c>
      <c r="G9" s="23">
        <f t="shared" si="6"/>
        <v>5474.736432539682</v>
      </c>
      <c r="H9" s="23">
        <f t="shared" si="6"/>
        <v>1627.6666666666667</v>
      </c>
      <c r="I9" s="23">
        <f t="shared" si="6"/>
        <v>825.16771230158736</v>
      </c>
      <c r="J9" s="23">
        <f t="shared" ca="1" si="6"/>
        <v>48057.591172420092</v>
      </c>
      <c r="K9" s="23">
        <f t="shared" si="6"/>
        <v>475</v>
      </c>
      <c r="L9" s="23">
        <f t="shared" ca="1" si="6"/>
        <v>3450.9247072916664</v>
      </c>
      <c r="M9" s="23">
        <f t="shared" si="6"/>
        <v>44131.666465128423</v>
      </c>
      <c r="N9" s="23">
        <f t="shared" si="6"/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S1012"/>
  <sheetViews>
    <sheetView workbookViewId="0">
      <pane ySplit="2" topLeftCell="A3" activePane="bottomLeft" state="frozen"/>
      <selection pane="bottomLeft" activeCell="C3" sqref="C3"/>
    </sheetView>
  </sheetViews>
  <sheetFormatPr defaultColWidth="12.5703125" defaultRowHeight="15.75" customHeight="1" x14ac:dyDescent="0.2"/>
  <cols>
    <col min="2" max="2" width="17.42578125" customWidth="1"/>
  </cols>
  <sheetData>
    <row r="1" spans="1:19" x14ac:dyDescent="0.2">
      <c r="A1" s="230"/>
      <c r="B1" s="219"/>
      <c r="C1" s="216" t="s">
        <v>188</v>
      </c>
      <c r="D1" s="217"/>
      <c r="E1" s="217"/>
      <c r="F1" s="217"/>
      <c r="G1" s="217"/>
      <c r="H1" s="218" t="s">
        <v>189</v>
      </c>
      <c r="I1" s="217"/>
      <c r="J1" s="217"/>
      <c r="K1" s="217"/>
      <c r="L1" s="219"/>
      <c r="M1" s="216" t="s">
        <v>190</v>
      </c>
      <c r="N1" s="217"/>
      <c r="O1" s="217"/>
      <c r="P1" s="217"/>
      <c r="Q1" s="217"/>
      <c r="R1" s="219"/>
      <c r="S1" s="106"/>
    </row>
    <row r="2" spans="1:19" x14ac:dyDescent="0.2">
      <c r="A2" s="217"/>
      <c r="B2" s="231"/>
      <c r="C2" s="124" t="s">
        <v>191</v>
      </c>
      <c r="D2" s="124" t="s">
        <v>192</v>
      </c>
      <c r="E2" s="124" t="s">
        <v>193</v>
      </c>
      <c r="F2" s="124" t="s">
        <v>194</v>
      </c>
      <c r="G2" s="125" t="s">
        <v>195</v>
      </c>
      <c r="H2" s="126" t="s">
        <v>191</v>
      </c>
      <c r="I2" s="124" t="s">
        <v>192</v>
      </c>
      <c r="J2" s="124" t="s">
        <v>193</v>
      </c>
      <c r="K2" s="124" t="s">
        <v>194</v>
      </c>
      <c r="L2" s="125" t="s">
        <v>195</v>
      </c>
      <c r="M2" s="124" t="s">
        <v>191</v>
      </c>
      <c r="N2" s="124" t="s">
        <v>192</v>
      </c>
      <c r="O2" s="124" t="s">
        <v>193</v>
      </c>
      <c r="P2" s="124" t="s">
        <v>194</v>
      </c>
      <c r="Q2" s="124" t="s">
        <v>195</v>
      </c>
      <c r="R2" s="125" t="s">
        <v>196</v>
      </c>
      <c r="S2" s="125" t="s">
        <v>75</v>
      </c>
    </row>
    <row r="3" spans="1:19" ht="15.75" customHeight="1" x14ac:dyDescent="0.25">
      <c r="A3" s="224" t="s">
        <v>187</v>
      </c>
      <c r="B3" s="127" t="s">
        <v>202</v>
      </c>
      <c r="C3" s="128" t="str">
        <f ca="1">IFERROR(__xludf.DUMMYFUNCTION("TO_TEXT(C7*100*C4)&amp;TO_TEXT(""/"")&amp;TO_TEXT(C4*100)"),"0/0")</f>
        <v>0/0</v>
      </c>
      <c r="D3" s="129" t="str">
        <f ca="1">IFERROR(__xludf.DUMMYFUNCTION("TO_TEXT(D7*100*D4)&amp;TO_TEXT(""/"")&amp;TO_TEXT(D4*100)"),"0/0")</f>
        <v>0/0</v>
      </c>
      <c r="E3" s="129" t="str">
        <f ca="1">IFERROR(__xludf.DUMMYFUNCTION("TO_TEXT(E7*100*E4)&amp;TO_TEXT(""/"")&amp;TO_TEXT(E4*100)"),"100/100")</f>
        <v>100/100</v>
      </c>
      <c r="F3" s="129" t="str">
        <f ca="1">IFERROR(__xludf.DUMMYFUNCTION("TO_TEXT(F7*100*F4)&amp;TO_TEXT(""/"")&amp;TO_TEXT(F4*100)"),"0/0")</f>
        <v>0/0</v>
      </c>
      <c r="G3" s="130" t="str">
        <f ca="1">IFERROR(__xludf.DUMMYFUNCTION("TO_TEXT(G7*100*G4)&amp;TO_TEXT(""/"")&amp;TO_TEXT(G4*100)"),"100/100")</f>
        <v>100/100</v>
      </c>
      <c r="H3" s="129" t="str">
        <f ca="1">IFERROR(__xludf.DUMMYFUNCTION("TO_TEXT(H7*100*H4)&amp;TO_TEXT(""/"")&amp;TO_TEXT(H4*100)"),"0/0")</f>
        <v>0/0</v>
      </c>
      <c r="I3" s="129" t="str">
        <f ca="1">IFERROR(__xludf.DUMMYFUNCTION("TO_TEXT(I7*100*I4)&amp;TO_TEXT(""/"")&amp;TO_TEXT(I4*100)"),"0/0")</f>
        <v>0/0</v>
      </c>
      <c r="J3" s="129" t="str">
        <f ca="1">IFERROR(__xludf.DUMMYFUNCTION("TO_TEXT(J7*100*J4)&amp;TO_TEXT(""/"")&amp;TO_TEXT(J4*100)"),"100/100")</f>
        <v>100/100</v>
      </c>
      <c r="K3" s="129" t="str">
        <f ca="1">IFERROR(__xludf.DUMMYFUNCTION("TO_TEXT(K7*100*K4)&amp;TO_TEXT(""/"")&amp;TO_TEXT(K4*100)"),"0/0")</f>
        <v>0/0</v>
      </c>
      <c r="L3" s="130" t="str">
        <f ca="1">IFERROR(__xludf.DUMMYFUNCTION("TO_TEXT(L7*100*L4)&amp;TO_TEXT(""/"")&amp;TO_TEXT(L4*100)"),"0/0")</f>
        <v>0/0</v>
      </c>
      <c r="M3" s="129" t="str">
        <f ca="1">IFERROR(__xludf.DUMMYFUNCTION("TO_TEXT((M7/2)*100*M4)&amp;TO_TEXT(""/"")&amp;TO_TEXT(M4*50)"),"0/0")</f>
        <v>0/0</v>
      </c>
      <c r="N3" s="129" t="str">
        <f ca="1">IFERROR(__xludf.DUMMYFUNCTION("TO_TEXT((N7/2)*100*N4)&amp;TO_TEXT(""/"")&amp;TO_TEXT(N4*50)"),"0/0")</f>
        <v>0/0</v>
      </c>
      <c r="O3" s="129" t="str">
        <f ca="1">IFERROR(__xludf.DUMMYFUNCTION("TO_TEXT((O7/2)*100*O4)&amp;TO_TEXT(""/"")&amp;TO_TEXT(O4*50)"),"0/0")</f>
        <v>0/0</v>
      </c>
      <c r="P3" s="129" t="str">
        <f ca="1">IFERROR(__xludf.DUMMYFUNCTION("TO_TEXT((P7/2)*100*P4)&amp;TO_TEXT(""/"")&amp;TO_TEXT(P4*50)"),"0/0")</f>
        <v>0/0</v>
      </c>
      <c r="Q3" s="129" t="str">
        <f ca="1">IFERROR(__xludf.DUMMYFUNCTION("TO_TEXT((Q7/2)*100*Q4)&amp;TO_TEXT(""/"")&amp;TO_TEXT(Q4*50)"),"50/50")</f>
        <v>50/50</v>
      </c>
      <c r="R3" s="130" t="str">
        <f ca="1">IFERROR(__xludf.DUMMYFUNCTION("TO_TEXT((R7/2)*100*R4)&amp;TO_TEXT(""/"")&amp;TO_TEXT(R4*50)"),"50/50")</f>
        <v>50/50</v>
      </c>
      <c r="S3" s="130">
        <f>(SUM(M4:R4)*50)+SUM(C4:L4)*100</f>
        <v>400</v>
      </c>
    </row>
    <row r="4" spans="1:19" ht="15.75" customHeight="1" x14ac:dyDescent="0.25">
      <c r="A4" s="226"/>
      <c r="B4" s="121" t="s">
        <v>203</v>
      </c>
      <c r="C4" s="114">
        <v>0</v>
      </c>
      <c r="D4" s="111">
        <v>0</v>
      </c>
      <c r="E4" s="111">
        <v>1</v>
      </c>
      <c r="F4" s="111">
        <v>0</v>
      </c>
      <c r="G4" s="112">
        <v>1</v>
      </c>
      <c r="H4" s="111">
        <v>0</v>
      </c>
      <c r="I4" s="111">
        <v>0</v>
      </c>
      <c r="J4" s="111">
        <v>1</v>
      </c>
      <c r="K4" s="111">
        <v>0</v>
      </c>
      <c r="L4" s="112">
        <v>0</v>
      </c>
      <c r="M4" s="111">
        <v>0</v>
      </c>
      <c r="N4" s="111">
        <v>0</v>
      </c>
      <c r="O4" s="111">
        <v>0</v>
      </c>
      <c r="P4" s="111">
        <v>0</v>
      </c>
      <c r="Q4" s="111">
        <v>1</v>
      </c>
      <c r="R4" s="112">
        <v>1</v>
      </c>
      <c r="S4" s="112"/>
    </row>
    <row r="5" spans="1:19" ht="15.75" customHeight="1" x14ac:dyDescent="0.25">
      <c r="A5" s="225"/>
      <c r="B5" s="121" t="s">
        <v>204</v>
      </c>
      <c r="C5" s="131" t="b">
        <v>1</v>
      </c>
      <c r="D5" s="131" t="b">
        <v>1</v>
      </c>
      <c r="E5" s="131" t="b">
        <v>1</v>
      </c>
      <c r="F5" s="131" t="b">
        <v>1</v>
      </c>
      <c r="G5" s="132" t="b">
        <v>1</v>
      </c>
      <c r="H5" s="131" t="b">
        <v>1</v>
      </c>
      <c r="I5" s="131" t="b">
        <v>1</v>
      </c>
      <c r="J5" s="131" t="b">
        <v>1</v>
      </c>
      <c r="K5" s="131" t="b">
        <v>1</v>
      </c>
      <c r="L5" s="132" t="b">
        <v>1</v>
      </c>
      <c r="M5" s="131" t="b">
        <v>1</v>
      </c>
      <c r="N5" s="131" t="b">
        <v>1</v>
      </c>
      <c r="O5" s="131" t="b">
        <v>1</v>
      </c>
      <c r="P5" s="131" t="b">
        <v>1</v>
      </c>
      <c r="Q5" s="131" t="b">
        <v>1</v>
      </c>
      <c r="R5" s="132" t="b">
        <v>1</v>
      </c>
      <c r="S5" s="110"/>
    </row>
    <row r="6" spans="1:19" ht="15.75" customHeight="1" x14ac:dyDescent="0.25">
      <c r="A6" s="226"/>
      <c r="B6" s="121" t="s">
        <v>205</v>
      </c>
      <c r="C6" s="111">
        <f t="shared" ref="C6:R6" si="0">((C7*(C4*C$35)*C$33)+IF(C5,(((1-C7)*C$35)*C$34*C4)))</f>
        <v>0</v>
      </c>
      <c r="D6" s="111">
        <f t="shared" si="0"/>
        <v>0</v>
      </c>
      <c r="E6" s="111">
        <f t="shared" si="0"/>
        <v>100</v>
      </c>
      <c r="F6" s="111">
        <f t="shared" si="0"/>
        <v>0</v>
      </c>
      <c r="G6" s="111">
        <f t="shared" si="0"/>
        <v>100</v>
      </c>
      <c r="H6" s="111">
        <f t="shared" si="0"/>
        <v>0</v>
      </c>
      <c r="I6" s="111">
        <f t="shared" si="0"/>
        <v>0</v>
      </c>
      <c r="J6" s="111">
        <f t="shared" si="0"/>
        <v>100</v>
      </c>
      <c r="K6" s="111">
        <f t="shared" si="0"/>
        <v>0</v>
      </c>
      <c r="L6" s="111">
        <f t="shared" si="0"/>
        <v>0</v>
      </c>
      <c r="M6" s="111">
        <f t="shared" si="0"/>
        <v>0</v>
      </c>
      <c r="N6" s="111">
        <f t="shared" si="0"/>
        <v>0</v>
      </c>
      <c r="O6" s="111">
        <f t="shared" si="0"/>
        <v>0</v>
      </c>
      <c r="P6" s="111">
        <f t="shared" si="0"/>
        <v>0</v>
      </c>
      <c r="Q6" s="111">
        <f t="shared" si="0"/>
        <v>100</v>
      </c>
      <c r="R6" s="111">
        <f t="shared" si="0"/>
        <v>100</v>
      </c>
      <c r="S6" s="112">
        <f>SUM(B6:R6)</f>
        <v>500</v>
      </c>
    </row>
    <row r="7" spans="1:19" ht="15.75" customHeight="1" x14ac:dyDescent="0.25">
      <c r="A7" s="228"/>
      <c r="B7" s="133" t="s">
        <v>206</v>
      </c>
      <c r="C7" s="134">
        <v>0</v>
      </c>
      <c r="D7" s="135">
        <v>0</v>
      </c>
      <c r="E7" s="135">
        <v>1</v>
      </c>
      <c r="F7" s="135">
        <v>0</v>
      </c>
      <c r="G7" s="136">
        <v>1</v>
      </c>
      <c r="H7" s="135">
        <v>0</v>
      </c>
      <c r="I7" s="135">
        <v>0</v>
      </c>
      <c r="J7" s="135">
        <v>1</v>
      </c>
      <c r="K7" s="135">
        <v>0</v>
      </c>
      <c r="L7" s="136">
        <v>0</v>
      </c>
      <c r="M7" s="135">
        <v>0</v>
      </c>
      <c r="N7" s="135">
        <v>0</v>
      </c>
      <c r="O7" s="135">
        <v>0</v>
      </c>
      <c r="P7" s="135">
        <v>0</v>
      </c>
      <c r="Q7" s="135">
        <v>1</v>
      </c>
      <c r="R7" s="136">
        <v>1</v>
      </c>
      <c r="S7" s="136"/>
    </row>
    <row r="8" spans="1:19" ht="15.75" customHeight="1" x14ac:dyDescent="0.25">
      <c r="A8" s="224" t="s">
        <v>50</v>
      </c>
      <c r="B8" s="127" t="s">
        <v>202</v>
      </c>
      <c r="C8" s="137" t="str">
        <f ca="1">IFERROR(__xludf.DUMMYFUNCTION("TO_TEXT(C12*100*C9)&amp;TO_TEXT(""/"")&amp;TO_TEXT(C9*100)"),"0/0")</f>
        <v>0/0</v>
      </c>
      <c r="D8" s="138" t="str">
        <f ca="1">IFERROR(__xludf.DUMMYFUNCTION("TO_TEXT(D12*100*D9)&amp;TO_TEXT(""/"")&amp;TO_TEXT(D9*100)"),"0/0")</f>
        <v>0/0</v>
      </c>
      <c r="E8" s="138" t="str">
        <f ca="1">IFERROR(__xludf.DUMMYFUNCTION("TO_TEXT(E12*100*E9)&amp;TO_TEXT(""/"")&amp;TO_TEXT(E9*100)"),"800/800")</f>
        <v>800/800</v>
      </c>
      <c r="F8" s="138" t="str">
        <f ca="1">IFERROR(__xludf.DUMMYFUNCTION("TO_TEXT(F12*100*F9)&amp;TO_TEXT(""/"")&amp;TO_TEXT(F9*100)"),"800/800")</f>
        <v>800/800</v>
      </c>
      <c r="G8" s="139" t="str">
        <f ca="1">IFERROR(__xludf.DUMMYFUNCTION("TO_TEXT(G12*100*G9)&amp;TO_TEXT(""/"")&amp;TO_TEXT(G9*100)"),"0/0")</f>
        <v>0/0</v>
      </c>
      <c r="H8" s="138" t="str">
        <f ca="1">IFERROR(__xludf.DUMMYFUNCTION("TO_TEXT(H12*100*H9)&amp;TO_TEXT(""/"")&amp;TO_TEXT(H9*100)"),"0/0")</f>
        <v>0/0</v>
      </c>
      <c r="I8" s="138" t="str">
        <f ca="1">IFERROR(__xludf.DUMMYFUNCTION("TO_TEXT(I12*100*I9)&amp;TO_TEXT(""/"")&amp;TO_TEXT(I9*100)"),"0/0")</f>
        <v>0/0</v>
      </c>
      <c r="J8" s="138" t="str">
        <f ca="1">IFERROR(__xludf.DUMMYFUNCTION("TO_TEXT(J12*100*J9)&amp;TO_TEXT(""/"")&amp;TO_TEXT(J9*100)"),"200/200")</f>
        <v>200/200</v>
      </c>
      <c r="K8" s="138" t="str">
        <f ca="1">IFERROR(__xludf.DUMMYFUNCTION("TO_TEXT(K12*100*K9)&amp;TO_TEXT(""/"")&amp;TO_TEXT(K9*100)"),"100/100")</f>
        <v>100/100</v>
      </c>
      <c r="L8" s="139" t="str">
        <f ca="1">IFERROR(__xludf.DUMMYFUNCTION("TO_TEXT(L12*100*L9)&amp;TO_TEXT(""/"")&amp;TO_TEXT(L9*100)"),"0/0")</f>
        <v>0/0</v>
      </c>
      <c r="M8" s="138" t="str">
        <f ca="1">IFERROR(__xludf.DUMMYFUNCTION("TO_TEXT((M12/2)*100*M9)&amp;TO_TEXT(""/"")&amp;TO_TEXT(M9*50)"),"0/0")</f>
        <v>0/0</v>
      </c>
      <c r="N8" s="138" t="str">
        <f ca="1">IFERROR(__xludf.DUMMYFUNCTION("TO_TEXT((N12/2)*100*N9)&amp;TO_TEXT(""/"")&amp;TO_TEXT(N9*50)"),"0/0")</f>
        <v>0/0</v>
      </c>
      <c r="O8" s="138" t="str">
        <f ca="1">IFERROR(__xludf.DUMMYFUNCTION("TO_TEXT((O12/2)*100*O9)&amp;TO_TEXT(""/"")&amp;TO_TEXT(O9*50)"),"50/50")</f>
        <v>50/50</v>
      </c>
      <c r="P8" s="138" t="str">
        <f ca="1">IFERROR(__xludf.DUMMYFUNCTION("TO_TEXT((P12/2)*100*P9)&amp;TO_TEXT(""/"")&amp;TO_TEXT(P9*50)"),"50/50")</f>
        <v>50/50</v>
      </c>
      <c r="Q8" s="138" t="str">
        <f ca="1">IFERROR(__xludf.DUMMYFUNCTION("TO_TEXT((Q12/2)*100*Q9)&amp;TO_TEXT(""/"")&amp;TO_TEXT(Q9*50)"),"0/0")</f>
        <v>0/0</v>
      </c>
      <c r="R8" s="139" t="str">
        <f ca="1">IFERROR(__xludf.DUMMYFUNCTION("TO_TEXT((R12/2)*100*R9)&amp;TO_TEXT(""/"")&amp;TO_TEXT(R9*50)"),"0/0")</f>
        <v>0/0</v>
      </c>
      <c r="S8" s="139">
        <f>(SUM(M9:R9)*50)+SUM(C9:L9)*100</f>
        <v>2000</v>
      </c>
    </row>
    <row r="9" spans="1:19" ht="15.75" customHeight="1" x14ac:dyDescent="0.25">
      <c r="A9" s="225"/>
      <c r="B9" s="121" t="s">
        <v>203</v>
      </c>
      <c r="C9" s="115">
        <v>0</v>
      </c>
      <c r="D9" s="78">
        <v>0</v>
      </c>
      <c r="E9" s="78">
        <v>8</v>
      </c>
      <c r="F9" s="78">
        <v>8</v>
      </c>
      <c r="G9" s="110">
        <v>0</v>
      </c>
      <c r="H9" s="78">
        <v>0</v>
      </c>
      <c r="I9" s="78">
        <v>0</v>
      </c>
      <c r="J9" s="78">
        <v>2</v>
      </c>
      <c r="K9" s="78">
        <v>1</v>
      </c>
      <c r="L9" s="110">
        <v>0</v>
      </c>
      <c r="M9" s="78">
        <v>0</v>
      </c>
      <c r="N9" s="78">
        <v>0</v>
      </c>
      <c r="O9" s="78">
        <v>1</v>
      </c>
      <c r="P9" s="78">
        <v>1</v>
      </c>
      <c r="Q9" s="78">
        <v>0</v>
      </c>
      <c r="R9" s="110">
        <v>0</v>
      </c>
      <c r="S9" s="110"/>
    </row>
    <row r="10" spans="1:19" ht="15.75" customHeight="1" x14ac:dyDescent="0.25">
      <c r="A10" s="226"/>
      <c r="B10" s="121" t="s">
        <v>204</v>
      </c>
      <c r="C10" s="140" t="b">
        <v>1</v>
      </c>
      <c r="D10" s="140" t="b">
        <v>1</v>
      </c>
      <c r="E10" s="140" t="b">
        <v>1</v>
      </c>
      <c r="F10" s="140" t="b">
        <v>1</v>
      </c>
      <c r="G10" s="141" t="b">
        <v>1</v>
      </c>
      <c r="H10" s="140" t="b">
        <v>1</v>
      </c>
      <c r="I10" s="140" t="b">
        <v>1</v>
      </c>
      <c r="J10" s="140" t="b">
        <v>1</v>
      </c>
      <c r="K10" s="140" t="b">
        <v>1</v>
      </c>
      <c r="L10" s="141" t="b">
        <v>1</v>
      </c>
      <c r="M10" s="140" t="b">
        <v>1</v>
      </c>
      <c r="N10" s="140" t="b">
        <v>1</v>
      </c>
      <c r="O10" s="140" t="b">
        <v>1</v>
      </c>
      <c r="P10" s="140" t="b">
        <v>1</v>
      </c>
      <c r="Q10" s="140" t="b">
        <v>1</v>
      </c>
      <c r="R10" s="141" t="b">
        <v>1</v>
      </c>
      <c r="S10" s="112"/>
    </row>
    <row r="11" spans="1:19" ht="15.75" customHeight="1" x14ac:dyDescent="0.25">
      <c r="A11" s="225"/>
      <c r="B11" s="121" t="s">
        <v>205</v>
      </c>
      <c r="C11" s="78">
        <f t="shared" ref="C11:R11" si="1">((C12*(C9*C$35)*C$33)+IF(C10,(((1-C12)*C$35)*C$34*C9)))</f>
        <v>0</v>
      </c>
      <c r="D11" s="78">
        <f t="shared" si="1"/>
        <v>0</v>
      </c>
      <c r="E11" s="78">
        <f t="shared" si="1"/>
        <v>800</v>
      </c>
      <c r="F11" s="78">
        <f t="shared" si="1"/>
        <v>800</v>
      </c>
      <c r="G11" s="78">
        <f t="shared" si="1"/>
        <v>0</v>
      </c>
      <c r="H11" s="78">
        <f t="shared" si="1"/>
        <v>0</v>
      </c>
      <c r="I11" s="78">
        <f t="shared" si="1"/>
        <v>0</v>
      </c>
      <c r="J11" s="78">
        <f t="shared" si="1"/>
        <v>200</v>
      </c>
      <c r="K11" s="78">
        <f t="shared" si="1"/>
        <v>100</v>
      </c>
      <c r="L11" s="78">
        <f t="shared" si="1"/>
        <v>0</v>
      </c>
      <c r="M11" s="78">
        <f t="shared" si="1"/>
        <v>0</v>
      </c>
      <c r="N11" s="78">
        <f t="shared" si="1"/>
        <v>0</v>
      </c>
      <c r="O11" s="78">
        <f t="shared" si="1"/>
        <v>100</v>
      </c>
      <c r="P11" s="78">
        <f t="shared" si="1"/>
        <v>100</v>
      </c>
      <c r="Q11" s="78">
        <f t="shared" si="1"/>
        <v>0</v>
      </c>
      <c r="R11" s="78">
        <f t="shared" si="1"/>
        <v>0</v>
      </c>
      <c r="S11" s="110">
        <f>SUM(B11:R11)</f>
        <v>2100</v>
      </c>
    </row>
    <row r="12" spans="1:19" ht="15.75" customHeight="1" x14ac:dyDescent="0.25">
      <c r="A12" s="227"/>
      <c r="B12" s="133" t="s">
        <v>206</v>
      </c>
      <c r="C12" s="142">
        <v>0</v>
      </c>
      <c r="D12" s="143">
        <v>0</v>
      </c>
      <c r="E12" s="143">
        <v>1</v>
      </c>
      <c r="F12" s="143">
        <v>1</v>
      </c>
      <c r="G12" s="144">
        <v>0</v>
      </c>
      <c r="H12" s="143">
        <v>0</v>
      </c>
      <c r="I12" s="143">
        <v>0</v>
      </c>
      <c r="J12" s="143">
        <v>1</v>
      </c>
      <c r="K12" s="143">
        <v>1</v>
      </c>
      <c r="L12" s="144">
        <v>0</v>
      </c>
      <c r="M12" s="143">
        <v>0</v>
      </c>
      <c r="N12" s="143">
        <v>0</v>
      </c>
      <c r="O12" s="143">
        <v>1</v>
      </c>
      <c r="P12" s="143">
        <v>1</v>
      </c>
      <c r="Q12" s="143">
        <v>0</v>
      </c>
      <c r="R12" s="144">
        <v>0</v>
      </c>
      <c r="S12" s="144"/>
    </row>
    <row r="13" spans="1:19" ht="15.75" customHeight="1" x14ac:dyDescent="0.25">
      <c r="A13" s="224" t="s">
        <v>54</v>
      </c>
      <c r="B13" s="127" t="s">
        <v>202</v>
      </c>
      <c r="C13" s="128" t="str">
        <f ca="1">IFERROR(__xludf.DUMMYFUNCTION("TO_TEXT(C17*100*C14)&amp;TO_TEXT(""/"")&amp;TO_TEXT(C14*100)"),"200/200")</f>
        <v>200/200</v>
      </c>
      <c r="D13" s="129" t="str">
        <f ca="1">IFERROR(__xludf.DUMMYFUNCTION("TO_TEXT(D17*100*D14)&amp;TO_TEXT(""/"")&amp;TO_TEXT(D14*100)"),"0/0")</f>
        <v>0/0</v>
      </c>
      <c r="E13" s="129" t="str">
        <f ca="1">IFERROR(__xludf.DUMMYFUNCTION("TO_TEXT(E17*100*E14)&amp;TO_TEXT(""/"")&amp;TO_TEXT(E14*100)"),"0/0")</f>
        <v>0/0</v>
      </c>
      <c r="F13" s="129" t="str">
        <f ca="1">IFERROR(__xludf.DUMMYFUNCTION("TO_TEXT(F17*100*F14)&amp;TO_TEXT(""/"")&amp;TO_TEXT(F14*100)"),"0/0")</f>
        <v>0/0</v>
      </c>
      <c r="G13" s="130" t="str">
        <f ca="1">IFERROR(__xludf.DUMMYFUNCTION("TO_TEXT(G17*100*G14)&amp;TO_TEXT(""/"")&amp;TO_TEXT(G14*100)"),"0/0")</f>
        <v>0/0</v>
      </c>
      <c r="H13" s="129" t="str">
        <f ca="1">IFERROR(__xludf.DUMMYFUNCTION("TO_TEXT(H17*100*H14)&amp;TO_TEXT(""/"")&amp;TO_TEXT(H14*100)"),"100/100")</f>
        <v>100/100</v>
      </c>
      <c r="I13" s="129" t="str">
        <f ca="1">IFERROR(__xludf.DUMMYFUNCTION("TO_TEXT(I17*100*I14)&amp;TO_TEXT(""/"")&amp;TO_TEXT(I14*100)"),"0/0")</f>
        <v>0/0</v>
      </c>
      <c r="J13" s="129" t="str">
        <f ca="1">IFERROR(__xludf.DUMMYFUNCTION("TO_TEXT(J17*100*J14)&amp;TO_TEXT(""/"")&amp;TO_TEXT(J14*100)"),"0/0")</f>
        <v>0/0</v>
      </c>
      <c r="K13" s="129" t="str">
        <f ca="1">IFERROR(__xludf.DUMMYFUNCTION("TO_TEXT(K17*100*K14)&amp;TO_TEXT(""/"")&amp;TO_TEXT(K14*100)"),"0/0")</f>
        <v>0/0</v>
      </c>
      <c r="L13" s="130" t="str">
        <f ca="1">IFERROR(__xludf.DUMMYFUNCTION("TO_TEXT(L17*100*L14)&amp;TO_TEXT(""/"")&amp;TO_TEXT(L14*100)"),"0/0")</f>
        <v>0/0</v>
      </c>
      <c r="M13" s="129" t="str">
        <f ca="1">IFERROR(__xludf.DUMMYFUNCTION("TO_TEXT((M17/2)*100*M14)&amp;TO_TEXT(""/"")&amp;TO_TEXT(M14*50)"),"0/0")</f>
        <v>0/0</v>
      </c>
      <c r="N13" s="129" t="str">
        <f ca="1">IFERROR(__xludf.DUMMYFUNCTION("TO_TEXT((N17/2)*100*N14)&amp;TO_TEXT(""/"")&amp;TO_TEXT(N14*50)"),"0/0")</f>
        <v>0/0</v>
      </c>
      <c r="O13" s="129" t="str">
        <f ca="1">IFERROR(__xludf.DUMMYFUNCTION("TO_TEXT((O17/2)*100*O14)&amp;TO_TEXT(""/"")&amp;TO_TEXT(O14*50)"),"0/0")</f>
        <v>0/0</v>
      </c>
      <c r="P13" s="129" t="str">
        <f ca="1">IFERROR(__xludf.DUMMYFUNCTION("TO_TEXT((P17/2)*100*P14)&amp;TO_TEXT(""/"")&amp;TO_TEXT(P14*50)"),"0/0")</f>
        <v>0/0</v>
      </c>
      <c r="Q13" s="129" t="str">
        <f ca="1">IFERROR(__xludf.DUMMYFUNCTION("TO_TEXT((Q17/2)*100*Q14)&amp;TO_TEXT(""/"")&amp;TO_TEXT(Q14*50)"),"0/0")</f>
        <v>0/0</v>
      </c>
      <c r="R13" s="130" t="str">
        <f ca="1">IFERROR(__xludf.DUMMYFUNCTION("TO_TEXT((R17/2)*100*R14)&amp;TO_TEXT(""/"")&amp;TO_TEXT(R14*50)"),"0/0")</f>
        <v>0/0</v>
      </c>
      <c r="S13" s="130">
        <f>(SUM(M14:R14)*50)+SUM(C14:L14)*100</f>
        <v>300</v>
      </c>
    </row>
    <row r="14" spans="1:19" ht="15.75" customHeight="1" x14ac:dyDescent="0.25">
      <c r="A14" s="226"/>
      <c r="B14" s="121" t="s">
        <v>203</v>
      </c>
      <c r="C14" s="114">
        <v>2</v>
      </c>
      <c r="D14" s="111">
        <v>0</v>
      </c>
      <c r="E14" s="111">
        <v>0</v>
      </c>
      <c r="F14" s="111">
        <v>0</v>
      </c>
      <c r="G14" s="112">
        <v>0</v>
      </c>
      <c r="H14" s="111">
        <v>1</v>
      </c>
      <c r="I14" s="111">
        <v>0</v>
      </c>
      <c r="J14" s="111">
        <v>0</v>
      </c>
      <c r="K14" s="111">
        <v>0</v>
      </c>
      <c r="L14" s="112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2">
        <v>0</v>
      </c>
      <c r="S14" s="112"/>
    </row>
    <row r="15" spans="1:19" ht="15.75" customHeight="1" x14ac:dyDescent="0.25">
      <c r="A15" s="225"/>
      <c r="B15" s="121" t="s">
        <v>204</v>
      </c>
      <c r="C15" s="131" t="b">
        <v>1</v>
      </c>
      <c r="D15" s="131" t="b">
        <v>1</v>
      </c>
      <c r="E15" s="131" t="b">
        <v>1</v>
      </c>
      <c r="F15" s="131" t="b">
        <v>1</v>
      </c>
      <c r="G15" s="132" t="b">
        <v>1</v>
      </c>
      <c r="H15" s="131" t="b">
        <v>1</v>
      </c>
      <c r="I15" s="131" t="b">
        <v>1</v>
      </c>
      <c r="J15" s="131" t="b">
        <v>1</v>
      </c>
      <c r="K15" s="131" t="b">
        <v>1</v>
      </c>
      <c r="L15" s="132" t="b">
        <v>1</v>
      </c>
      <c r="M15" s="131" t="b">
        <v>1</v>
      </c>
      <c r="N15" s="131" t="b">
        <v>1</v>
      </c>
      <c r="O15" s="131" t="b">
        <v>1</v>
      </c>
      <c r="P15" s="131" t="b">
        <v>1</v>
      </c>
      <c r="Q15" s="131" t="b">
        <v>1</v>
      </c>
      <c r="R15" s="132" t="b">
        <v>1</v>
      </c>
      <c r="S15" s="110"/>
    </row>
    <row r="16" spans="1:19" ht="15.75" customHeight="1" x14ac:dyDescent="0.25">
      <c r="A16" s="226"/>
      <c r="B16" s="121" t="s">
        <v>205</v>
      </c>
      <c r="C16" s="111">
        <f t="shared" ref="C16:R16" si="2">((C17*(C14*C$35)*C$33)+IF(C15,(((1-C17)*C$35)*C$34*C14)))</f>
        <v>100</v>
      </c>
      <c r="D16" s="111">
        <f t="shared" si="2"/>
        <v>0</v>
      </c>
      <c r="E16" s="111">
        <f t="shared" si="2"/>
        <v>0</v>
      </c>
      <c r="F16" s="111">
        <f t="shared" si="2"/>
        <v>0</v>
      </c>
      <c r="G16" s="111">
        <f t="shared" si="2"/>
        <v>0</v>
      </c>
      <c r="H16" s="111">
        <f t="shared" si="2"/>
        <v>50</v>
      </c>
      <c r="I16" s="111">
        <f t="shared" si="2"/>
        <v>0</v>
      </c>
      <c r="J16" s="111">
        <f t="shared" si="2"/>
        <v>0</v>
      </c>
      <c r="K16" s="111">
        <f t="shared" si="2"/>
        <v>0</v>
      </c>
      <c r="L16" s="111">
        <f t="shared" si="2"/>
        <v>0</v>
      </c>
      <c r="M16" s="111">
        <f t="shared" si="2"/>
        <v>0</v>
      </c>
      <c r="N16" s="111">
        <f t="shared" si="2"/>
        <v>0</v>
      </c>
      <c r="O16" s="111">
        <f t="shared" si="2"/>
        <v>0</v>
      </c>
      <c r="P16" s="111">
        <f t="shared" si="2"/>
        <v>0</v>
      </c>
      <c r="Q16" s="111">
        <f t="shared" si="2"/>
        <v>0</v>
      </c>
      <c r="R16" s="111">
        <f t="shared" si="2"/>
        <v>0</v>
      </c>
      <c r="S16" s="112">
        <f>SUM(B16:R16)</f>
        <v>150</v>
      </c>
    </row>
    <row r="17" spans="1:19" ht="15.75" customHeight="1" x14ac:dyDescent="0.25">
      <c r="A17" s="228"/>
      <c r="B17" s="133" t="s">
        <v>206</v>
      </c>
      <c r="C17" s="134">
        <v>1</v>
      </c>
      <c r="D17" s="135">
        <v>0</v>
      </c>
      <c r="E17" s="135">
        <v>0</v>
      </c>
      <c r="F17" s="135">
        <v>0</v>
      </c>
      <c r="G17" s="136">
        <v>0</v>
      </c>
      <c r="H17" s="135">
        <v>1</v>
      </c>
      <c r="I17" s="135">
        <v>0</v>
      </c>
      <c r="J17" s="135">
        <v>0</v>
      </c>
      <c r="K17" s="135">
        <v>0</v>
      </c>
      <c r="L17" s="136">
        <v>0</v>
      </c>
      <c r="M17" s="135">
        <v>0</v>
      </c>
      <c r="N17" s="135">
        <v>0</v>
      </c>
      <c r="O17" s="135">
        <v>0</v>
      </c>
      <c r="P17" s="135">
        <v>0</v>
      </c>
      <c r="Q17" s="135">
        <v>0</v>
      </c>
      <c r="R17" s="136">
        <v>0</v>
      </c>
      <c r="S17" s="136"/>
    </row>
    <row r="18" spans="1:19" ht="15.75" customHeight="1" x14ac:dyDescent="0.25">
      <c r="A18" s="224" t="s">
        <v>58</v>
      </c>
      <c r="B18" s="127" t="s">
        <v>202</v>
      </c>
      <c r="C18" s="137" t="str">
        <f ca="1">IFERROR(__xludf.DUMMYFUNCTION("TO_TEXT(C22*100*C19)&amp;TO_TEXT(""/"")&amp;TO_TEXT(C19*100)"),"0/0")</f>
        <v>0/0</v>
      </c>
      <c r="D18" s="138" t="str">
        <f ca="1">IFERROR(__xludf.DUMMYFUNCTION("TO_TEXT(D22*100*D19)&amp;TO_TEXT(""/"")&amp;TO_TEXT(D19*100)"),"0/0")</f>
        <v>0/0</v>
      </c>
      <c r="E18" s="138" t="str">
        <f ca="1">IFERROR(__xludf.DUMMYFUNCTION("TO_TEXT(E22*100*E19)&amp;TO_TEXT(""/"")&amp;TO_TEXT(E19*100)"),"0/0")</f>
        <v>0/0</v>
      </c>
      <c r="F18" s="138" t="str">
        <f ca="1">IFERROR(__xludf.DUMMYFUNCTION("TO_TEXT(F22*100*F19)&amp;TO_TEXT(""/"")&amp;TO_TEXT(F19*100)"),"0/0")</f>
        <v>0/0</v>
      </c>
      <c r="G18" s="139" t="str">
        <f ca="1">IFERROR(__xludf.DUMMYFUNCTION("TO_TEXT(G22*100*G19)&amp;TO_TEXT(""/"")&amp;TO_TEXT(G19*100)"),"0/0")</f>
        <v>0/0</v>
      </c>
      <c r="H18" s="138" t="str">
        <f ca="1">IFERROR(__xludf.DUMMYFUNCTION("TO_TEXT(H22*100*H19)&amp;TO_TEXT(""/"")&amp;TO_TEXT(H19*100)"),"0/0")</f>
        <v>0/0</v>
      </c>
      <c r="I18" s="138" t="str">
        <f ca="1">IFERROR(__xludf.DUMMYFUNCTION("TO_TEXT(I22*100*I19)&amp;TO_TEXT(""/"")&amp;TO_TEXT(I19*100)"),"0/0")</f>
        <v>0/0</v>
      </c>
      <c r="J18" s="138" t="str">
        <f ca="1">IFERROR(__xludf.DUMMYFUNCTION("TO_TEXT(J22*100*J19)&amp;TO_TEXT(""/"")&amp;TO_TEXT(J19*100)"),"0/0")</f>
        <v>0/0</v>
      </c>
      <c r="K18" s="138" t="str">
        <f ca="1">IFERROR(__xludf.DUMMYFUNCTION("TO_TEXT(K22*100*K19)&amp;TO_TEXT(""/"")&amp;TO_TEXT(K19*100)"),"0/0")</f>
        <v>0/0</v>
      </c>
      <c r="L18" s="139" t="str">
        <f ca="1">IFERROR(__xludf.DUMMYFUNCTION("TO_TEXT(L22*100*L19)&amp;TO_TEXT(""/"")&amp;TO_TEXT(L19*100)"),"0/0")</f>
        <v>0/0</v>
      </c>
      <c r="M18" s="138" t="str">
        <f ca="1">IFERROR(__xludf.DUMMYFUNCTION("TO_TEXT((M22/2)*100*M19)&amp;TO_TEXT(""/"")&amp;TO_TEXT(M19*50)"),"0/0")</f>
        <v>0/0</v>
      </c>
      <c r="N18" s="138" t="str">
        <f ca="1">IFERROR(__xludf.DUMMYFUNCTION("TO_TEXT((N22/2)*100*N19)&amp;TO_TEXT(""/"")&amp;TO_TEXT(N19*50)"),"0/0")</f>
        <v>0/0</v>
      </c>
      <c r="O18" s="138" t="str">
        <f ca="1">IFERROR(__xludf.DUMMYFUNCTION("TO_TEXT((O22/2)*100*O19)&amp;TO_TEXT(""/"")&amp;TO_TEXT(O19*50)"),"0/0")</f>
        <v>0/0</v>
      </c>
      <c r="P18" s="138" t="str">
        <f ca="1">IFERROR(__xludf.DUMMYFUNCTION("TO_TEXT((P22/2)*100*P19)&amp;TO_TEXT(""/"")&amp;TO_TEXT(P19*50)"),"0/0")</f>
        <v>0/0</v>
      </c>
      <c r="Q18" s="138" t="str">
        <f ca="1">IFERROR(__xludf.DUMMYFUNCTION("TO_TEXT((Q22/2)*100*Q19)&amp;TO_TEXT(""/"")&amp;TO_TEXT(Q19*50)"),"0/0")</f>
        <v>0/0</v>
      </c>
      <c r="R18" s="139" t="str">
        <f ca="1">IFERROR(__xludf.DUMMYFUNCTION("TO_TEXT((R22/2)*100*R19)&amp;TO_TEXT(""/"")&amp;TO_TEXT(R19*50)"),"0/0")</f>
        <v>0/0</v>
      </c>
      <c r="S18" s="139">
        <f>(SUM(M19:R19)*50)+SUM(C19:L19)*100</f>
        <v>0</v>
      </c>
    </row>
    <row r="19" spans="1:19" ht="15.75" customHeight="1" x14ac:dyDescent="0.25">
      <c r="A19" s="225"/>
      <c r="B19" s="121" t="s">
        <v>203</v>
      </c>
      <c r="C19" s="115">
        <v>0</v>
      </c>
      <c r="D19" s="78">
        <v>0</v>
      </c>
      <c r="E19" s="78">
        <v>0</v>
      </c>
      <c r="F19" s="78">
        <v>0</v>
      </c>
      <c r="G19" s="110">
        <v>0</v>
      </c>
      <c r="H19" s="78">
        <v>0</v>
      </c>
      <c r="I19" s="78">
        <v>0</v>
      </c>
      <c r="J19" s="78">
        <v>0</v>
      </c>
      <c r="K19" s="78">
        <v>0</v>
      </c>
      <c r="L19" s="110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110">
        <v>0</v>
      </c>
      <c r="S19" s="110"/>
    </row>
    <row r="20" spans="1:19" ht="15.75" customHeight="1" x14ac:dyDescent="0.25">
      <c r="A20" s="226"/>
      <c r="B20" s="121" t="s">
        <v>204</v>
      </c>
      <c r="C20" s="140" t="b">
        <v>1</v>
      </c>
      <c r="D20" s="140" t="b">
        <v>1</v>
      </c>
      <c r="E20" s="140" t="b">
        <v>1</v>
      </c>
      <c r="F20" s="140" t="b">
        <v>1</v>
      </c>
      <c r="G20" s="141" t="b">
        <v>1</v>
      </c>
      <c r="H20" s="140" t="b">
        <v>1</v>
      </c>
      <c r="I20" s="140" t="b">
        <v>1</v>
      </c>
      <c r="J20" s="140" t="b">
        <v>1</v>
      </c>
      <c r="K20" s="140" t="b">
        <v>1</v>
      </c>
      <c r="L20" s="141" t="b">
        <v>1</v>
      </c>
      <c r="M20" s="140" t="b">
        <v>1</v>
      </c>
      <c r="N20" s="140" t="b">
        <v>1</v>
      </c>
      <c r="O20" s="140" t="b">
        <v>1</v>
      </c>
      <c r="P20" s="140" t="b">
        <v>1</v>
      </c>
      <c r="Q20" s="140" t="b">
        <v>1</v>
      </c>
      <c r="R20" s="141" t="b">
        <v>1</v>
      </c>
      <c r="S20" s="112"/>
    </row>
    <row r="21" spans="1:19" ht="15.75" customHeight="1" x14ac:dyDescent="0.25">
      <c r="A21" s="225"/>
      <c r="B21" s="121" t="s">
        <v>205</v>
      </c>
      <c r="C21" s="78">
        <f t="shared" ref="C21:R21" si="3">((C22*(C19*C$35)*C$33)+IF(C20,(((1-C22)*C$35)*C$34*C19)))</f>
        <v>0</v>
      </c>
      <c r="D21" s="78">
        <f t="shared" si="3"/>
        <v>0</v>
      </c>
      <c r="E21" s="78">
        <f t="shared" si="3"/>
        <v>0</v>
      </c>
      <c r="F21" s="78">
        <f t="shared" si="3"/>
        <v>0</v>
      </c>
      <c r="G21" s="78">
        <f t="shared" si="3"/>
        <v>0</v>
      </c>
      <c r="H21" s="78">
        <f t="shared" si="3"/>
        <v>0</v>
      </c>
      <c r="I21" s="78">
        <f t="shared" si="3"/>
        <v>0</v>
      </c>
      <c r="J21" s="78">
        <f t="shared" si="3"/>
        <v>0</v>
      </c>
      <c r="K21" s="78">
        <f t="shared" si="3"/>
        <v>0</v>
      </c>
      <c r="L21" s="78">
        <f t="shared" si="3"/>
        <v>0</v>
      </c>
      <c r="M21" s="78">
        <f t="shared" si="3"/>
        <v>0</v>
      </c>
      <c r="N21" s="78">
        <f t="shared" si="3"/>
        <v>0</v>
      </c>
      <c r="O21" s="78">
        <f t="shared" si="3"/>
        <v>0</v>
      </c>
      <c r="P21" s="78">
        <f t="shared" si="3"/>
        <v>0</v>
      </c>
      <c r="Q21" s="78">
        <f t="shared" si="3"/>
        <v>0</v>
      </c>
      <c r="R21" s="78">
        <f t="shared" si="3"/>
        <v>0</v>
      </c>
      <c r="S21" s="110">
        <f>SUM(B21:R21)</f>
        <v>0</v>
      </c>
    </row>
    <row r="22" spans="1:19" ht="15.75" customHeight="1" x14ac:dyDescent="0.25">
      <c r="A22" s="227"/>
      <c r="B22" s="133" t="s">
        <v>206</v>
      </c>
      <c r="C22" s="142">
        <v>0</v>
      </c>
      <c r="D22" s="143">
        <v>0</v>
      </c>
      <c r="E22" s="143">
        <v>0</v>
      </c>
      <c r="F22" s="143">
        <v>0</v>
      </c>
      <c r="G22" s="144">
        <v>0</v>
      </c>
      <c r="H22" s="143">
        <v>0</v>
      </c>
      <c r="I22" s="143">
        <v>0</v>
      </c>
      <c r="J22" s="143">
        <v>0</v>
      </c>
      <c r="K22" s="143">
        <v>0</v>
      </c>
      <c r="L22" s="144">
        <v>0</v>
      </c>
      <c r="M22" s="143">
        <v>0</v>
      </c>
      <c r="N22" s="143">
        <v>0</v>
      </c>
      <c r="O22" s="143">
        <v>0</v>
      </c>
      <c r="P22" s="143">
        <v>0</v>
      </c>
      <c r="Q22" s="143">
        <v>0</v>
      </c>
      <c r="R22" s="144">
        <v>0</v>
      </c>
      <c r="S22" s="144"/>
    </row>
    <row r="23" spans="1:19" ht="15.75" customHeight="1" x14ac:dyDescent="0.25">
      <c r="A23" s="224" t="s">
        <v>61</v>
      </c>
      <c r="B23" s="127" t="s">
        <v>202</v>
      </c>
      <c r="C23" s="128" t="str">
        <f ca="1">IFERROR(__xludf.DUMMYFUNCTION("TO_TEXT(C27*100*C24)&amp;TO_TEXT(""/"")&amp;TO_TEXT(C24*100)"),"100/100")</f>
        <v>100/100</v>
      </c>
      <c r="D23" s="129" t="str">
        <f ca="1">IFERROR(__xludf.DUMMYFUNCTION("TO_TEXT(D27*100*D24)&amp;TO_TEXT(""/"")&amp;TO_TEXT(D24*100)"),"0/0")</f>
        <v>0/0</v>
      </c>
      <c r="E23" s="129" t="str">
        <f ca="1">IFERROR(__xludf.DUMMYFUNCTION("TO_TEXT(E27*100*E24)&amp;TO_TEXT(""/"")&amp;TO_TEXT(E24*100)"),"0/0")</f>
        <v>0/0</v>
      </c>
      <c r="F23" s="129" t="str">
        <f ca="1">IFERROR(__xludf.DUMMYFUNCTION("TO_TEXT(F27*100*F24)&amp;TO_TEXT(""/"")&amp;TO_TEXT(F24*100)"),"0/0")</f>
        <v>0/0</v>
      </c>
      <c r="G23" s="130" t="str">
        <f ca="1">IFERROR(__xludf.DUMMYFUNCTION("TO_TEXT(G27*100*G24)&amp;TO_TEXT(""/"")&amp;TO_TEXT(G24*100)"),"0/0")</f>
        <v>0/0</v>
      </c>
      <c r="H23" s="129" t="str">
        <f ca="1">IFERROR(__xludf.DUMMYFUNCTION("TO_TEXT(H27*100*H24)&amp;TO_TEXT(""/"")&amp;TO_TEXT(H24*100)"),"100/100")</f>
        <v>100/100</v>
      </c>
      <c r="I23" s="129" t="str">
        <f ca="1">IFERROR(__xludf.DUMMYFUNCTION("TO_TEXT(I27*100*I24)&amp;TO_TEXT(""/"")&amp;TO_TEXT(I24*100)"),"0/0")</f>
        <v>0/0</v>
      </c>
      <c r="J23" s="129" t="str">
        <f ca="1">IFERROR(__xludf.DUMMYFUNCTION("TO_TEXT(J27*100*J24)&amp;TO_TEXT(""/"")&amp;TO_TEXT(J24*100)"),"0/0")</f>
        <v>0/0</v>
      </c>
      <c r="K23" s="129" t="str">
        <f ca="1">IFERROR(__xludf.DUMMYFUNCTION("TO_TEXT(K27*100*K24)&amp;TO_TEXT(""/"")&amp;TO_TEXT(K24*100)"),"0/0")</f>
        <v>0/0</v>
      </c>
      <c r="L23" s="130" t="str">
        <f ca="1">IFERROR(__xludf.DUMMYFUNCTION("TO_TEXT(L27*100*L24)&amp;TO_TEXT(""/"")&amp;TO_TEXT(L24*100)"),"0/0")</f>
        <v>0/0</v>
      </c>
      <c r="M23" s="129" t="str">
        <f ca="1">IFERROR(__xludf.DUMMYFUNCTION("TO_TEXT((M27/2)*100*M24)&amp;TO_TEXT(""/"")&amp;TO_TEXT(M24*50)"),"0/0")</f>
        <v>0/0</v>
      </c>
      <c r="N23" s="129" t="str">
        <f ca="1">IFERROR(__xludf.DUMMYFUNCTION("TO_TEXT((N27/2)*100*N24)&amp;TO_TEXT(""/"")&amp;TO_TEXT(N24*50)"),"0/0")</f>
        <v>0/0</v>
      </c>
      <c r="O23" s="129" t="str">
        <f ca="1">IFERROR(__xludf.DUMMYFUNCTION("TO_TEXT((O27/2)*100*O24)&amp;TO_TEXT(""/"")&amp;TO_TEXT(O24*50)"),"0/0")</f>
        <v>0/0</v>
      </c>
      <c r="P23" s="129" t="str">
        <f ca="1">IFERROR(__xludf.DUMMYFUNCTION("TO_TEXT((P27/2)*100*P24)&amp;TO_TEXT(""/"")&amp;TO_TEXT(P24*50)"),"0/0")</f>
        <v>0/0</v>
      </c>
      <c r="Q23" s="129" t="str">
        <f ca="1">IFERROR(__xludf.DUMMYFUNCTION("TO_TEXT((Q27/2)*100*Q24)&amp;TO_TEXT(""/"")&amp;TO_TEXT(Q24*50)"),"0/0")</f>
        <v>0/0</v>
      </c>
      <c r="R23" s="130" t="str">
        <f ca="1">IFERROR(__xludf.DUMMYFUNCTION("TO_TEXT((R27/2)*100*R24)&amp;TO_TEXT(""/"")&amp;TO_TEXT(R24*50)"),"0/0")</f>
        <v>0/0</v>
      </c>
      <c r="S23" s="130">
        <f>(SUM(M24:R24)*50)+SUM(C24:L24)*100</f>
        <v>200</v>
      </c>
    </row>
    <row r="24" spans="1:19" ht="15.75" customHeight="1" x14ac:dyDescent="0.25">
      <c r="A24" s="226"/>
      <c r="B24" s="121" t="s">
        <v>203</v>
      </c>
      <c r="C24" s="114">
        <v>1</v>
      </c>
      <c r="D24" s="111">
        <v>0</v>
      </c>
      <c r="E24" s="111">
        <v>0</v>
      </c>
      <c r="F24" s="111">
        <v>0</v>
      </c>
      <c r="G24" s="112">
        <v>0</v>
      </c>
      <c r="H24" s="111">
        <v>1</v>
      </c>
      <c r="I24" s="111">
        <v>0</v>
      </c>
      <c r="J24" s="111">
        <v>0</v>
      </c>
      <c r="K24" s="111">
        <v>0</v>
      </c>
      <c r="L24" s="112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2">
        <v>0</v>
      </c>
      <c r="S24" s="112"/>
    </row>
    <row r="25" spans="1:19" ht="15.75" customHeight="1" x14ac:dyDescent="0.25">
      <c r="A25" s="225"/>
      <c r="B25" s="121" t="s">
        <v>204</v>
      </c>
      <c r="C25" s="131" t="b">
        <v>1</v>
      </c>
      <c r="D25" s="131" t="b">
        <v>1</v>
      </c>
      <c r="E25" s="131" t="b">
        <v>1</v>
      </c>
      <c r="F25" s="131" t="b">
        <v>1</v>
      </c>
      <c r="G25" s="132" t="b">
        <v>1</v>
      </c>
      <c r="H25" s="131" t="b">
        <v>1</v>
      </c>
      <c r="I25" s="131" t="b">
        <v>1</v>
      </c>
      <c r="J25" s="131" t="b">
        <v>1</v>
      </c>
      <c r="K25" s="131" t="b">
        <v>1</v>
      </c>
      <c r="L25" s="132" t="b">
        <v>1</v>
      </c>
      <c r="M25" s="131" t="b">
        <v>1</v>
      </c>
      <c r="N25" s="131" t="b">
        <v>1</v>
      </c>
      <c r="O25" s="131" t="b">
        <v>1</v>
      </c>
      <c r="P25" s="131" t="b">
        <v>1</v>
      </c>
      <c r="Q25" s="131" t="b">
        <v>1</v>
      </c>
      <c r="R25" s="132" t="b">
        <v>1</v>
      </c>
      <c r="S25" s="110"/>
    </row>
    <row r="26" spans="1:19" ht="15.75" customHeight="1" x14ac:dyDescent="0.25">
      <c r="A26" s="226"/>
      <c r="B26" s="121" t="s">
        <v>205</v>
      </c>
      <c r="C26" s="111">
        <f t="shared" ref="C26:R26" si="4">((C27*(C24*C$35)*C$33)+IF(C25,(((1-C27)*C$35)*C$34*C24)))</f>
        <v>50</v>
      </c>
      <c r="D26" s="111">
        <f t="shared" si="4"/>
        <v>0</v>
      </c>
      <c r="E26" s="111">
        <f t="shared" si="4"/>
        <v>0</v>
      </c>
      <c r="F26" s="111">
        <f t="shared" si="4"/>
        <v>0</v>
      </c>
      <c r="G26" s="111">
        <f t="shared" si="4"/>
        <v>0</v>
      </c>
      <c r="H26" s="111">
        <f t="shared" si="4"/>
        <v>50</v>
      </c>
      <c r="I26" s="111">
        <f t="shared" si="4"/>
        <v>0</v>
      </c>
      <c r="J26" s="111">
        <f t="shared" si="4"/>
        <v>0</v>
      </c>
      <c r="K26" s="111">
        <f t="shared" si="4"/>
        <v>0</v>
      </c>
      <c r="L26" s="111">
        <f t="shared" si="4"/>
        <v>0</v>
      </c>
      <c r="M26" s="111">
        <f t="shared" si="4"/>
        <v>0</v>
      </c>
      <c r="N26" s="111">
        <f t="shared" si="4"/>
        <v>0</v>
      </c>
      <c r="O26" s="111">
        <f t="shared" si="4"/>
        <v>0</v>
      </c>
      <c r="P26" s="111">
        <f t="shared" si="4"/>
        <v>0</v>
      </c>
      <c r="Q26" s="111">
        <f t="shared" si="4"/>
        <v>0</v>
      </c>
      <c r="R26" s="111">
        <f t="shared" si="4"/>
        <v>0</v>
      </c>
      <c r="S26" s="112">
        <f>SUM(B26:R26)</f>
        <v>100</v>
      </c>
    </row>
    <row r="27" spans="1:19" ht="15.75" customHeight="1" x14ac:dyDescent="0.25">
      <c r="A27" s="228"/>
      <c r="B27" s="133" t="s">
        <v>206</v>
      </c>
      <c r="C27" s="134">
        <v>1</v>
      </c>
      <c r="D27" s="135">
        <v>0</v>
      </c>
      <c r="E27" s="135">
        <v>0</v>
      </c>
      <c r="F27" s="135">
        <v>0</v>
      </c>
      <c r="G27" s="136">
        <v>0</v>
      </c>
      <c r="H27" s="135">
        <v>1</v>
      </c>
      <c r="I27" s="135">
        <v>0</v>
      </c>
      <c r="J27" s="135">
        <v>0</v>
      </c>
      <c r="K27" s="135">
        <v>0</v>
      </c>
      <c r="L27" s="136">
        <v>0</v>
      </c>
      <c r="M27" s="135">
        <v>0</v>
      </c>
      <c r="N27" s="135">
        <v>0</v>
      </c>
      <c r="O27" s="135">
        <v>0</v>
      </c>
      <c r="P27" s="135">
        <v>0</v>
      </c>
      <c r="Q27" s="135">
        <v>0</v>
      </c>
      <c r="R27" s="136">
        <v>0</v>
      </c>
      <c r="S27" s="136"/>
    </row>
    <row r="28" spans="1:19" ht="15.75" customHeight="1" x14ac:dyDescent="0.25">
      <c r="A28" s="224" t="s">
        <v>64</v>
      </c>
      <c r="B28" s="127" t="s">
        <v>202</v>
      </c>
      <c r="C28" s="137" t="str">
        <f ca="1">IFERROR(__xludf.DUMMYFUNCTION("TO_TEXT(C32*100*C29)&amp;TO_TEXT(""/"")&amp;TO_TEXT(C29*100)"),"0/0")</f>
        <v>0/0</v>
      </c>
      <c r="D28" s="138" t="str">
        <f ca="1">IFERROR(__xludf.DUMMYFUNCTION("TO_TEXT(D32*100*D29)&amp;TO_TEXT(""/"")&amp;TO_TEXT(D29*100)"),"0/0")</f>
        <v>0/0</v>
      </c>
      <c r="E28" s="138" t="str">
        <f ca="1">IFERROR(__xludf.DUMMYFUNCTION("TO_TEXT(E32*100*E29)&amp;TO_TEXT(""/"")&amp;TO_TEXT(E29*100)"),"0/0")</f>
        <v>0/0</v>
      </c>
      <c r="F28" s="138" t="str">
        <f ca="1">IFERROR(__xludf.DUMMYFUNCTION("TO_TEXT(F32*100*F29)&amp;TO_TEXT(""/"")&amp;TO_TEXT(F29*100)"),"0/0")</f>
        <v>0/0</v>
      </c>
      <c r="G28" s="139" t="str">
        <f ca="1">IFERROR(__xludf.DUMMYFUNCTION("TO_TEXT(G32*100*G29)&amp;TO_TEXT(""/"")&amp;TO_TEXT(G29*100)"),"0/0")</f>
        <v>0/0</v>
      </c>
      <c r="H28" s="138" t="str">
        <f ca="1">IFERROR(__xludf.DUMMYFUNCTION("TO_TEXT(H32*100*H29)&amp;TO_TEXT(""/"")&amp;TO_TEXT(H29*100)"),"0/0")</f>
        <v>0/0</v>
      </c>
      <c r="I28" s="138" t="str">
        <f ca="1">IFERROR(__xludf.DUMMYFUNCTION("TO_TEXT(I32*100*I29)&amp;TO_TEXT(""/"")&amp;TO_TEXT(I29*100)"),"0/0")</f>
        <v>0/0</v>
      </c>
      <c r="J28" s="138" t="str">
        <f ca="1">IFERROR(__xludf.DUMMYFUNCTION("TO_TEXT(J32*100*J29)&amp;TO_TEXT(""/"")&amp;TO_TEXT(J29*100)"),"0/0")</f>
        <v>0/0</v>
      </c>
      <c r="K28" s="138" t="str">
        <f ca="1">IFERROR(__xludf.DUMMYFUNCTION("TO_TEXT(K32*100*K29)&amp;TO_TEXT(""/"")&amp;TO_TEXT(K29*100)"),"0/0")</f>
        <v>0/0</v>
      </c>
      <c r="L28" s="139" t="str">
        <f ca="1">IFERROR(__xludf.DUMMYFUNCTION("TO_TEXT(L32*100*L29)&amp;TO_TEXT(""/"")&amp;TO_TEXT(L29*100)"),"0/0")</f>
        <v>0/0</v>
      </c>
      <c r="M28" s="138" t="str">
        <f ca="1">IFERROR(__xludf.DUMMYFUNCTION("TO_TEXT((M32/2)*100*M29)&amp;TO_TEXT(""/"")&amp;TO_TEXT(M29*50)"),"0/0")</f>
        <v>0/0</v>
      </c>
      <c r="N28" s="138" t="str">
        <f ca="1">IFERROR(__xludf.DUMMYFUNCTION("TO_TEXT((N32/2)*100*N29)&amp;TO_TEXT(""/"")&amp;TO_TEXT(N29*50)"),"0/0")</f>
        <v>0/0</v>
      </c>
      <c r="O28" s="138" t="str">
        <f ca="1">IFERROR(__xludf.DUMMYFUNCTION("TO_TEXT((O32/2)*100*O29)&amp;TO_TEXT(""/"")&amp;TO_TEXT(O29*50)"),"0/0")</f>
        <v>0/0</v>
      </c>
      <c r="P28" s="138" t="str">
        <f ca="1">IFERROR(__xludf.DUMMYFUNCTION("TO_TEXT((P32/2)*100*P29)&amp;TO_TEXT(""/"")&amp;TO_TEXT(P29*50)"),"0/0")</f>
        <v>0/0</v>
      </c>
      <c r="Q28" s="138" t="str">
        <f ca="1">IFERROR(__xludf.DUMMYFUNCTION("TO_TEXT((Q32/2)*100*Q29)&amp;TO_TEXT(""/"")&amp;TO_TEXT(Q29*50)"),"0/0")</f>
        <v>0/0</v>
      </c>
      <c r="R28" s="139" t="str">
        <f ca="1">IFERROR(__xludf.DUMMYFUNCTION("TO_TEXT((R32/2)*100*R29)&amp;TO_TEXT(""/"")&amp;TO_TEXT(R29*50)"),"0/0")</f>
        <v>0/0</v>
      </c>
      <c r="S28" s="139">
        <f>(SUM(M29:R29)*50)+SUM(C29:L29)*100</f>
        <v>0</v>
      </c>
    </row>
    <row r="29" spans="1:19" ht="15.75" customHeight="1" x14ac:dyDescent="0.25">
      <c r="A29" s="225"/>
      <c r="B29" s="121" t="s">
        <v>203</v>
      </c>
      <c r="C29" s="115">
        <v>0</v>
      </c>
      <c r="D29" s="78">
        <v>0</v>
      </c>
      <c r="E29" s="78">
        <v>0</v>
      </c>
      <c r="F29" s="78">
        <v>0</v>
      </c>
      <c r="G29" s="110">
        <v>0</v>
      </c>
      <c r="H29" s="78">
        <v>0</v>
      </c>
      <c r="I29" s="78">
        <v>0</v>
      </c>
      <c r="J29" s="78">
        <v>0</v>
      </c>
      <c r="K29" s="78">
        <v>0</v>
      </c>
      <c r="L29" s="110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110">
        <v>0</v>
      </c>
      <c r="S29" s="110"/>
    </row>
    <row r="30" spans="1:19" ht="15.75" customHeight="1" x14ac:dyDescent="0.25">
      <c r="A30" s="226"/>
      <c r="B30" s="121" t="s">
        <v>204</v>
      </c>
      <c r="C30" s="140" t="b">
        <v>1</v>
      </c>
      <c r="D30" s="140" t="b">
        <v>1</v>
      </c>
      <c r="E30" s="140" t="b">
        <v>1</v>
      </c>
      <c r="F30" s="140" t="b">
        <v>1</v>
      </c>
      <c r="G30" s="141" t="b">
        <v>1</v>
      </c>
      <c r="H30" s="140" t="b">
        <v>1</v>
      </c>
      <c r="I30" s="140" t="b">
        <v>1</v>
      </c>
      <c r="J30" s="140" t="b">
        <v>1</v>
      </c>
      <c r="K30" s="140" t="b">
        <v>1</v>
      </c>
      <c r="L30" s="141" t="b">
        <v>1</v>
      </c>
      <c r="M30" s="140" t="b">
        <v>1</v>
      </c>
      <c r="N30" s="140" t="b">
        <v>1</v>
      </c>
      <c r="O30" s="140" t="b">
        <v>1</v>
      </c>
      <c r="P30" s="140" t="b">
        <v>1</v>
      </c>
      <c r="Q30" s="140" t="b">
        <v>1</v>
      </c>
      <c r="R30" s="141" t="b">
        <v>1</v>
      </c>
      <c r="S30" s="112"/>
    </row>
    <row r="31" spans="1:19" ht="15.75" customHeight="1" x14ac:dyDescent="0.25">
      <c r="A31" s="225"/>
      <c r="B31" s="121" t="s">
        <v>205</v>
      </c>
      <c r="C31" s="78">
        <f t="shared" ref="C31:R31" si="5">((C32*(C29*C$35)*C$33)+IF(C30,(((1-C32)*C$35)*C$34*C29)))</f>
        <v>0</v>
      </c>
      <c r="D31" s="78">
        <f t="shared" si="5"/>
        <v>0</v>
      </c>
      <c r="E31" s="78">
        <f t="shared" si="5"/>
        <v>0</v>
      </c>
      <c r="F31" s="78">
        <f t="shared" si="5"/>
        <v>0</v>
      </c>
      <c r="G31" s="78">
        <f t="shared" si="5"/>
        <v>0</v>
      </c>
      <c r="H31" s="78">
        <f t="shared" si="5"/>
        <v>0</v>
      </c>
      <c r="I31" s="78">
        <f t="shared" si="5"/>
        <v>0</v>
      </c>
      <c r="J31" s="78">
        <f t="shared" si="5"/>
        <v>0</v>
      </c>
      <c r="K31" s="78">
        <f t="shared" si="5"/>
        <v>0</v>
      </c>
      <c r="L31" s="78">
        <f t="shared" si="5"/>
        <v>0</v>
      </c>
      <c r="M31" s="78">
        <f t="shared" si="5"/>
        <v>0</v>
      </c>
      <c r="N31" s="78">
        <f t="shared" si="5"/>
        <v>0</v>
      </c>
      <c r="O31" s="78">
        <f t="shared" si="5"/>
        <v>0</v>
      </c>
      <c r="P31" s="78">
        <f t="shared" si="5"/>
        <v>0</v>
      </c>
      <c r="Q31" s="78">
        <f t="shared" si="5"/>
        <v>0</v>
      </c>
      <c r="R31" s="78">
        <f t="shared" si="5"/>
        <v>0</v>
      </c>
      <c r="S31" s="110">
        <f>SUM(B31:R31)</f>
        <v>0</v>
      </c>
    </row>
    <row r="32" spans="1:19" ht="15.75" customHeight="1" x14ac:dyDescent="0.25">
      <c r="A32" s="227"/>
      <c r="B32" s="133" t="s">
        <v>206</v>
      </c>
      <c r="C32" s="142">
        <v>0</v>
      </c>
      <c r="D32" s="143">
        <v>0</v>
      </c>
      <c r="E32" s="143">
        <v>0</v>
      </c>
      <c r="F32" s="143">
        <v>0</v>
      </c>
      <c r="G32" s="144">
        <v>0</v>
      </c>
      <c r="H32" s="143">
        <v>0</v>
      </c>
      <c r="I32" s="143">
        <v>0</v>
      </c>
      <c r="J32" s="143">
        <v>0</v>
      </c>
      <c r="K32" s="143">
        <v>0</v>
      </c>
      <c r="L32" s="144">
        <v>0</v>
      </c>
      <c r="M32" s="143">
        <v>0</v>
      </c>
      <c r="N32" s="143">
        <v>0</v>
      </c>
      <c r="O32" s="143">
        <v>0</v>
      </c>
      <c r="P32" s="143">
        <v>0</v>
      </c>
      <c r="Q32" s="143">
        <v>0</v>
      </c>
      <c r="R32" s="144">
        <v>0</v>
      </c>
      <c r="S32" s="144"/>
    </row>
    <row r="33" spans="1:19" ht="15.75" customHeight="1" x14ac:dyDescent="0.25">
      <c r="A33" s="229"/>
      <c r="B33" s="109" t="s">
        <v>207</v>
      </c>
      <c r="C33" s="78">
        <v>0.5</v>
      </c>
      <c r="D33" s="78">
        <v>0.75</v>
      </c>
      <c r="E33" s="78">
        <v>1</v>
      </c>
      <c r="F33" s="78">
        <v>1</v>
      </c>
      <c r="G33" s="110">
        <v>1</v>
      </c>
      <c r="H33" s="78">
        <v>0.5</v>
      </c>
      <c r="I33" s="78">
        <v>0.75</v>
      </c>
      <c r="J33" s="78">
        <v>1</v>
      </c>
      <c r="K33" s="78">
        <v>1</v>
      </c>
      <c r="L33" s="110">
        <v>1</v>
      </c>
      <c r="M33" s="152">
        <v>2</v>
      </c>
      <c r="N33" s="152">
        <v>2</v>
      </c>
      <c r="O33" s="152">
        <v>2</v>
      </c>
      <c r="P33" s="152">
        <v>2</v>
      </c>
      <c r="Q33" s="152">
        <v>2</v>
      </c>
      <c r="R33" s="110">
        <v>2</v>
      </c>
      <c r="S33" s="110"/>
    </row>
    <row r="34" spans="1:19" ht="15.75" customHeight="1" x14ac:dyDescent="0.25">
      <c r="A34" s="226"/>
      <c r="B34" s="109" t="s">
        <v>208</v>
      </c>
      <c r="C34" s="111">
        <v>1</v>
      </c>
      <c r="D34" s="111">
        <v>2</v>
      </c>
      <c r="E34" s="111">
        <v>3</v>
      </c>
      <c r="F34" s="111">
        <v>4</v>
      </c>
      <c r="G34" s="112">
        <v>5</v>
      </c>
      <c r="H34" s="111">
        <v>1</v>
      </c>
      <c r="I34" s="111">
        <v>2</v>
      </c>
      <c r="J34" s="111">
        <v>3</v>
      </c>
      <c r="K34" s="111">
        <v>4</v>
      </c>
      <c r="L34" s="112">
        <v>5</v>
      </c>
      <c r="M34" s="111">
        <v>10</v>
      </c>
      <c r="N34" s="111">
        <v>11.5</v>
      </c>
      <c r="O34" s="111">
        <v>13</v>
      </c>
      <c r="P34" s="111">
        <v>15</v>
      </c>
      <c r="Q34" s="111">
        <v>18</v>
      </c>
      <c r="R34" s="112">
        <v>20</v>
      </c>
      <c r="S34" s="112"/>
    </row>
    <row r="35" spans="1:19" ht="15.75" customHeight="1" x14ac:dyDescent="0.25">
      <c r="A35" s="225"/>
      <c r="B35" s="109" t="s">
        <v>209</v>
      </c>
      <c r="C35" s="78">
        <v>100</v>
      </c>
      <c r="D35" s="78">
        <v>100</v>
      </c>
      <c r="E35" s="78">
        <v>100</v>
      </c>
      <c r="F35" s="78">
        <v>100</v>
      </c>
      <c r="G35" s="110">
        <v>100</v>
      </c>
      <c r="H35" s="78">
        <v>100</v>
      </c>
      <c r="I35" s="78">
        <v>100</v>
      </c>
      <c r="J35" s="78">
        <v>100</v>
      </c>
      <c r="K35" s="78">
        <v>100</v>
      </c>
      <c r="L35" s="110">
        <v>100</v>
      </c>
      <c r="M35" s="78">
        <v>50</v>
      </c>
      <c r="N35" s="78">
        <v>50</v>
      </c>
      <c r="O35" s="78">
        <v>50</v>
      </c>
      <c r="P35" s="78">
        <v>50</v>
      </c>
      <c r="Q35" s="78">
        <v>50</v>
      </c>
      <c r="R35" s="110">
        <v>50</v>
      </c>
      <c r="S35" s="110"/>
    </row>
    <row r="36" spans="1:19" ht="15.75" customHeight="1" x14ac:dyDescent="0.25">
      <c r="A36" s="109"/>
      <c r="B36" s="109"/>
      <c r="C36" s="111"/>
      <c r="D36" s="111"/>
      <c r="E36" s="111"/>
      <c r="F36" s="111"/>
      <c r="G36" s="112"/>
      <c r="H36" s="114"/>
      <c r="I36" s="111"/>
      <c r="J36" s="111"/>
      <c r="K36" s="111"/>
      <c r="L36" s="112"/>
      <c r="M36" s="111"/>
      <c r="N36" s="111"/>
      <c r="O36" s="111"/>
      <c r="P36" s="111"/>
      <c r="Q36" s="111"/>
      <c r="R36" s="112"/>
      <c r="S36" s="112"/>
    </row>
    <row r="37" spans="1:19" ht="15.75" customHeight="1" x14ac:dyDescent="0.25">
      <c r="A37" s="109"/>
      <c r="B37" s="109"/>
      <c r="C37" s="78"/>
      <c r="D37" s="78"/>
      <c r="E37" s="78"/>
      <c r="F37" s="78"/>
      <c r="G37" s="110"/>
      <c r="H37" s="115"/>
      <c r="I37" s="78"/>
      <c r="J37" s="78"/>
      <c r="K37" s="78"/>
      <c r="L37" s="110"/>
      <c r="M37" s="78"/>
      <c r="N37" s="78"/>
      <c r="O37" s="78"/>
      <c r="P37" s="78"/>
      <c r="Q37" s="78"/>
      <c r="R37" s="110"/>
      <c r="S37" s="110"/>
    </row>
    <row r="38" spans="1:19" ht="15.75" customHeight="1" x14ac:dyDescent="0.25">
      <c r="A38" s="109"/>
      <c r="B38" s="109"/>
      <c r="C38" s="111"/>
      <c r="D38" s="111"/>
      <c r="E38" s="111"/>
      <c r="F38" s="111"/>
      <c r="G38" s="112"/>
      <c r="H38" s="114"/>
      <c r="I38" s="111"/>
      <c r="J38" s="111"/>
      <c r="K38" s="111"/>
      <c r="L38" s="112"/>
      <c r="M38" s="111"/>
      <c r="N38" s="111"/>
      <c r="O38" s="111"/>
      <c r="P38" s="111"/>
      <c r="Q38" s="111"/>
      <c r="R38" s="112"/>
      <c r="S38" s="112"/>
    </row>
    <row r="39" spans="1:19" ht="15" x14ac:dyDescent="0.25">
      <c r="A39" s="109"/>
      <c r="B39" s="109"/>
      <c r="C39" s="78"/>
      <c r="D39" s="78"/>
      <c r="E39" s="78"/>
      <c r="F39" s="78"/>
      <c r="G39" s="110"/>
      <c r="H39" s="115"/>
      <c r="I39" s="78"/>
      <c r="J39" s="78"/>
      <c r="K39" s="78"/>
      <c r="L39" s="110"/>
      <c r="M39" s="78"/>
      <c r="N39" s="78"/>
      <c r="O39" s="78"/>
      <c r="P39" s="78"/>
      <c r="Q39" s="78"/>
      <c r="R39" s="110"/>
      <c r="S39" s="110"/>
    </row>
    <row r="40" spans="1:19" ht="15" x14ac:dyDescent="0.25">
      <c r="A40" s="109"/>
      <c r="B40" s="109"/>
      <c r="C40" s="111"/>
      <c r="D40" s="111"/>
      <c r="E40" s="111"/>
      <c r="F40" s="111"/>
      <c r="G40" s="112"/>
      <c r="H40" s="114"/>
      <c r="I40" s="111"/>
      <c r="J40" s="111"/>
      <c r="K40" s="111"/>
      <c r="L40" s="112"/>
      <c r="M40" s="111"/>
      <c r="N40" s="111"/>
      <c r="O40" s="111"/>
      <c r="P40" s="111"/>
      <c r="Q40" s="111"/>
      <c r="R40" s="112"/>
      <c r="S40" s="112"/>
    </row>
    <row r="41" spans="1:19" ht="15" x14ac:dyDescent="0.25">
      <c r="A41" s="109"/>
      <c r="B41" s="109"/>
      <c r="C41" s="78"/>
      <c r="D41" s="78"/>
      <c r="E41" s="78"/>
      <c r="F41" s="78"/>
      <c r="G41" s="110"/>
      <c r="H41" s="115"/>
      <c r="I41" s="78"/>
      <c r="J41" s="78"/>
      <c r="K41" s="78"/>
      <c r="L41" s="110"/>
      <c r="M41" s="78"/>
      <c r="N41" s="78"/>
      <c r="O41" s="78"/>
      <c r="P41" s="78"/>
      <c r="Q41" s="78"/>
      <c r="R41" s="110"/>
      <c r="S41" s="110"/>
    </row>
    <row r="42" spans="1:19" ht="15" x14ac:dyDescent="0.25">
      <c r="A42" s="109"/>
      <c r="B42" s="109"/>
      <c r="C42" s="111"/>
      <c r="D42" s="111"/>
      <c r="E42" s="111"/>
      <c r="F42" s="111"/>
      <c r="G42" s="112"/>
      <c r="H42" s="114"/>
      <c r="I42" s="111"/>
      <c r="J42" s="111"/>
      <c r="K42" s="111"/>
      <c r="L42" s="112"/>
      <c r="M42" s="111"/>
      <c r="N42" s="111"/>
      <c r="O42" s="111"/>
      <c r="P42" s="111"/>
      <c r="Q42" s="111"/>
      <c r="R42" s="112"/>
      <c r="S42" s="112"/>
    </row>
    <row r="43" spans="1:19" ht="15" x14ac:dyDescent="0.25">
      <c r="A43" s="109"/>
      <c r="B43" s="109"/>
      <c r="C43" s="78"/>
      <c r="D43" s="78"/>
      <c r="E43" s="78"/>
      <c r="F43" s="78"/>
      <c r="G43" s="110"/>
      <c r="H43" s="115"/>
      <c r="I43" s="78"/>
      <c r="J43" s="78"/>
      <c r="K43" s="78"/>
      <c r="L43" s="110"/>
      <c r="M43" s="78"/>
      <c r="N43" s="78"/>
      <c r="O43" s="78"/>
      <c r="P43" s="78"/>
      <c r="Q43" s="78"/>
      <c r="R43" s="110"/>
      <c r="S43" s="110"/>
    </row>
    <row r="44" spans="1:19" ht="15" x14ac:dyDescent="0.25">
      <c r="A44" s="109"/>
      <c r="B44" s="109"/>
      <c r="C44" s="111"/>
      <c r="D44" s="111"/>
      <c r="E44" s="111"/>
      <c r="F44" s="111"/>
      <c r="G44" s="112"/>
      <c r="H44" s="114"/>
      <c r="I44" s="111"/>
      <c r="J44" s="111"/>
      <c r="K44" s="111"/>
      <c r="L44" s="112"/>
      <c r="M44" s="111"/>
      <c r="N44" s="111"/>
      <c r="O44" s="111"/>
      <c r="P44" s="111"/>
      <c r="Q44" s="111"/>
      <c r="R44" s="112"/>
      <c r="S44" s="112"/>
    </row>
    <row r="45" spans="1:19" ht="15" x14ac:dyDescent="0.25">
      <c r="A45" s="109"/>
      <c r="B45" s="109"/>
      <c r="C45" s="78"/>
      <c r="D45" s="78"/>
      <c r="E45" s="78"/>
      <c r="F45" s="78"/>
      <c r="G45" s="110"/>
      <c r="H45" s="115"/>
      <c r="I45" s="78"/>
      <c r="J45" s="78"/>
      <c r="K45" s="78"/>
      <c r="L45" s="110"/>
      <c r="M45" s="78"/>
      <c r="N45" s="78"/>
      <c r="O45" s="78"/>
      <c r="P45" s="78"/>
      <c r="Q45" s="78"/>
      <c r="R45" s="110"/>
      <c r="S45" s="110"/>
    </row>
    <row r="46" spans="1:19" ht="15" x14ac:dyDescent="0.25">
      <c r="A46" s="109"/>
      <c r="B46" s="109"/>
      <c r="C46" s="111"/>
      <c r="D46" s="111"/>
      <c r="E46" s="111"/>
      <c r="F46" s="111"/>
      <c r="G46" s="112"/>
      <c r="H46" s="114"/>
      <c r="I46" s="111"/>
      <c r="J46" s="111"/>
      <c r="K46" s="111"/>
      <c r="L46" s="112"/>
      <c r="M46" s="111"/>
      <c r="N46" s="111"/>
      <c r="O46" s="111"/>
      <c r="P46" s="111"/>
      <c r="Q46" s="111"/>
      <c r="R46" s="112"/>
      <c r="S46" s="112"/>
    </row>
    <row r="47" spans="1:19" ht="15" x14ac:dyDescent="0.25">
      <c r="A47" s="109"/>
      <c r="B47" s="109"/>
      <c r="C47" s="78"/>
      <c r="D47" s="78"/>
      <c r="E47" s="78"/>
      <c r="F47" s="78"/>
      <c r="G47" s="110"/>
      <c r="H47" s="115"/>
      <c r="I47" s="78"/>
      <c r="J47" s="78"/>
      <c r="K47" s="78"/>
      <c r="L47" s="110"/>
      <c r="M47" s="78"/>
      <c r="N47" s="78"/>
      <c r="O47" s="78"/>
      <c r="P47" s="78"/>
      <c r="Q47" s="78"/>
      <c r="R47" s="110"/>
      <c r="S47" s="110"/>
    </row>
    <row r="48" spans="1:19" ht="15" x14ac:dyDescent="0.25">
      <c r="A48" s="109"/>
      <c r="B48" s="109"/>
      <c r="C48" s="111"/>
      <c r="D48" s="111"/>
      <c r="E48" s="111"/>
      <c r="F48" s="111"/>
      <c r="G48" s="112"/>
      <c r="H48" s="114"/>
      <c r="I48" s="111"/>
      <c r="J48" s="111"/>
      <c r="K48" s="111"/>
      <c r="L48" s="112"/>
      <c r="M48" s="111"/>
      <c r="N48" s="111"/>
      <c r="O48" s="111"/>
      <c r="P48" s="111"/>
      <c r="Q48" s="111"/>
      <c r="R48" s="112"/>
      <c r="S48" s="112"/>
    </row>
    <row r="49" spans="1:19" ht="15" x14ac:dyDescent="0.25">
      <c r="A49" s="109"/>
      <c r="B49" s="109"/>
      <c r="C49" s="78"/>
      <c r="D49" s="78"/>
      <c r="E49" s="78"/>
      <c r="F49" s="78"/>
      <c r="G49" s="110"/>
      <c r="H49" s="115"/>
      <c r="I49" s="78"/>
      <c r="J49" s="78"/>
      <c r="K49" s="78"/>
      <c r="L49" s="110"/>
      <c r="M49" s="78"/>
      <c r="N49" s="78"/>
      <c r="O49" s="78"/>
      <c r="P49" s="78"/>
      <c r="Q49" s="78"/>
      <c r="R49" s="110"/>
      <c r="S49" s="110"/>
    </row>
    <row r="50" spans="1:19" ht="15" x14ac:dyDescent="0.25">
      <c r="A50" s="109"/>
      <c r="B50" s="109"/>
      <c r="C50" s="111"/>
      <c r="D50" s="111"/>
      <c r="E50" s="111"/>
      <c r="F50" s="111"/>
      <c r="G50" s="112"/>
      <c r="H50" s="114"/>
      <c r="I50" s="111"/>
      <c r="J50" s="111"/>
      <c r="K50" s="111"/>
      <c r="L50" s="112"/>
      <c r="M50" s="111"/>
      <c r="N50" s="111"/>
      <c r="O50" s="111"/>
      <c r="P50" s="111"/>
      <c r="Q50" s="111"/>
      <c r="R50" s="112"/>
      <c r="S50" s="112"/>
    </row>
    <row r="51" spans="1:19" ht="15" x14ac:dyDescent="0.25">
      <c r="A51" s="109"/>
      <c r="B51" s="109"/>
      <c r="C51" s="78"/>
      <c r="D51" s="78"/>
      <c r="E51" s="78"/>
      <c r="F51" s="78"/>
      <c r="G51" s="110"/>
      <c r="H51" s="115"/>
      <c r="I51" s="78"/>
      <c r="J51" s="78"/>
      <c r="K51" s="78"/>
      <c r="L51" s="110"/>
      <c r="M51" s="78"/>
      <c r="N51" s="78"/>
      <c r="O51" s="78"/>
      <c r="P51" s="78"/>
      <c r="Q51" s="78"/>
      <c r="R51" s="110"/>
      <c r="S51" s="110"/>
    </row>
    <row r="52" spans="1:19" ht="15" x14ac:dyDescent="0.25">
      <c r="A52" s="109"/>
      <c r="B52" s="109"/>
      <c r="C52" s="111"/>
      <c r="D52" s="111"/>
      <c r="E52" s="111"/>
      <c r="F52" s="111"/>
      <c r="G52" s="112"/>
      <c r="H52" s="114"/>
      <c r="I52" s="111"/>
      <c r="J52" s="111"/>
      <c r="K52" s="111"/>
      <c r="L52" s="112"/>
      <c r="M52" s="111"/>
      <c r="N52" s="111"/>
      <c r="O52" s="111"/>
      <c r="P52" s="111"/>
      <c r="Q52" s="111"/>
      <c r="R52" s="112"/>
      <c r="S52" s="112"/>
    </row>
    <row r="53" spans="1:19" ht="15" x14ac:dyDescent="0.25">
      <c r="A53" s="109"/>
      <c r="B53" s="109"/>
      <c r="C53" s="78"/>
      <c r="D53" s="78"/>
      <c r="E53" s="78"/>
      <c r="F53" s="78"/>
      <c r="G53" s="110"/>
      <c r="H53" s="115"/>
      <c r="I53" s="78"/>
      <c r="J53" s="78"/>
      <c r="K53" s="78"/>
      <c r="L53" s="110"/>
      <c r="M53" s="78"/>
      <c r="N53" s="78"/>
      <c r="O53" s="78"/>
      <c r="P53" s="78"/>
      <c r="Q53" s="78"/>
      <c r="R53" s="110"/>
      <c r="S53" s="110"/>
    </row>
    <row r="54" spans="1:19" ht="15" x14ac:dyDescent="0.25">
      <c r="A54" s="109"/>
      <c r="B54" s="109"/>
      <c r="C54" s="111"/>
      <c r="D54" s="111"/>
      <c r="E54" s="111"/>
      <c r="F54" s="111"/>
      <c r="G54" s="112"/>
      <c r="H54" s="114"/>
      <c r="I54" s="111"/>
      <c r="J54" s="111"/>
      <c r="K54" s="111"/>
      <c r="L54" s="112"/>
      <c r="M54" s="111"/>
      <c r="N54" s="111"/>
      <c r="O54" s="111"/>
      <c r="P54" s="111"/>
      <c r="Q54" s="111"/>
      <c r="R54" s="112"/>
      <c r="S54" s="112"/>
    </row>
    <row r="55" spans="1:19" ht="15" x14ac:dyDescent="0.25">
      <c r="A55" s="109"/>
      <c r="B55" s="109"/>
      <c r="C55" s="78"/>
      <c r="D55" s="78"/>
      <c r="E55" s="78"/>
      <c r="F55" s="78"/>
      <c r="G55" s="110"/>
      <c r="H55" s="115"/>
      <c r="I55" s="78"/>
      <c r="J55" s="78"/>
      <c r="K55" s="78"/>
      <c r="L55" s="110"/>
      <c r="M55" s="78"/>
      <c r="N55" s="78"/>
      <c r="O55" s="78"/>
      <c r="P55" s="78"/>
      <c r="Q55" s="78"/>
      <c r="R55" s="110"/>
      <c r="S55" s="110"/>
    </row>
    <row r="56" spans="1:19" ht="15" x14ac:dyDescent="0.25">
      <c r="A56" s="109"/>
      <c r="B56" s="109"/>
      <c r="C56" s="111"/>
      <c r="D56" s="111"/>
      <c r="E56" s="111"/>
      <c r="F56" s="111"/>
      <c r="G56" s="112"/>
      <c r="H56" s="114"/>
      <c r="I56" s="111"/>
      <c r="J56" s="111"/>
      <c r="K56" s="111"/>
      <c r="L56" s="112"/>
      <c r="M56" s="111"/>
      <c r="N56" s="111"/>
      <c r="O56" s="111"/>
      <c r="P56" s="111"/>
      <c r="Q56" s="111"/>
      <c r="R56" s="112"/>
      <c r="S56" s="112"/>
    </row>
    <row r="57" spans="1:19" ht="15" x14ac:dyDescent="0.25">
      <c r="A57" s="109"/>
      <c r="B57" s="109"/>
      <c r="C57" s="78"/>
      <c r="D57" s="78"/>
      <c r="E57" s="78"/>
      <c r="F57" s="78"/>
      <c r="G57" s="110"/>
      <c r="H57" s="115"/>
      <c r="I57" s="78"/>
      <c r="J57" s="78"/>
      <c r="K57" s="78"/>
      <c r="L57" s="110"/>
      <c r="M57" s="78"/>
      <c r="N57" s="78"/>
      <c r="O57" s="78"/>
      <c r="P57" s="78"/>
      <c r="Q57" s="78"/>
      <c r="R57" s="110"/>
      <c r="S57" s="110"/>
    </row>
    <row r="58" spans="1:19" ht="15" x14ac:dyDescent="0.25">
      <c r="A58" s="109"/>
      <c r="B58" s="109"/>
      <c r="C58" s="111"/>
      <c r="D58" s="111"/>
      <c r="E58" s="111"/>
      <c r="F58" s="111"/>
      <c r="G58" s="112"/>
      <c r="H58" s="114"/>
      <c r="I58" s="111"/>
      <c r="J58" s="111"/>
      <c r="K58" s="111"/>
      <c r="L58" s="112"/>
      <c r="M58" s="111"/>
      <c r="N58" s="111"/>
      <c r="O58" s="111"/>
      <c r="P58" s="111"/>
      <c r="Q58" s="111"/>
      <c r="R58" s="112"/>
      <c r="S58" s="112"/>
    </row>
    <row r="59" spans="1:19" ht="15" x14ac:dyDescent="0.25">
      <c r="A59" s="109"/>
      <c r="B59" s="109"/>
      <c r="C59" s="78"/>
      <c r="D59" s="78"/>
      <c r="E59" s="78"/>
      <c r="F59" s="78"/>
      <c r="G59" s="110"/>
      <c r="H59" s="115"/>
      <c r="I59" s="78"/>
      <c r="J59" s="78"/>
      <c r="K59" s="78"/>
      <c r="L59" s="110"/>
      <c r="M59" s="78"/>
      <c r="N59" s="78"/>
      <c r="O59" s="78"/>
      <c r="P59" s="78"/>
      <c r="Q59" s="78"/>
      <c r="R59" s="110"/>
      <c r="S59" s="110"/>
    </row>
    <row r="60" spans="1:19" ht="15" x14ac:dyDescent="0.25">
      <c r="A60" s="109"/>
      <c r="B60" s="109"/>
      <c r="C60" s="111"/>
      <c r="D60" s="111"/>
      <c r="E60" s="111"/>
      <c r="F60" s="111"/>
      <c r="G60" s="112"/>
      <c r="H60" s="114"/>
      <c r="I60" s="111"/>
      <c r="J60" s="111"/>
      <c r="K60" s="111"/>
      <c r="L60" s="112"/>
      <c r="M60" s="111"/>
      <c r="N60" s="111"/>
      <c r="O60" s="111"/>
      <c r="P60" s="111"/>
      <c r="Q60" s="111"/>
      <c r="R60" s="112"/>
      <c r="S60" s="112"/>
    </row>
    <row r="61" spans="1:19" ht="15" x14ac:dyDescent="0.25">
      <c r="A61" s="109"/>
      <c r="B61" s="109"/>
      <c r="C61" s="78"/>
      <c r="D61" s="78"/>
      <c r="E61" s="78"/>
      <c r="F61" s="78"/>
      <c r="G61" s="110"/>
      <c r="H61" s="115"/>
      <c r="I61" s="78"/>
      <c r="J61" s="78"/>
      <c r="K61" s="78"/>
      <c r="L61" s="110"/>
      <c r="M61" s="78"/>
      <c r="N61" s="78"/>
      <c r="O61" s="78"/>
      <c r="P61" s="78"/>
      <c r="Q61" s="78"/>
      <c r="R61" s="110"/>
      <c r="S61" s="110"/>
    </row>
    <row r="62" spans="1:19" ht="15" x14ac:dyDescent="0.25">
      <c r="A62" s="109"/>
      <c r="B62" s="109"/>
      <c r="C62" s="111"/>
      <c r="D62" s="111"/>
      <c r="E62" s="111"/>
      <c r="F62" s="111"/>
      <c r="G62" s="112"/>
      <c r="H62" s="114"/>
      <c r="I62" s="111"/>
      <c r="J62" s="111"/>
      <c r="K62" s="111"/>
      <c r="L62" s="112"/>
      <c r="M62" s="111"/>
      <c r="N62" s="111"/>
      <c r="O62" s="111"/>
      <c r="P62" s="111"/>
      <c r="Q62" s="111"/>
      <c r="R62" s="112"/>
      <c r="S62" s="112"/>
    </row>
    <row r="63" spans="1:19" ht="15" x14ac:dyDescent="0.25">
      <c r="A63" s="109"/>
      <c r="B63" s="109"/>
      <c r="C63" s="78"/>
      <c r="D63" s="78"/>
      <c r="E63" s="78"/>
      <c r="F63" s="78"/>
      <c r="G63" s="110"/>
      <c r="H63" s="115"/>
      <c r="I63" s="78"/>
      <c r="J63" s="78"/>
      <c r="K63" s="78"/>
      <c r="L63" s="110"/>
      <c r="M63" s="78"/>
      <c r="N63" s="78"/>
      <c r="O63" s="78"/>
      <c r="P63" s="78"/>
      <c r="Q63" s="78"/>
      <c r="R63" s="110"/>
      <c r="S63" s="110"/>
    </row>
    <row r="64" spans="1:19" ht="15" x14ac:dyDescent="0.25">
      <c r="A64" s="109"/>
      <c r="B64" s="109"/>
      <c r="C64" s="111"/>
      <c r="D64" s="111"/>
      <c r="E64" s="111"/>
      <c r="F64" s="111"/>
      <c r="G64" s="112"/>
      <c r="H64" s="114"/>
      <c r="I64" s="111"/>
      <c r="J64" s="111"/>
      <c r="K64" s="111"/>
      <c r="L64" s="112"/>
      <c r="M64" s="111"/>
      <c r="N64" s="111"/>
      <c r="O64" s="111"/>
      <c r="P64" s="111"/>
      <c r="Q64" s="111"/>
      <c r="R64" s="112"/>
      <c r="S64" s="112"/>
    </row>
    <row r="65" spans="1:19" ht="15" x14ac:dyDescent="0.25">
      <c r="A65" s="109"/>
      <c r="B65" s="109"/>
      <c r="C65" s="78"/>
      <c r="D65" s="78"/>
      <c r="E65" s="78"/>
      <c r="F65" s="78"/>
      <c r="G65" s="110"/>
      <c r="H65" s="115"/>
      <c r="I65" s="78"/>
      <c r="J65" s="78"/>
      <c r="K65" s="78"/>
      <c r="L65" s="110"/>
      <c r="M65" s="78"/>
      <c r="N65" s="78"/>
      <c r="O65" s="78"/>
      <c r="P65" s="78"/>
      <c r="Q65" s="78"/>
      <c r="R65" s="110"/>
      <c r="S65" s="110"/>
    </row>
    <row r="66" spans="1:19" ht="15" x14ac:dyDescent="0.25">
      <c r="A66" s="109"/>
      <c r="B66" s="109"/>
      <c r="C66" s="111"/>
      <c r="D66" s="111"/>
      <c r="E66" s="111"/>
      <c r="F66" s="111"/>
      <c r="G66" s="112"/>
      <c r="H66" s="114"/>
      <c r="I66" s="111"/>
      <c r="J66" s="111"/>
      <c r="K66" s="111"/>
      <c r="L66" s="112"/>
      <c r="M66" s="111"/>
      <c r="N66" s="111"/>
      <c r="O66" s="111"/>
      <c r="P66" s="111"/>
      <c r="Q66" s="111"/>
      <c r="R66" s="112"/>
      <c r="S66" s="112"/>
    </row>
    <row r="67" spans="1:19" ht="15" x14ac:dyDescent="0.25">
      <c r="A67" s="109"/>
      <c r="B67" s="109"/>
      <c r="C67" s="78"/>
      <c r="D67" s="78"/>
      <c r="E67" s="78"/>
      <c r="F67" s="78"/>
      <c r="G67" s="110"/>
      <c r="H67" s="115"/>
      <c r="I67" s="78"/>
      <c r="J67" s="78"/>
      <c r="K67" s="78"/>
      <c r="L67" s="110"/>
      <c r="M67" s="78"/>
      <c r="N67" s="78"/>
      <c r="O67" s="78"/>
      <c r="P67" s="78"/>
      <c r="Q67" s="78"/>
      <c r="R67" s="110"/>
      <c r="S67" s="110"/>
    </row>
    <row r="68" spans="1:19" ht="15" x14ac:dyDescent="0.25">
      <c r="A68" s="109"/>
      <c r="B68" s="109"/>
      <c r="C68" s="111"/>
      <c r="D68" s="111"/>
      <c r="E68" s="111"/>
      <c r="F68" s="111"/>
      <c r="G68" s="112"/>
      <c r="H68" s="114"/>
      <c r="I68" s="111"/>
      <c r="J68" s="111"/>
      <c r="K68" s="111"/>
      <c r="L68" s="112"/>
      <c r="M68" s="111"/>
      <c r="N68" s="111"/>
      <c r="O68" s="111"/>
      <c r="P68" s="111"/>
      <c r="Q68" s="111"/>
      <c r="R68" s="112"/>
      <c r="S68" s="112"/>
    </row>
    <row r="69" spans="1:19" ht="15" x14ac:dyDescent="0.25">
      <c r="A69" s="109"/>
      <c r="B69" s="109"/>
      <c r="C69" s="78"/>
      <c r="D69" s="78"/>
      <c r="E69" s="78"/>
      <c r="F69" s="78"/>
      <c r="G69" s="110"/>
      <c r="H69" s="115"/>
      <c r="I69" s="78"/>
      <c r="J69" s="78"/>
      <c r="K69" s="78"/>
      <c r="L69" s="110"/>
      <c r="M69" s="78"/>
      <c r="N69" s="78"/>
      <c r="O69" s="78"/>
      <c r="P69" s="78"/>
      <c r="Q69" s="78"/>
      <c r="R69" s="110"/>
      <c r="S69" s="110"/>
    </row>
    <row r="70" spans="1:19" ht="15" x14ac:dyDescent="0.25">
      <c r="A70" s="109"/>
      <c r="B70" s="109"/>
      <c r="C70" s="111"/>
      <c r="D70" s="111"/>
      <c r="E70" s="111"/>
      <c r="F70" s="111"/>
      <c r="G70" s="112"/>
      <c r="H70" s="114"/>
      <c r="I70" s="111"/>
      <c r="J70" s="111"/>
      <c r="K70" s="111"/>
      <c r="L70" s="112"/>
      <c r="M70" s="111"/>
      <c r="N70" s="111"/>
      <c r="O70" s="111"/>
      <c r="P70" s="111"/>
      <c r="Q70" s="111"/>
      <c r="R70" s="112"/>
      <c r="S70" s="112"/>
    </row>
    <row r="71" spans="1:19" ht="15" x14ac:dyDescent="0.25">
      <c r="A71" s="109"/>
      <c r="B71" s="109"/>
      <c r="C71" s="78"/>
      <c r="D71" s="78"/>
      <c r="E71" s="78"/>
      <c r="F71" s="78"/>
      <c r="G71" s="110"/>
      <c r="H71" s="115"/>
      <c r="I71" s="78"/>
      <c r="J71" s="78"/>
      <c r="K71" s="78"/>
      <c r="L71" s="110"/>
      <c r="M71" s="78"/>
      <c r="N71" s="78"/>
      <c r="O71" s="78"/>
      <c r="P71" s="78"/>
      <c r="Q71" s="78"/>
      <c r="R71" s="110"/>
      <c r="S71" s="110"/>
    </row>
    <row r="72" spans="1:19" ht="15" x14ac:dyDescent="0.25">
      <c r="A72" s="109"/>
      <c r="B72" s="109"/>
      <c r="C72" s="111"/>
      <c r="D72" s="111"/>
      <c r="E72" s="111"/>
      <c r="F72" s="111"/>
      <c r="G72" s="112"/>
      <c r="H72" s="114"/>
      <c r="I72" s="111"/>
      <c r="J72" s="111"/>
      <c r="K72" s="111"/>
      <c r="L72" s="112"/>
      <c r="M72" s="111"/>
      <c r="N72" s="111"/>
      <c r="O72" s="111"/>
      <c r="P72" s="111"/>
      <c r="Q72" s="111"/>
      <c r="R72" s="112"/>
      <c r="S72" s="112"/>
    </row>
    <row r="73" spans="1:19" ht="15" x14ac:dyDescent="0.25">
      <c r="A73" s="109"/>
      <c r="B73" s="109"/>
      <c r="C73" s="78"/>
      <c r="D73" s="78"/>
      <c r="E73" s="78"/>
      <c r="F73" s="78"/>
      <c r="G73" s="110"/>
      <c r="H73" s="115"/>
      <c r="I73" s="78"/>
      <c r="J73" s="78"/>
      <c r="K73" s="78"/>
      <c r="L73" s="110"/>
      <c r="M73" s="78"/>
      <c r="N73" s="78"/>
      <c r="O73" s="78"/>
      <c r="P73" s="78"/>
      <c r="Q73" s="78"/>
      <c r="R73" s="110"/>
      <c r="S73" s="110"/>
    </row>
    <row r="74" spans="1:19" ht="15" x14ac:dyDescent="0.25">
      <c r="A74" s="109"/>
      <c r="B74" s="109"/>
      <c r="C74" s="111"/>
      <c r="D74" s="111"/>
      <c r="E74" s="111"/>
      <c r="F74" s="111"/>
      <c r="G74" s="112"/>
      <c r="H74" s="114"/>
      <c r="I74" s="111"/>
      <c r="J74" s="111"/>
      <c r="K74" s="111"/>
      <c r="L74" s="112"/>
      <c r="M74" s="111"/>
      <c r="N74" s="111"/>
      <c r="O74" s="111"/>
      <c r="P74" s="111"/>
      <c r="Q74" s="111"/>
      <c r="R74" s="112"/>
      <c r="S74" s="112"/>
    </row>
    <row r="75" spans="1:19" ht="15" x14ac:dyDescent="0.25">
      <c r="A75" s="109"/>
      <c r="B75" s="109"/>
      <c r="C75" s="78"/>
      <c r="D75" s="78"/>
      <c r="E75" s="78"/>
      <c r="F75" s="78"/>
      <c r="G75" s="110"/>
      <c r="H75" s="115"/>
      <c r="I75" s="78"/>
      <c r="J75" s="78"/>
      <c r="K75" s="78"/>
      <c r="L75" s="110"/>
      <c r="M75" s="78"/>
      <c r="N75" s="78"/>
      <c r="O75" s="78"/>
      <c r="P75" s="78"/>
      <c r="Q75" s="78"/>
      <c r="R75" s="110"/>
      <c r="S75" s="110"/>
    </row>
    <row r="76" spans="1:19" ht="15" x14ac:dyDescent="0.25">
      <c r="A76" s="109"/>
      <c r="B76" s="109"/>
      <c r="C76" s="111"/>
      <c r="D76" s="111"/>
      <c r="E76" s="111"/>
      <c r="F76" s="111"/>
      <c r="G76" s="112"/>
      <c r="H76" s="114"/>
      <c r="I76" s="111"/>
      <c r="J76" s="111"/>
      <c r="K76" s="111"/>
      <c r="L76" s="112"/>
      <c r="M76" s="111"/>
      <c r="N76" s="111"/>
      <c r="O76" s="111"/>
      <c r="P76" s="111"/>
      <c r="Q76" s="111"/>
      <c r="R76" s="112"/>
      <c r="S76" s="112"/>
    </row>
    <row r="77" spans="1:19" ht="15" x14ac:dyDescent="0.25">
      <c r="A77" s="109"/>
      <c r="B77" s="109"/>
      <c r="C77" s="78"/>
      <c r="D77" s="78"/>
      <c r="E77" s="78"/>
      <c r="F77" s="78"/>
      <c r="G77" s="110"/>
      <c r="H77" s="115"/>
      <c r="I77" s="78"/>
      <c r="J77" s="78"/>
      <c r="K77" s="78"/>
      <c r="L77" s="110"/>
      <c r="M77" s="78"/>
      <c r="N77" s="78"/>
      <c r="O77" s="78"/>
      <c r="P77" s="78"/>
      <c r="Q77" s="78"/>
      <c r="R77" s="110"/>
      <c r="S77" s="110"/>
    </row>
    <row r="78" spans="1:19" ht="15" x14ac:dyDescent="0.25">
      <c r="A78" s="109"/>
      <c r="B78" s="109"/>
      <c r="C78" s="111"/>
      <c r="D78" s="111"/>
      <c r="E78" s="111"/>
      <c r="F78" s="111"/>
      <c r="G78" s="112"/>
      <c r="H78" s="114"/>
      <c r="I78" s="111"/>
      <c r="J78" s="111"/>
      <c r="K78" s="111"/>
      <c r="L78" s="112"/>
      <c r="M78" s="111"/>
      <c r="N78" s="111"/>
      <c r="O78" s="111"/>
      <c r="P78" s="111"/>
      <c r="Q78" s="111"/>
      <c r="R78" s="112"/>
      <c r="S78" s="112"/>
    </row>
    <row r="79" spans="1:19" ht="15" x14ac:dyDescent="0.25">
      <c r="A79" s="109"/>
      <c r="B79" s="109"/>
      <c r="C79" s="78"/>
      <c r="D79" s="78"/>
      <c r="E79" s="78"/>
      <c r="F79" s="78"/>
      <c r="G79" s="110"/>
      <c r="H79" s="115"/>
      <c r="I79" s="78"/>
      <c r="J79" s="78"/>
      <c r="K79" s="78"/>
      <c r="L79" s="110"/>
      <c r="M79" s="78"/>
      <c r="N79" s="78"/>
      <c r="O79" s="78"/>
      <c r="P79" s="78"/>
      <c r="Q79" s="78"/>
      <c r="R79" s="110"/>
      <c r="S79" s="110"/>
    </row>
    <row r="80" spans="1:19" ht="15" x14ac:dyDescent="0.25">
      <c r="A80" s="109"/>
      <c r="B80" s="109"/>
      <c r="C80" s="111"/>
      <c r="D80" s="111"/>
      <c r="E80" s="111"/>
      <c r="F80" s="111"/>
      <c r="G80" s="112"/>
      <c r="H80" s="114"/>
      <c r="I80" s="111"/>
      <c r="J80" s="111"/>
      <c r="K80" s="111"/>
      <c r="L80" s="112"/>
      <c r="M80" s="111"/>
      <c r="N80" s="111"/>
      <c r="O80" s="111"/>
      <c r="P80" s="111"/>
      <c r="Q80" s="111"/>
      <c r="R80" s="112"/>
      <c r="S80" s="112"/>
    </row>
    <row r="81" spans="1:19" ht="15" x14ac:dyDescent="0.25">
      <c r="A81" s="109"/>
      <c r="B81" s="109"/>
      <c r="C81" s="78"/>
      <c r="D81" s="78"/>
      <c r="E81" s="78"/>
      <c r="F81" s="78"/>
      <c r="G81" s="110"/>
      <c r="H81" s="115"/>
      <c r="I81" s="78"/>
      <c r="J81" s="78"/>
      <c r="K81" s="78"/>
      <c r="L81" s="110"/>
      <c r="M81" s="78"/>
      <c r="N81" s="78"/>
      <c r="O81" s="78"/>
      <c r="P81" s="78"/>
      <c r="Q81" s="78"/>
      <c r="R81" s="110"/>
      <c r="S81" s="110"/>
    </row>
    <row r="82" spans="1:19" ht="15" x14ac:dyDescent="0.25">
      <c r="A82" s="109"/>
      <c r="B82" s="109"/>
      <c r="C82" s="111"/>
      <c r="D82" s="111"/>
      <c r="E82" s="111"/>
      <c r="F82" s="111"/>
      <c r="G82" s="112"/>
      <c r="H82" s="114"/>
      <c r="I82" s="111"/>
      <c r="J82" s="111"/>
      <c r="K82" s="111"/>
      <c r="L82" s="112"/>
      <c r="M82" s="111"/>
      <c r="N82" s="111"/>
      <c r="O82" s="111"/>
      <c r="P82" s="111"/>
      <c r="Q82" s="111"/>
      <c r="R82" s="112"/>
      <c r="S82" s="112"/>
    </row>
    <row r="83" spans="1:19" ht="15" x14ac:dyDescent="0.25">
      <c r="A83" s="109"/>
      <c r="B83" s="109"/>
      <c r="C83" s="78"/>
      <c r="D83" s="78"/>
      <c r="E83" s="78"/>
      <c r="F83" s="78"/>
      <c r="G83" s="110"/>
      <c r="H83" s="115"/>
      <c r="I83" s="78"/>
      <c r="J83" s="78"/>
      <c r="K83" s="78"/>
      <c r="L83" s="110"/>
      <c r="M83" s="78"/>
      <c r="N83" s="78"/>
      <c r="O83" s="78"/>
      <c r="P83" s="78"/>
      <c r="Q83" s="78"/>
      <c r="R83" s="110"/>
      <c r="S83" s="110"/>
    </row>
    <row r="84" spans="1:19" ht="15" x14ac:dyDescent="0.25">
      <c r="A84" s="109"/>
      <c r="B84" s="109"/>
      <c r="C84" s="111"/>
      <c r="D84" s="111"/>
      <c r="E84" s="111"/>
      <c r="F84" s="111"/>
      <c r="G84" s="112"/>
      <c r="H84" s="114"/>
      <c r="I84" s="111"/>
      <c r="J84" s="111"/>
      <c r="K84" s="111"/>
      <c r="L84" s="112"/>
      <c r="M84" s="111"/>
      <c r="N84" s="111"/>
      <c r="O84" s="111"/>
      <c r="P84" s="111"/>
      <c r="Q84" s="111"/>
      <c r="R84" s="112"/>
      <c r="S84" s="112"/>
    </row>
    <row r="85" spans="1:19" ht="15" x14ac:dyDescent="0.25">
      <c r="A85" s="109"/>
      <c r="B85" s="109"/>
      <c r="C85" s="78"/>
      <c r="D85" s="78"/>
      <c r="E85" s="78"/>
      <c r="F85" s="78"/>
      <c r="G85" s="110"/>
      <c r="H85" s="115"/>
      <c r="I85" s="78"/>
      <c r="J85" s="78"/>
      <c r="K85" s="78"/>
      <c r="L85" s="110"/>
      <c r="M85" s="78"/>
      <c r="N85" s="78"/>
      <c r="O85" s="78"/>
      <c r="P85" s="78"/>
      <c r="Q85" s="78"/>
      <c r="R85" s="110"/>
      <c r="S85" s="110"/>
    </row>
    <row r="86" spans="1:19" ht="15" x14ac:dyDescent="0.25">
      <c r="A86" s="109"/>
      <c r="B86" s="109"/>
      <c r="C86" s="111"/>
      <c r="D86" s="111"/>
      <c r="E86" s="111"/>
      <c r="F86" s="111"/>
      <c r="G86" s="112"/>
      <c r="H86" s="114"/>
      <c r="I86" s="111"/>
      <c r="J86" s="111"/>
      <c r="K86" s="111"/>
      <c r="L86" s="112"/>
      <c r="M86" s="111"/>
      <c r="N86" s="111"/>
      <c r="O86" s="111"/>
      <c r="P86" s="111"/>
      <c r="Q86" s="111"/>
      <c r="R86" s="112"/>
      <c r="S86" s="112"/>
    </row>
    <row r="87" spans="1:19" ht="15" x14ac:dyDescent="0.25">
      <c r="A87" s="109"/>
      <c r="B87" s="109"/>
      <c r="C87" s="78"/>
      <c r="D87" s="78"/>
      <c r="E87" s="78"/>
      <c r="F87" s="78"/>
      <c r="G87" s="110"/>
      <c r="H87" s="115"/>
      <c r="I87" s="78"/>
      <c r="J87" s="78"/>
      <c r="K87" s="78"/>
      <c r="L87" s="110"/>
      <c r="M87" s="78"/>
      <c r="N87" s="78"/>
      <c r="O87" s="78"/>
      <c r="P87" s="78"/>
      <c r="Q87" s="78"/>
      <c r="R87" s="110"/>
      <c r="S87" s="110"/>
    </row>
    <row r="88" spans="1:19" ht="15" x14ac:dyDescent="0.25">
      <c r="A88" s="109"/>
      <c r="B88" s="109"/>
      <c r="C88" s="111"/>
      <c r="D88" s="111"/>
      <c r="E88" s="111"/>
      <c r="F88" s="111"/>
      <c r="G88" s="112"/>
      <c r="H88" s="114"/>
      <c r="I88" s="111"/>
      <c r="J88" s="111"/>
      <c r="K88" s="111"/>
      <c r="L88" s="112"/>
      <c r="M88" s="111"/>
      <c r="N88" s="111"/>
      <c r="O88" s="111"/>
      <c r="P88" s="111"/>
      <c r="Q88" s="111"/>
      <c r="R88" s="112"/>
      <c r="S88" s="112"/>
    </row>
    <row r="89" spans="1:19" ht="15" x14ac:dyDescent="0.25">
      <c r="A89" s="109"/>
      <c r="B89" s="109"/>
      <c r="C89" s="78"/>
      <c r="D89" s="78"/>
      <c r="E89" s="78"/>
      <c r="F89" s="78"/>
      <c r="G89" s="110"/>
      <c r="H89" s="115"/>
      <c r="I89" s="78"/>
      <c r="J89" s="78"/>
      <c r="K89" s="78"/>
      <c r="L89" s="110"/>
      <c r="M89" s="78"/>
      <c r="N89" s="78"/>
      <c r="O89" s="78"/>
      <c r="P89" s="78"/>
      <c r="Q89" s="78"/>
      <c r="R89" s="110"/>
      <c r="S89" s="110"/>
    </row>
    <row r="90" spans="1:19" ht="15" x14ac:dyDescent="0.25">
      <c r="A90" s="109"/>
      <c r="B90" s="109"/>
      <c r="C90" s="111"/>
      <c r="D90" s="111"/>
      <c r="E90" s="111"/>
      <c r="F90" s="111"/>
      <c r="G90" s="112"/>
      <c r="H90" s="114"/>
      <c r="I90" s="111"/>
      <c r="J90" s="111"/>
      <c r="K90" s="111"/>
      <c r="L90" s="112"/>
      <c r="M90" s="111"/>
      <c r="N90" s="111"/>
      <c r="O90" s="111"/>
      <c r="P90" s="111"/>
      <c r="Q90" s="111"/>
      <c r="R90" s="112"/>
      <c r="S90" s="112"/>
    </row>
    <row r="91" spans="1:19" ht="15" x14ac:dyDescent="0.25">
      <c r="A91" s="109"/>
      <c r="B91" s="109"/>
      <c r="C91" s="78"/>
      <c r="D91" s="78"/>
      <c r="E91" s="78"/>
      <c r="F91" s="78"/>
      <c r="G91" s="110"/>
      <c r="H91" s="115"/>
      <c r="I91" s="78"/>
      <c r="J91" s="78"/>
      <c r="K91" s="78"/>
      <c r="L91" s="110"/>
      <c r="M91" s="78"/>
      <c r="N91" s="78"/>
      <c r="O91" s="78"/>
      <c r="P91" s="78"/>
      <c r="Q91" s="78"/>
      <c r="R91" s="110"/>
      <c r="S91" s="110"/>
    </row>
    <row r="92" spans="1:19" ht="15" x14ac:dyDescent="0.25">
      <c r="A92" s="109"/>
      <c r="B92" s="109"/>
      <c r="C92" s="111"/>
      <c r="D92" s="111"/>
      <c r="E92" s="111"/>
      <c r="F92" s="111"/>
      <c r="G92" s="112"/>
      <c r="H92" s="114"/>
      <c r="I92" s="111"/>
      <c r="J92" s="111"/>
      <c r="K92" s="111"/>
      <c r="L92" s="112"/>
      <c r="M92" s="111"/>
      <c r="N92" s="111"/>
      <c r="O92" s="111"/>
      <c r="P92" s="111"/>
      <c r="Q92" s="111"/>
      <c r="R92" s="112"/>
      <c r="S92" s="112"/>
    </row>
    <row r="93" spans="1:19" ht="15" x14ac:dyDescent="0.25">
      <c r="A93" s="109"/>
      <c r="B93" s="109"/>
      <c r="C93" s="78"/>
      <c r="D93" s="78"/>
      <c r="E93" s="78"/>
      <c r="F93" s="78"/>
      <c r="G93" s="110"/>
      <c r="H93" s="115"/>
      <c r="I93" s="78"/>
      <c r="J93" s="78"/>
      <c r="K93" s="78"/>
      <c r="L93" s="110"/>
      <c r="M93" s="78"/>
      <c r="N93" s="78"/>
      <c r="O93" s="78"/>
      <c r="P93" s="78"/>
      <c r="Q93" s="78"/>
      <c r="R93" s="110"/>
      <c r="S93" s="110"/>
    </row>
    <row r="94" spans="1:19" ht="15" x14ac:dyDescent="0.25">
      <c r="A94" s="109"/>
      <c r="B94" s="109"/>
      <c r="C94" s="111"/>
      <c r="D94" s="111"/>
      <c r="E94" s="111"/>
      <c r="F94" s="111"/>
      <c r="G94" s="112"/>
      <c r="H94" s="114"/>
      <c r="I94" s="111"/>
      <c r="J94" s="111"/>
      <c r="K94" s="111"/>
      <c r="L94" s="112"/>
      <c r="M94" s="111"/>
      <c r="N94" s="111"/>
      <c r="O94" s="111"/>
      <c r="P94" s="111"/>
      <c r="Q94" s="111"/>
      <c r="R94" s="112"/>
      <c r="S94" s="112"/>
    </row>
    <row r="95" spans="1:19" ht="15" x14ac:dyDescent="0.25">
      <c r="A95" s="109"/>
      <c r="B95" s="109"/>
      <c r="C95" s="78"/>
      <c r="D95" s="78"/>
      <c r="E95" s="78"/>
      <c r="F95" s="78"/>
      <c r="G95" s="110"/>
      <c r="H95" s="115"/>
      <c r="I95" s="78"/>
      <c r="J95" s="78"/>
      <c r="K95" s="78"/>
      <c r="L95" s="110"/>
      <c r="M95" s="78"/>
      <c r="N95" s="78"/>
      <c r="O95" s="78"/>
      <c r="P95" s="78"/>
      <c r="Q95" s="78"/>
      <c r="R95" s="110"/>
      <c r="S95" s="110"/>
    </row>
    <row r="96" spans="1:19" ht="15" x14ac:dyDescent="0.25">
      <c r="A96" s="109"/>
      <c r="B96" s="109"/>
      <c r="C96" s="111"/>
      <c r="D96" s="111"/>
      <c r="E96" s="111"/>
      <c r="F96" s="111"/>
      <c r="G96" s="112"/>
      <c r="H96" s="114"/>
      <c r="I96" s="111"/>
      <c r="J96" s="111"/>
      <c r="K96" s="111"/>
      <c r="L96" s="112"/>
      <c r="M96" s="111"/>
      <c r="N96" s="111"/>
      <c r="O96" s="111"/>
      <c r="P96" s="111"/>
      <c r="Q96" s="111"/>
      <c r="R96" s="112"/>
      <c r="S96" s="112"/>
    </row>
    <row r="97" spans="1:19" ht="15" x14ac:dyDescent="0.25">
      <c r="A97" s="109"/>
      <c r="B97" s="109"/>
      <c r="C97" s="78"/>
      <c r="D97" s="78"/>
      <c r="E97" s="78"/>
      <c r="F97" s="78"/>
      <c r="G97" s="110"/>
      <c r="H97" s="115"/>
      <c r="I97" s="78"/>
      <c r="J97" s="78"/>
      <c r="K97" s="78"/>
      <c r="L97" s="110"/>
      <c r="M97" s="78"/>
      <c r="N97" s="78"/>
      <c r="O97" s="78"/>
      <c r="P97" s="78"/>
      <c r="Q97" s="78"/>
      <c r="R97" s="110"/>
      <c r="S97" s="110"/>
    </row>
    <row r="98" spans="1:19" ht="15" x14ac:dyDescent="0.25">
      <c r="A98" s="109"/>
      <c r="B98" s="109"/>
      <c r="C98" s="111"/>
      <c r="D98" s="111"/>
      <c r="E98" s="111"/>
      <c r="F98" s="111"/>
      <c r="G98" s="112"/>
      <c r="H98" s="114"/>
      <c r="I98" s="111"/>
      <c r="J98" s="111"/>
      <c r="K98" s="111"/>
      <c r="L98" s="112"/>
      <c r="M98" s="111"/>
      <c r="N98" s="111"/>
      <c r="O98" s="111"/>
      <c r="P98" s="111"/>
      <c r="Q98" s="111"/>
      <c r="R98" s="112"/>
      <c r="S98" s="112"/>
    </row>
    <row r="99" spans="1:19" ht="15" x14ac:dyDescent="0.25">
      <c r="A99" s="109"/>
      <c r="B99" s="109"/>
      <c r="C99" s="78"/>
      <c r="D99" s="78"/>
      <c r="E99" s="78"/>
      <c r="F99" s="78"/>
      <c r="G99" s="110"/>
      <c r="H99" s="115"/>
      <c r="I99" s="78"/>
      <c r="J99" s="78"/>
      <c r="K99" s="78"/>
      <c r="L99" s="110"/>
      <c r="M99" s="78"/>
      <c r="N99" s="78"/>
      <c r="O99" s="78"/>
      <c r="P99" s="78"/>
      <c r="Q99" s="78"/>
      <c r="R99" s="110"/>
      <c r="S99" s="110"/>
    </row>
    <row r="100" spans="1:19" ht="15" x14ac:dyDescent="0.25">
      <c r="A100" s="109"/>
      <c r="B100" s="109"/>
      <c r="C100" s="111"/>
      <c r="D100" s="111"/>
      <c r="E100" s="111"/>
      <c r="F100" s="111"/>
      <c r="G100" s="112"/>
      <c r="H100" s="114"/>
      <c r="I100" s="111"/>
      <c r="J100" s="111"/>
      <c r="K100" s="111"/>
      <c r="L100" s="112"/>
      <c r="M100" s="111"/>
      <c r="N100" s="111"/>
      <c r="O100" s="111"/>
      <c r="P100" s="111"/>
      <c r="Q100" s="111"/>
      <c r="R100" s="112"/>
      <c r="S100" s="112"/>
    </row>
    <row r="101" spans="1:19" ht="15" x14ac:dyDescent="0.25">
      <c r="A101" s="109"/>
      <c r="B101" s="109"/>
      <c r="C101" s="78"/>
      <c r="D101" s="78"/>
      <c r="E101" s="78"/>
      <c r="F101" s="78"/>
      <c r="G101" s="110"/>
      <c r="H101" s="115"/>
      <c r="I101" s="78"/>
      <c r="J101" s="78"/>
      <c r="K101" s="78"/>
      <c r="L101" s="110"/>
      <c r="M101" s="78"/>
      <c r="N101" s="78"/>
      <c r="O101" s="78"/>
      <c r="P101" s="78"/>
      <c r="Q101" s="78"/>
      <c r="R101" s="110"/>
      <c r="S101" s="110"/>
    </row>
    <row r="102" spans="1:19" ht="15" x14ac:dyDescent="0.25">
      <c r="A102" s="109"/>
      <c r="B102" s="109"/>
      <c r="C102" s="111"/>
      <c r="D102" s="111"/>
      <c r="E102" s="111"/>
      <c r="F102" s="111"/>
      <c r="G102" s="112"/>
      <c r="H102" s="114"/>
      <c r="I102" s="111"/>
      <c r="J102" s="111"/>
      <c r="K102" s="111"/>
      <c r="L102" s="112"/>
      <c r="M102" s="111"/>
      <c r="N102" s="111"/>
      <c r="O102" s="111"/>
      <c r="P102" s="111"/>
      <c r="Q102" s="111"/>
      <c r="R102" s="112"/>
      <c r="S102" s="112"/>
    </row>
    <row r="103" spans="1:19" ht="15" x14ac:dyDescent="0.25">
      <c r="A103" s="109"/>
      <c r="B103" s="109"/>
      <c r="C103" s="78"/>
      <c r="D103" s="78"/>
      <c r="E103" s="78"/>
      <c r="F103" s="78"/>
      <c r="G103" s="110"/>
      <c r="H103" s="115"/>
      <c r="I103" s="78"/>
      <c r="J103" s="78"/>
      <c r="K103" s="78"/>
      <c r="L103" s="110"/>
      <c r="M103" s="78"/>
      <c r="N103" s="78"/>
      <c r="O103" s="78"/>
      <c r="P103" s="78"/>
      <c r="Q103" s="78"/>
      <c r="R103" s="110"/>
      <c r="S103" s="110"/>
    </row>
    <row r="104" spans="1:19" ht="15" x14ac:dyDescent="0.25">
      <c r="A104" s="109"/>
      <c r="B104" s="109"/>
      <c r="C104" s="111"/>
      <c r="D104" s="111"/>
      <c r="E104" s="111"/>
      <c r="F104" s="111"/>
      <c r="G104" s="112"/>
      <c r="H104" s="114"/>
      <c r="I104" s="111"/>
      <c r="J104" s="111"/>
      <c r="K104" s="111"/>
      <c r="L104" s="112"/>
      <c r="M104" s="111"/>
      <c r="N104" s="111"/>
      <c r="O104" s="111"/>
      <c r="P104" s="111"/>
      <c r="Q104" s="111"/>
      <c r="R104" s="112"/>
      <c r="S104" s="112"/>
    </row>
    <row r="105" spans="1:19" ht="15" x14ac:dyDescent="0.25">
      <c r="A105" s="109"/>
      <c r="B105" s="109"/>
      <c r="C105" s="78"/>
      <c r="D105" s="78"/>
      <c r="E105" s="78"/>
      <c r="F105" s="78"/>
      <c r="G105" s="110"/>
      <c r="H105" s="115"/>
      <c r="I105" s="78"/>
      <c r="J105" s="78"/>
      <c r="K105" s="78"/>
      <c r="L105" s="110"/>
      <c r="M105" s="78"/>
      <c r="N105" s="78"/>
      <c r="O105" s="78"/>
      <c r="P105" s="78"/>
      <c r="Q105" s="78"/>
      <c r="R105" s="110"/>
      <c r="S105" s="110"/>
    </row>
    <row r="106" spans="1:19" ht="15" x14ac:dyDescent="0.25">
      <c r="A106" s="109"/>
      <c r="B106" s="109"/>
      <c r="C106" s="111"/>
      <c r="D106" s="111"/>
      <c r="E106" s="111"/>
      <c r="F106" s="111"/>
      <c r="G106" s="112"/>
      <c r="H106" s="114"/>
      <c r="I106" s="111"/>
      <c r="J106" s="111"/>
      <c r="K106" s="111"/>
      <c r="L106" s="112"/>
      <c r="M106" s="111"/>
      <c r="N106" s="111"/>
      <c r="O106" s="111"/>
      <c r="P106" s="111"/>
      <c r="Q106" s="111"/>
      <c r="R106" s="112"/>
      <c r="S106" s="112"/>
    </row>
    <row r="107" spans="1:19" ht="15" x14ac:dyDescent="0.25">
      <c r="A107" s="109"/>
      <c r="B107" s="109"/>
      <c r="C107" s="78"/>
      <c r="D107" s="78"/>
      <c r="E107" s="78"/>
      <c r="F107" s="78"/>
      <c r="G107" s="110"/>
      <c r="H107" s="115"/>
      <c r="I107" s="78"/>
      <c r="J107" s="78"/>
      <c r="K107" s="78"/>
      <c r="L107" s="110"/>
      <c r="M107" s="78"/>
      <c r="N107" s="78"/>
      <c r="O107" s="78"/>
      <c r="P107" s="78"/>
      <c r="Q107" s="78"/>
      <c r="R107" s="110"/>
      <c r="S107" s="110"/>
    </row>
    <row r="108" spans="1:19" ht="15" x14ac:dyDescent="0.25">
      <c r="A108" s="109"/>
      <c r="B108" s="109"/>
      <c r="C108" s="111"/>
      <c r="D108" s="111"/>
      <c r="E108" s="111"/>
      <c r="F108" s="111"/>
      <c r="G108" s="112"/>
      <c r="H108" s="114"/>
      <c r="I108" s="111"/>
      <c r="J108" s="111"/>
      <c r="K108" s="111"/>
      <c r="L108" s="112"/>
      <c r="M108" s="111"/>
      <c r="N108" s="111"/>
      <c r="O108" s="111"/>
      <c r="P108" s="111"/>
      <c r="Q108" s="111"/>
      <c r="R108" s="112"/>
      <c r="S108" s="112"/>
    </row>
    <row r="109" spans="1:19" ht="15" x14ac:dyDescent="0.25">
      <c r="A109" s="109"/>
      <c r="B109" s="109"/>
      <c r="C109" s="78"/>
      <c r="D109" s="78"/>
      <c r="E109" s="78"/>
      <c r="F109" s="78"/>
      <c r="G109" s="110"/>
      <c r="H109" s="115"/>
      <c r="I109" s="78"/>
      <c r="J109" s="78"/>
      <c r="K109" s="78"/>
      <c r="L109" s="110"/>
      <c r="M109" s="78"/>
      <c r="N109" s="78"/>
      <c r="O109" s="78"/>
      <c r="P109" s="78"/>
      <c r="Q109" s="78"/>
      <c r="R109" s="110"/>
      <c r="S109" s="110"/>
    </row>
    <row r="110" spans="1:19" ht="15" x14ac:dyDescent="0.25">
      <c r="A110" s="109"/>
      <c r="B110" s="109"/>
      <c r="C110" s="111"/>
      <c r="D110" s="111"/>
      <c r="E110" s="111"/>
      <c r="F110" s="111"/>
      <c r="G110" s="112"/>
      <c r="H110" s="114"/>
      <c r="I110" s="111"/>
      <c r="J110" s="111"/>
      <c r="K110" s="111"/>
      <c r="L110" s="112"/>
      <c r="M110" s="111"/>
      <c r="N110" s="111"/>
      <c r="O110" s="111"/>
      <c r="P110" s="111"/>
      <c r="Q110" s="111"/>
      <c r="R110" s="112"/>
      <c r="S110" s="112"/>
    </row>
    <row r="111" spans="1:19" ht="15" x14ac:dyDescent="0.25">
      <c r="A111" s="109"/>
      <c r="B111" s="109"/>
      <c r="C111" s="78"/>
      <c r="D111" s="78"/>
      <c r="E111" s="78"/>
      <c r="F111" s="78"/>
      <c r="G111" s="110"/>
      <c r="H111" s="115"/>
      <c r="I111" s="78"/>
      <c r="J111" s="78"/>
      <c r="K111" s="78"/>
      <c r="L111" s="110"/>
      <c r="M111" s="78"/>
      <c r="N111" s="78"/>
      <c r="O111" s="78"/>
      <c r="P111" s="78"/>
      <c r="Q111" s="78"/>
      <c r="R111" s="110"/>
      <c r="S111" s="110"/>
    </row>
    <row r="112" spans="1:19" ht="15" x14ac:dyDescent="0.25">
      <c r="A112" s="109"/>
      <c r="B112" s="109"/>
      <c r="C112" s="111"/>
      <c r="D112" s="111"/>
      <c r="E112" s="111"/>
      <c r="F112" s="111"/>
      <c r="G112" s="112"/>
      <c r="H112" s="114"/>
      <c r="I112" s="111"/>
      <c r="J112" s="111"/>
      <c r="K112" s="111"/>
      <c r="L112" s="112"/>
      <c r="M112" s="111"/>
      <c r="N112" s="111"/>
      <c r="O112" s="111"/>
      <c r="P112" s="111"/>
      <c r="Q112" s="111"/>
      <c r="R112" s="112"/>
      <c r="S112" s="112"/>
    </row>
    <row r="113" spans="1:19" ht="15" x14ac:dyDescent="0.25">
      <c r="A113" s="109"/>
      <c r="B113" s="109"/>
      <c r="C113" s="78"/>
      <c r="D113" s="78"/>
      <c r="E113" s="78"/>
      <c r="F113" s="78"/>
      <c r="G113" s="110"/>
      <c r="H113" s="115"/>
      <c r="I113" s="78"/>
      <c r="J113" s="78"/>
      <c r="K113" s="78"/>
      <c r="L113" s="110"/>
      <c r="M113" s="78"/>
      <c r="N113" s="78"/>
      <c r="O113" s="78"/>
      <c r="P113" s="78"/>
      <c r="Q113" s="78"/>
      <c r="R113" s="110"/>
      <c r="S113" s="110"/>
    </row>
    <row r="114" spans="1:19" ht="15" x14ac:dyDescent="0.25">
      <c r="A114" s="109"/>
      <c r="B114" s="109"/>
      <c r="C114" s="111"/>
      <c r="D114" s="111"/>
      <c r="E114" s="111"/>
      <c r="F114" s="111"/>
      <c r="G114" s="112"/>
      <c r="H114" s="114"/>
      <c r="I114" s="111"/>
      <c r="J114" s="111"/>
      <c r="K114" s="111"/>
      <c r="L114" s="112"/>
      <c r="M114" s="111"/>
      <c r="N114" s="111"/>
      <c r="O114" s="111"/>
      <c r="P114" s="111"/>
      <c r="Q114" s="111"/>
      <c r="R114" s="112"/>
      <c r="S114" s="112"/>
    </row>
    <row r="115" spans="1:19" ht="15" x14ac:dyDescent="0.25">
      <c r="A115" s="109"/>
      <c r="B115" s="109"/>
      <c r="C115" s="78"/>
      <c r="D115" s="78"/>
      <c r="E115" s="78"/>
      <c r="F115" s="78"/>
      <c r="G115" s="110"/>
      <c r="H115" s="115"/>
      <c r="I115" s="78"/>
      <c r="J115" s="78"/>
      <c r="K115" s="78"/>
      <c r="L115" s="110"/>
      <c r="M115" s="78"/>
      <c r="N115" s="78"/>
      <c r="O115" s="78"/>
      <c r="P115" s="78"/>
      <c r="Q115" s="78"/>
      <c r="R115" s="110"/>
      <c r="S115" s="110"/>
    </row>
    <row r="116" spans="1:19" ht="15" x14ac:dyDescent="0.25">
      <c r="A116" s="109"/>
      <c r="B116" s="109"/>
      <c r="C116" s="111"/>
      <c r="D116" s="111"/>
      <c r="E116" s="111"/>
      <c r="F116" s="111"/>
      <c r="G116" s="112"/>
      <c r="H116" s="114"/>
      <c r="I116" s="111"/>
      <c r="J116" s="111"/>
      <c r="K116" s="111"/>
      <c r="L116" s="112"/>
      <c r="M116" s="111"/>
      <c r="N116" s="111"/>
      <c r="O116" s="111"/>
      <c r="P116" s="111"/>
      <c r="Q116" s="111"/>
      <c r="R116" s="112"/>
      <c r="S116" s="112"/>
    </row>
    <row r="117" spans="1:19" ht="15" x14ac:dyDescent="0.25">
      <c r="A117" s="109"/>
      <c r="B117" s="109"/>
      <c r="C117" s="78"/>
      <c r="D117" s="78"/>
      <c r="E117" s="78"/>
      <c r="F117" s="78"/>
      <c r="G117" s="110"/>
      <c r="H117" s="115"/>
      <c r="I117" s="78"/>
      <c r="J117" s="78"/>
      <c r="K117" s="78"/>
      <c r="L117" s="110"/>
      <c r="M117" s="78"/>
      <c r="N117" s="78"/>
      <c r="O117" s="78"/>
      <c r="P117" s="78"/>
      <c r="Q117" s="78"/>
      <c r="R117" s="110"/>
      <c r="S117" s="110"/>
    </row>
    <row r="118" spans="1:19" ht="15" x14ac:dyDescent="0.25">
      <c r="A118" s="109"/>
      <c r="B118" s="109"/>
      <c r="C118" s="111"/>
      <c r="D118" s="111"/>
      <c r="E118" s="111"/>
      <c r="F118" s="111"/>
      <c r="G118" s="112"/>
      <c r="H118" s="114"/>
      <c r="I118" s="111"/>
      <c r="J118" s="111"/>
      <c r="K118" s="111"/>
      <c r="L118" s="112"/>
      <c r="M118" s="111"/>
      <c r="N118" s="111"/>
      <c r="O118" s="111"/>
      <c r="P118" s="111"/>
      <c r="Q118" s="111"/>
      <c r="R118" s="112"/>
      <c r="S118" s="112"/>
    </row>
    <row r="119" spans="1:19" ht="15" x14ac:dyDescent="0.25">
      <c r="A119" s="109"/>
      <c r="B119" s="109"/>
      <c r="C119" s="78"/>
      <c r="D119" s="78"/>
      <c r="E119" s="78"/>
      <c r="F119" s="78"/>
      <c r="G119" s="110"/>
      <c r="H119" s="115"/>
      <c r="I119" s="78"/>
      <c r="J119" s="78"/>
      <c r="K119" s="78"/>
      <c r="L119" s="110"/>
      <c r="M119" s="78"/>
      <c r="N119" s="78"/>
      <c r="O119" s="78"/>
      <c r="P119" s="78"/>
      <c r="Q119" s="78"/>
      <c r="R119" s="110"/>
      <c r="S119" s="110"/>
    </row>
    <row r="120" spans="1:19" ht="15" x14ac:dyDescent="0.25">
      <c r="A120" s="109"/>
      <c r="B120" s="109"/>
      <c r="C120" s="111"/>
      <c r="D120" s="111"/>
      <c r="E120" s="111"/>
      <c r="F120" s="111"/>
      <c r="G120" s="112"/>
      <c r="H120" s="114"/>
      <c r="I120" s="111"/>
      <c r="J120" s="111"/>
      <c r="K120" s="111"/>
      <c r="L120" s="112"/>
      <c r="M120" s="111"/>
      <c r="N120" s="111"/>
      <c r="O120" s="111"/>
      <c r="P120" s="111"/>
      <c r="Q120" s="111"/>
      <c r="R120" s="112"/>
      <c r="S120" s="112"/>
    </row>
    <row r="121" spans="1:19" ht="15" x14ac:dyDescent="0.25">
      <c r="A121" s="109"/>
      <c r="B121" s="109"/>
      <c r="C121" s="78"/>
      <c r="D121" s="78"/>
      <c r="E121" s="78"/>
      <c r="F121" s="78"/>
      <c r="G121" s="110"/>
      <c r="H121" s="115"/>
      <c r="I121" s="78"/>
      <c r="J121" s="78"/>
      <c r="K121" s="78"/>
      <c r="L121" s="110"/>
      <c r="M121" s="78"/>
      <c r="N121" s="78"/>
      <c r="O121" s="78"/>
      <c r="P121" s="78"/>
      <c r="Q121" s="78"/>
      <c r="R121" s="110"/>
      <c r="S121" s="110"/>
    </row>
    <row r="122" spans="1:19" ht="15" x14ac:dyDescent="0.25">
      <c r="A122" s="109"/>
      <c r="B122" s="109"/>
      <c r="C122" s="111"/>
      <c r="D122" s="111"/>
      <c r="E122" s="111"/>
      <c r="F122" s="111"/>
      <c r="G122" s="112"/>
      <c r="H122" s="114"/>
      <c r="I122" s="111"/>
      <c r="J122" s="111"/>
      <c r="K122" s="111"/>
      <c r="L122" s="112"/>
      <c r="M122" s="111"/>
      <c r="N122" s="111"/>
      <c r="O122" s="111"/>
      <c r="P122" s="111"/>
      <c r="Q122" s="111"/>
      <c r="R122" s="112"/>
      <c r="S122" s="112"/>
    </row>
    <row r="123" spans="1:19" ht="15" x14ac:dyDescent="0.25">
      <c r="A123" s="109"/>
      <c r="B123" s="109"/>
      <c r="C123" s="78"/>
      <c r="D123" s="78"/>
      <c r="E123" s="78"/>
      <c r="F123" s="78"/>
      <c r="G123" s="110"/>
      <c r="H123" s="115"/>
      <c r="I123" s="78"/>
      <c r="J123" s="78"/>
      <c r="K123" s="78"/>
      <c r="L123" s="110"/>
      <c r="M123" s="78"/>
      <c r="N123" s="78"/>
      <c r="O123" s="78"/>
      <c r="P123" s="78"/>
      <c r="Q123" s="78"/>
      <c r="R123" s="110"/>
      <c r="S123" s="110"/>
    </row>
    <row r="124" spans="1:19" ht="15" x14ac:dyDescent="0.25">
      <c r="A124" s="109"/>
      <c r="B124" s="109"/>
      <c r="C124" s="111"/>
      <c r="D124" s="111"/>
      <c r="E124" s="111"/>
      <c r="F124" s="111"/>
      <c r="G124" s="112"/>
      <c r="H124" s="114"/>
      <c r="I124" s="111"/>
      <c r="J124" s="111"/>
      <c r="K124" s="111"/>
      <c r="L124" s="112"/>
      <c r="M124" s="111"/>
      <c r="N124" s="111"/>
      <c r="O124" s="111"/>
      <c r="P124" s="111"/>
      <c r="Q124" s="111"/>
      <c r="R124" s="112"/>
      <c r="S124" s="112"/>
    </row>
    <row r="125" spans="1:19" ht="15" x14ac:dyDescent="0.25">
      <c r="A125" s="109"/>
      <c r="B125" s="109"/>
      <c r="C125" s="78"/>
      <c r="D125" s="78"/>
      <c r="E125" s="78"/>
      <c r="F125" s="78"/>
      <c r="G125" s="110"/>
      <c r="H125" s="115"/>
      <c r="I125" s="78"/>
      <c r="J125" s="78"/>
      <c r="K125" s="78"/>
      <c r="L125" s="110"/>
      <c r="M125" s="78"/>
      <c r="N125" s="78"/>
      <c r="O125" s="78"/>
      <c r="P125" s="78"/>
      <c r="Q125" s="78"/>
      <c r="R125" s="110"/>
      <c r="S125" s="110"/>
    </row>
    <row r="126" spans="1:19" ht="15" x14ac:dyDescent="0.25">
      <c r="A126" s="109"/>
      <c r="B126" s="109"/>
      <c r="C126" s="111"/>
      <c r="D126" s="111"/>
      <c r="E126" s="111"/>
      <c r="F126" s="111"/>
      <c r="G126" s="112"/>
      <c r="H126" s="114"/>
      <c r="I126" s="111"/>
      <c r="J126" s="111"/>
      <c r="K126" s="111"/>
      <c r="L126" s="112"/>
      <c r="M126" s="111"/>
      <c r="N126" s="111"/>
      <c r="O126" s="111"/>
      <c r="P126" s="111"/>
      <c r="Q126" s="111"/>
      <c r="R126" s="112"/>
      <c r="S126" s="112"/>
    </row>
    <row r="127" spans="1:19" ht="15" x14ac:dyDescent="0.25">
      <c r="A127" s="109"/>
      <c r="B127" s="109"/>
      <c r="C127" s="78"/>
      <c r="D127" s="78"/>
      <c r="E127" s="78"/>
      <c r="F127" s="78"/>
      <c r="G127" s="110"/>
      <c r="H127" s="115"/>
      <c r="I127" s="78"/>
      <c r="J127" s="78"/>
      <c r="K127" s="78"/>
      <c r="L127" s="110"/>
      <c r="M127" s="78"/>
      <c r="N127" s="78"/>
      <c r="O127" s="78"/>
      <c r="P127" s="78"/>
      <c r="Q127" s="78"/>
      <c r="R127" s="110"/>
      <c r="S127" s="110"/>
    </row>
    <row r="128" spans="1:19" ht="15" x14ac:dyDescent="0.25">
      <c r="A128" s="109"/>
      <c r="B128" s="109"/>
      <c r="C128" s="111"/>
      <c r="D128" s="111"/>
      <c r="E128" s="111"/>
      <c r="F128" s="111"/>
      <c r="G128" s="112"/>
      <c r="H128" s="114"/>
      <c r="I128" s="111"/>
      <c r="J128" s="111"/>
      <c r="K128" s="111"/>
      <c r="L128" s="112"/>
      <c r="M128" s="111"/>
      <c r="N128" s="111"/>
      <c r="O128" s="111"/>
      <c r="P128" s="111"/>
      <c r="Q128" s="111"/>
      <c r="R128" s="112"/>
      <c r="S128" s="112"/>
    </row>
    <row r="129" spans="1:19" ht="15" x14ac:dyDescent="0.25">
      <c r="A129" s="109"/>
      <c r="B129" s="109"/>
      <c r="C129" s="78"/>
      <c r="D129" s="78"/>
      <c r="E129" s="78"/>
      <c r="F129" s="78"/>
      <c r="G129" s="110"/>
      <c r="H129" s="115"/>
      <c r="I129" s="78"/>
      <c r="J129" s="78"/>
      <c r="K129" s="78"/>
      <c r="L129" s="110"/>
      <c r="M129" s="78"/>
      <c r="N129" s="78"/>
      <c r="O129" s="78"/>
      <c r="P129" s="78"/>
      <c r="Q129" s="78"/>
      <c r="R129" s="110"/>
      <c r="S129" s="110"/>
    </row>
    <row r="130" spans="1:19" ht="15" x14ac:dyDescent="0.25">
      <c r="A130" s="109"/>
      <c r="B130" s="109"/>
      <c r="C130" s="111"/>
      <c r="D130" s="111"/>
      <c r="E130" s="111"/>
      <c r="F130" s="111"/>
      <c r="G130" s="112"/>
      <c r="H130" s="114"/>
      <c r="I130" s="111"/>
      <c r="J130" s="111"/>
      <c r="K130" s="111"/>
      <c r="L130" s="112"/>
      <c r="M130" s="111"/>
      <c r="N130" s="111"/>
      <c r="O130" s="111"/>
      <c r="P130" s="111"/>
      <c r="Q130" s="111"/>
      <c r="R130" s="112"/>
      <c r="S130" s="112"/>
    </row>
    <row r="131" spans="1:19" ht="15" x14ac:dyDescent="0.25">
      <c r="A131" s="109"/>
      <c r="B131" s="109"/>
      <c r="C131" s="78"/>
      <c r="D131" s="78"/>
      <c r="E131" s="78"/>
      <c r="F131" s="78"/>
      <c r="G131" s="110"/>
      <c r="H131" s="115"/>
      <c r="I131" s="78"/>
      <c r="J131" s="78"/>
      <c r="K131" s="78"/>
      <c r="L131" s="110"/>
      <c r="M131" s="78"/>
      <c r="N131" s="78"/>
      <c r="O131" s="78"/>
      <c r="P131" s="78"/>
      <c r="Q131" s="78"/>
      <c r="R131" s="110"/>
      <c r="S131" s="110"/>
    </row>
    <row r="132" spans="1:19" ht="15" x14ac:dyDescent="0.25">
      <c r="A132" s="109"/>
      <c r="B132" s="109"/>
      <c r="C132" s="111"/>
      <c r="D132" s="111"/>
      <c r="E132" s="111"/>
      <c r="F132" s="111"/>
      <c r="G132" s="112"/>
      <c r="H132" s="114"/>
      <c r="I132" s="111"/>
      <c r="J132" s="111"/>
      <c r="K132" s="111"/>
      <c r="L132" s="112"/>
      <c r="M132" s="111"/>
      <c r="N132" s="111"/>
      <c r="O132" s="111"/>
      <c r="P132" s="111"/>
      <c r="Q132" s="111"/>
      <c r="R132" s="112"/>
      <c r="S132" s="112"/>
    </row>
    <row r="133" spans="1:19" ht="15" x14ac:dyDescent="0.25">
      <c r="A133" s="109"/>
      <c r="B133" s="109"/>
      <c r="C133" s="78"/>
      <c r="D133" s="78"/>
      <c r="E133" s="78"/>
      <c r="F133" s="78"/>
      <c r="G133" s="110"/>
      <c r="H133" s="115"/>
      <c r="I133" s="78"/>
      <c r="J133" s="78"/>
      <c r="K133" s="78"/>
      <c r="L133" s="110"/>
      <c r="M133" s="78"/>
      <c r="N133" s="78"/>
      <c r="O133" s="78"/>
      <c r="P133" s="78"/>
      <c r="Q133" s="78"/>
      <c r="R133" s="110"/>
      <c r="S133" s="110"/>
    </row>
    <row r="134" spans="1:19" ht="15" x14ac:dyDescent="0.25">
      <c r="A134" s="109"/>
      <c r="B134" s="109"/>
      <c r="C134" s="111"/>
      <c r="D134" s="111"/>
      <c r="E134" s="111"/>
      <c r="F134" s="111"/>
      <c r="G134" s="112"/>
      <c r="H134" s="114"/>
      <c r="I134" s="111"/>
      <c r="J134" s="111"/>
      <c r="K134" s="111"/>
      <c r="L134" s="112"/>
      <c r="M134" s="111"/>
      <c r="N134" s="111"/>
      <c r="O134" s="111"/>
      <c r="P134" s="111"/>
      <c r="Q134" s="111"/>
      <c r="R134" s="112"/>
      <c r="S134" s="112"/>
    </row>
    <row r="135" spans="1:19" ht="15" x14ac:dyDescent="0.25">
      <c r="A135" s="109"/>
      <c r="B135" s="109"/>
      <c r="C135" s="78"/>
      <c r="D135" s="78"/>
      <c r="E135" s="78"/>
      <c r="F135" s="78"/>
      <c r="G135" s="110"/>
      <c r="H135" s="115"/>
      <c r="I135" s="78"/>
      <c r="J135" s="78"/>
      <c r="K135" s="78"/>
      <c r="L135" s="110"/>
      <c r="M135" s="78"/>
      <c r="N135" s="78"/>
      <c r="O135" s="78"/>
      <c r="P135" s="78"/>
      <c r="Q135" s="78"/>
      <c r="R135" s="110"/>
      <c r="S135" s="110"/>
    </row>
    <row r="136" spans="1:19" ht="15" x14ac:dyDescent="0.25">
      <c r="A136" s="109"/>
      <c r="B136" s="109"/>
      <c r="C136" s="111"/>
      <c r="D136" s="111"/>
      <c r="E136" s="111"/>
      <c r="F136" s="111"/>
      <c r="G136" s="112"/>
      <c r="H136" s="114"/>
      <c r="I136" s="111"/>
      <c r="J136" s="111"/>
      <c r="K136" s="111"/>
      <c r="L136" s="112"/>
      <c r="M136" s="111"/>
      <c r="N136" s="111"/>
      <c r="O136" s="111"/>
      <c r="P136" s="111"/>
      <c r="Q136" s="111"/>
      <c r="R136" s="112"/>
      <c r="S136" s="112"/>
    </row>
    <row r="137" spans="1:19" ht="15" x14ac:dyDescent="0.25">
      <c r="A137" s="109"/>
      <c r="B137" s="109"/>
      <c r="C137" s="78"/>
      <c r="D137" s="78"/>
      <c r="E137" s="78"/>
      <c r="F137" s="78"/>
      <c r="G137" s="110"/>
      <c r="H137" s="115"/>
      <c r="I137" s="78"/>
      <c r="J137" s="78"/>
      <c r="K137" s="78"/>
      <c r="L137" s="110"/>
      <c r="M137" s="78"/>
      <c r="N137" s="78"/>
      <c r="O137" s="78"/>
      <c r="P137" s="78"/>
      <c r="Q137" s="78"/>
      <c r="R137" s="110"/>
      <c r="S137" s="110"/>
    </row>
    <row r="138" spans="1:19" ht="15" x14ac:dyDescent="0.25">
      <c r="A138" s="109"/>
      <c r="B138" s="109"/>
      <c r="C138" s="111"/>
      <c r="D138" s="111"/>
      <c r="E138" s="111"/>
      <c r="F138" s="111"/>
      <c r="G138" s="112"/>
      <c r="H138" s="114"/>
      <c r="I138" s="111"/>
      <c r="J138" s="111"/>
      <c r="K138" s="111"/>
      <c r="L138" s="112"/>
      <c r="M138" s="111"/>
      <c r="N138" s="111"/>
      <c r="O138" s="111"/>
      <c r="P138" s="111"/>
      <c r="Q138" s="111"/>
      <c r="R138" s="112"/>
      <c r="S138" s="112"/>
    </row>
    <row r="139" spans="1:19" ht="15" x14ac:dyDescent="0.25">
      <c r="A139" s="109"/>
      <c r="B139" s="109"/>
      <c r="C139" s="78"/>
      <c r="D139" s="78"/>
      <c r="E139" s="78"/>
      <c r="F139" s="78"/>
      <c r="G139" s="110"/>
      <c r="H139" s="115"/>
      <c r="I139" s="78"/>
      <c r="J139" s="78"/>
      <c r="K139" s="78"/>
      <c r="L139" s="110"/>
      <c r="M139" s="78"/>
      <c r="N139" s="78"/>
      <c r="O139" s="78"/>
      <c r="P139" s="78"/>
      <c r="Q139" s="78"/>
      <c r="R139" s="110"/>
      <c r="S139" s="110"/>
    </row>
    <row r="140" spans="1:19" ht="15" x14ac:dyDescent="0.25">
      <c r="A140" s="109"/>
      <c r="B140" s="109"/>
      <c r="C140" s="111"/>
      <c r="D140" s="111"/>
      <c r="E140" s="111"/>
      <c r="F140" s="111"/>
      <c r="G140" s="112"/>
      <c r="H140" s="114"/>
      <c r="I140" s="111"/>
      <c r="J140" s="111"/>
      <c r="K140" s="111"/>
      <c r="L140" s="112"/>
      <c r="M140" s="111"/>
      <c r="N140" s="111"/>
      <c r="O140" s="111"/>
      <c r="P140" s="111"/>
      <c r="Q140" s="111"/>
      <c r="R140" s="112"/>
      <c r="S140" s="112"/>
    </row>
    <row r="141" spans="1:19" ht="15" x14ac:dyDescent="0.25">
      <c r="A141" s="109"/>
      <c r="B141" s="109"/>
      <c r="C141" s="78"/>
      <c r="D141" s="78"/>
      <c r="E141" s="78"/>
      <c r="F141" s="78"/>
      <c r="G141" s="110"/>
      <c r="H141" s="115"/>
      <c r="I141" s="78"/>
      <c r="J141" s="78"/>
      <c r="K141" s="78"/>
      <c r="L141" s="110"/>
      <c r="M141" s="78"/>
      <c r="N141" s="78"/>
      <c r="O141" s="78"/>
      <c r="P141" s="78"/>
      <c r="Q141" s="78"/>
      <c r="R141" s="110"/>
      <c r="S141" s="110"/>
    </row>
    <row r="142" spans="1:19" ht="15" x14ac:dyDescent="0.25">
      <c r="A142" s="109"/>
      <c r="B142" s="109"/>
      <c r="C142" s="111"/>
      <c r="D142" s="111"/>
      <c r="E142" s="111"/>
      <c r="F142" s="111"/>
      <c r="G142" s="112"/>
      <c r="H142" s="114"/>
      <c r="I142" s="111"/>
      <c r="J142" s="111"/>
      <c r="K142" s="111"/>
      <c r="L142" s="112"/>
      <c r="M142" s="111"/>
      <c r="N142" s="111"/>
      <c r="O142" s="111"/>
      <c r="P142" s="111"/>
      <c r="Q142" s="111"/>
      <c r="R142" s="112"/>
      <c r="S142" s="112"/>
    </row>
    <row r="143" spans="1:19" ht="15" x14ac:dyDescent="0.25">
      <c r="A143" s="109"/>
      <c r="B143" s="109"/>
      <c r="C143" s="78"/>
      <c r="D143" s="78"/>
      <c r="E143" s="78"/>
      <c r="F143" s="78"/>
      <c r="G143" s="110"/>
      <c r="H143" s="115"/>
      <c r="I143" s="78"/>
      <c r="J143" s="78"/>
      <c r="K143" s="78"/>
      <c r="L143" s="110"/>
      <c r="M143" s="78"/>
      <c r="N143" s="78"/>
      <c r="O143" s="78"/>
      <c r="P143" s="78"/>
      <c r="Q143" s="78"/>
      <c r="R143" s="110"/>
      <c r="S143" s="110"/>
    </row>
    <row r="144" spans="1:19" ht="15" x14ac:dyDescent="0.25">
      <c r="A144" s="109"/>
      <c r="B144" s="109"/>
      <c r="C144" s="111"/>
      <c r="D144" s="111"/>
      <c r="E144" s="111"/>
      <c r="F144" s="111"/>
      <c r="G144" s="112"/>
      <c r="H144" s="114"/>
      <c r="I144" s="111"/>
      <c r="J144" s="111"/>
      <c r="K144" s="111"/>
      <c r="L144" s="112"/>
      <c r="M144" s="111"/>
      <c r="N144" s="111"/>
      <c r="O144" s="111"/>
      <c r="P144" s="111"/>
      <c r="Q144" s="111"/>
      <c r="R144" s="112"/>
      <c r="S144" s="112"/>
    </row>
    <row r="145" spans="1:19" ht="15" x14ac:dyDescent="0.25">
      <c r="A145" s="109"/>
      <c r="B145" s="109"/>
      <c r="C145" s="78"/>
      <c r="D145" s="78"/>
      <c r="E145" s="78"/>
      <c r="F145" s="78"/>
      <c r="G145" s="110"/>
      <c r="H145" s="115"/>
      <c r="I145" s="78"/>
      <c r="J145" s="78"/>
      <c r="K145" s="78"/>
      <c r="L145" s="110"/>
      <c r="M145" s="78"/>
      <c r="N145" s="78"/>
      <c r="O145" s="78"/>
      <c r="P145" s="78"/>
      <c r="Q145" s="78"/>
      <c r="R145" s="110"/>
      <c r="S145" s="110"/>
    </row>
    <row r="146" spans="1:19" ht="15" x14ac:dyDescent="0.25">
      <c r="A146" s="109"/>
      <c r="B146" s="109"/>
      <c r="C146" s="111"/>
      <c r="D146" s="111"/>
      <c r="E146" s="111"/>
      <c r="F146" s="111"/>
      <c r="G146" s="112"/>
      <c r="H146" s="114"/>
      <c r="I146" s="111"/>
      <c r="J146" s="111"/>
      <c r="K146" s="111"/>
      <c r="L146" s="112"/>
      <c r="M146" s="111"/>
      <c r="N146" s="111"/>
      <c r="O146" s="111"/>
      <c r="P146" s="111"/>
      <c r="Q146" s="111"/>
      <c r="R146" s="112"/>
      <c r="S146" s="112"/>
    </row>
    <row r="147" spans="1:19" ht="15" x14ac:dyDescent="0.25">
      <c r="A147" s="109"/>
      <c r="B147" s="109"/>
      <c r="C147" s="78"/>
      <c r="D147" s="78"/>
      <c r="E147" s="78"/>
      <c r="F147" s="78"/>
      <c r="G147" s="110"/>
      <c r="H147" s="115"/>
      <c r="I147" s="78"/>
      <c r="J147" s="78"/>
      <c r="K147" s="78"/>
      <c r="L147" s="110"/>
      <c r="M147" s="78"/>
      <c r="N147" s="78"/>
      <c r="O147" s="78"/>
      <c r="P147" s="78"/>
      <c r="Q147" s="78"/>
      <c r="R147" s="110"/>
      <c r="S147" s="110"/>
    </row>
    <row r="148" spans="1:19" ht="15" x14ac:dyDescent="0.25">
      <c r="A148" s="109"/>
      <c r="B148" s="109"/>
      <c r="C148" s="111"/>
      <c r="D148" s="111"/>
      <c r="E148" s="111"/>
      <c r="F148" s="111"/>
      <c r="G148" s="112"/>
      <c r="H148" s="114"/>
      <c r="I148" s="111"/>
      <c r="J148" s="111"/>
      <c r="K148" s="111"/>
      <c r="L148" s="112"/>
      <c r="M148" s="111"/>
      <c r="N148" s="111"/>
      <c r="O148" s="111"/>
      <c r="P148" s="111"/>
      <c r="Q148" s="111"/>
      <c r="R148" s="112"/>
      <c r="S148" s="112"/>
    </row>
    <row r="149" spans="1:19" ht="15" x14ac:dyDescent="0.25">
      <c r="A149" s="109"/>
      <c r="B149" s="109"/>
      <c r="C149" s="78"/>
      <c r="D149" s="78"/>
      <c r="E149" s="78"/>
      <c r="F149" s="78"/>
      <c r="G149" s="110"/>
      <c r="H149" s="115"/>
      <c r="I149" s="78"/>
      <c r="J149" s="78"/>
      <c r="K149" s="78"/>
      <c r="L149" s="110"/>
      <c r="M149" s="78"/>
      <c r="N149" s="78"/>
      <c r="O149" s="78"/>
      <c r="P149" s="78"/>
      <c r="Q149" s="78"/>
      <c r="R149" s="110"/>
      <c r="S149" s="110"/>
    </row>
    <row r="150" spans="1:19" ht="15" x14ac:dyDescent="0.25">
      <c r="A150" s="109"/>
      <c r="B150" s="109"/>
      <c r="C150" s="111"/>
      <c r="D150" s="111"/>
      <c r="E150" s="111"/>
      <c r="F150" s="111"/>
      <c r="G150" s="112"/>
      <c r="H150" s="114"/>
      <c r="I150" s="111"/>
      <c r="J150" s="111"/>
      <c r="K150" s="111"/>
      <c r="L150" s="112"/>
      <c r="M150" s="111"/>
      <c r="N150" s="111"/>
      <c r="O150" s="111"/>
      <c r="P150" s="111"/>
      <c r="Q150" s="111"/>
      <c r="R150" s="112"/>
      <c r="S150" s="112"/>
    </row>
    <row r="151" spans="1:19" ht="15" x14ac:dyDescent="0.25">
      <c r="A151" s="109"/>
      <c r="B151" s="109"/>
      <c r="C151" s="78"/>
      <c r="D151" s="78"/>
      <c r="E151" s="78"/>
      <c r="F151" s="78"/>
      <c r="G151" s="110"/>
      <c r="H151" s="115"/>
      <c r="I151" s="78"/>
      <c r="J151" s="78"/>
      <c r="K151" s="78"/>
      <c r="L151" s="110"/>
      <c r="M151" s="78"/>
      <c r="N151" s="78"/>
      <c r="O151" s="78"/>
      <c r="P151" s="78"/>
      <c r="Q151" s="78"/>
      <c r="R151" s="110"/>
      <c r="S151" s="110"/>
    </row>
    <row r="152" spans="1:19" ht="15" x14ac:dyDescent="0.25">
      <c r="A152" s="109"/>
      <c r="B152" s="109"/>
      <c r="C152" s="111"/>
      <c r="D152" s="111"/>
      <c r="E152" s="111"/>
      <c r="F152" s="111"/>
      <c r="G152" s="112"/>
      <c r="H152" s="114"/>
      <c r="I152" s="111"/>
      <c r="J152" s="111"/>
      <c r="K152" s="111"/>
      <c r="L152" s="112"/>
      <c r="M152" s="111"/>
      <c r="N152" s="111"/>
      <c r="O152" s="111"/>
      <c r="P152" s="111"/>
      <c r="Q152" s="111"/>
      <c r="R152" s="112"/>
      <c r="S152" s="112"/>
    </row>
    <row r="153" spans="1:19" ht="15" x14ac:dyDescent="0.25">
      <c r="A153" s="109"/>
      <c r="B153" s="109"/>
      <c r="C153" s="78"/>
      <c r="D153" s="78"/>
      <c r="E153" s="78"/>
      <c r="F153" s="78"/>
      <c r="G153" s="110"/>
      <c r="H153" s="115"/>
      <c r="I153" s="78"/>
      <c r="J153" s="78"/>
      <c r="K153" s="78"/>
      <c r="L153" s="110"/>
      <c r="M153" s="78"/>
      <c r="N153" s="78"/>
      <c r="O153" s="78"/>
      <c r="P153" s="78"/>
      <c r="Q153" s="78"/>
      <c r="R153" s="110"/>
      <c r="S153" s="110"/>
    </row>
    <row r="154" spans="1:19" ht="15" x14ac:dyDescent="0.25">
      <c r="A154" s="109"/>
      <c r="B154" s="109"/>
      <c r="C154" s="111"/>
      <c r="D154" s="111"/>
      <c r="E154" s="111"/>
      <c r="F154" s="111"/>
      <c r="G154" s="112"/>
      <c r="H154" s="114"/>
      <c r="I154" s="111"/>
      <c r="J154" s="111"/>
      <c r="K154" s="111"/>
      <c r="L154" s="112"/>
      <c r="M154" s="111"/>
      <c r="N154" s="111"/>
      <c r="O154" s="111"/>
      <c r="P154" s="111"/>
      <c r="Q154" s="111"/>
      <c r="R154" s="112"/>
      <c r="S154" s="112"/>
    </row>
    <row r="155" spans="1:19" ht="15" x14ac:dyDescent="0.25">
      <c r="A155" s="109"/>
      <c r="B155" s="109"/>
      <c r="C155" s="78"/>
      <c r="D155" s="78"/>
      <c r="E155" s="78"/>
      <c r="F155" s="78"/>
      <c r="G155" s="110"/>
      <c r="H155" s="115"/>
      <c r="I155" s="78"/>
      <c r="J155" s="78"/>
      <c r="K155" s="78"/>
      <c r="L155" s="110"/>
      <c r="M155" s="78"/>
      <c r="N155" s="78"/>
      <c r="O155" s="78"/>
      <c r="P155" s="78"/>
      <c r="Q155" s="78"/>
      <c r="R155" s="110"/>
      <c r="S155" s="110"/>
    </row>
    <row r="156" spans="1:19" ht="15" x14ac:dyDescent="0.25">
      <c r="A156" s="109"/>
      <c r="B156" s="109"/>
      <c r="C156" s="111"/>
      <c r="D156" s="111"/>
      <c r="E156" s="111"/>
      <c r="F156" s="111"/>
      <c r="G156" s="112"/>
      <c r="H156" s="114"/>
      <c r="I156" s="111"/>
      <c r="J156" s="111"/>
      <c r="K156" s="111"/>
      <c r="L156" s="112"/>
      <c r="M156" s="111"/>
      <c r="N156" s="111"/>
      <c r="O156" s="111"/>
      <c r="P156" s="111"/>
      <c r="Q156" s="111"/>
      <c r="R156" s="112"/>
      <c r="S156" s="112"/>
    </row>
    <row r="157" spans="1:19" ht="15" x14ac:dyDescent="0.25">
      <c r="A157" s="109"/>
      <c r="B157" s="109"/>
      <c r="C157" s="78"/>
      <c r="D157" s="78"/>
      <c r="E157" s="78"/>
      <c r="F157" s="78"/>
      <c r="G157" s="110"/>
      <c r="H157" s="115"/>
      <c r="I157" s="78"/>
      <c r="J157" s="78"/>
      <c r="K157" s="78"/>
      <c r="L157" s="110"/>
      <c r="M157" s="78"/>
      <c r="N157" s="78"/>
      <c r="O157" s="78"/>
      <c r="P157" s="78"/>
      <c r="Q157" s="78"/>
      <c r="R157" s="110"/>
      <c r="S157" s="110"/>
    </row>
    <row r="158" spans="1:19" ht="15" x14ac:dyDescent="0.25">
      <c r="A158" s="109"/>
      <c r="B158" s="109"/>
      <c r="C158" s="111"/>
      <c r="D158" s="111"/>
      <c r="E158" s="111"/>
      <c r="F158" s="111"/>
      <c r="G158" s="112"/>
      <c r="H158" s="114"/>
      <c r="I158" s="111"/>
      <c r="J158" s="111"/>
      <c r="K158" s="111"/>
      <c r="L158" s="112"/>
      <c r="M158" s="111"/>
      <c r="N158" s="111"/>
      <c r="O158" s="111"/>
      <c r="P158" s="111"/>
      <c r="Q158" s="111"/>
      <c r="R158" s="112"/>
      <c r="S158" s="112"/>
    </row>
    <row r="159" spans="1:19" ht="15" x14ac:dyDescent="0.25">
      <c r="A159" s="109"/>
      <c r="B159" s="109"/>
      <c r="C159" s="78"/>
      <c r="D159" s="78"/>
      <c r="E159" s="78"/>
      <c r="F159" s="78"/>
      <c r="G159" s="110"/>
      <c r="H159" s="115"/>
      <c r="I159" s="78"/>
      <c r="J159" s="78"/>
      <c r="K159" s="78"/>
      <c r="L159" s="110"/>
      <c r="M159" s="78"/>
      <c r="N159" s="78"/>
      <c r="O159" s="78"/>
      <c r="P159" s="78"/>
      <c r="Q159" s="78"/>
      <c r="R159" s="110"/>
      <c r="S159" s="110"/>
    </row>
    <row r="160" spans="1:19" ht="15" x14ac:dyDescent="0.25">
      <c r="A160" s="109"/>
      <c r="B160" s="109"/>
      <c r="C160" s="111"/>
      <c r="D160" s="111"/>
      <c r="E160" s="111"/>
      <c r="F160" s="111"/>
      <c r="G160" s="112"/>
      <c r="H160" s="114"/>
      <c r="I160" s="111"/>
      <c r="J160" s="111"/>
      <c r="K160" s="111"/>
      <c r="L160" s="112"/>
      <c r="M160" s="111"/>
      <c r="N160" s="111"/>
      <c r="O160" s="111"/>
      <c r="P160" s="111"/>
      <c r="Q160" s="111"/>
      <c r="R160" s="112"/>
      <c r="S160" s="112"/>
    </row>
    <row r="161" spans="1:19" ht="15" x14ac:dyDescent="0.25">
      <c r="A161" s="109"/>
      <c r="B161" s="109"/>
      <c r="C161" s="78"/>
      <c r="D161" s="78"/>
      <c r="E161" s="78"/>
      <c r="F161" s="78"/>
      <c r="G161" s="110"/>
      <c r="H161" s="115"/>
      <c r="I161" s="78"/>
      <c r="J161" s="78"/>
      <c r="K161" s="78"/>
      <c r="L161" s="110"/>
      <c r="M161" s="78"/>
      <c r="N161" s="78"/>
      <c r="O161" s="78"/>
      <c r="P161" s="78"/>
      <c r="Q161" s="78"/>
      <c r="R161" s="110"/>
      <c r="S161" s="110"/>
    </row>
    <row r="162" spans="1:19" ht="15" x14ac:dyDescent="0.25">
      <c r="A162" s="109"/>
      <c r="B162" s="109"/>
      <c r="C162" s="111"/>
      <c r="D162" s="111"/>
      <c r="E162" s="111"/>
      <c r="F162" s="111"/>
      <c r="G162" s="112"/>
      <c r="H162" s="114"/>
      <c r="I162" s="111"/>
      <c r="J162" s="111"/>
      <c r="K162" s="111"/>
      <c r="L162" s="112"/>
      <c r="M162" s="111"/>
      <c r="N162" s="111"/>
      <c r="O162" s="111"/>
      <c r="P162" s="111"/>
      <c r="Q162" s="111"/>
      <c r="R162" s="112"/>
      <c r="S162" s="112"/>
    </row>
    <row r="163" spans="1:19" ht="15" x14ac:dyDescent="0.25">
      <c r="A163" s="109"/>
      <c r="B163" s="109"/>
      <c r="C163" s="78"/>
      <c r="D163" s="78"/>
      <c r="E163" s="78"/>
      <c r="F163" s="78"/>
      <c r="G163" s="110"/>
      <c r="H163" s="115"/>
      <c r="I163" s="78"/>
      <c r="J163" s="78"/>
      <c r="K163" s="78"/>
      <c r="L163" s="110"/>
      <c r="M163" s="78"/>
      <c r="N163" s="78"/>
      <c r="O163" s="78"/>
      <c r="P163" s="78"/>
      <c r="Q163" s="78"/>
      <c r="R163" s="110"/>
      <c r="S163" s="110"/>
    </row>
    <row r="164" spans="1:19" ht="15" x14ac:dyDescent="0.25">
      <c r="A164" s="109"/>
      <c r="B164" s="109"/>
      <c r="C164" s="111"/>
      <c r="D164" s="111"/>
      <c r="E164" s="111"/>
      <c r="F164" s="111"/>
      <c r="G164" s="112"/>
      <c r="H164" s="114"/>
      <c r="I164" s="111"/>
      <c r="J164" s="111"/>
      <c r="K164" s="111"/>
      <c r="L164" s="112"/>
      <c r="M164" s="111"/>
      <c r="N164" s="111"/>
      <c r="O164" s="111"/>
      <c r="P164" s="111"/>
      <c r="Q164" s="111"/>
      <c r="R164" s="112"/>
      <c r="S164" s="112"/>
    </row>
    <row r="165" spans="1:19" ht="15" x14ac:dyDescent="0.25">
      <c r="A165" s="109"/>
      <c r="B165" s="109"/>
      <c r="C165" s="78"/>
      <c r="D165" s="78"/>
      <c r="E165" s="78"/>
      <c r="F165" s="78"/>
      <c r="G165" s="110"/>
      <c r="H165" s="115"/>
      <c r="I165" s="78"/>
      <c r="J165" s="78"/>
      <c r="K165" s="78"/>
      <c r="L165" s="110"/>
      <c r="M165" s="78"/>
      <c r="N165" s="78"/>
      <c r="O165" s="78"/>
      <c r="P165" s="78"/>
      <c r="Q165" s="78"/>
      <c r="R165" s="110"/>
      <c r="S165" s="110"/>
    </row>
    <row r="166" spans="1:19" ht="15" x14ac:dyDescent="0.25">
      <c r="A166" s="109"/>
      <c r="B166" s="109"/>
      <c r="C166" s="111"/>
      <c r="D166" s="111"/>
      <c r="E166" s="111"/>
      <c r="F166" s="111"/>
      <c r="G166" s="112"/>
      <c r="H166" s="114"/>
      <c r="I166" s="111"/>
      <c r="J166" s="111"/>
      <c r="K166" s="111"/>
      <c r="L166" s="112"/>
      <c r="M166" s="111"/>
      <c r="N166" s="111"/>
      <c r="O166" s="111"/>
      <c r="P166" s="111"/>
      <c r="Q166" s="111"/>
      <c r="R166" s="112"/>
      <c r="S166" s="112"/>
    </row>
    <row r="167" spans="1:19" ht="15" x14ac:dyDescent="0.25">
      <c r="A167" s="109"/>
      <c r="B167" s="109"/>
      <c r="C167" s="78"/>
      <c r="D167" s="78"/>
      <c r="E167" s="78"/>
      <c r="F167" s="78"/>
      <c r="G167" s="110"/>
      <c r="H167" s="115"/>
      <c r="I167" s="78"/>
      <c r="J167" s="78"/>
      <c r="K167" s="78"/>
      <c r="L167" s="110"/>
      <c r="M167" s="78"/>
      <c r="N167" s="78"/>
      <c r="O167" s="78"/>
      <c r="P167" s="78"/>
      <c r="Q167" s="78"/>
      <c r="R167" s="110"/>
      <c r="S167" s="110"/>
    </row>
    <row r="168" spans="1:19" ht="15" x14ac:dyDescent="0.25">
      <c r="A168" s="109"/>
      <c r="B168" s="109"/>
      <c r="C168" s="111"/>
      <c r="D168" s="111"/>
      <c r="E168" s="111"/>
      <c r="F168" s="111"/>
      <c r="G168" s="112"/>
      <c r="H168" s="114"/>
      <c r="I168" s="111"/>
      <c r="J168" s="111"/>
      <c r="K168" s="111"/>
      <c r="L168" s="112"/>
      <c r="M168" s="111"/>
      <c r="N168" s="111"/>
      <c r="O168" s="111"/>
      <c r="P168" s="111"/>
      <c r="Q168" s="111"/>
      <c r="R168" s="112"/>
      <c r="S168" s="112"/>
    </row>
    <row r="169" spans="1:19" ht="15" x14ac:dyDescent="0.25">
      <c r="A169" s="109"/>
      <c r="B169" s="109"/>
      <c r="C169" s="78"/>
      <c r="D169" s="78"/>
      <c r="E169" s="78"/>
      <c r="F169" s="78"/>
      <c r="G169" s="110"/>
      <c r="H169" s="115"/>
      <c r="I169" s="78"/>
      <c r="J169" s="78"/>
      <c r="K169" s="78"/>
      <c r="L169" s="110"/>
      <c r="M169" s="78"/>
      <c r="N169" s="78"/>
      <c r="O169" s="78"/>
      <c r="P169" s="78"/>
      <c r="Q169" s="78"/>
      <c r="R169" s="110"/>
      <c r="S169" s="110"/>
    </row>
    <row r="170" spans="1:19" ht="15" x14ac:dyDescent="0.25">
      <c r="A170" s="109"/>
      <c r="B170" s="109"/>
      <c r="C170" s="111"/>
      <c r="D170" s="111"/>
      <c r="E170" s="111"/>
      <c r="F170" s="111"/>
      <c r="G170" s="112"/>
      <c r="H170" s="114"/>
      <c r="I170" s="111"/>
      <c r="J170" s="111"/>
      <c r="K170" s="111"/>
      <c r="L170" s="112"/>
      <c r="M170" s="111"/>
      <c r="N170" s="111"/>
      <c r="O170" s="111"/>
      <c r="P170" s="111"/>
      <c r="Q170" s="111"/>
      <c r="R170" s="112"/>
      <c r="S170" s="112"/>
    </row>
    <row r="171" spans="1:19" ht="15" x14ac:dyDescent="0.25">
      <c r="A171" s="109"/>
      <c r="B171" s="109"/>
      <c r="C171" s="78"/>
      <c r="D171" s="78"/>
      <c r="E171" s="78"/>
      <c r="F171" s="78"/>
      <c r="G171" s="110"/>
      <c r="H171" s="115"/>
      <c r="I171" s="78"/>
      <c r="J171" s="78"/>
      <c r="K171" s="78"/>
      <c r="L171" s="110"/>
      <c r="M171" s="78"/>
      <c r="N171" s="78"/>
      <c r="O171" s="78"/>
      <c r="P171" s="78"/>
      <c r="Q171" s="78"/>
      <c r="R171" s="110"/>
      <c r="S171" s="110"/>
    </row>
    <row r="172" spans="1:19" ht="15" x14ac:dyDescent="0.25">
      <c r="A172" s="109"/>
      <c r="B172" s="109"/>
      <c r="C172" s="111"/>
      <c r="D172" s="111"/>
      <c r="E172" s="111"/>
      <c r="F172" s="111"/>
      <c r="G172" s="112"/>
      <c r="H172" s="114"/>
      <c r="I172" s="111"/>
      <c r="J172" s="111"/>
      <c r="K172" s="111"/>
      <c r="L172" s="112"/>
      <c r="M172" s="111"/>
      <c r="N172" s="111"/>
      <c r="O172" s="111"/>
      <c r="P172" s="111"/>
      <c r="Q172" s="111"/>
      <c r="R172" s="112"/>
      <c r="S172" s="112"/>
    </row>
    <row r="173" spans="1:19" ht="15" x14ac:dyDescent="0.25">
      <c r="A173" s="109"/>
      <c r="B173" s="109"/>
      <c r="C173" s="78"/>
      <c r="D173" s="78"/>
      <c r="E173" s="78"/>
      <c r="F173" s="78"/>
      <c r="G173" s="110"/>
      <c r="H173" s="115"/>
      <c r="I173" s="78"/>
      <c r="J173" s="78"/>
      <c r="K173" s="78"/>
      <c r="L173" s="110"/>
      <c r="M173" s="78"/>
      <c r="N173" s="78"/>
      <c r="O173" s="78"/>
      <c r="P173" s="78"/>
      <c r="Q173" s="78"/>
      <c r="R173" s="110"/>
      <c r="S173" s="110"/>
    </row>
    <row r="174" spans="1:19" ht="15" x14ac:dyDescent="0.25">
      <c r="A174" s="109"/>
      <c r="B174" s="109"/>
      <c r="C174" s="111"/>
      <c r="D174" s="111"/>
      <c r="E174" s="111"/>
      <c r="F174" s="111"/>
      <c r="G174" s="112"/>
      <c r="H174" s="114"/>
      <c r="I174" s="111"/>
      <c r="J174" s="111"/>
      <c r="K174" s="111"/>
      <c r="L174" s="112"/>
      <c r="M174" s="111"/>
      <c r="N174" s="111"/>
      <c r="O174" s="111"/>
      <c r="P174" s="111"/>
      <c r="Q174" s="111"/>
      <c r="R174" s="112"/>
      <c r="S174" s="112"/>
    </row>
    <row r="175" spans="1:19" ht="15" x14ac:dyDescent="0.25">
      <c r="A175" s="109"/>
      <c r="B175" s="109"/>
      <c r="C175" s="78"/>
      <c r="D175" s="78"/>
      <c r="E175" s="78"/>
      <c r="F175" s="78"/>
      <c r="G175" s="110"/>
      <c r="H175" s="115"/>
      <c r="I175" s="78"/>
      <c r="J175" s="78"/>
      <c r="K175" s="78"/>
      <c r="L175" s="110"/>
      <c r="M175" s="78"/>
      <c r="N175" s="78"/>
      <c r="O175" s="78"/>
      <c r="P175" s="78"/>
      <c r="Q175" s="78"/>
      <c r="R175" s="110"/>
      <c r="S175" s="110"/>
    </row>
    <row r="176" spans="1:19" ht="15" x14ac:dyDescent="0.25">
      <c r="A176" s="109"/>
      <c r="B176" s="109"/>
      <c r="C176" s="111"/>
      <c r="D176" s="111"/>
      <c r="E176" s="111"/>
      <c r="F176" s="111"/>
      <c r="G176" s="112"/>
      <c r="H176" s="114"/>
      <c r="I176" s="111"/>
      <c r="J176" s="111"/>
      <c r="K176" s="111"/>
      <c r="L176" s="112"/>
      <c r="M176" s="111"/>
      <c r="N176" s="111"/>
      <c r="O176" s="111"/>
      <c r="P176" s="111"/>
      <c r="Q176" s="111"/>
      <c r="R176" s="112"/>
      <c r="S176" s="112"/>
    </row>
    <row r="177" spans="1:19" ht="15" x14ac:dyDescent="0.25">
      <c r="A177" s="109"/>
      <c r="B177" s="109"/>
      <c r="C177" s="78"/>
      <c r="D177" s="78"/>
      <c r="E177" s="78"/>
      <c r="F177" s="78"/>
      <c r="G177" s="110"/>
      <c r="H177" s="115"/>
      <c r="I177" s="78"/>
      <c r="J177" s="78"/>
      <c r="K177" s="78"/>
      <c r="L177" s="110"/>
      <c r="M177" s="78"/>
      <c r="N177" s="78"/>
      <c r="O177" s="78"/>
      <c r="P177" s="78"/>
      <c r="Q177" s="78"/>
      <c r="R177" s="110"/>
      <c r="S177" s="110"/>
    </row>
    <row r="178" spans="1:19" ht="15" x14ac:dyDescent="0.25">
      <c r="A178" s="109"/>
      <c r="B178" s="109"/>
      <c r="C178" s="111"/>
      <c r="D178" s="111"/>
      <c r="E178" s="111"/>
      <c r="F178" s="111"/>
      <c r="G178" s="112"/>
      <c r="H178" s="114"/>
      <c r="I178" s="111"/>
      <c r="J178" s="111"/>
      <c r="K178" s="111"/>
      <c r="L178" s="112"/>
      <c r="M178" s="111"/>
      <c r="N178" s="111"/>
      <c r="O178" s="111"/>
      <c r="P178" s="111"/>
      <c r="Q178" s="111"/>
      <c r="R178" s="112"/>
      <c r="S178" s="112"/>
    </row>
    <row r="179" spans="1:19" ht="15" x14ac:dyDescent="0.25">
      <c r="A179" s="109"/>
      <c r="B179" s="109"/>
      <c r="C179" s="78"/>
      <c r="D179" s="78"/>
      <c r="E179" s="78"/>
      <c r="F179" s="78"/>
      <c r="G179" s="110"/>
      <c r="H179" s="115"/>
      <c r="I179" s="78"/>
      <c r="J179" s="78"/>
      <c r="K179" s="78"/>
      <c r="L179" s="110"/>
      <c r="M179" s="78"/>
      <c r="N179" s="78"/>
      <c r="O179" s="78"/>
      <c r="P179" s="78"/>
      <c r="Q179" s="78"/>
      <c r="R179" s="110"/>
      <c r="S179" s="110"/>
    </row>
    <row r="180" spans="1:19" ht="15" x14ac:dyDescent="0.25">
      <c r="A180" s="109"/>
      <c r="B180" s="109"/>
      <c r="C180" s="111"/>
      <c r="D180" s="111"/>
      <c r="E180" s="111"/>
      <c r="F180" s="111"/>
      <c r="G180" s="112"/>
      <c r="H180" s="114"/>
      <c r="I180" s="111"/>
      <c r="J180" s="111"/>
      <c r="K180" s="111"/>
      <c r="L180" s="112"/>
      <c r="M180" s="111"/>
      <c r="N180" s="111"/>
      <c r="O180" s="111"/>
      <c r="P180" s="111"/>
      <c r="Q180" s="111"/>
      <c r="R180" s="112"/>
      <c r="S180" s="112"/>
    </row>
    <row r="181" spans="1:19" ht="15" x14ac:dyDescent="0.25">
      <c r="A181" s="109"/>
      <c r="B181" s="109"/>
      <c r="C181" s="78"/>
      <c r="D181" s="78"/>
      <c r="E181" s="78"/>
      <c r="F181" s="78"/>
      <c r="G181" s="110"/>
      <c r="H181" s="115"/>
      <c r="I181" s="78"/>
      <c r="J181" s="78"/>
      <c r="K181" s="78"/>
      <c r="L181" s="110"/>
      <c r="M181" s="78"/>
      <c r="N181" s="78"/>
      <c r="O181" s="78"/>
      <c r="P181" s="78"/>
      <c r="Q181" s="78"/>
      <c r="R181" s="110"/>
      <c r="S181" s="110"/>
    </row>
    <row r="182" spans="1:19" ht="15" x14ac:dyDescent="0.25">
      <c r="A182" s="109"/>
      <c r="B182" s="109"/>
      <c r="C182" s="111"/>
      <c r="D182" s="111"/>
      <c r="E182" s="111"/>
      <c r="F182" s="111"/>
      <c r="G182" s="112"/>
      <c r="H182" s="114"/>
      <c r="I182" s="111"/>
      <c r="J182" s="111"/>
      <c r="K182" s="111"/>
      <c r="L182" s="112"/>
      <c r="M182" s="111"/>
      <c r="N182" s="111"/>
      <c r="O182" s="111"/>
      <c r="P182" s="111"/>
      <c r="Q182" s="111"/>
      <c r="R182" s="112"/>
      <c r="S182" s="112"/>
    </row>
    <row r="183" spans="1:19" ht="15" x14ac:dyDescent="0.25">
      <c r="A183" s="109"/>
      <c r="B183" s="109"/>
      <c r="C183" s="78"/>
      <c r="D183" s="78"/>
      <c r="E183" s="78"/>
      <c r="F183" s="78"/>
      <c r="G183" s="110"/>
      <c r="H183" s="115"/>
      <c r="I183" s="78"/>
      <c r="J183" s="78"/>
      <c r="K183" s="78"/>
      <c r="L183" s="110"/>
      <c r="M183" s="78"/>
      <c r="N183" s="78"/>
      <c r="O183" s="78"/>
      <c r="P183" s="78"/>
      <c r="Q183" s="78"/>
      <c r="R183" s="110"/>
      <c r="S183" s="110"/>
    </row>
    <row r="184" spans="1:19" ht="15" x14ac:dyDescent="0.25">
      <c r="A184" s="109"/>
      <c r="B184" s="109"/>
      <c r="C184" s="111"/>
      <c r="D184" s="111"/>
      <c r="E184" s="111"/>
      <c r="F184" s="111"/>
      <c r="G184" s="112"/>
      <c r="H184" s="114"/>
      <c r="I184" s="111"/>
      <c r="J184" s="111"/>
      <c r="K184" s="111"/>
      <c r="L184" s="112"/>
      <c r="M184" s="111"/>
      <c r="N184" s="111"/>
      <c r="O184" s="111"/>
      <c r="P184" s="111"/>
      <c r="Q184" s="111"/>
      <c r="R184" s="112"/>
      <c r="S184" s="112"/>
    </row>
    <row r="185" spans="1:19" ht="15" x14ac:dyDescent="0.25">
      <c r="A185" s="109"/>
      <c r="B185" s="109"/>
      <c r="C185" s="78"/>
      <c r="D185" s="78"/>
      <c r="E185" s="78"/>
      <c r="F185" s="78"/>
      <c r="G185" s="110"/>
      <c r="H185" s="115"/>
      <c r="I185" s="78"/>
      <c r="J185" s="78"/>
      <c r="K185" s="78"/>
      <c r="L185" s="110"/>
      <c r="M185" s="78"/>
      <c r="N185" s="78"/>
      <c r="O185" s="78"/>
      <c r="P185" s="78"/>
      <c r="Q185" s="78"/>
      <c r="R185" s="110"/>
      <c r="S185" s="110"/>
    </row>
    <row r="186" spans="1:19" ht="15" x14ac:dyDescent="0.25">
      <c r="A186" s="109"/>
      <c r="B186" s="109"/>
      <c r="C186" s="111"/>
      <c r="D186" s="111"/>
      <c r="E186" s="111"/>
      <c r="F186" s="111"/>
      <c r="G186" s="112"/>
      <c r="H186" s="114"/>
      <c r="I186" s="111"/>
      <c r="J186" s="111"/>
      <c r="K186" s="111"/>
      <c r="L186" s="112"/>
      <c r="M186" s="111"/>
      <c r="N186" s="111"/>
      <c r="O186" s="111"/>
      <c r="P186" s="111"/>
      <c r="Q186" s="111"/>
      <c r="R186" s="112"/>
      <c r="S186" s="112"/>
    </row>
    <row r="187" spans="1:19" ht="15" x14ac:dyDescent="0.25">
      <c r="A187" s="109"/>
      <c r="B187" s="109"/>
      <c r="C187" s="78"/>
      <c r="D187" s="78"/>
      <c r="E187" s="78"/>
      <c r="F187" s="78"/>
      <c r="G187" s="110"/>
      <c r="H187" s="115"/>
      <c r="I187" s="78"/>
      <c r="J187" s="78"/>
      <c r="K187" s="78"/>
      <c r="L187" s="110"/>
      <c r="M187" s="78"/>
      <c r="N187" s="78"/>
      <c r="O187" s="78"/>
      <c r="P187" s="78"/>
      <c r="Q187" s="78"/>
      <c r="R187" s="110"/>
      <c r="S187" s="110"/>
    </row>
    <row r="188" spans="1:19" ht="15" x14ac:dyDescent="0.25">
      <c r="A188" s="109"/>
      <c r="B188" s="109"/>
      <c r="C188" s="111"/>
      <c r="D188" s="111"/>
      <c r="E188" s="111"/>
      <c r="F188" s="111"/>
      <c r="G188" s="112"/>
      <c r="H188" s="114"/>
      <c r="I188" s="111"/>
      <c r="J188" s="111"/>
      <c r="K188" s="111"/>
      <c r="L188" s="112"/>
      <c r="M188" s="111"/>
      <c r="N188" s="111"/>
      <c r="O188" s="111"/>
      <c r="P188" s="111"/>
      <c r="Q188" s="111"/>
      <c r="R188" s="112"/>
      <c r="S188" s="112"/>
    </row>
    <row r="189" spans="1:19" ht="15" x14ac:dyDescent="0.25">
      <c r="A189" s="109"/>
      <c r="B189" s="109"/>
      <c r="C189" s="78"/>
      <c r="D189" s="78"/>
      <c r="E189" s="78"/>
      <c r="F189" s="78"/>
      <c r="G189" s="110"/>
      <c r="H189" s="115"/>
      <c r="I189" s="78"/>
      <c r="J189" s="78"/>
      <c r="K189" s="78"/>
      <c r="L189" s="110"/>
      <c r="M189" s="78"/>
      <c r="N189" s="78"/>
      <c r="O189" s="78"/>
      <c r="P189" s="78"/>
      <c r="Q189" s="78"/>
      <c r="R189" s="110"/>
      <c r="S189" s="110"/>
    </row>
    <row r="190" spans="1:19" ht="15" x14ac:dyDescent="0.25">
      <c r="A190" s="109"/>
      <c r="B190" s="109"/>
      <c r="C190" s="111"/>
      <c r="D190" s="111"/>
      <c r="E190" s="111"/>
      <c r="F190" s="111"/>
      <c r="G190" s="112"/>
      <c r="H190" s="114"/>
      <c r="I190" s="111"/>
      <c r="J190" s="111"/>
      <c r="K190" s="111"/>
      <c r="L190" s="112"/>
      <c r="M190" s="111"/>
      <c r="N190" s="111"/>
      <c r="O190" s="111"/>
      <c r="P190" s="111"/>
      <c r="Q190" s="111"/>
      <c r="R190" s="112"/>
      <c r="S190" s="112"/>
    </row>
    <row r="191" spans="1:19" ht="15" x14ac:dyDescent="0.25">
      <c r="A191" s="109"/>
      <c r="B191" s="109"/>
      <c r="C191" s="78"/>
      <c r="D191" s="78"/>
      <c r="E191" s="78"/>
      <c r="F191" s="78"/>
      <c r="G191" s="110"/>
      <c r="H191" s="115"/>
      <c r="I191" s="78"/>
      <c r="J191" s="78"/>
      <c r="K191" s="78"/>
      <c r="L191" s="110"/>
      <c r="M191" s="78"/>
      <c r="N191" s="78"/>
      <c r="O191" s="78"/>
      <c r="P191" s="78"/>
      <c r="Q191" s="78"/>
      <c r="R191" s="110"/>
      <c r="S191" s="110"/>
    </row>
    <row r="192" spans="1:19" ht="15" x14ac:dyDescent="0.25">
      <c r="A192" s="109"/>
      <c r="B192" s="109"/>
      <c r="C192" s="111"/>
      <c r="D192" s="111"/>
      <c r="E192" s="111"/>
      <c r="F192" s="111"/>
      <c r="G192" s="112"/>
      <c r="H192" s="114"/>
      <c r="I192" s="111"/>
      <c r="J192" s="111"/>
      <c r="K192" s="111"/>
      <c r="L192" s="112"/>
      <c r="M192" s="111"/>
      <c r="N192" s="111"/>
      <c r="O192" s="111"/>
      <c r="P192" s="111"/>
      <c r="Q192" s="111"/>
      <c r="R192" s="112"/>
      <c r="S192" s="112"/>
    </row>
    <row r="193" spans="1:19" ht="15" x14ac:dyDescent="0.25">
      <c r="A193" s="109"/>
      <c r="B193" s="109"/>
      <c r="C193" s="78"/>
      <c r="D193" s="78"/>
      <c r="E193" s="78"/>
      <c r="F193" s="78"/>
      <c r="G193" s="110"/>
      <c r="H193" s="115"/>
      <c r="I193" s="78"/>
      <c r="J193" s="78"/>
      <c r="K193" s="78"/>
      <c r="L193" s="110"/>
      <c r="M193" s="78"/>
      <c r="N193" s="78"/>
      <c r="O193" s="78"/>
      <c r="P193" s="78"/>
      <c r="Q193" s="78"/>
      <c r="R193" s="110"/>
      <c r="S193" s="110"/>
    </row>
    <row r="194" spans="1:19" ht="15" x14ac:dyDescent="0.25">
      <c r="A194" s="109"/>
      <c r="B194" s="109"/>
      <c r="C194" s="111"/>
      <c r="D194" s="111"/>
      <c r="E194" s="111"/>
      <c r="F194" s="111"/>
      <c r="G194" s="112"/>
      <c r="H194" s="114"/>
      <c r="I194" s="111"/>
      <c r="J194" s="111"/>
      <c r="K194" s="111"/>
      <c r="L194" s="112"/>
      <c r="M194" s="111"/>
      <c r="N194" s="111"/>
      <c r="O194" s="111"/>
      <c r="P194" s="111"/>
      <c r="Q194" s="111"/>
      <c r="R194" s="112"/>
      <c r="S194" s="112"/>
    </row>
    <row r="195" spans="1:19" ht="15" x14ac:dyDescent="0.25">
      <c r="A195" s="109"/>
      <c r="B195" s="109"/>
      <c r="C195" s="78"/>
      <c r="D195" s="78"/>
      <c r="E195" s="78"/>
      <c r="F195" s="78"/>
      <c r="G195" s="110"/>
      <c r="H195" s="115"/>
      <c r="I195" s="78"/>
      <c r="J195" s="78"/>
      <c r="K195" s="78"/>
      <c r="L195" s="110"/>
      <c r="M195" s="78"/>
      <c r="N195" s="78"/>
      <c r="O195" s="78"/>
      <c r="P195" s="78"/>
      <c r="Q195" s="78"/>
      <c r="R195" s="110"/>
      <c r="S195" s="110"/>
    </row>
    <row r="196" spans="1:19" ht="15" x14ac:dyDescent="0.25">
      <c r="A196" s="109"/>
      <c r="B196" s="109"/>
      <c r="C196" s="111"/>
      <c r="D196" s="111"/>
      <c r="E196" s="111"/>
      <c r="F196" s="111"/>
      <c r="G196" s="112"/>
      <c r="H196" s="114"/>
      <c r="I196" s="111"/>
      <c r="J196" s="111"/>
      <c r="K196" s="111"/>
      <c r="L196" s="112"/>
      <c r="M196" s="111"/>
      <c r="N196" s="111"/>
      <c r="O196" s="111"/>
      <c r="P196" s="111"/>
      <c r="Q196" s="111"/>
      <c r="R196" s="112"/>
      <c r="S196" s="112"/>
    </row>
    <row r="197" spans="1:19" ht="15" x14ac:dyDescent="0.25">
      <c r="A197" s="109"/>
      <c r="B197" s="109"/>
      <c r="C197" s="78"/>
      <c r="D197" s="78"/>
      <c r="E197" s="78"/>
      <c r="F197" s="78"/>
      <c r="G197" s="110"/>
      <c r="H197" s="115"/>
      <c r="I197" s="78"/>
      <c r="J197" s="78"/>
      <c r="K197" s="78"/>
      <c r="L197" s="110"/>
      <c r="M197" s="78"/>
      <c r="N197" s="78"/>
      <c r="O197" s="78"/>
      <c r="P197" s="78"/>
      <c r="Q197" s="78"/>
      <c r="R197" s="110"/>
      <c r="S197" s="110"/>
    </row>
    <row r="198" spans="1:19" ht="15" x14ac:dyDescent="0.25">
      <c r="A198" s="109"/>
      <c r="B198" s="109"/>
      <c r="C198" s="111"/>
      <c r="D198" s="111"/>
      <c r="E198" s="111"/>
      <c r="F198" s="111"/>
      <c r="G198" s="112"/>
      <c r="H198" s="114"/>
      <c r="I198" s="111"/>
      <c r="J198" s="111"/>
      <c r="K198" s="111"/>
      <c r="L198" s="112"/>
      <c r="M198" s="111"/>
      <c r="N198" s="111"/>
      <c r="O198" s="111"/>
      <c r="P198" s="111"/>
      <c r="Q198" s="111"/>
      <c r="R198" s="112"/>
      <c r="S198" s="112"/>
    </row>
    <row r="199" spans="1:19" ht="15" x14ac:dyDescent="0.25">
      <c r="A199" s="109"/>
      <c r="B199" s="109"/>
      <c r="C199" s="78"/>
      <c r="D199" s="78"/>
      <c r="E199" s="78"/>
      <c r="F199" s="78"/>
      <c r="G199" s="110"/>
      <c r="H199" s="115"/>
      <c r="I199" s="78"/>
      <c r="J199" s="78"/>
      <c r="K199" s="78"/>
      <c r="L199" s="110"/>
      <c r="M199" s="78"/>
      <c r="N199" s="78"/>
      <c r="O199" s="78"/>
      <c r="P199" s="78"/>
      <c r="Q199" s="78"/>
      <c r="R199" s="110"/>
      <c r="S199" s="110"/>
    </row>
    <row r="200" spans="1:19" ht="15" x14ac:dyDescent="0.25">
      <c r="A200" s="109"/>
      <c r="B200" s="109"/>
      <c r="C200" s="111"/>
      <c r="D200" s="111"/>
      <c r="E200" s="111"/>
      <c r="F200" s="111"/>
      <c r="G200" s="112"/>
      <c r="H200" s="114"/>
      <c r="I200" s="111"/>
      <c r="J200" s="111"/>
      <c r="K200" s="111"/>
      <c r="L200" s="112"/>
      <c r="M200" s="111"/>
      <c r="N200" s="111"/>
      <c r="O200" s="111"/>
      <c r="P200" s="111"/>
      <c r="Q200" s="111"/>
      <c r="R200" s="112"/>
      <c r="S200" s="112"/>
    </row>
    <row r="201" spans="1:19" ht="15" x14ac:dyDescent="0.25">
      <c r="A201" s="109"/>
      <c r="B201" s="109"/>
      <c r="C201" s="78"/>
      <c r="D201" s="78"/>
      <c r="E201" s="78"/>
      <c r="F201" s="78"/>
      <c r="G201" s="110"/>
      <c r="H201" s="115"/>
      <c r="I201" s="78"/>
      <c r="J201" s="78"/>
      <c r="K201" s="78"/>
      <c r="L201" s="110"/>
      <c r="M201" s="78"/>
      <c r="N201" s="78"/>
      <c r="O201" s="78"/>
      <c r="P201" s="78"/>
      <c r="Q201" s="78"/>
      <c r="R201" s="110"/>
      <c r="S201" s="110"/>
    </row>
    <row r="202" spans="1:19" ht="15" x14ac:dyDescent="0.25">
      <c r="A202" s="109"/>
      <c r="B202" s="109"/>
      <c r="C202" s="111"/>
      <c r="D202" s="111"/>
      <c r="E202" s="111"/>
      <c r="F202" s="111"/>
      <c r="G202" s="112"/>
      <c r="H202" s="114"/>
      <c r="I202" s="111"/>
      <c r="J202" s="111"/>
      <c r="K202" s="111"/>
      <c r="L202" s="112"/>
      <c r="M202" s="111"/>
      <c r="N202" s="111"/>
      <c r="O202" s="111"/>
      <c r="P202" s="111"/>
      <c r="Q202" s="111"/>
      <c r="R202" s="112"/>
      <c r="S202" s="112"/>
    </row>
    <row r="203" spans="1:19" ht="15" x14ac:dyDescent="0.25">
      <c r="A203" s="109"/>
      <c r="B203" s="109"/>
      <c r="C203" s="78"/>
      <c r="D203" s="78"/>
      <c r="E203" s="78"/>
      <c r="F203" s="78"/>
      <c r="G203" s="110"/>
      <c r="H203" s="115"/>
      <c r="I203" s="78"/>
      <c r="J203" s="78"/>
      <c r="K203" s="78"/>
      <c r="L203" s="110"/>
      <c r="M203" s="78"/>
      <c r="N203" s="78"/>
      <c r="O203" s="78"/>
      <c r="P203" s="78"/>
      <c r="Q203" s="78"/>
      <c r="R203" s="110"/>
      <c r="S203" s="110"/>
    </row>
    <row r="204" spans="1:19" ht="15" x14ac:dyDescent="0.25">
      <c r="A204" s="109"/>
      <c r="B204" s="109"/>
      <c r="C204" s="111"/>
      <c r="D204" s="111"/>
      <c r="E204" s="111"/>
      <c r="F204" s="111"/>
      <c r="G204" s="112"/>
      <c r="H204" s="114"/>
      <c r="I204" s="111"/>
      <c r="J204" s="111"/>
      <c r="K204" s="111"/>
      <c r="L204" s="112"/>
      <c r="M204" s="111"/>
      <c r="N204" s="111"/>
      <c r="O204" s="111"/>
      <c r="P204" s="111"/>
      <c r="Q204" s="111"/>
      <c r="R204" s="112"/>
      <c r="S204" s="112"/>
    </row>
    <row r="205" spans="1:19" ht="15" x14ac:dyDescent="0.25">
      <c r="A205" s="109"/>
      <c r="B205" s="109"/>
      <c r="C205" s="78"/>
      <c r="D205" s="78"/>
      <c r="E205" s="78"/>
      <c r="F205" s="78"/>
      <c r="G205" s="110"/>
      <c r="H205" s="115"/>
      <c r="I205" s="78"/>
      <c r="J205" s="78"/>
      <c r="K205" s="78"/>
      <c r="L205" s="110"/>
      <c r="M205" s="78"/>
      <c r="N205" s="78"/>
      <c r="O205" s="78"/>
      <c r="P205" s="78"/>
      <c r="Q205" s="78"/>
      <c r="R205" s="110"/>
      <c r="S205" s="110"/>
    </row>
    <row r="206" spans="1:19" ht="15" x14ac:dyDescent="0.25">
      <c r="A206" s="109"/>
      <c r="B206" s="109"/>
      <c r="C206" s="111"/>
      <c r="D206" s="111"/>
      <c r="E206" s="111"/>
      <c r="F206" s="111"/>
      <c r="G206" s="112"/>
      <c r="H206" s="114"/>
      <c r="I206" s="111"/>
      <c r="J206" s="111"/>
      <c r="K206" s="111"/>
      <c r="L206" s="112"/>
      <c r="M206" s="111"/>
      <c r="N206" s="111"/>
      <c r="O206" s="111"/>
      <c r="P206" s="111"/>
      <c r="Q206" s="111"/>
      <c r="R206" s="112"/>
      <c r="S206" s="112"/>
    </row>
    <row r="207" spans="1:19" ht="15" x14ac:dyDescent="0.25">
      <c r="A207" s="109"/>
      <c r="B207" s="109"/>
      <c r="C207" s="78"/>
      <c r="D207" s="78"/>
      <c r="E207" s="78"/>
      <c r="F207" s="78"/>
      <c r="G207" s="110"/>
      <c r="H207" s="115"/>
      <c r="I207" s="78"/>
      <c r="J207" s="78"/>
      <c r="K207" s="78"/>
      <c r="L207" s="110"/>
      <c r="M207" s="78"/>
      <c r="N207" s="78"/>
      <c r="O207" s="78"/>
      <c r="P207" s="78"/>
      <c r="Q207" s="78"/>
      <c r="R207" s="110"/>
      <c r="S207" s="110"/>
    </row>
    <row r="208" spans="1:19" ht="15" x14ac:dyDescent="0.25">
      <c r="A208" s="109"/>
      <c r="B208" s="109"/>
      <c r="C208" s="111"/>
      <c r="D208" s="111"/>
      <c r="E208" s="111"/>
      <c r="F208" s="111"/>
      <c r="G208" s="112"/>
      <c r="H208" s="114"/>
      <c r="I208" s="111"/>
      <c r="J208" s="111"/>
      <c r="K208" s="111"/>
      <c r="L208" s="112"/>
      <c r="M208" s="111"/>
      <c r="N208" s="111"/>
      <c r="O208" s="111"/>
      <c r="P208" s="111"/>
      <c r="Q208" s="111"/>
      <c r="R208" s="112"/>
      <c r="S208" s="112"/>
    </row>
    <row r="209" spans="1:19" ht="15" x14ac:dyDescent="0.25">
      <c r="A209" s="109"/>
      <c r="B209" s="109"/>
      <c r="C209" s="78"/>
      <c r="D209" s="78"/>
      <c r="E209" s="78"/>
      <c r="F209" s="78"/>
      <c r="G209" s="110"/>
      <c r="H209" s="115"/>
      <c r="I209" s="78"/>
      <c r="J209" s="78"/>
      <c r="K209" s="78"/>
      <c r="L209" s="110"/>
      <c r="M209" s="78"/>
      <c r="N209" s="78"/>
      <c r="O209" s="78"/>
      <c r="P209" s="78"/>
      <c r="Q209" s="78"/>
      <c r="R209" s="110"/>
      <c r="S209" s="110"/>
    </row>
    <row r="210" spans="1:19" ht="15" x14ac:dyDescent="0.25">
      <c r="A210" s="109"/>
      <c r="B210" s="109"/>
      <c r="C210" s="111"/>
      <c r="D210" s="111"/>
      <c r="E210" s="111"/>
      <c r="F210" s="111"/>
      <c r="G210" s="112"/>
      <c r="H210" s="114"/>
      <c r="I210" s="111"/>
      <c r="J210" s="111"/>
      <c r="K210" s="111"/>
      <c r="L210" s="112"/>
      <c r="M210" s="111"/>
      <c r="N210" s="111"/>
      <c r="O210" s="111"/>
      <c r="P210" s="111"/>
      <c r="Q210" s="111"/>
      <c r="R210" s="112"/>
      <c r="S210" s="112"/>
    </row>
    <row r="211" spans="1:19" ht="15" x14ac:dyDescent="0.25">
      <c r="A211" s="109"/>
      <c r="B211" s="109"/>
      <c r="C211" s="78"/>
      <c r="D211" s="78"/>
      <c r="E211" s="78"/>
      <c r="F211" s="78"/>
      <c r="G211" s="110"/>
      <c r="H211" s="115"/>
      <c r="I211" s="78"/>
      <c r="J211" s="78"/>
      <c r="K211" s="78"/>
      <c r="L211" s="110"/>
      <c r="M211" s="78"/>
      <c r="N211" s="78"/>
      <c r="O211" s="78"/>
      <c r="P211" s="78"/>
      <c r="Q211" s="78"/>
      <c r="R211" s="110"/>
      <c r="S211" s="110"/>
    </row>
    <row r="212" spans="1:19" ht="15" x14ac:dyDescent="0.25">
      <c r="A212" s="109"/>
      <c r="B212" s="109"/>
      <c r="C212" s="111"/>
      <c r="D212" s="111"/>
      <c r="E212" s="111"/>
      <c r="F212" s="111"/>
      <c r="G212" s="112"/>
      <c r="H212" s="114"/>
      <c r="I212" s="111"/>
      <c r="J212" s="111"/>
      <c r="K212" s="111"/>
      <c r="L212" s="112"/>
      <c r="M212" s="111"/>
      <c r="N212" s="111"/>
      <c r="O212" s="111"/>
      <c r="P212" s="111"/>
      <c r="Q212" s="111"/>
      <c r="R212" s="112"/>
      <c r="S212" s="112"/>
    </row>
    <row r="213" spans="1:19" ht="15" x14ac:dyDescent="0.25">
      <c r="A213" s="109"/>
      <c r="B213" s="109"/>
      <c r="C213" s="78"/>
      <c r="D213" s="78"/>
      <c r="E213" s="78"/>
      <c r="F213" s="78"/>
      <c r="G213" s="110"/>
      <c r="H213" s="115"/>
      <c r="I213" s="78"/>
      <c r="J213" s="78"/>
      <c r="K213" s="78"/>
      <c r="L213" s="110"/>
      <c r="M213" s="78"/>
      <c r="N213" s="78"/>
      <c r="O213" s="78"/>
      <c r="P213" s="78"/>
      <c r="Q213" s="78"/>
      <c r="R213" s="110"/>
      <c r="S213" s="110"/>
    </row>
    <row r="214" spans="1:19" ht="15" x14ac:dyDescent="0.25">
      <c r="A214" s="109"/>
      <c r="B214" s="109"/>
      <c r="C214" s="111"/>
      <c r="D214" s="111"/>
      <c r="E214" s="111"/>
      <c r="F214" s="111"/>
      <c r="G214" s="112"/>
      <c r="H214" s="114"/>
      <c r="I214" s="111"/>
      <c r="J214" s="111"/>
      <c r="K214" s="111"/>
      <c r="L214" s="112"/>
      <c r="M214" s="111"/>
      <c r="N214" s="111"/>
      <c r="O214" s="111"/>
      <c r="P214" s="111"/>
      <c r="Q214" s="111"/>
      <c r="R214" s="112"/>
      <c r="S214" s="112"/>
    </row>
    <row r="215" spans="1:19" ht="15" x14ac:dyDescent="0.25">
      <c r="A215" s="109"/>
      <c r="B215" s="109"/>
      <c r="C215" s="78"/>
      <c r="D215" s="78"/>
      <c r="E215" s="78"/>
      <c r="F215" s="78"/>
      <c r="G215" s="110"/>
      <c r="H215" s="115"/>
      <c r="I215" s="78"/>
      <c r="J215" s="78"/>
      <c r="K215" s="78"/>
      <c r="L215" s="110"/>
      <c r="M215" s="78"/>
      <c r="N215" s="78"/>
      <c r="O215" s="78"/>
      <c r="P215" s="78"/>
      <c r="Q215" s="78"/>
      <c r="R215" s="110"/>
      <c r="S215" s="110"/>
    </row>
    <row r="216" spans="1:19" ht="15" x14ac:dyDescent="0.25">
      <c r="A216" s="109"/>
      <c r="B216" s="109"/>
      <c r="C216" s="111"/>
      <c r="D216" s="111"/>
      <c r="E216" s="111"/>
      <c r="F216" s="111"/>
      <c r="G216" s="112"/>
      <c r="H216" s="114"/>
      <c r="I216" s="111"/>
      <c r="J216" s="111"/>
      <c r="K216" s="111"/>
      <c r="L216" s="112"/>
      <c r="M216" s="111"/>
      <c r="N216" s="111"/>
      <c r="O216" s="111"/>
      <c r="P216" s="111"/>
      <c r="Q216" s="111"/>
      <c r="R216" s="112"/>
      <c r="S216" s="112"/>
    </row>
    <row r="217" spans="1:19" ht="15" x14ac:dyDescent="0.25">
      <c r="A217" s="109"/>
      <c r="B217" s="109"/>
      <c r="C217" s="78"/>
      <c r="D217" s="78"/>
      <c r="E217" s="78"/>
      <c r="F217" s="78"/>
      <c r="G217" s="110"/>
      <c r="H217" s="115"/>
      <c r="I217" s="78"/>
      <c r="J217" s="78"/>
      <c r="K217" s="78"/>
      <c r="L217" s="110"/>
      <c r="M217" s="78"/>
      <c r="N217" s="78"/>
      <c r="O217" s="78"/>
      <c r="P217" s="78"/>
      <c r="Q217" s="78"/>
      <c r="R217" s="110"/>
      <c r="S217" s="110"/>
    </row>
    <row r="218" spans="1:19" ht="15" x14ac:dyDescent="0.25">
      <c r="A218" s="109"/>
      <c r="B218" s="109"/>
      <c r="C218" s="111"/>
      <c r="D218" s="111"/>
      <c r="E218" s="111"/>
      <c r="F218" s="111"/>
      <c r="G218" s="112"/>
      <c r="H218" s="114"/>
      <c r="I218" s="111"/>
      <c r="J218" s="111"/>
      <c r="K218" s="111"/>
      <c r="L218" s="112"/>
      <c r="M218" s="111"/>
      <c r="N218" s="111"/>
      <c r="O218" s="111"/>
      <c r="P218" s="111"/>
      <c r="Q218" s="111"/>
      <c r="R218" s="112"/>
      <c r="S218" s="112"/>
    </row>
    <row r="219" spans="1:19" ht="15" x14ac:dyDescent="0.25">
      <c r="A219" s="109"/>
      <c r="B219" s="109"/>
      <c r="C219" s="78"/>
      <c r="D219" s="78"/>
      <c r="E219" s="78"/>
      <c r="F219" s="78"/>
      <c r="G219" s="110"/>
      <c r="H219" s="115"/>
      <c r="I219" s="78"/>
      <c r="J219" s="78"/>
      <c r="K219" s="78"/>
      <c r="L219" s="110"/>
      <c r="M219" s="78"/>
      <c r="N219" s="78"/>
      <c r="O219" s="78"/>
      <c r="P219" s="78"/>
      <c r="Q219" s="78"/>
      <c r="R219" s="110"/>
      <c r="S219" s="110"/>
    </row>
    <row r="220" spans="1:19" ht="15" x14ac:dyDescent="0.25">
      <c r="A220" s="109"/>
      <c r="B220" s="109"/>
      <c r="C220" s="111"/>
      <c r="D220" s="111"/>
      <c r="E220" s="111"/>
      <c r="F220" s="111"/>
      <c r="G220" s="112"/>
      <c r="H220" s="114"/>
      <c r="I220" s="111"/>
      <c r="J220" s="111"/>
      <c r="K220" s="111"/>
      <c r="L220" s="112"/>
      <c r="M220" s="111"/>
      <c r="N220" s="111"/>
      <c r="O220" s="111"/>
      <c r="P220" s="111"/>
      <c r="Q220" s="111"/>
      <c r="R220" s="112"/>
      <c r="S220" s="112"/>
    </row>
    <row r="221" spans="1:19" ht="15" x14ac:dyDescent="0.25">
      <c r="A221" s="109"/>
      <c r="B221" s="109"/>
      <c r="C221" s="78"/>
      <c r="D221" s="78"/>
      <c r="E221" s="78"/>
      <c r="F221" s="78"/>
      <c r="G221" s="110"/>
      <c r="H221" s="115"/>
      <c r="I221" s="78"/>
      <c r="J221" s="78"/>
      <c r="K221" s="78"/>
      <c r="L221" s="110"/>
      <c r="M221" s="78"/>
      <c r="N221" s="78"/>
      <c r="O221" s="78"/>
      <c r="P221" s="78"/>
      <c r="Q221" s="78"/>
      <c r="R221" s="110"/>
      <c r="S221" s="110"/>
    </row>
    <row r="222" spans="1:19" ht="15" x14ac:dyDescent="0.25">
      <c r="A222" s="109"/>
      <c r="B222" s="109"/>
      <c r="C222" s="111"/>
      <c r="D222" s="111"/>
      <c r="E222" s="111"/>
      <c r="F222" s="111"/>
      <c r="G222" s="112"/>
      <c r="H222" s="114"/>
      <c r="I222" s="111"/>
      <c r="J222" s="111"/>
      <c r="K222" s="111"/>
      <c r="L222" s="112"/>
      <c r="M222" s="111"/>
      <c r="N222" s="111"/>
      <c r="O222" s="111"/>
      <c r="P222" s="111"/>
      <c r="Q222" s="111"/>
      <c r="R222" s="112"/>
      <c r="S222" s="112"/>
    </row>
    <row r="223" spans="1:19" ht="15" x14ac:dyDescent="0.25">
      <c r="A223" s="109"/>
      <c r="B223" s="109"/>
      <c r="C223" s="78"/>
      <c r="D223" s="78"/>
      <c r="E223" s="78"/>
      <c r="F223" s="78"/>
      <c r="G223" s="110"/>
      <c r="H223" s="115"/>
      <c r="I223" s="78"/>
      <c r="J223" s="78"/>
      <c r="K223" s="78"/>
      <c r="L223" s="110"/>
      <c r="M223" s="78"/>
      <c r="N223" s="78"/>
      <c r="O223" s="78"/>
      <c r="P223" s="78"/>
      <c r="Q223" s="78"/>
      <c r="R223" s="110"/>
      <c r="S223" s="110"/>
    </row>
    <row r="224" spans="1:19" ht="15" x14ac:dyDescent="0.25">
      <c r="A224" s="109"/>
      <c r="B224" s="109"/>
      <c r="C224" s="111"/>
      <c r="D224" s="111"/>
      <c r="E224" s="111"/>
      <c r="F224" s="111"/>
      <c r="G224" s="112"/>
      <c r="H224" s="114"/>
      <c r="I224" s="111"/>
      <c r="J224" s="111"/>
      <c r="K224" s="111"/>
      <c r="L224" s="112"/>
      <c r="M224" s="111"/>
      <c r="N224" s="111"/>
      <c r="O224" s="111"/>
      <c r="P224" s="111"/>
      <c r="Q224" s="111"/>
      <c r="R224" s="112"/>
      <c r="S224" s="112"/>
    </row>
    <row r="225" spans="1:19" ht="15" x14ac:dyDescent="0.25">
      <c r="A225" s="109"/>
      <c r="B225" s="109"/>
      <c r="C225" s="78"/>
      <c r="D225" s="78"/>
      <c r="E225" s="78"/>
      <c r="F225" s="78"/>
      <c r="G225" s="110"/>
      <c r="H225" s="115"/>
      <c r="I225" s="78"/>
      <c r="J225" s="78"/>
      <c r="K225" s="78"/>
      <c r="L225" s="110"/>
      <c r="M225" s="78"/>
      <c r="N225" s="78"/>
      <c r="O225" s="78"/>
      <c r="P225" s="78"/>
      <c r="Q225" s="78"/>
      <c r="R225" s="110"/>
      <c r="S225" s="110"/>
    </row>
    <row r="226" spans="1:19" ht="15" x14ac:dyDescent="0.25">
      <c r="A226" s="109"/>
      <c r="B226" s="109"/>
      <c r="C226" s="111"/>
      <c r="D226" s="111"/>
      <c r="E226" s="111"/>
      <c r="F226" s="111"/>
      <c r="G226" s="112"/>
      <c r="H226" s="114"/>
      <c r="I226" s="111"/>
      <c r="J226" s="111"/>
      <c r="K226" s="111"/>
      <c r="L226" s="112"/>
      <c r="M226" s="111"/>
      <c r="N226" s="111"/>
      <c r="O226" s="111"/>
      <c r="P226" s="111"/>
      <c r="Q226" s="111"/>
      <c r="R226" s="112"/>
      <c r="S226" s="112"/>
    </row>
    <row r="227" spans="1:19" ht="15" x14ac:dyDescent="0.25">
      <c r="A227" s="109"/>
      <c r="B227" s="109"/>
      <c r="C227" s="78"/>
      <c r="D227" s="78"/>
      <c r="E227" s="78"/>
      <c r="F227" s="78"/>
      <c r="G227" s="110"/>
      <c r="H227" s="115"/>
      <c r="I227" s="78"/>
      <c r="J227" s="78"/>
      <c r="K227" s="78"/>
      <c r="L227" s="110"/>
      <c r="M227" s="78"/>
      <c r="N227" s="78"/>
      <c r="O227" s="78"/>
      <c r="P227" s="78"/>
      <c r="Q227" s="78"/>
      <c r="R227" s="110"/>
      <c r="S227" s="110"/>
    </row>
    <row r="228" spans="1:19" ht="15" x14ac:dyDescent="0.25">
      <c r="A228" s="109"/>
      <c r="B228" s="109"/>
      <c r="C228" s="111"/>
      <c r="D228" s="111"/>
      <c r="E228" s="111"/>
      <c r="F228" s="111"/>
      <c r="G228" s="112"/>
      <c r="H228" s="114"/>
      <c r="I228" s="111"/>
      <c r="J228" s="111"/>
      <c r="K228" s="111"/>
      <c r="L228" s="112"/>
      <c r="M228" s="111"/>
      <c r="N228" s="111"/>
      <c r="O228" s="111"/>
      <c r="P228" s="111"/>
      <c r="Q228" s="111"/>
      <c r="R228" s="112"/>
      <c r="S228" s="112"/>
    </row>
    <row r="229" spans="1:19" ht="15" x14ac:dyDescent="0.25">
      <c r="A229" s="109"/>
      <c r="B229" s="109"/>
      <c r="C229" s="78"/>
      <c r="D229" s="78"/>
      <c r="E229" s="78"/>
      <c r="F229" s="78"/>
      <c r="G229" s="110"/>
      <c r="H229" s="115"/>
      <c r="I229" s="78"/>
      <c r="J229" s="78"/>
      <c r="K229" s="78"/>
      <c r="L229" s="110"/>
      <c r="M229" s="78"/>
      <c r="N229" s="78"/>
      <c r="O229" s="78"/>
      <c r="P229" s="78"/>
      <c r="Q229" s="78"/>
      <c r="R229" s="110"/>
      <c r="S229" s="110"/>
    </row>
    <row r="230" spans="1:19" ht="15" x14ac:dyDescent="0.25">
      <c r="A230" s="109"/>
      <c r="B230" s="109"/>
      <c r="C230" s="111"/>
      <c r="D230" s="111"/>
      <c r="E230" s="111"/>
      <c r="F230" s="111"/>
      <c r="G230" s="112"/>
      <c r="H230" s="114"/>
      <c r="I230" s="111"/>
      <c r="J230" s="111"/>
      <c r="K230" s="111"/>
      <c r="L230" s="112"/>
      <c r="M230" s="111"/>
      <c r="N230" s="111"/>
      <c r="O230" s="111"/>
      <c r="P230" s="111"/>
      <c r="Q230" s="111"/>
      <c r="R230" s="112"/>
      <c r="S230" s="112"/>
    </row>
    <row r="231" spans="1:19" ht="15" x14ac:dyDescent="0.25">
      <c r="A231" s="109"/>
      <c r="B231" s="109"/>
      <c r="C231" s="78"/>
      <c r="D231" s="78"/>
      <c r="E231" s="78"/>
      <c r="F231" s="78"/>
      <c r="G231" s="110"/>
      <c r="H231" s="115"/>
      <c r="I231" s="78"/>
      <c r="J231" s="78"/>
      <c r="K231" s="78"/>
      <c r="L231" s="110"/>
      <c r="M231" s="78"/>
      <c r="N231" s="78"/>
      <c r="O231" s="78"/>
      <c r="P231" s="78"/>
      <c r="Q231" s="78"/>
      <c r="R231" s="110"/>
      <c r="S231" s="110"/>
    </row>
    <row r="232" spans="1:19" ht="15" x14ac:dyDescent="0.25">
      <c r="A232" s="109"/>
      <c r="B232" s="109"/>
      <c r="C232" s="111"/>
      <c r="D232" s="111"/>
      <c r="E232" s="111"/>
      <c r="F232" s="111"/>
      <c r="G232" s="112"/>
      <c r="H232" s="114"/>
      <c r="I232" s="111"/>
      <c r="J232" s="111"/>
      <c r="K232" s="111"/>
      <c r="L232" s="112"/>
      <c r="M232" s="111"/>
      <c r="N232" s="111"/>
      <c r="O232" s="111"/>
      <c r="P232" s="111"/>
      <c r="Q232" s="111"/>
      <c r="R232" s="112"/>
      <c r="S232" s="112"/>
    </row>
    <row r="233" spans="1:19" ht="15" x14ac:dyDescent="0.25">
      <c r="A233" s="109"/>
      <c r="B233" s="109"/>
      <c r="C233" s="78"/>
      <c r="D233" s="78"/>
      <c r="E233" s="78"/>
      <c r="F233" s="78"/>
      <c r="G233" s="110"/>
      <c r="H233" s="115"/>
      <c r="I233" s="78"/>
      <c r="J233" s="78"/>
      <c r="K233" s="78"/>
      <c r="L233" s="110"/>
      <c r="M233" s="78"/>
      <c r="N233" s="78"/>
      <c r="O233" s="78"/>
      <c r="P233" s="78"/>
      <c r="Q233" s="78"/>
      <c r="R233" s="110"/>
      <c r="S233" s="110"/>
    </row>
    <row r="234" spans="1:19" ht="15" x14ac:dyDescent="0.25">
      <c r="A234" s="109"/>
      <c r="B234" s="109"/>
      <c r="C234" s="111"/>
      <c r="D234" s="111"/>
      <c r="E234" s="111"/>
      <c r="F234" s="111"/>
      <c r="G234" s="112"/>
      <c r="H234" s="114"/>
      <c r="I234" s="111"/>
      <c r="J234" s="111"/>
      <c r="K234" s="111"/>
      <c r="L234" s="112"/>
      <c r="M234" s="111"/>
      <c r="N234" s="111"/>
      <c r="O234" s="111"/>
      <c r="P234" s="111"/>
      <c r="Q234" s="111"/>
      <c r="R234" s="112"/>
      <c r="S234" s="112"/>
    </row>
    <row r="235" spans="1:19" ht="15" x14ac:dyDescent="0.25">
      <c r="A235" s="109"/>
      <c r="B235" s="109"/>
      <c r="C235" s="78"/>
      <c r="D235" s="78"/>
      <c r="E235" s="78"/>
      <c r="F235" s="78"/>
      <c r="G235" s="110"/>
      <c r="H235" s="115"/>
      <c r="I235" s="78"/>
      <c r="J235" s="78"/>
      <c r="K235" s="78"/>
      <c r="L235" s="110"/>
      <c r="M235" s="78"/>
      <c r="N235" s="78"/>
      <c r="O235" s="78"/>
      <c r="P235" s="78"/>
      <c r="Q235" s="78"/>
      <c r="R235" s="110"/>
      <c r="S235" s="110"/>
    </row>
    <row r="236" spans="1:19" ht="15" x14ac:dyDescent="0.25">
      <c r="A236" s="109"/>
      <c r="B236" s="109"/>
      <c r="C236" s="111"/>
      <c r="D236" s="111"/>
      <c r="E236" s="111"/>
      <c r="F236" s="111"/>
      <c r="G236" s="112"/>
      <c r="H236" s="114"/>
      <c r="I236" s="111"/>
      <c r="J236" s="111"/>
      <c r="K236" s="111"/>
      <c r="L236" s="112"/>
      <c r="M236" s="111"/>
      <c r="N236" s="111"/>
      <c r="O236" s="111"/>
      <c r="P236" s="111"/>
      <c r="Q236" s="111"/>
      <c r="R236" s="112"/>
      <c r="S236" s="112"/>
    </row>
    <row r="237" spans="1:19" ht="15" x14ac:dyDescent="0.25">
      <c r="A237" s="109"/>
      <c r="B237" s="109"/>
      <c r="C237" s="78"/>
      <c r="D237" s="78"/>
      <c r="E237" s="78"/>
      <c r="F237" s="78"/>
      <c r="G237" s="110"/>
      <c r="H237" s="115"/>
      <c r="I237" s="78"/>
      <c r="J237" s="78"/>
      <c r="K237" s="78"/>
      <c r="L237" s="110"/>
      <c r="M237" s="78"/>
      <c r="N237" s="78"/>
      <c r="O237" s="78"/>
      <c r="P237" s="78"/>
      <c r="Q237" s="78"/>
      <c r="R237" s="110"/>
      <c r="S237" s="110"/>
    </row>
    <row r="238" spans="1:19" ht="15" x14ac:dyDescent="0.25">
      <c r="A238" s="109"/>
      <c r="B238" s="109"/>
      <c r="C238" s="111"/>
      <c r="D238" s="111"/>
      <c r="E238" s="111"/>
      <c r="F238" s="111"/>
      <c r="G238" s="112"/>
      <c r="H238" s="114"/>
      <c r="I238" s="111"/>
      <c r="J238" s="111"/>
      <c r="K238" s="111"/>
      <c r="L238" s="112"/>
      <c r="M238" s="111"/>
      <c r="N238" s="111"/>
      <c r="O238" s="111"/>
      <c r="P238" s="111"/>
      <c r="Q238" s="111"/>
      <c r="R238" s="112"/>
      <c r="S238" s="112"/>
    </row>
    <row r="239" spans="1:19" ht="15" x14ac:dyDescent="0.25">
      <c r="A239" s="109"/>
      <c r="B239" s="109"/>
      <c r="C239" s="78"/>
      <c r="D239" s="78"/>
      <c r="E239" s="78"/>
      <c r="F239" s="78"/>
      <c r="G239" s="110"/>
      <c r="H239" s="115"/>
      <c r="I239" s="78"/>
      <c r="J239" s="78"/>
      <c r="K239" s="78"/>
      <c r="L239" s="110"/>
      <c r="M239" s="78"/>
      <c r="N239" s="78"/>
      <c r="O239" s="78"/>
      <c r="P239" s="78"/>
      <c r="Q239" s="78"/>
      <c r="R239" s="110"/>
      <c r="S239" s="110"/>
    </row>
    <row r="240" spans="1:19" ht="15" x14ac:dyDescent="0.25">
      <c r="A240" s="109"/>
      <c r="B240" s="109"/>
      <c r="C240" s="111"/>
      <c r="D240" s="111"/>
      <c r="E240" s="111"/>
      <c r="F240" s="111"/>
      <c r="G240" s="112"/>
      <c r="H240" s="114"/>
      <c r="I240" s="111"/>
      <c r="J240" s="111"/>
      <c r="K240" s="111"/>
      <c r="L240" s="112"/>
      <c r="M240" s="111"/>
      <c r="N240" s="111"/>
      <c r="O240" s="111"/>
      <c r="P240" s="111"/>
      <c r="Q240" s="111"/>
      <c r="R240" s="112"/>
      <c r="S240" s="112"/>
    </row>
    <row r="241" spans="1:19" ht="15" x14ac:dyDescent="0.25">
      <c r="A241" s="109"/>
      <c r="B241" s="109"/>
      <c r="C241" s="78"/>
      <c r="D241" s="78"/>
      <c r="E241" s="78"/>
      <c r="F241" s="78"/>
      <c r="G241" s="110"/>
      <c r="H241" s="115"/>
      <c r="I241" s="78"/>
      <c r="J241" s="78"/>
      <c r="K241" s="78"/>
      <c r="L241" s="110"/>
      <c r="M241" s="78"/>
      <c r="N241" s="78"/>
      <c r="O241" s="78"/>
      <c r="P241" s="78"/>
      <c r="Q241" s="78"/>
      <c r="R241" s="110"/>
      <c r="S241" s="110"/>
    </row>
    <row r="242" spans="1:19" ht="15" x14ac:dyDescent="0.25">
      <c r="A242" s="109"/>
      <c r="B242" s="109"/>
      <c r="C242" s="111"/>
      <c r="D242" s="111"/>
      <c r="E242" s="111"/>
      <c r="F242" s="111"/>
      <c r="G242" s="112"/>
      <c r="H242" s="114"/>
      <c r="I242" s="111"/>
      <c r="J242" s="111"/>
      <c r="K242" s="111"/>
      <c r="L242" s="112"/>
      <c r="M242" s="111"/>
      <c r="N242" s="111"/>
      <c r="O242" s="111"/>
      <c r="P242" s="111"/>
      <c r="Q242" s="111"/>
      <c r="R242" s="112"/>
      <c r="S242" s="112"/>
    </row>
    <row r="243" spans="1:19" ht="15" x14ac:dyDescent="0.25">
      <c r="A243" s="109"/>
      <c r="B243" s="109"/>
      <c r="C243" s="78"/>
      <c r="D243" s="78"/>
      <c r="E243" s="78"/>
      <c r="F243" s="78"/>
      <c r="G243" s="110"/>
      <c r="H243" s="115"/>
      <c r="I243" s="78"/>
      <c r="J243" s="78"/>
      <c r="K243" s="78"/>
      <c r="L243" s="110"/>
      <c r="M243" s="78"/>
      <c r="N243" s="78"/>
      <c r="O243" s="78"/>
      <c r="P243" s="78"/>
      <c r="Q243" s="78"/>
      <c r="R243" s="110"/>
      <c r="S243" s="110"/>
    </row>
    <row r="244" spans="1:19" ht="15" x14ac:dyDescent="0.25">
      <c r="A244" s="109"/>
      <c r="B244" s="109"/>
      <c r="C244" s="111"/>
      <c r="D244" s="111"/>
      <c r="E244" s="111"/>
      <c r="F244" s="111"/>
      <c r="G244" s="112"/>
      <c r="H244" s="114"/>
      <c r="I244" s="111"/>
      <c r="J244" s="111"/>
      <c r="K244" s="111"/>
      <c r="L244" s="112"/>
      <c r="M244" s="111"/>
      <c r="N244" s="111"/>
      <c r="O244" s="111"/>
      <c r="P244" s="111"/>
      <c r="Q244" s="111"/>
      <c r="R244" s="112"/>
      <c r="S244" s="112"/>
    </row>
    <row r="245" spans="1:19" ht="15" x14ac:dyDescent="0.25">
      <c r="A245" s="109"/>
      <c r="B245" s="109"/>
      <c r="C245" s="78"/>
      <c r="D245" s="78"/>
      <c r="E245" s="78"/>
      <c r="F245" s="78"/>
      <c r="G245" s="110"/>
      <c r="H245" s="115"/>
      <c r="I245" s="78"/>
      <c r="J245" s="78"/>
      <c r="K245" s="78"/>
      <c r="L245" s="110"/>
      <c r="M245" s="78"/>
      <c r="N245" s="78"/>
      <c r="O245" s="78"/>
      <c r="P245" s="78"/>
      <c r="Q245" s="78"/>
      <c r="R245" s="110"/>
      <c r="S245" s="110"/>
    </row>
    <row r="246" spans="1:19" ht="15" x14ac:dyDescent="0.25">
      <c r="A246" s="109"/>
      <c r="B246" s="109"/>
      <c r="C246" s="111"/>
      <c r="D246" s="111"/>
      <c r="E246" s="111"/>
      <c r="F246" s="111"/>
      <c r="G246" s="112"/>
      <c r="H246" s="114"/>
      <c r="I246" s="111"/>
      <c r="J246" s="111"/>
      <c r="K246" s="111"/>
      <c r="L246" s="112"/>
      <c r="M246" s="111"/>
      <c r="N246" s="111"/>
      <c r="O246" s="111"/>
      <c r="P246" s="111"/>
      <c r="Q246" s="111"/>
      <c r="R246" s="112"/>
      <c r="S246" s="112"/>
    </row>
    <row r="247" spans="1:19" ht="15" x14ac:dyDescent="0.25">
      <c r="A247" s="109"/>
      <c r="B247" s="109"/>
      <c r="C247" s="78"/>
      <c r="D247" s="78"/>
      <c r="E247" s="78"/>
      <c r="F247" s="78"/>
      <c r="G247" s="110"/>
      <c r="H247" s="115"/>
      <c r="I247" s="78"/>
      <c r="J247" s="78"/>
      <c r="K247" s="78"/>
      <c r="L247" s="110"/>
      <c r="M247" s="78"/>
      <c r="N247" s="78"/>
      <c r="O247" s="78"/>
      <c r="P247" s="78"/>
      <c r="Q247" s="78"/>
      <c r="R247" s="110"/>
      <c r="S247" s="110"/>
    </row>
    <row r="248" spans="1:19" ht="15" x14ac:dyDescent="0.25">
      <c r="A248" s="109"/>
      <c r="B248" s="109"/>
      <c r="C248" s="111"/>
      <c r="D248" s="111"/>
      <c r="E248" s="111"/>
      <c r="F248" s="111"/>
      <c r="G248" s="112"/>
      <c r="H248" s="114"/>
      <c r="I248" s="111"/>
      <c r="J248" s="111"/>
      <c r="K248" s="111"/>
      <c r="L248" s="112"/>
      <c r="M248" s="111"/>
      <c r="N248" s="111"/>
      <c r="O248" s="111"/>
      <c r="P248" s="111"/>
      <c r="Q248" s="111"/>
      <c r="R248" s="112"/>
      <c r="S248" s="112"/>
    </row>
    <row r="249" spans="1:19" ht="15" x14ac:dyDescent="0.25">
      <c r="A249" s="109"/>
      <c r="B249" s="109"/>
      <c r="C249" s="78"/>
      <c r="D249" s="78"/>
      <c r="E249" s="78"/>
      <c r="F249" s="78"/>
      <c r="G249" s="110"/>
      <c r="H249" s="115"/>
      <c r="I249" s="78"/>
      <c r="J249" s="78"/>
      <c r="K249" s="78"/>
      <c r="L249" s="110"/>
      <c r="M249" s="78"/>
      <c r="N249" s="78"/>
      <c r="O249" s="78"/>
      <c r="P249" s="78"/>
      <c r="Q249" s="78"/>
      <c r="R249" s="110"/>
      <c r="S249" s="110"/>
    </row>
    <row r="250" spans="1:19" ht="15" x14ac:dyDescent="0.25">
      <c r="A250" s="109"/>
      <c r="B250" s="109"/>
      <c r="C250" s="111"/>
      <c r="D250" s="111"/>
      <c r="E250" s="111"/>
      <c r="F250" s="111"/>
      <c r="G250" s="112"/>
      <c r="H250" s="114"/>
      <c r="I250" s="111"/>
      <c r="J250" s="111"/>
      <c r="K250" s="111"/>
      <c r="L250" s="112"/>
      <c r="M250" s="111"/>
      <c r="N250" s="111"/>
      <c r="O250" s="111"/>
      <c r="P250" s="111"/>
      <c r="Q250" s="111"/>
      <c r="R250" s="112"/>
      <c r="S250" s="112"/>
    </row>
    <row r="251" spans="1:19" ht="15" x14ac:dyDescent="0.25">
      <c r="A251" s="109"/>
      <c r="B251" s="109"/>
      <c r="C251" s="78"/>
      <c r="D251" s="78"/>
      <c r="E251" s="78"/>
      <c r="F251" s="78"/>
      <c r="G251" s="110"/>
      <c r="H251" s="115"/>
      <c r="I251" s="78"/>
      <c r="J251" s="78"/>
      <c r="K251" s="78"/>
      <c r="L251" s="110"/>
      <c r="M251" s="78"/>
      <c r="N251" s="78"/>
      <c r="O251" s="78"/>
      <c r="P251" s="78"/>
      <c r="Q251" s="78"/>
      <c r="R251" s="110"/>
      <c r="S251" s="110"/>
    </row>
    <row r="252" spans="1:19" ht="15" x14ac:dyDescent="0.25">
      <c r="A252" s="109"/>
      <c r="B252" s="109"/>
      <c r="C252" s="111"/>
      <c r="D252" s="111"/>
      <c r="E252" s="111"/>
      <c r="F252" s="111"/>
      <c r="G252" s="112"/>
      <c r="H252" s="114"/>
      <c r="I252" s="111"/>
      <c r="J252" s="111"/>
      <c r="K252" s="111"/>
      <c r="L252" s="112"/>
      <c r="M252" s="111"/>
      <c r="N252" s="111"/>
      <c r="O252" s="111"/>
      <c r="P252" s="111"/>
      <c r="Q252" s="111"/>
      <c r="R252" s="112"/>
      <c r="S252" s="112"/>
    </row>
    <row r="253" spans="1:19" ht="15" x14ac:dyDescent="0.25">
      <c r="A253" s="109"/>
      <c r="B253" s="109"/>
      <c r="C253" s="78"/>
      <c r="D253" s="78"/>
      <c r="E253" s="78"/>
      <c r="F253" s="78"/>
      <c r="G253" s="110"/>
      <c r="H253" s="115"/>
      <c r="I253" s="78"/>
      <c r="J253" s="78"/>
      <c r="K253" s="78"/>
      <c r="L253" s="110"/>
      <c r="M253" s="78"/>
      <c r="N253" s="78"/>
      <c r="O253" s="78"/>
      <c r="P253" s="78"/>
      <c r="Q253" s="78"/>
      <c r="R253" s="110"/>
      <c r="S253" s="110"/>
    </row>
    <row r="254" spans="1:19" ht="15" x14ac:dyDescent="0.25">
      <c r="A254" s="109"/>
      <c r="B254" s="109"/>
      <c r="C254" s="111"/>
      <c r="D254" s="111"/>
      <c r="E254" s="111"/>
      <c r="F254" s="111"/>
      <c r="G254" s="112"/>
      <c r="H254" s="114"/>
      <c r="I254" s="111"/>
      <c r="J254" s="111"/>
      <c r="K254" s="111"/>
      <c r="L254" s="112"/>
      <c r="M254" s="111"/>
      <c r="N254" s="111"/>
      <c r="O254" s="111"/>
      <c r="P254" s="111"/>
      <c r="Q254" s="111"/>
      <c r="R254" s="112"/>
      <c r="S254" s="112"/>
    </row>
    <row r="255" spans="1:19" ht="15" x14ac:dyDescent="0.25">
      <c r="A255" s="109"/>
      <c r="B255" s="109"/>
      <c r="C255" s="78"/>
      <c r="D255" s="78"/>
      <c r="E255" s="78"/>
      <c r="F255" s="78"/>
      <c r="G255" s="110"/>
      <c r="H255" s="115"/>
      <c r="I255" s="78"/>
      <c r="J255" s="78"/>
      <c r="K255" s="78"/>
      <c r="L255" s="110"/>
      <c r="M255" s="78"/>
      <c r="N255" s="78"/>
      <c r="O255" s="78"/>
      <c r="P255" s="78"/>
      <c r="Q255" s="78"/>
      <c r="R255" s="110"/>
      <c r="S255" s="110"/>
    </row>
    <row r="256" spans="1:19" ht="15" x14ac:dyDescent="0.25">
      <c r="A256" s="109"/>
      <c r="B256" s="109"/>
      <c r="C256" s="111"/>
      <c r="D256" s="111"/>
      <c r="E256" s="111"/>
      <c r="F256" s="111"/>
      <c r="G256" s="112"/>
      <c r="H256" s="114"/>
      <c r="I256" s="111"/>
      <c r="J256" s="111"/>
      <c r="K256" s="111"/>
      <c r="L256" s="112"/>
      <c r="M256" s="111"/>
      <c r="N256" s="111"/>
      <c r="O256" s="111"/>
      <c r="P256" s="111"/>
      <c r="Q256" s="111"/>
      <c r="R256" s="112"/>
      <c r="S256" s="112"/>
    </row>
    <row r="257" spans="1:19" ht="15" x14ac:dyDescent="0.25">
      <c r="A257" s="109"/>
      <c r="B257" s="109"/>
      <c r="C257" s="78"/>
      <c r="D257" s="78"/>
      <c r="E257" s="78"/>
      <c r="F257" s="78"/>
      <c r="G257" s="110"/>
      <c r="H257" s="115"/>
      <c r="I257" s="78"/>
      <c r="J257" s="78"/>
      <c r="K257" s="78"/>
      <c r="L257" s="110"/>
      <c r="M257" s="78"/>
      <c r="N257" s="78"/>
      <c r="O257" s="78"/>
      <c r="P257" s="78"/>
      <c r="Q257" s="78"/>
      <c r="R257" s="110"/>
      <c r="S257" s="110"/>
    </row>
    <row r="258" spans="1:19" ht="15" x14ac:dyDescent="0.25">
      <c r="A258" s="109"/>
      <c r="B258" s="109"/>
      <c r="C258" s="111"/>
      <c r="D258" s="111"/>
      <c r="E258" s="111"/>
      <c r="F258" s="111"/>
      <c r="G258" s="112"/>
      <c r="H258" s="114"/>
      <c r="I258" s="111"/>
      <c r="J258" s="111"/>
      <c r="K258" s="111"/>
      <c r="L258" s="112"/>
      <c r="M258" s="111"/>
      <c r="N258" s="111"/>
      <c r="O258" s="111"/>
      <c r="P258" s="111"/>
      <c r="Q258" s="111"/>
      <c r="R258" s="112"/>
      <c r="S258" s="112"/>
    </row>
    <row r="259" spans="1:19" ht="15" x14ac:dyDescent="0.25">
      <c r="A259" s="109"/>
      <c r="B259" s="109"/>
      <c r="C259" s="78"/>
      <c r="D259" s="78"/>
      <c r="E259" s="78"/>
      <c r="F259" s="78"/>
      <c r="G259" s="110"/>
      <c r="H259" s="115"/>
      <c r="I259" s="78"/>
      <c r="J259" s="78"/>
      <c r="K259" s="78"/>
      <c r="L259" s="110"/>
      <c r="M259" s="78"/>
      <c r="N259" s="78"/>
      <c r="O259" s="78"/>
      <c r="P259" s="78"/>
      <c r="Q259" s="78"/>
      <c r="R259" s="110"/>
      <c r="S259" s="110"/>
    </row>
    <row r="260" spans="1:19" ht="15" x14ac:dyDescent="0.25">
      <c r="A260" s="109"/>
      <c r="B260" s="109"/>
      <c r="C260" s="111"/>
      <c r="D260" s="111"/>
      <c r="E260" s="111"/>
      <c r="F260" s="111"/>
      <c r="G260" s="112"/>
      <c r="H260" s="114"/>
      <c r="I260" s="111"/>
      <c r="J260" s="111"/>
      <c r="K260" s="111"/>
      <c r="L260" s="112"/>
      <c r="M260" s="111"/>
      <c r="N260" s="111"/>
      <c r="O260" s="111"/>
      <c r="P260" s="111"/>
      <c r="Q260" s="111"/>
      <c r="R260" s="112"/>
      <c r="S260" s="112"/>
    </row>
    <row r="261" spans="1:19" ht="15" x14ac:dyDescent="0.25">
      <c r="A261" s="109"/>
      <c r="B261" s="109"/>
      <c r="C261" s="78"/>
      <c r="D261" s="78"/>
      <c r="E261" s="78"/>
      <c r="F261" s="78"/>
      <c r="G261" s="110"/>
      <c r="H261" s="115"/>
      <c r="I261" s="78"/>
      <c r="J261" s="78"/>
      <c r="K261" s="78"/>
      <c r="L261" s="110"/>
      <c r="M261" s="78"/>
      <c r="N261" s="78"/>
      <c r="O261" s="78"/>
      <c r="P261" s="78"/>
      <c r="Q261" s="78"/>
      <c r="R261" s="110"/>
      <c r="S261" s="110"/>
    </row>
    <row r="262" spans="1:19" ht="15" x14ac:dyDescent="0.25">
      <c r="A262" s="109"/>
      <c r="B262" s="109"/>
      <c r="C262" s="111"/>
      <c r="D262" s="111"/>
      <c r="E262" s="111"/>
      <c r="F262" s="111"/>
      <c r="G262" s="112"/>
      <c r="H262" s="114"/>
      <c r="I262" s="111"/>
      <c r="J262" s="111"/>
      <c r="K262" s="111"/>
      <c r="L262" s="112"/>
      <c r="M262" s="111"/>
      <c r="N262" s="111"/>
      <c r="O262" s="111"/>
      <c r="P262" s="111"/>
      <c r="Q262" s="111"/>
      <c r="R262" s="112"/>
      <c r="S262" s="112"/>
    </row>
    <row r="263" spans="1:19" ht="15" x14ac:dyDescent="0.25">
      <c r="A263" s="109"/>
      <c r="B263" s="109"/>
      <c r="C263" s="78"/>
      <c r="D263" s="78"/>
      <c r="E263" s="78"/>
      <c r="F263" s="78"/>
      <c r="G263" s="110"/>
      <c r="H263" s="115"/>
      <c r="I263" s="78"/>
      <c r="J263" s="78"/>
      <c r="K263" s="78"/>
      <c r="L263" s="110"/>
      <c r="M263" s="78"/>
      <c r="N263" s="78"/>
      <c r="O263" s="78"/>
      <c r="P263" s="78"/>
      <c r="Q263" s="78"/>
      <c r="R263" s="110"/>
      <c r="S263" s="110"/>
    </row>
    <row r="264" spans="1:19" ht="15" x14ac:dyDescent="0.25">
      <c r="A264" s="109"/>
      <c r="B264" s="109"/>
      <c r="C264" s="111"/>
      <c r="D264" s="111"/>
      <c r="E264" s="111"/>
      <c r="F264" s="111"/>
      <c r="G264" s="112"/>
      <c r="H264" s="114"/>
      <c r="I264" s="111"/>
      <c r="J264" s="111"/>
      <c r="K264" s="111"/>
      <c r="L264" s="112"/>
      <c r="M264" s="111"/>
      <c r="N264" s="111"/>
      <c r="O264" s="111"/>
      <c r="P264" s="111"/>
      <c r="Q264" s="111"/>
      <c r="R264" s="112"/>
      <c r="S264" s="112"/>
    </row>
    <row r="265" spans="1:19" ht="15" x14ac:dyDescent="0.25">
      <c r="A265" s="109"/>
      <c r="B265" s="109"/>
      <c r="C265" s="78"/>
      <c r="D265" s="78"/>
      <c r="E265" s="78"/>
      <c r="F265" s="78"/>
      <c r="G265" s="110"/>
      <c r="H265" s="115"/>
      <c r="I265" s="78"/>
      <c r="J265" s="78"/>
      <c r="K265" s="78"/>
      <c r="L265" s="110"/>
      <c r="M265" s="78"/>
      <c r="N265" s="78"/>
      <c r="O265" s="78"/>
      <c r="P265" s="78"/>
      <c r="Q265" s="78"/>
      <c r="R265" s="110"/>
      <c r="S265" s="110"/>
    </row>
    <row r="266" spans="1:19" ht="15" x14ac:dyDescent="0.25">
      <c r="A266" s="109"/>
      <c r="B266" s="109"/>
      <c r="C266" s="111"/>
      <c r="D266" s="111"/>
      <c r="E266" s="111"/>
      <c r="F266" s="111"/>
      <c r="G266" s="112"/>
      <c r="H266" s="114"/>
      <c r="I266" s="111"/>
      <c r="J266" s="111"/>
      <c r="K266" s="111"/>
      <c r="L266" s="112"/>
      <c r="M266" s="111"/>
      <c r="N266" s="111"/>
      <c r="O266" s="111"/>
      <c r="P266" s="111"/>
      <c r="Q266" s="111"/>
      <c r="R266" s="112"/>
      <c r="S266" s="112"/>
    </row>
    <row r="267" spans="1:19" ht="15" x14ac:dyDescent="0.25">
      <c r="A267" s="109"/>
      <c r="B267" s="109"/>
      <c r="C267" s="78"/>
      <c r="D267" s="78"/>
      <c r="E267" s="78"/>
      <c r="F267" s="78"/>
      <c r="G267" s="110"/>
      <c r="H267" s="115"/>
      <c r="I267" s="78"/>
      <c r="J267" s="78"/>
      <c r="K267" s="78"/>
      <c r="L267" s="110"/>
      <c r="M267" s="78"/>
      <c r="N267" s="78"/>
      <c r="O267" s="78"/>
      <c r="P267" s="78"/>
      <c r="Q267" s="78"/>
      <c r="R267" s="110"/>
      <c r="S267" s="110"/>
    </row>
    <row r="268" spans="1:19" ht="15" x14ac:dyDescent="0.25">
      <c r="A268" s="109"/>
      <c r="B268" s="109"/>
      <c r="C268" s="111"/>
      <c r="D268" s="111"/>
      <c r="E268" s="111"/>
      <c r="F268" s="111"/>
      <c r="G268" s="112"/>
      <c r="H268" s="114"/>
      <c r="I268" s="111"/>
      <c r="J268" s="111"/>
      <c r="K268" s="111"/>
      <c r="L268" s="112"/>
      <c r="M268" s="111"/>
      <c r="N268" s="111"/>
      <c r="O268" s="111"/>
      <c r="P268" s="111"/>
      <c r="Q268" s="111"/>
      <c r="R268" s="112"/>
      <c r="S268" s="112"/>
    </row>
    <row r="269" spans="1:19" ht="15" x14ac:dyDescent="0.25">
      <c r="A269" s="109"/>
      <c r="B269" s="109"/>
      <c r="C269" s="78"/>
      <c r="D269" s="78"/>
      <c r="E269" s="78"/>
      <c r="F269" s="78"/>
      <c r="G269" s="110"/>
      <c r="H269" s="115"/>
      <c r="I269" s="78"/>
      <c r="J269" s="78"/>
      <c r="K269" s="78"/>
      <c r="L269" s="110"/>
      <c r="M269" s="78"/>
      <c r="N269" s="78"/>
      <c r="O269" s="78"/>
      <c r="P269" s="78"/>
      <c r="Q269" s="78"/>
      <c r="R269" s="110"/>
      <c r="S269" s="110"/>
    </row>
    <row r="270" spans="1:19" ht="15" x14ac:dyDescent="0.25">
      <c r="A270" s="109"/>
      <c r="B270" s="109"/>
      <c r="C270" s="111"/>
      <c r="D270" s="111"/>
      <c r="E270" s="111"/>
      <c r="F270" s="111"/>
      <c r="G270" s="112"/>
      <c r="H270" s="114"/>
      <c r="I270" s="111"/>
      <c r="J270" s="111"/>
      <c r="K270" s="111"/>
      <c r="L270" s="112"/>
      <c r="M270" s="111"/>
      <c r="N270" s="111"/>
      <c r="O270" s="111"/>
      <c r="P270" s="111"/>
      <c r="Q270" s="111"/>
      <c r="R270" s="112"/>
      <c r="S270" s="112"/>
    </row>
    <row r="271" spans="1:19" ht="15" x14ac:dyDescent="0.25">
      <c r="A271" s="109"/>
      <c r="B271" s="109"/>
      <c r="C271" s="78"/>
      <c r="D271" s="78"/>
      <c r="E271" s="78"/>
      <c r="F271" s="78"/>
      <c r="G271" s="110"/>
      <c r="H271" s="115"/>
      <c r="I271" s="78"/>
      <c r="J271" s="78"/>
      <c r="K271" s="78"/>
      <c r="L271" s="110"/>
      <c r="M271" s="78"/>
      <c r="N271" s="78"/>
      <c r="O271" s="78"/>
      <c r="P271" s="78"/>
      <c r="Q271" s="78"/>
      <c r="R271" s="110"/>
      <c r="S271" s="110"/>
    </row>
    <row r="272" spans="1:19" ht="15" x14ac:dyDescent="0.25">
      <c r="A272" s="109"/>
      <c r="B272" s="109"/>
      <c r="C272" s="111"/>
      <c r="D272" s="111"/>
      <c r="E272" s="111"/>
      <c r="F272" s="111"/>
      <c r="G272" s="112"/>
      <c r="H272" s="114"/>
      <c r="I272" s="111"/>
      <c r="J272" s="111"/>
      <c r="K272" s="111"/>
      <c r="L272" s="112"/>
      <c r="M272" s="111"/>
      <c r="N272" s="111"/>
      <c r="O272" s="111"/>
      <c r="P272" s="111"/>
      <c r="Q272" s="111"/>
      <c r="R272" s="112"/>
      <c r="S272" s="112"/>
    </row>
    <row r="273" spans="1:19" ht="15" x14ac:dyDescent="0.25">
      <c r="A273" s="109"/>
      <c r="B273" s="109"/>
      <c r="C273" s="78"/>
      <c r="D273" s="78"/>
      <c r="E273" s="78"/>
      <c r="F273" s="78"/>
      <c r="G273" s="110"/>
      <c r="H273" s="115"/>
      <c r="I273" s="78"/>
      <c r="J273" s="78"/>
      <c r="K273" s="78"/>
      <c r="L273" s="110"/>
      <c r="M273" s="78"/>
      <c r="N273" s="78"/>
      <c r="O273" s="78"/>
      <c r="P273" s="78"/>
      <c r="Q273" s="78"/>
      <c r="R273" s="110"/>
      <c r="S273" s="110"/>
    </row>
    <row r="274" spans="1:19" ht="15" x14ac:dyDescent="0.25">
      <c r="A274" s="109"/>
      <c r="B274" s="109"/>
      <c r="C274" s="111"/>
      <c r="D274" s="111"/>
      <c r="E274" s="111"/>
      <c r="F274" s="111"/>
      <c r="G274" s="112"/>
      <c r="H274" s="114"/>
      <c r="I274" s="111"/>
      <c r="J274" s="111"/>
      <c r="K274" s="111"/>
      <c r="L274" s="112"/>
      <c r="M274" s="111"/>
      <c r="N274" s="111"/>
      <c r="O274" s="111"/>
      <c r="P274" s="111"/>
      <c r="Q274" s="111"/>
      <c r="R274" s="112"/>
      <c r="S274" s="112"/>
    </row>
    <row r="275" spans="1:19" ht="15" x14ac:dyDescent="0.25">
      <c r="A275" s="109"/>
      <c r="B275" s="109"/>
      <c r="C275" s="78"/>
      <c r="D275" s="78"/>
      <c r="E275" s="78"/>
      <c r="F275" s="78"/>
      <c r="G275" s="110"/>
      <c r="H275" s="115"/>
      <c r="I275" s="78"/>
      <c r="J275" s="78"/>
      <c r="K275" s="78"/>
      <c r="L275" s="110"/>
      <c r="M275" s="78"/>
      <c r="N275" s="78"/>
      <c r="O275" s="78"/>
      <c r="P275" s="78"/>
      <c r="Q275" s="78"/>
      <c r="R275" s="110"/>
      <c r="S275" s="110"/>
    </row>
    <row r="276" spans="1:19" ht="15" x14ac:dyDescent="0.25">
      <c r="A276" s="109"/>
      <c r="B276" s="109"/>
      <c r="C276" s="111"/>
      <c r="D276" s="111"/>
      <c r="E276" s="111"/>
      <c r="F276" s="111"/>
      <c r="G276" s="112"/>
      <c r="H276" s="114"/>
      <c r="I276" s="111"/>
      <c r="J276" s="111"/>
      <c r="K276" s="111"/>
      <c r="L276" s="112"/>
      <c r="M276" s="111"/>
      <c r="N276" s="111"/>
      <c r="O276" s="111"/>
      <c r="P276" s="111"/>
      <c r="Q276" s="111"/>
      <c r="R276" s="112"/>
      <c r="S276" s="112"/>
    </row>
    <row r="277" spans="1:19" ht="15" x14ac:dyDescent="0.25">
      <c r="A277" s="109"/>
      <c r="B277" s="109"/>
      <c r="C277" s="78"/>
      <c r="D277" s="78"/>
      <c r="E277" s="78"/>
      <c r="F277" s="78"/>
      <c r="G277" s="110"/>
      <c r="H277" s="115"/>
      <c r="I277" s="78"/>
      <c r="J277" s="78"/>
      <c r="K277" s="78"/>
      <c r="L277" s="110"/>
      <c r="M277" s="78"/>
      <c r="N277" s="78"/>
      <c r="O277" s="78"/>
      <c r="P277" s="78"/>
      <c r="Q277" s="78"/>
      <c r="R277" s="110"/>
      <c r="S277" s="110"/>
    </row>
    <row r="278" spans="1:19" ht="15" x14ac:dyDescent="0.25">
      <c r="A278" s="109"/>
      <c r="B278" s="109"/>
      <c r="C278" s="111"/>
      <c r="D278" s="111"/>
      <c r="E278" s="111"/>
      <c r="F278" s="111"/>
      <c r="G278" s="112"/>
      <c r="H278" s="114"/>
      <c r="I278" s="111"/>
      <c r="J278" s="111"/>
      <c r="K278" s="111"/>
      <c r="L278" s="112"/>
      <c r="M278" s="111"/>
      <c r="N278" s="111"/>
      <c r="O278" s="111"/>
      <c r="P278" s="111"/>
      <c r="Q278" s="111"/>
      <c r="R278" s="112"/>
      <c r="S278" s="112"/>
    </row>
    <row r="279" spans="1:19" ht="15" x14ac:dyDescent="0.25">
      <c r="A279" s="109"/>
      <c r="B279" s="109"/>
      <c r="C279" s="78"/>
      <c r="D279" s="78"/>
      <c r="E279" s="78"/>
      <c r="F279" s="78"/>
      <c r="G279" s="110"/>
      <c r="H279" s="115"/>
      <c r="I279" s="78"/>
      <c r="J279" s="78"/>
      <c r="K279" s="78"/>
      <c r="L279" s="110"/>
      <c r="M279" s="78"/>
      <c r="N279" s="78"/>
      <c r="O279" s="78"/>
      <c r="P279" s="78"/>
      <c r="Q279" s="78"/>
      <c r="R279" s="110"/>
      <c r="S279" s="110"/>
    </row>
    <row r="280" spans="1:19" ht="15" x14ac:dyDescent="0.25">
      <c r="A280" s="109"/>
      <c r="B280" s="109"/>
      <c r="C280" s="111"/>
      <c r="D280" s="111"/>
      <c r="E280" s="111"/>
      <c r="F280" s="111"/>
      <c r="G280" s="112"/>
      <c r="H280" s="114"/>
      <c r="I280" s="111"/>
      <c r="J280" s="111"/>
      <c r="K280" s="111"/>
      <c r="L280" s="112"/>
      <c r="M280" s="111"/>
      <c r="N280" s="111"/>
      <c r="O280" s="111"/>
      <c r="P280" s="111"/>
      <c r="Q280" s="111"/>
      <c r="R280" s="112"/>
      <c r="S280" s="112"/>
    </row>
    <row r="281" spans="1:19" ht="15" x14ac:dyDescent="0.25">
      <c r="A281" s="109"/>
      <c r="B281" s="109"/>
      <c r="C281" s="78"/>
      <c r="D281" s="78"/>
      <c r="E281" s="78"/>
      <c r="F281" s="78"/>
      <c r="G281" s="110"/>
      <c r="H281" s="115"/>
      <c r="I281" s="78"/>
      <c r="J281" s="78"/>
      <c r="K281" s="78"/>
      <c r="L281" s="110"/>
      <c r="M281" s="78"/>
      <c r="N281" s="78"/>
      <c r="O281" s="78"/>
      <c r="P281" s="78"/>
      <c r="Q281" s="78"/>
      <c r="R281" s="110"/>
      <c r="S281" s="110"/>
    </row>
    <row r="282" spans="1:19" ht="15" x14ac:dyDescent="0.25">
      <c r="A282" s="109"/>
      <c r="B282" s="109"/>
      <c r="C282" s="111"/>
      <c r="D282" s="111"/>
      <c r="E282" s="111"/>
      <c r="F282" s="111"/>
      <c r="G282" s="112"/>
      <c r="H282" s="114"/>
      <c r="I282" s="111"/>
      <c r="J282" s="111"/>
      <c r="K282" s="111"/>
      <c r="L282" s="112"/>
      <c r="M282" s="111"/>
      <c r="N282" s="111"/>
      <c r="O282" s="111"/>
      <c r="P282" s="111"/>
      <c r="Q282" s="111"/>
      <c r="R282" s="112"/>
      <c r="S282" s="112"/>
    </row>
    <row r="283" spans="1:19" ht="15" x14ac:dyDescent="0.25">
      <c r="A283" s="109"/>
      <c r="B283" s="109"/>
      <c r="C283" s="78"/>
      <c r="D283" s="78"/>
      <c r="E283" s="78"/>
      <c r="F283" s="78"/>
      <c r="G283" s="110"/>
      <c r="H283" s="115"/>
      <c r="I283" s="78"/>
      <c r="J283" s="78"/>
      <c r="K283" s="78"/>
      <c r="L283" s="110"/>
      <c r="M283" s="78"/>
      <c r="N283" s="78"/>
      <c r="O283" s="78"/>
      <c r="P283" s="78"/>
      <c r="Q283" s="78"/>
      <c r="R283" s="110"/>
      <c r="S283" s="110"/>
    </row>
    <row r="284" spans="1:19" ht="15" x14ac:dyDescent="0.25">
      <c r="A284" s="109"/>
      <c r="B284" s="109"/>
      <c r="C284" s="111"/>
      <c r="D284" s="111"/>
      <c r="E284" s="111"/>
      <c r="F284" s="111"/>
      <c r="G284" s="112"/>
      <c r="H284" s="114"/>
      <c r="I284" s="111"/>
      <c r="J284" s="111"/>
      <c r="K284" s="111"/>
      <c r="L284" s="112"/>
      <c r="M284" s="111"/>
      <c r="N284" s="111"/>
      <c r="O284" s="111"/>
      <c r="P284" s="111"/>
      <c r="Q284" s="111"/>
      <c r="R284" s="112"/>
      <c r="S284" s="112"/>
    </row>
    <row r="285" spans="1:19" ht="15" x14ac:dyDescent="0.25">
      <c r="A285" s="109"/>
      <c r="B285" s="109"/>
      <c r="C285" s="78"/>
      <c r="D285" s="78"/>
      <c r="E285" s="78"/>
      <c r="F285" s="78"/>
      <c r="G285" s="110"/>
      <c r="H285" s="115"/>
      <c r="I285" s="78"/>
      <c r="J285" s="78"/>
      <c r="K285" s="78"/>
      <c r="L285" s="110"/>
      <c r="M285" s="78"/>
      <c r="N285" s="78"/>
      <c r="O285" s="78"/>
      <c r="P285" s="78"/>
      <c r="Q285" s="78"/>
      <c r="R285" s="110"/>
      <c r="S285" s="110"/>
    </row>
    <row r="286" spans="1:19" ht="15" x14ac:dyDescent="0.25">
      <c r="A286" s="109"/>
      <c r="B286" s="109"/>
      <c r="C286" s="111"/>
      <c r="D286" s="111"/>
      <c r="E286" s="111"/>
      <c r="F286" s="111"/>
      <c r="G286" s="112"/>
      <c r="H286" s="114"/>
      <c r="I286" s="111"/>
      <c r="J286" s="111"/>
      <c r="K286" s="111"/>
      <c r="L286" s="112"/>
      <c r="M286" s="111"/>
      <c r="N286" s="111"/>
      <c r="O286" s="111"/>
      <c r="P286" s="111"/>
      <c r="Q286" s="111"/>
      <c r="R286" s="112"/>
      <c r="S286" s="112"/>
    </row>
    <row r="287" spans="1:19" ht="15" x14ac:dyDescent="0.25">
      <c r="A287" s="109"/>
      <c r="B287" s="109"/>
      <c r="C287" s="78"/>
      <c r="D287" s="78"/>
      <c r="E287" s="78"/>
      <c r="F287" s="78"/>
      <c r="G287" s="110"/>
      <c r="H287" s="115"/>
      <c r="I287" s="78"/>
      <c r="J287" s="78"/>
      <c r="K287" s="78"/>
      <c r="L287" s="110"/>
      <c r="M287" s="78"/>
      <c r="N287" s="78"/>
      <c r="O287" s="78"/>
      <c r="P287" s="78"/>
      <c r="Q287" s="78"/>
      <c r="R287" s="110"/>
      <c r="S287" s="110"/>
    </row>
    <row r="288" spans="1:19" ht="15" x14ac:dyDescent="0.25">
      <c r="A288" s="109"/>
      <c r="B288" s="109"/>
      <c r="C288" s="111"/>
      <c r="D288" s="111"/>
      <c r="E288" s="111"/>
      <c r="F288" s="111"/>
      <c r="G288" s="112"/>
      <c r="H288" s="114"/>
      <c r="I288" s="111"/>
      <c r="J288" s="111"/>
      <c r="K288" s="111"/>
      <c r="L288" s="112"/>
      <c r="M288" s="111"/>
      <c r="N288" s="111"/>
      <c r="O288" s="111"/>
      <c r="P288" s="111"/>
      <c r="Q288" s="111"/>
      <c r="R288" s="112"/>
      <c r="S288" s="112"/>
    </row>
    <row r="289" spans="1:19" ht="15" x14ac:dyDescent="0.25">
      <c r="A289" s="109"/>
      <c r="B289" s="109"/>
      <c r="C289" s="78"/>
      <c r="D289" s="78"/>
      <c r="E289" s="78"/>
      <c r="F289" s="78"/>
      <c r="G289" s="110"/>
      <c r="H289" s="115"/>
      <c r="I289" s="78"/>
      <c r="J289" s="78"/>
      <c r="K289" s="78"/>
      <c r="L289" s="110"/>
      <c r="M289" s="78"/>
      <c r="N289" s="78"/>
      <c r="O289" s="78"/>
      <c r="P289" s="78"/>
      <c r="Q289" s="78"/>
      <c r="R289" s="110"/>
      <c r="S289" s="110"/>
    </row>
    <row r="290" spans="1:19" ht="15" x14ac:dyDescent="0.25">
      <c r="A290" s="109"/>
      <c r="B290" s="109"/>
      <c r="C290" s="111"/>
      <c r="D290" s="111"/>
      <c r="E290" s="111"/>
      <c r="F290" s="111"/>
      <c r="G290" s="112"/>
      <c r="H290" s="114"/>
      <c r="I290" s="111"/>
      <c r="J290" s="111"/>
      <c r="K290" s="111"/>
      <c r="L290" s="112"/>
      <c r="M290" s="111"/>
      <c r="N290" s="111"/>
      <c r="O290" s="111"/>
      <c r="P290" s="111"/>
      <c r="Q290" s="111"/>
      <c r="R290" s="112"/>
      <c r="S290" s="112"/>
    </row>
    <row r="291" spans="1:19" ht="15" x14ac:dyDescent="0.25">
      <c r="A291" s="109"/>
      <c r="B291" s="109"/>
      <c r="C291" s="78"/>
      <c r="D291" s="78"/>
      <c r="E291" s="78"/>
      <c r="F291" s="78"/>
      <c r="G291" s="110"/>
      <c r="H291" s="115"/>
      <c r="I291" s="78"/>
      <c r="J291" s="78"/>
      <c r="K291" s="78"/>
      <c r="L291" s="110"/>
      <c r="M291" s="78"/>
      <c r="N291" s="78"/>
      <c r="O291" s="78"/>
      <c r="P291" s="78"/>
      <c r="Q291" s="78"/>
      <c r="R291" s="110"/>
      <c r="S291" s="110"/>
    </row>
    <row r="292" spans="1:19" ht="15" x14ac:dyDescent="0.25">
      <c r="A292" s="109"/>
      <c r="B292" s="109"/>
      <c r="C292" s="111"/>
      <c r="D292" s="111"/>
      <c r="E292" s="111"/>
      <c r="F292" s="111"/>
      <c r="G292" s="112"/>
      <c r="H292" s="114"/>
      <c r="I292" s="111"/>
      <c r="J292" s="111"/>
      <c r="K292" s="111"/>
      <c r="L292" s="112"/>
      <c r="M292" s="111"/>
      <c r="N292" s="111"/>
      <c r="O292" s="111"/>
      <c r="P292" s="111"/>
      <c r="Q292" s="111"/>
      <c r="R292" s="112"/>
      <c r="S292" s="112"/>
    </row>
    <row r="293" spans="1:19" ht="15" x14ac:dyDescent="0.25">
      <c r="A293" s="109"/>
      <c r="B293" s="109"/>
      <c r="C293" s="78"/>
      <c r="D293" s="78"/>
      <c r="E293" s="78"/>
      <c r="F293" s="78"/>
      <c r="G293" s="110"/>
      <c r="H293" s="115"/>
      <c r="I293" s="78"/>
      <c r="J293" s="78"/>
      <c r="K293" s="78"/>
      <c r="L293" s="110"/>
      <c r="M293" s="78"/>
      <c r="N293" s="78"/>
      <c r="O293" s="78"/>
      <c r="P293" s="78"/>
      <c r="Q293" s="78"/>
      <c r="R293" s="110"/>
      <c r="S293" s="110"/>
    </row>
    <row r="294" spans="1:19" ht="15" x14ac:dyDescent="0.25">
      <c r="A294" s="109"/>
      <c r="B294" s="109"/>
      <c r="C294" s="111"/>
      <c r="D294" s="111"/>
      <c r="E294" s="111"/>
      <c r="F294" s="111"/>
      <c r="G294" s="112"/>
      <c r="H294" s="114"/>
      <c r="I294" s="111"/>
      <c r="J294" s="111"/>
      <c r="K294" s="111"/>
      <c r="L294" s="112"/>
      <c r="M294" s="111"/>
      <c r="N294" s="111"/>
      <c r="O294" s="111"/>
      <c r="P294" s="111"/>
      <c r="Q294" s="111"/>
      <c r="R294" s="112"/>
      <c r="S294" s="112"/>
    </row>
    <row r="295" spans="1:19" ht="15" x14ac:dyDescent="0.25">
      <c r="A295" s="109"/>
      <c r="B295" s="109"/>
      <c r="C295" s="78"/>
      <c r="D295" s="78"/>
      <c r="E295" s="78"/>
      <c r="F295" s="78"/>
      <c r="G295" s="110"/>
      <c r="H295" s="115"/>
      <c r="I295" s="78"/>
      <c r="J295" s="78"/>
      <c r="K295" s="78"/>
      <c r="L295" s="110"/>
      <c r="M295" s="78"/>
      <c r="N295" s="78"/>
      <c r="O295" s="78"/>
      <c r="P295" s="78"/>
      <c r="Q295" s="78"/>
      <c r="R295" s="110"/>
      <c r="S295" s="110"/>
    </row>
    <row r="296" spans="1:19" ht="15" x14ac:dyDescent="0.25">
      <c r="A296" s="109"/>
      <c r="B296" s="109"/>
      <c r="C296" s="111"/>
      <c r="D296" s="111"/>
      <c r="E296" s="111"/>
      <c r="F296" s="111"/>
      <c r="G296" s="112"/>
      <c r="H296" s="114"/>
      <c r="I296" s="111"/>
      <c r="J296" s="111"/>
      <c r="K296" s="111"/>
      <c r="L296" s="112"/>
      <c r="M296" s="111"/>
      <c r="N296" s="111"/>
      <c r="O296" s="111"/>
      <c r="P296" s="111"/>
      <c r="Q296" s="111"/>
      <c r="R296" s="112"/>
      <c r="S296" s="112"/>
    </row>
    <row r="297" spans="1:19" ht="15" x14ac:dyDescent="0.25">
      <c r="A297" s="109"/>
      <c r="B297" s="109"/>
      <c r="C297" s="78"/>
      <c r="D297" s="78"/>
      <c r="E297" s="78"/>
      <c r="F297" s="78"/>
      <c r="G297" s="110"/>
      <c r="H297" s="115"/>
      <c r="I297" s="78"/>
      <c r="J297" s="78"/>
      <c r="K297" s="78"/>
      <c r="L297" s="110"/>
      <c r="M297" s="78"/>
      <c r="N297" s="78"/>
      <c r="O297" s="78"/>
      <c r="P297" s="78"/>
      <c r="Q297" s="78"/>
      <c r="R297" s="110"/>
      <c r="S297" s="110"/>
    </row>
    <row r="298" spans="1:19" ht="15" x14ac:dyDescent="0.25">
      <c r="A298" s="109"/>
      <c r="B298" s="109"/>
      <c r="C298" s="111"/>
      <c r="D298" s="111"/>
      <c r="E298" s="111"/>
      <c r="F298" s="111"/>
      <c r="G298" s="112"/>
      <c r="H298" s="114"/>
      <c r="I298" s="111"/>
      <c r="J298" s="111"/>
      <c r="K298" s="111"/>
      <c r="L298" s="112"/>
      <c r="M298" s="111"/>
      <c r="N298" s="111"/>
      <c r="O298" s="111"/>
      <c r="P298" s="111"/>
      <c r="Q298" s="111"/>
      <c r="R298" s="112"/>
      <c r="S298" s="112"/>
    </row>
    <row r="299" spans="1:19" ht="15" x14ac:dyDescent="0.25">
      <c r="A299" s="109"/>
      <c r="B299" s="109"/>
      <c r="C299" s="78"/>
      <c r="D299" s="78"/>
      <c r="E299" s="78"/>
      <c r="F299" s="78"/>
      <c r="G299" s="110"/>
      <c r="H299" s="115"/>
      <c r="I299" s="78"/>
      <c r="J299" s="78"/>
      <c r="K299" s="78"/>
      <c r="L299" s="110"/>
      <c r="M299" s="78"/>
      <c r="N299" s="78"/>
      <c r="O299" s="78"/>
      <c r="P299" s="78"/>
      <c r="Q299" s="78"/>
      <c r="R299" s="110"/>
      <c r="S299" s="110"/>
    </row>
    <row r="300" spans="1:19" ht="15" x14ac:dyDescent="0.25">
      <c r="A300" s="109"/>
      <c r="B300" s="109"/>
      <c r="C300" s="111"/>
      <c r="D300" s="111"/>
      <c r="E300" s="111"/>
      <c r="F300" s="111"/>
      <c r="G300" s="112"/>
      <c r="H300" s="114"/>
      <c r="I300" s="111"/>
      <c r="J300" s="111"/>
      <c r="K300" s="111"/>
      <c r="L300" s="112"/>
      <c r="M300" s="111"/>
      <c r="N300" s="111"/>
      <c r="O300" s="111"/>
      <c r="P300" s="111"/>
      <c r="Q300" s="111"/>
      <c r="R300" s="112"/>
      <c r="S300" s="112"/>
    </row>
    <row r="301" spans="1:19" ht="15" x14ac:dyDescent="0.25">
      <c r="A301" s="109"/>
      <c r="B301" s="109"/>
      <c r="C301" s="78"/>
      <c r="D301" s="78"/>
      <c r="E301" s="78"/>
      <c r="F301" s="78"/>
      <c r="G301" s="110"/>
      <c r="H301" s="115"/>
      <c r="I301" s="78"/>
      <c r="J301" s="78"/>
      <c r="K301" s="78"/>
      <c r="L301" s="110"/>
      <c r="M301" s="78"/>
      <c r="N301" s="78"/>
      <c r="O301" s="78"/>
      <c r="P301" s="78"/>
      <c r="Q301" s="78"/>
      <c r="R301" s="110"/>
      <c r="S301" s="110"/>
    </row>
    <row r="302" spans="1:19" ht="15" x14ac:dyDescent="0.25">
      <c r="A302" s="109"/>
      <c r="B302" s="109"/>
      <c r="C302" s="111"/>
      <c r="D302" s="111"/>
      <c r="E302" s="111"/>
      <c r="F302" s="111"/>
      <c r="G302" s="112"/>
      <c r="H302" s="114"/>
      <c r="I302" s="111"/>
      <c r="J302" s="111"/>
      <c r="K302" s="111"/>
      <c r="L302" s="112"/>
      <c r="M302" s="111"/>
      <c r="N302" s="111"/>
      <c r="O302" s="111"/>
      <c r="P302" s="111"/>
      <c r="Q302" s="111"/>
      <c r="R302" s="112"/>
      <c r="S302" s="112"/>
    </row>
    <row r="303" spans="1:19" ht="15" x14ac:dyDescent="0.25">
      <c r="A303" s="109"/>
      <c r="B303" s="109"/>
      <c r="C303" s="78"/>
      <c r="D303" s="78"/>
      <c r="E303" s="78"/>
      <c r="F303" s="78"/>
      <c r="G303" s="110"/>
      <c r="H303" s="115"/>
      <c r="I303" s="78"/>
      <c r="J303" s="78"/>
      <c r="K303" s="78"/>
      <c r="L303" s="110"/>
      <c r="M303" s="78"/>
      <c r="N303" s="78"/>
      <c r="O303" s="78"/>
      <c r="P303" s="78"/>
      <c r="Q303" s="78"/>
      <c r="R303" s="110"/>
      <c r="S303" s="110"/>
    </row>
    <row r="304" spans="1:19" ht="15" x14ac:dyDescent="0.25">
      <c r="A304" s="109"/>
      <c r="B304" s="109"/>
      <c r="C304" s="111"/>
      <c r="D304" s="111"/>
      <c r="E304" s="111"/>
      <c r="F304" s="111"/>
      <c r="G304" s="112"/>
      <c r="H304" s="114"/>
      <c r="I304" s="111"/>
      <c r="J304" s="111"/>
      <c r="K304" s="111"/>
      <c r="L304" s="112"/>
      <c r="M304" s="111"/>
      <c r="N304" s="111"/>
      <c r="O304" s="111"/>
      <c r="P304" s="111"/>
      <c r="Q304" s="111"/>
      <c r="R304" s="112"/>
      <c r="S304" s="112"/>
    </row>
    <row r="305" spans="1:19" ht="15" x14ac:dyDescent="0.25">
      <c r="A305" s="109"/>
      <c r="B305" s="109"/>
      <c r="C305" s="78"/>
      <c r="D305" s="78"/>
      <c r="E305" s="78"/>
      <c r="F305" s="78"/>
      <c r="G305" s="110"/>
      <c r="H305" s="115"/>
      <c r="I305" s="78"/>
      <c r="J305" s="78"/>
      <c r="K305" s="78"/>
      <c r="L305" s="110"/>
      <c r="M305" s="78"/>
      <c r="N305" s="78"/>
      <c r="O305" s="78"/>
      <c r="P305" s="78"/>
      <c r="Q305" s="78"/>
      <c r="R305" s="110"/>
      <c r="S305" s="110"/>
    </row>
    <row r="306" spans="1:19" ht="15" x14ac:dyDescent="0.25">
      <c r="A306" s="109"/>
      <c r="B306" s="109"/>
      <c r="C306" s="111"/>
      <c r="D306" s="111"/>
      <c r="E306" s="111"/>
      <c r="F306" s="111"/>
      <c r="G306" s="112"/>
      <c r="H306" s="114"/>
      <c r="I306" s="111"/>
      <c r="J306" s="111"/>
      <c r="K306" s="111"/>
      <c r="L306" s="112"/>
      <c r="M306" s="111"/>
      <c r="N306" s="111"/>
      <c r="O306" s="111"/>
      <c r="P306" s="111"/>
      <c r="Q306" s="111"/>
      <c r="R306" s="112"/>
      <c r="S306" s="112"/>
    </row>
    <row r="307" spans="1:19" ht="15" x14ac:dyDescent="0.25">
      <c r="A307" s="109"/>
      <c r="B307" s="109"/>
      <c r="C307" s="78"/>
      <c r="D307" s="78"/>
      <c r="E307" s="78"/>
      <c r="F307" s="78"/>
      <c r="G307" s="110"/>
      <c r="H307" s="115"/>
      <c r="I307" s="78"/>
      <c r="J307" s="78"/>
      <c r="K307" s="78"/>
      <c r="L307" s="110"/>
      <c r="M307" s="78"/>
      <c r="N307" s="78"/>
      <c r="O307" s="78"/>
      <c r="P307" s="78"/>
      <c r="Q307" s="78"/>
      <c r="R307" s="110"/>
      <c r="S307" s="110"/>
    </row>
    <row r="308" spans="1:19" ht="15" x14ac:dyDescent="0.25">
      <c r="A308" s="109"/>
      <c r="B308" s="109"/>
      <c r="C308" s="111"/>
      <c r="D308" s="111"/>
      <c r="E308" s="111"/>
      <c r="F308" s="111"/>
      <c r="G308" s="112"/>
      <c r="H308" s="114"/>
      <c r="I308" s="111"/>
      <c r="J308" s="111"/>
      <c r="K308" s="111"/>
      <c r="L308" s="112"/>
      <c r="M308" s="111"/>
      <c r="N308" s="111"/>
      <c r="O308" s="111"/>
      <c r="P308" s="111"/>
      <c r="Q308" s="111"/>
      <c r="R308" s="112"/>
      <c r="S308" s="112"/>
    </row>
    <row r="309" spans="1:19" ht="15" x14ac:dyDescent="0.25">
      <c r="A309" s="109"/>
      <c r="B309" s="109"/>
      <c r="C309" s="78"/>
      <c r="D309" s="78"/>
      <c r="E309" s="78"/>
      <c r="F309" s="78"/>
      <c r="G309" s="110"/>
      <c r="H309" s="115"/>
      <c r="I309" s="78"/>
      <c r="J309" s="78"/>
      <c r="K309" s="78"/>
      <c r="L309" s="110"/>
      <c r="M309" s="78"/>
      <c r="N309" s="78"/>
      <c r="O309" s="78"/>
      <c r="P309" s="78"/>
      <c r="Q309" s="78"/>
      <c r="R309" s="110"/>
      <c r="S309" s="110"/>
    </row>
    <row r="310" spans="1:19" ht="15" x14ac:dyDescent="0.25">
      <c r="A310" s="109"/>
      <c r="B310" s="109"/>
      <c r="C310" s="111"/>
      <c r="D310" s="111"/>
      <c r="E310" s="111"/>
      <c r="F310" s="111"/>
      <c r="G310" s="112"/>
      <c r="H310" s="114"/>
      <c r="I310" s="111"/>
      <c r="J310" s="111"/>
      <c r="K310" s="111"/>
      <c r="L310" s="112"/>
      <c r="M310" s="111"/>
      <c r="N310" s="111"/>
      <c r="O310" s="111"/>
      <c r="P310" s="111"/>
      <c r="Q310" s="111"/>
      <c r="R310" s="112"/>
      <c r="S310" s="112"/>
    </row>
    <row r="311" spans="1:19" ht="15" x14ac:dyDescent="0.25">
      <c r="A311" s="109"/>
      <c r="B311" s="109"/>
      <c r="C311" s="78"/>
      <c r="D311" s="78"/>
      <c r="E311" s="78"/>
      <c r="F311" s="78"/>
      <c r="G311" s="110"/>
      <c r="H311" s="115"/>
      <c r="I311" s="78"/>
      <c r="J311" s="78"/>
      <c r="K311" s="78"/>
      <c r="L311" s="110"/>
      <c r="M311" s="78"/>
      <c r="N311" s="78"/>
      <c r="O311" s="78"/>
      <c r="P311" s="78"/>
      <c r="Q311" s="78"/>
      <c r="R311" s="110"/>
      <c r="S311" s="110"/>
    </row>
    <row r="312" spans="1:19" ht="15" x14ac:dyDescent="0.25">
      <c r="A312" s="109"/>
      <c r="B312" s="109"/>
      <c r="C312" s="111"/>
      <c r="D312" s="111"/>
      <c r="E312" s="111"/>
      <c r="F312" s="111"/>
      <c r="G312" s="112"/>
      <c r="H312" s="114"/>
      <c r="I312" s="111"/>
      <c r="J312" s="111"/>
      <c r="K312" s="111"/>
      <c r="L312" s="112"/>
      <c r="M312" s="111"/>
      <c r="N312" s="111"/>
      <c r="O312" s="111"/>
      <c r="P312" s="111"/>
      <c r="Q312" s="111"/>
      <c r="R312" s="112"/>
      <c r="S312" s="112"/>
    </row>
    <row r="313" spans="1:19" ht="15" x14ac:dyDescent="0.25">
      <c r="A313" s="109"/>
      <c r="B313" s="109"/>
      <c r="C313" s="78"/>
      <c r="D313" s="78"/>
      <c r="E313" s="78"/>
      <c r="F313" s="78"/>
      <c r="G313" s="110"/>
      <c r="H313" s="115"/>
      <c r="I313" s="78"/>
      <c r="J313" s="78"/>
      <c r="K313" s="78"/>
      <c r="L313" s="110"/>
      <c r="M313" s="78"/>
      <c r="N313" s="78"/>
      <c r="O313" s="78"/>
      <c r="P313" s="78"/>
      <c r="Q313" s="78"/>
      <c r="R313" s="110"/>
      <c r="S313" s="110"/>
    </row>
    <row r="314" spans="1:19" ht="15" x14ac:dyDescent="0.25">
      <c r="A314" s="109"/>
      <c r="B314" s="109"/>
      <c r="C314" s="111"/>
      <c r="D314" s="111"/>
      <c r="E314" s="111"/>
      <c r="F314" s="111"/>
      <c r="G314" s="112"/>
      <c r="H314" s="114"/>
      <c r="I314" s="111"/>
      <c r="J314" s="111"/>
      <c r="K314" s="111"/>
      <c r="L314" s="112"/>
      <c r="M314" s="111"/>
      <c r="N314" s="111"/>
      <c r="O314" s="111"/>
      <c r="P314" s="111"/>
      <c r="Q314" s="111"/>
      <c r="R314" s="112"/>
      <c r="S314" s="112"/>
    </row>
    <row r="315" spans="1:19" ht="15" x14ac:dyDescent="0.25">
      <c r="A315" s="109"/>
      <c r="B315" s="109"/>
      <c r="C315" s="78"/>
      <c r="D315" s="78"/>
      <c r="E315" s="78"/>
      <c r="F315" s="78"/>
      <c r="G315" s="110"/>
      <c r="H315" s="115"/>
      <c r="I315" s="78"/>
      <c r="J315" s="78"/>
      <c r="K315" s="78"/>
      <c r="L315" s="110"/>
      <c r="M315" s="78"/>
      <c r="N315" s="78"/>
      <c r="O315" s="78"/>
      <c r="P315" s="78"/>
      <c r="Q315" s="78"/>
      <c r="R315" s="110"/>
      <c r="S315" s="110"/>
    </row>
    <row r="316" spans="1:19" ht="15" x14ac:dyDescent="0.25">
      <c r="A316" s="109"/>
      <c r="B316" s="109"/>
      <c r="C316" s="111"/>
      <c r="D316" s="111"/>
      <c r="E316" s="111"/>
      <c r="F316" s="111"/>
      <c r="G316" s="112"/>
      <c r="H316" s="114"/>
      <c r="I316" s="111"/>
      <c r="J316" s="111"/>
      <c r="K316" s="111"/>
      <c r="L316" s="112"/>
      <c r="M316" s="111"/>
      <c r="N316" s="111"/>
      <c r="O316" s="111"/>
      <c r="P316" s="111"/>
      <c r="Q316" s="111"/>
      <c r="R316" s="112"/>
      <c r="S316" s="112"/>
    </row>
    <row r="317" spans="1:19" ht="15" x14ac:dyDescent="0.25">
      <c r="A317" s="109"/>
      <c r="B317" s="109"/>
      <c r="C317" s="78"/>
      <c r="D317" s="78"/>
      <c r="E317" s="78"/>
      <c r="F317" s="78"/>
      <c r="G317" s="110"/>
      <c r="H317" s="115"/>
      <c r="I317" s="78"/>
      <c r="J317" s="78"/>
      <c r="K317" s="78"/>
      <c r="L317" s="110"/>
      <c r="M317" s="78"/>
      <c r="N317" s="78"/>
      <c r="O317" s="78"/>
      <c r="P317" s="78"/>
      <c r="Q317" s="78"/>
      <c r="R317" s="110"/>
      <c r="S317" s="110"/>
    </row>
    <row r="318" spans="1:19" ht="15" x14ac:dyDescent="0.25">
      <c r="A318" s="109"/>
      <c r="B318" s="109"/>
      <c r="C318" s="111"/>
      <c r="D318" s="111"/>
      <c r="E318" s="111"/>
      <c r="F318" s="111"/>
      <c r="G318" s="112"/>
      <c r="H318" s="114"/>
      <c r="I318" s="111"/>
      <c r="J318" s="111"/>
      <c r="K318" s="111"/>
      <c r="L318" s="112"/>
      <c r="M318" s="111"/>
      <c r="N318" s="111"/>
      <c r="O318" s="111"/>
      <c r="P318" s="111"/>
      <c r="Q318" s="111"/>
      <c r="R318" s="112"/>
      <c r="S318" s="112"/>
    </row>
    <row r="319" spans="1:19" ht="15" x14ac:dyDescent="0.25">
      <c r="A319" s="109"/>
      <c r="B319" s="109"/>
      <c r="C319" s="78"/>
      <c r="D319" s="78"/>
      <c r="E319" s="78"/>
      <c r="F319" s="78"/>
      <c r="G319" s="110"/>
      <c r="H319" s="115"/>
      <c r="I319" s="78"/>
      <c r="J319" s="78"/>
      <c r="K319" s="78"/>
      <c r="L319" s="110"/>
      <c r="M319" s="78"/>
      <c r="N319" s="78"/>
      <c r="O319" s="78"/>
      <c r="P319" s="78"/>
      <c r="Q319" s="78"/>
      <c r="R319" s="110"/>
      <c r="S319" s="110"/>
    </row>
    <row r="320" spans="1:19" ht="15" x14ac:dyDescent="0.25">
      <c r="A320" s="109"/>
      <c r="B320" s="109"/>
      <c r="C320" s="111"/>
      <c r="D320" s="111"/>
      <c r="E320" s="111"/>
      <c r="F320" s="111"/>
      <c r="G320" s="112"/>
      <c r="H320" s="114"/>
      <c r="I320" s="111"/>
      <c r="J320" s="111"/>
      <c r="K320" s="111"/>
      <c r="L320" s="112"/>
      <c r="M320" s="111"/>
      <c r="N320" s="111"/>
      <c r="O320" s="111"/>
      <c r="P320" s="111"/>
      <c r="Q320" s="111"/>
      <c r="R320" s="112"/>
      <c r="S320" s="112"/>
    </row>
    <row r="321" spans="1:19" ht="15" x14ac:dyDescent="0.25">
      <c r="A321" s="109"/>
      <c r="B321" s="109"/>
      <c r="C321" s="78"/>
      <c r="D321" s="78"/>
      <c r="E321" s="78"/>
      <c r="F321" s="78"/>
      <c r="G321" s="110"/>
      <c r="H321" s="115"/>
      <c r="I321" s="78"/>
      <c r="J321" s="78"/>
      <c r="K321" s="78"/>
      <c r="L321" s="110"/>
      <c r="M321" s="78"/>
      <c r="N321" s="78"/>
      <c r="O321" s="78"/>
      <c r="P321" s="78"/>
      <c r="Q321" s="78"/>
      <c r="R321" s="110"/>
      <c r="S321" s="110"/>
    </row>
    <row r="322" spans="1:19" ht="15" x14ac:dyDescent="0.25">
      <c r="A322" s="109"/>
      <c r="B322" s="109"/>
      <c r="C322" s="111"/>
      <c r="D322" s="111"/>
      <c r="E322" s="111"/>
      <c r="F322" s="111"/>
      <c r="G322" s="112"/>
      <c r="H322" s="114"/>
      <c r="I322" s="111"/>
      <c r="J322" s="111"/>
      <c r="K322" s="111"/>
      <c r="L322" s="112"/>
      <c r="M322" s="111"/>
      <c r="N322" s="111"/>
      <c r="O322" s="111"/>
      <c r="P322" s="111"/>
      <c r="Q322" s="111"/>
      <c r="R322" s="112"/>
      <c r="S322" s="112"/>
    </row>
    <row r="323" spans="1:19" ht="15" x14ac:dyDescent="0.25">
      <c r="A323" s="109"/>
      <c r="B323" s="109"/>
      <c r="C323" s="78"/>
      <c r="D323" s="78"/>
      <c r="E323" s="78"/>
      <c r="F323" s="78"/>
      <c r="G323" s="110"/>
      <c r="H323" s="115"/>
      <c r="I323" s="78"/>
      <c r="J323" s="78"/>
      <c r="K323" s="78"/>
      <c r="L323" s="110"/>
      <c r="M323" s="78"/>
      <c r="N323" s="78"/>
      <c r="O323" s="78"/>
      <c r="P323" s="78"/>
      <c r="Q323" s="78"/>
      <c r="R323" s="110"/>
      <c r="S323" s="110"/>
    </row>
    <row r="324" spans="1:19" ht="15" x14ac:dyDescent="0.25">
      <c r="A324" s="109"/>
      <c r="B324" s="109"/>
      <c r="C324" s="111"/>
      <c r="D324" s="111"/>
      <c r="E324" s="111"/>
      <c r="F324" s="111"/>
      <c r="G324" s="112"/>
      <c r="H324" s="114"/>
      <c r="I324" s="111"/>
      <c r="J324" s="111"/>
      <c r="K324" s="111"/>
      <c r="L324" s="112"/>
      <c r="M324" s="111"/>
      <c r="N324" s="111"/>
      <c r="O324" s="111"/>
      <c r="P324" s="111"/>
      <c r="Q324" s="111"/>
      <c r="R324" s="112"/>
      <c r="S324" s="112"/>
    </row>
    <row r="325" spans="1:19" ht="15" x14ac:dyDescent="0.25">
      <c r="A325" s="109"/>
      <c r="B325" s="109"/>
      <c r="C325" s="78"/>
      <c r="D325" s="78"/>
      <c r="E325" s="78"/>
      <c r="F325" s="78"/>
      <c r="G325" s="110"/>
      <c r="H325" s="115"/>
      <c r="I325" s="78"/>
      <c r="J325" s="78"/>
      <c r="K325" s="78"/>
      <c r="L325" s="110"/>
      <c r="M325" s="78"/>
      <c r="N325" s="78"/>
      <c r="O325" s="78"/>
      <c r="P325" s="78"/>
      <c r="Q325" s="78"/>
      <c r="R325" s="110"/>
      <c r="S325" s="110"/>
    </row>
    <row r="326" spans="1:19" ht="15" x14ac:dyDescent="0.25">
      <c r="A326" s="109"/>
      <c r="B326" s="109"/>
      <c r="C326" s="111"/>
      <c r="D326" s="111"/>
      <c r="E326" s="111"/>
      <c r="F326" s="111"/>
      <c r="G326" s="112"/>
      <c r="H326" s="114"/>
      <c r="I326" s="111"/>
      <c r="J326" s="111"/>
      <c r="K326" s="111"/>
      <c r="L326" s="112"/>
      <c r="M326" s="111"/>
      <c r="N326" s="111"/>
      <c r="O326" s="111"/>
      <c r="P326" s="111"/>
      <c r="Q326" s="111"/>
      <c r="R326" s="112"/>
      <c r="S326" s="112"/>
    </row>
    <row r="327" spans="1:19" ht="15" x14ac:dyDescent="0.25">
      <c r="A327" s="109"/>
      <c r="B327" s="109"/>
      <c r="C327" s="78"/>
      <c r="D327" s="78"/>
      <c r="E327" s="78"/>
      <c r="F327" s="78"/>
      <c r="G327" s="110"/>
      <c r="H327" s="115"/>
      <c r="I327" s="78"/>
      <c r="J327" s="78"/>
      <c r="K327" s="78"/>
      <c r="L327" s="110"/>
      <c r="M327" s="78"/>
      <c r="N327" s="78"/>
      <c r="O327" s="78"/>
      <c r="P327" s="78"/>
      <c r="Q327" s="78"/>
      <c r="R327" s="110"/>
      <c r="S327" s="110"/>
    </row>
    <row r="328" spans="1:19" ht="15" x14ac:dyDescent="0.25">
      <c r="A328" s="109"/>
      <c r="B328" s="109"/>
      <c r="C328" s="111"/>
      <c r="D328" s="111"/>
      <c r="E328" s="111"/>
      <c r="F328" s="111"/>
      <c r="G328" s="112"/>
      <c r="H328" s="114"/>
      <c r="I328" s="111"/>
      <c r="J328" s="111"/>
      <c r="K328" s="111"/>
      <c r="L328" s="112"/>
      <c r="M328" s="111"/>
      <c r="N328" s="111"/>
      <c r="O328" s="111"/>
      <c r="P328" s="111"/>
      <c r="Q328" s="111"/>
      <c r="R328" s="112"/>
      <c r="S328" s="112"/>
    </row>
    <row r="329" spans="1:19" ht="15" x14ac:dyDescent="0.25">
      <c r="A329" s="109"/>
      <c r="B329" s="109"/>
      <c r="C329" s="78"/>
      <c r="D329" s="78"/>
      <c r="E329" s="78"/>
      <c r="F329" s="78"/>
      <c r="G329" s="110"/>
      <c r="H329" s="115"/>
      <c r="I329" s="78"/>
      <c r="J329" s="78"/>
      <c r="K329" s="78"/>
      <c r="L329" s="110"/>
      <c r="M329" s="78"/>
      <c r="N329" s="78"/>
      <c r="O329" s="78"/>
      <c r="P329" s="78"/>
      <c r="Q329" s="78"/>
      <c r="R329" s="110"/>
      <c r="S329" s="110"/>
    </row>
    <row r="330" spans="1:19" ht="15" x14ac:dyDescent="0.25">
      <c r="A330" s="109"/>
      <c r="B330" s="109"/>
      <c r="C330" s="111"/>
      <c r="D330" s="111"/>
      <c r="E330" s="111"/>
      <c r="F330" s="111"/>
      <c r="G330" s="112"/>
      <c r="H330" s="114"/>
      <c r="I330" s="111"/>
      <c r="J330" s="111"/>
      <c r="K330" s="111"/>
      <c r="L330" s="112"/>
      <c r="M330" s="111"/>
      <c r="N330" s="111"/>
      <c r="O330" s="111"/>
      <c r="P330" s="111"/>
      <c r="Q330" s="111"/>
      <c r="R330" s="112"/>
      <c r="S330" s="112"/>
    </row>
    <row r="331" spans="1:19" ht="15" x14ac:dyDescent="0.25">
      <c r="A331" s="109"/>
      <c r="B331" s="109"/>
      <c r="C331" s="78"/>
      <c r="D331" s="78"/>
      <c r="E331" s="78"/>
      <c r="F331" s="78"/>
      <c r="G331" s="110"/>
      <c r="H331" s="115"/>
      <c r="I331" s="78"/>
      <c r="J331" s="78"/>
      <c r="K331" s="78"/>
      <c r="L331" s="110"/>
      <c r="M331" s="78"/>
      <c r="N331" s="78"/>
      <c r="O331" s="78"/>
      <c r="P331" s="78"/>
      <c r="Q331" s="78"/>
      <c r="R331" s="110"/>
      <c r="S331" s="110"/>
    </row>
    <row r="332" spans="1:19" ht="15" x14ac:dyDescent="0.25">
      <c r="A332" s="109"/>
      <c r="B332" s="109"/>
      <c r="C332" s="111"/>
      <c r="D332" s="111"/>
      <c r="E332" s="111"/>
      <c r="F332" s="111"/>
      <c r="G332" s="112"/>
      <c r="H332" s="114"/>
      <c r="I332" s="111"/>
      <c r="J332" s="111"/>
      <c r="K332" s="111"/>
      <c r="L332" s="112"/>
      <c r="M332" s="111"/>
      <c r="N332" s="111"/>
      <c r="O332" s="111"/>
      <c r="P332" s="111"/>
      <c r="Q332" s="111"/>
      <c r="R332" s="112"/>
      <c r="S332" s="112"/>
    </row>
    <row r="333" spans="1:19" ht="15" x14ac:dyDescent="0.25">
      <c r="A333" s="109"/>
      <c r="B333" s="109"/>
      <c r="C333" s="78"/>
      <c r="D333" s="78"/>
      <c r="E333" s="78"/>
      <c r="F333" s="78"/>
      <c r="G333" s="110"/>
      <c r="H333" s="115"/>
      <c r="I333" s="78"/>
      <c r="J333" s="78"/>
      <c r="K333" s="78"/>
      <c r="L333" s="110"/>
      <c r="M333" s="78"/>
      <c r="N333" s="78"/>
      <c r="O333" s="78"/>
      <c r="P333" s="78"/>
      <c r="Q333" s="78"/>
      <c r="R333" s="110"/>
      <c r="S333" s="110"/>
    </row>
    <row r="334" spans="1:19" ht="15" x14ac:dyDescent="0.25">
      <c r="A334" s="109"/>
      <c r="B334" s="109"/>
      <c r="C334" s="111"/>
      <c r="D334" s="111"/>
      <c r="E334" s="111"/>
      <c r="F334" s="111"/>
      <c r="G334" s="112"/>
      <c r="H334" s="114"/>
      <c r="I334" s="111"/>
      <c r="J334" s="111"/>
      <c r="K334" s="111"/>
      <c r="L334" s="112"/>
      <c r="M334" s="111"/>
      <c r="N334" s="111"/>
      <c r="O334" s="111"/>
      <c r="P334" s="111"/>
      <c r="Q334" s="111"/>
      <c r="R334" s="112"/>
      <c r="S334" s="112"/>
    </row>
    <row r="335" spans="1:19" ht="15" x14ac:dyDescent="0.25">
      <c r="A335" s="109"/>
      <c r="B335" s="109"/>
      <c r="C335" s="78"/>
      <c r="D335" s="78"/>
      <c r="E335" s="78"/>
      <c r="F335" s="78"/>
      <c r="G335" s="110"/>
      <c r="H335" s="115"/>
      <c r="I335" s="78"/>
      <c r="J335" s="78"/>
      <c r="K335" s="78"/>
      <c r="L335" s="110"/>
      <c r="M335" s="78"/>
      <c r="N335" s="78"/>
      <c r="O335" s="78"/>
      <c r="P335" s="78"/>
      <c r="Q335" s="78"/>
      <c r="R335" s="110"/>
      <c r="S335" s="110"/>
    </row>
    <row r="336" spans="1:19" ht="15" x14ac:dyDescent="0.25">
      <c r="A336" s="109"/>
      <c r="B336" s="109"/>
      <c r="C336" s="111"/>
      <c r="D336" s="111"/>
      <c r="E336" s="111"/>
      <c r="F336" s="111"/>
      <c r="G336" s="112"/>
      <c r="H336" s="114"/>
      <c r="I336" s="111"/>
      <c r="J336" s="111"/>
      <c r="K336" s="111"/>
      <c r="L336" s="112"/>
      <c r="M336" s="111"/>
      <c r="N336" s="111"/>
      <c r="O336" s="111"/>
      <c r="P336" s="111"/>
      <c r="Q336" s="111"/>
      <c r="R336" s="112"/>
      <c r="S336" s="112"/>
    </row>
    <row r="337" spans="1:19" ht="15" x14ac:dyDescent="0.25">
      <c r="A337" s="109"/>
      <c r="B337" s="109"/>
      <c r="C337" s="78"/>
      <c r="D337" s="78"/>
      <c r="E337" s="78"/>
      <c r="F337" s="78"/>
      <c r="G337" s="110"/>
      <c r="H337" s="115"/>
      <c r="I337" s="78"/>
      <c r="J337" s="78"/>
      <c r="K337" s="78"/>
      <c r="L337" s="110"/>
      <c r="M337" s="78"/>
      <c r="N337" s="78"/>
      <c r="O337" s="78"/>
      <c r="P337" s="78"/>
      <c r="Q337" s="78"/>
      <c r="R337" s="110"/>
      <c r="S337" s="110"/>
    </row>
    <row r="338" spans="1:19" ht="15" x14ac:dyDescent="0.25">
      <c r="A338" s="109"/>
      <c r="B338" s="109"/>
      <c r="C338" s="111"/>
      <c r="D338" s="111"/>
      <c r="E338" s="111"/>
      <c r="F338" s="111"/>
      <c r="G338" s="112"/>
      <c r="H338" s="114"/>
      <c r="I338" s="111"/>
      <c r="J338" s="111"/>
      <c r="K338" s="111"/>
      <c r="L338" s="112"/>
      <c r="M338" s="111"/>
      <c r="N338" s="111"/>
      <c r="O338" s="111"/>
      <c r="P338" s="111"/>
      <c r="Q338" s="111"/>
      <c r="R338" s="112"/>
      <c r="S338" s="112"/>
    </row>
    <row r="339" spans="1:19" ht="15" x14ac:dyDescent="0.25">
      <c r="A339" s="109"/>
      <c r="B339" s="109"/>
      <c r="C339" s="78"/>
      <c r="D339" s="78"/>
      <c r="E339" s="78"/>
      <c r="F339" s="78"/>
      <c r="G339" s="110"/>
      <c r="H339" s="115"/>
      <c r="I339" s="78"/>
      <c r="J339" s="78"/>
      <c r="K339" s="78"/>
      <c r="L339" s="110"/>
      <c r="M339" s="78"/>
      <c r="N339" s="78"/>
      <c r="O339" s="78"/>
      <c r="P339" s="78"/>
      <c r="Q339" s="78"/>
      <c r="R339" s="110"/>
      <c r="S339" s="110"/>
    </row>
    <row r="340" spans="1:19" ht="15" x14ac:dyDescent="0.25">
      <c r="A340" s="109"/>
      <c r="B340" s="109"/>
      <c r="C340" s="111"/>
      <c r="D340" s="111"/>
      <c r="E340" s="111"/>
      <c r="F340" s="111"/>
      <c r="G340" s="112"/>
      <c r="H340" s="114"/>
      <c r="I340" s="111"/>
      <c r="J340" s="111"/>
      <c r="K340" s="111"/>
      <c r="L340" s="112"/>
      <c r="M340" s="111"/>
      <c r="N340" s="111"/>
      <c r="O340" s="111"/>
      <c r="P340" s="111"/>
      <c r="Q340" s="111"/>
      <c r="R340" s="112"/>
      <c r="S340" s="112"/>
    </row>
    <row r="341" spans="1:19" ht="15" x14ac:dyDescent="0.25">
      <c r="A341" s="109"/>
      <c r="B341" s="109"/>
      <c r="C341" s="78"/>
      <c r="D341" s="78"/>
      <c r="E341" s="78"/>
      <c r="F341" s="78"/>
      <c r="G341" s="110"/>
      <c r="H341" s="115"/>
      <c r="I341" s="78"/>
      <c r="J341" s="78"/>
      <c r="K341" s="78"/>
      <c r="L341" s="110"/>
      <c r="M341" s="78"/>
      <c r="N341" s="78"/>
      <c r="O341" s="78"/>
      <c r="P341" s="78"/>
      <c r="Q341" s="78"/>
      <c r="R341" s="110"/>
      <c r="S341" s="110"/>
    </row>
    <row r="342" spans="1:19" ht="15" x14ac:dyDescent="0.25">
      <c r="A342" s="109"/>
      <c r="B342" s="109"/>
      <c r="C342" s="111"/>
      <c r="D342" s="111"/>
      <c r="E342" s="111"/>
      <c r="F342" s="111"/>
      <c r="G342" s="112"/>
      <c r="H342" s="114"/>
      <c r="I342" s="111"/>
      <c r="J342" s="111"/>
      <c r="K342" s="111"/>
      <c r="L342" s="112"/>
      <c r="M342" s="111"/>
      <c r="N342" s="111"/>
      <c r="O342" s="111"/>
      <c r="P342" s="111"/>
      <c r="Q342" s="111"/>
      <c r="R342" s="112"/>
      <c r="S342" s="112"/>
    </row>
    <row r="343" spans="1:19" ht="15" x14ac:dyDescent="0.25">
      <c r="A343" s="109"/>
      <c r="B343" s="109"/>
      <c r="C343" s="78"/>
      <c r="D343" s="78"/>
      <c r="E343" s="78"/>
      <c r="F343" s="78"/>
      <c r="G343" s="110"/>
      <c r="H343" s="115"/>
      <c r="I343" s="78"/>
      <c r="J343" s="78"/>
      <c r="K343" s="78"/>
      <c r="L343" s="110"/>
      <c r="M343" s="78"/>
      <c r="N343" s="78"/>
      <c r="O343" s="78"/>
      <c r="P343" s="78"/>
      <c r="Q343" s="78"/>
      <c r="R343" s="110"/>
      <c r="S343" s="110"/>
    </row>
    <row r="344" spans="1:19" ht="15" x14ac:dyDescent="0.25">
      <c r="A344" s="109"/>
      <c r="B344" s="109"/>
      <c r="C344" s="111"/>
      <c r="D344" s="111"/>
      <c r="E344" s="111"/>
      <c r="F344" s="111"/>
      <c r="G344" s="112"/>
      <c r="H344" s="114"/>
      <c r="I344" s="111"/>
      <c r="J344" s="111"/>
      <c r="K344" s="111"/>
      <c r="L344" s="112"/>
      <c r="M344" s="111"/>
      <c r="N344" s="111"/>
      <c r="O344" s="111"/>
      <c r="P344" s="111"/>
      <c r="Q344" s="111"/>
      <c r="R344" s="112"/>
      <c r="S344" s="112"/>
    </row>
    <row r="345" spans="1:19" ht="15" x14ac:dyDescent="0.25">
      <c r="A345" s="109"/>
      <c r="B345" s="109"/>
      <c r="C345" s="78"/>
      <c r="D345" s="78"/>
      <c r="E345" s="78"/>
      <c r="F345" s="78"/>
      <c r="G345" s="110"/>
      <c r="H345" s="115"/>
      <c r="I345" s="78"/>
      <c r="J345" s="78"/>
      <c r="K345" s="78"/>
      <c r="L345" s="110"/>
      <c r="M345" s="78"/>
      <c r="N345" s="78"/>
      <c r="O345" s="78"/>
      <c r="P345" s="78"/>
      <c r="Q345" s="78"/>
      <c r="R345" s="110"/>
      <c r="S345" s="110"/>
    </row>
    <row r="346" spans="1:19" ht="15" x14ac:dyDescent="0.25">
      <c r="A346" s="109"/>
      <c r="B346" s="109"/>
      <c r="C346" s="111"/>
      <c r="D346" s="111"/>
      <c r="E346" s="111"/>
      <c r="F346" s="111"/>
      <c r="G346" s="112"/>
      <c r="H346" s="114"/>
      <c r="I346" s="111"/>
      <c r="J346" s="111"/>
      <c r="K346" s="111"/>
      <c r="L346" s="112"/>
      <c r="M346" s="111"/>
      <c r="N346" s="111"/>
      <c r="O346" s="111"/>
      <c r="P346" s="111"/>
      <c r="Q346" s="111"/>
      <c r="R346" s="112"/>
      <c r="S346" s="112"/>
    </row>
    <row r="347" spans="1:19" ht="15" x14ac:dyDescent="0.25">
      <c r="A347" s="109"/>
      <c r="B347" s="109"/>
      <c r="C347" s="78"/>
      <c r="D347" s="78"/>
      <c r="E347" s="78"/>
      <c r="F347" s="78"/>
      <c r="G347" s="110"/>
      <c r="H347" s="115"/>
      <c r="I347" s="78"/>
      <c r="J347" s="78"/>
      <c r="K347" s="78"/>
      <c r="L347" s="110"/>
      <c r="M347" s="78"/>
      <c r="N347" s="78"/>
      <c r="O347" s="78"/>
      <c r="P347" s="78"/>
      <c r="Q347" s="78"/>
      <c r="R347" s="110"/>
      <c r="S347" s="110"/>
    </row>
    <row r="348" spans="1:19" ht="15" x14ac:dyDescent="0.25">
      <c r="A348" s="109"/>
      <c r="B348" s="109"/>
      <c r="C348" s="111"/>
      <c r="D348" s="111"/>
      <c r="E348" s="111"/>
      <c r="F348" s="111"/>
      <c r="G348" s="112"/>
      <c r="H348" s="114"/>
      <c r="I348" s="111"/>
      <c r="J348" s="111"/>
      <c r="K348" s="111"/>
      <c r="L348" s="112"/>
      <c r="M348" s="111"/>
      <c r="N348" s="111"/>
      <c r="O348" s="111"/>
      <c r="P348" s="111"/>
      <c r="Q348" s="111"/>
      <c r="R348" s="112"/>
      <c r="S348" s="112"/>
    </row>
    <row r="349" spans="1:19" ht="15" x14ac:dyDescent="0.25">
      <c r="A349" s="109"/>
      <c r="B349" s="109"/>
      <c r="C349" s="78"/>
      <c r="D349" s="78"/>
      <c r="E349" s="78"/>
      <c r="F349" s="78"/>
      <c r="G349" s="110"/>
      <c r="H349" s="115"/>
      <c r="I349" s="78"/>
      <c r="J349" s="78"/>
      <c r="K349" s="78"/>
      <c r="L349" s="110"/>
      <c r="M349" s="78"/>
      <c r="N349" s="78"/>
      <c r="O349" s="78"/>
      <c r="P349" s="78"/>
      <c r="Q349" s="78"/>
      <c r="R349" s="110"/>
      <c r="S349" s="110"/>
    </row>
    <row r="350" spans="1:19" ht="15" x14ac:dyDescent="0.25">
      <c r="A350" s="109"/>
      <c r="B350" s="109"/>
      <c r="C350" s="111"/>
      <c r="D350" s="111"/>
      <c r="E350" s="111"/>
      <c r="F350" s="111"/>
      <c r="G350" s="112"/>
      <c r="H350" s="114"/>
      <c r="I350" s="111"/>
      <c r="J350" s="111"/>
      <c r="K350" s="111"/>
      <c r="L350" s="112"/>
      <c r="M350" s="111"/>
      <c r="N350" s="111"/>
      <c r="O350" s="111"/>
      <c r="P350" s="111"/>
      <c r="Q350" s="111"/>
      <c r="R350" s="112"/>
      <c r="S350" s="112"/>
    </row>
    <row r="351" spans="1:19" ht="15" x14ac:dyDescent="0.25">
      <c r="A351" s="109"/>
      <c r="B351" s="109"/>
      <c r="C351" s="78"/>
      <c r="D351" s="78"/>
      <c r="E351" s="78"/>
      <c r="F351" s="78"/>
      <c r="G351" s="110"/>
      <c r="H351" s="115"/>
      <c r="I351" s="78"/>
      <c r="J351" s="78"/>
      <c r="K351" s="78"/>
      <c r="L351" s="110"/>
      <c r="M351" s="78"/>
      <c r="N351" s="78"/>
      <c r="O351" s="78"/>
      <c r="P351" s="78"/>
      <c r="Q351" s="78"/>
      <c r="R351" s="110"/>
      <c r="S351" s="110"/>
    </row>
    <row r="352" spans="1:19" ht="15" x14ac:dyDescent="0.25">
      <c r="A352" s="109"/>
      <c r="B352" s="109"/>
      <c r="C352" s="111"/>
      <c r="D352" s="111"/>
      <c r="E352" s="111"/>
      <c r="F352" s="111"/>
      <c r="G352" s="112"/>
      <c r="H352" s="114"/>
      <c r="I352" s="111"/>
      <c r="J352" s="111"/>
      <c r="K352" s="111"/>
      <c r="L352" s="112"/>
      <c r="M352" s="111"/>
      <c r="N352" s="111"/>
      <c r="O352" s="111"/>
      <c r="P352" s="111"/>
      <c r="Q352" s="111"/>
      <c r="R352" s="112"/>
      <c r="S352" s="112"/>
    </row>
    <row r="353" spans="1:19" ht="15" x14ac:dyDescent="0.25">
      <c r="A353" s="109"/>
      <c r="B353" s="109"/>
      <c r="C353" s="78"/>
      <c r="D353" s="78"/>
      <c r="E353" s="78"/>
      <c r="F353" s="78"/>
      <c r="G353" s="110"/>
      <c r="H353" s="115"/>
      <c r="I353" s="78"/>
      <c r="J353" s="78"/>
      <c r="K353" s="78"/>
      <c r="L353" s="110"/>
      <c r="M353" s="78"/>
      <c r="N353" s="78"/>
      <c r="O353" s="78"/>
      <c r="P353" s="78"/>
      <c r="Q353" s="78"/>
      <c r="R353" s="110"/>
      <c r="S353" s="110"/>
    </row>
    <row r="354" spans="1:19" ht="15" x14ac:dyDescent="0.25">
      <c r="A354" s="109"/>
      <c r="B354" s="109"/>
      <c r="C354" s="111"/>
      <c r="D354" s="111"/>
      <c r="E354" s="111"/>
      <c r="F354" s="111"/>
      <c r="G354" s="112"/>
      <c r="H354" s="114"/>
      <c r="I354" s="111"/>
      <c r="J354" s="111"/>
      <c r="K354" s="111"/>
      <c r="L354" s="112"/>
      <c r="M354" s="111"/>
      <c r="N354" s="111"/>
      <c r="O354" s="111"/>
      <c r="P354" s="111"/>
      <c r="Q354" s="111"/>
      <c r="R354" s="112"/>
      <c r="S354" s="112"/>
    </row>
    <row r="355" spans="1:19" ht="15" x14ac:dyDescent="0.25">
      <c r="A355" s="109"/>
      <c r="B355" s="109"/>
      <c r="C355" s="78"/>
      <c r="D355" s="78"/>
      <c r="E355" s="78"/>
      <c r="F355" s="78"/>
      <c r="G355" s="110"/>
      <c r="H355" s="115"/>
      <c r="I355" s="78"/>
      <c r="J355" s="78"/>
      <c r="K355" s="78"/>
      <c r="L355" s="110"/>
      <c r="M355" s="78"/>
      <c r="N355" s="78"/>
      <c r="O355" s="78"/>
      <c r="P355" s="78"/>
      <c r="Q355" s="78"/>
      <c r="R355" s="110"/>
      <c r="S355" s="110"/>
    </row>
    <row r="356" spans="1:19" ht="15" x14ac:dyDescent="0.25">
      <c r="A356" s="109"/>
      <c r="B356" s="109"/>
      <c r="C356" s="111"/>
      <c r="D356" s="111"/>
      <c r="E356" s="111"/>
      <c r="F356" s="111"/>
      <c r="G356" s="112"/>
      <c r="H356" s="114"/>
      <c r="I356" s="111"/>
      <c r="J356" s="111"/>
      <c r="K356" s="111"/>
      <c r="L356" s="112"/>
      <c r="M356" s="111"/>
      <c r="N356" s="111"/>
      <c r="O356" s="111"/>
      <c r="P356" s="111"/>
      <c r="Q356" s="111"/>
      <c r="R356" s="112"/>
      <c r="S356" s="112"/>
    </row>
    <row r="357" spans="1:19" ht="15" x14ac:dyDescent="0.25">
      <c r="A357" s="109"/>
      <c r="B357" s="109"/>
      <c r="C357" s="78"/>
      <c r="D357" s="78"/>
      <c r="E357" s="78"/>
      <c r="F357" s="78"/>
      <c r="G357" s="110"/>
      <c r="H357" s="115"/>
      <c r="I357" s="78"/>
      <c r="J357" s="78"/>
      <c r="K357" s="78"/>
      <c r="L357" s="110"/>
      <c r="M357" s="78"/>
      <c r="N357" s="78"/>
      <c r="O357" s="78"/>
      <c r="P357" s="78"/>
      <c r="Q357" s="78"/>
      <c r="R357" s="110"/>
      <c r="S357" s="110"/>
    </row>
    <row r="358" spans="1:19" ht="15" x14ac:dyDescent="0.25">
      <c r="A358" s="109"/>
      <c r="B358" s="109"/>
      <c r="C358" s="111"/>
      <c r="D358" s="111"/>
      <c r="E358" s="111"/>
      <c r="F358" s="111"/>
      <c r="G358" s="112"/>
      <c r="H358" s="114"/>
      <c r="I358" s="111"/>
      <c r="J358" s="111"/>
      <c r="K358" s="111"/>
      <c r="L358" s="112"/>
      <c r="M358" s="111"/>
      <c r="N358" s="111"/>
      <c r="O358" s="111"/>
      <c r="P358" s="111"/>
      <c r="Q358" s="111"/>
      <c r="R358" s="112"/>
      <c r="S358" s="112"/>
    </row>
    <row r="359" spans="1:19" ht="15" x14ac:dyDescent="0.25">
      <c r="A359" s="109"/>
      <c r="B359" s="109"/>
      <c r="C359" s="78"/>
      <c r="D359" s="78"/>
      <c r="E359" s="78"/>
      <c r="F359" s="78"/>
      <c r="G359" s="110"/>
      <c r="H359" s="115"/>
      <c r="I359" s="78"/>
      <c r="J359" s="78"/>
      <c r="K359" s="78"/>
      <c r="L359" s="110"/>
      <c r="M359" s="78"/>
      <c r="N359" s="78"/>
      <c r="O359" s="78"/>
      <c r="P359" s="78"/>
      <c r="Q359" s="78"/>
      <c r="R359" s="110"/>
      <c r="S359" s="110"/>
    </row>
    <row r="360" spans="1:19" ht="15" x14ac:dyDescent="0.25">
      <c r="A360" s="109"/>
      <c r="B360" s="109"/>
      <c r="C360" s="111"/>
      <c r="D360" s="111"/>
      <c r="E360" s="111"/>
      <c r="F360" s="111"/>
      <c r="G360" s="112"/>
      <c r="H360" s="114"/>
      <c r="I360" s="111"/>
      <c r="J360" s="111"/>
      <c r="K360" s="111"/>
      <c r="L360" s="112"/>
      <c r="M360" s="111"/>
      <c r="N360" s="111"/>
      <c r="O360" s="111"/>
      <c r="P360" s="111"/>
      <c r="Q360" s="111"/>
      <c r="R360" s="112"/>
      <c r="S360" s="112"/>
    </row>
    <row r="361" spans="1:19" ht="15" x14ac:dyDescent="0.25">
      <c r="A361" s="109"/>
      <c r="B361" s="109"/>
      <c r="C361" s="78"/>
      <c r="D361" s="78"/>
      <c r="E361" s="78"/>
      <c r="F361" s="78"/>
      <c r="G361" s="110"/>
      <c r="H361" s="115"/>
      <c r="I361" s="78"/>
      <c r="J361" s="78"/>
      <c r="K361" s="78"/>
      <c r="L361" s="110"/>
      <c r="M361" s="78"/>
      <c r="N361" s="78"/>
      <c r="O361" s="78"/>
      <c r="P361" s="78"/>
      <c r="Q361" s="78"/>
      <c r="R361" s="110"/>
      <c r="S361" s="110"/>
    </row>
    <row r="362" spans="1:19" ht="15" x14ac:dyDescent="0.25">
      <c r="A362" s="109"/>
      <c r="B362" s="109"/>
      <c r="C362" s="111"/>
      <c r="D362" s="111"/>
      <c r="E362" s="111"/>
      <c r="F362" s="111"/>
      <c r="G362" s="112"/>
      <c r="H362" s="114"/>
      <c r="I362" s="111"/>
      <c r="J362" s="111"/>
      <c r="K362" s="111"/>
      <c r="L362" s="112"/>
      <c r="M362" s="111"/>
      <c r="N362" s="111"/>
      <c r="O362" s="111"/>
      <c r="P362" s="111"/>
      <c r="Q362" s="111"/>
      <c r="R362" s="112"/>
      <c r="S362" s="112"/>
    </row>
    <row r="363" spans="1:19" ht="15" x14ac:dyDescent="0.25">
      <c r="A363" s="109"/>
      <c r="B363" s="109"/>
      <c r="C363" s="78"/>
      <c r="D363" s="78"/>
      <c r="E363" s="78"/>
      <c r="F363" s="78"/>
      <c r="G363" s="110"/>
      <c r="H363" s="115"/>
      <c r="I363" s="78"/>
      <c r="J363" s="78"/>
      <c r="K363" s="78"/>
      <c r="L363" s="110"/>
      <c r="M363" s="78"/>
      <c r="N363" s="78"/>
      <c r="O363" s="78"/>
      <c r="P363" s="78"/>
      <c r="Q363" s="78"/>
      <c r="R363" s="110"/>
      <c r="S363" s="110"/>
    </row>
    <row r="364" spans="1:19" ht="15" x14ac:dyDescent="0.25">
      <c r="A364" s="109"/>
      <c r="B364" s="109"/>
      <c r="C364" s="111"/>
      <c r="D364" s="111"/>
      <c r="E364" s="111"/>
      <c r="F364" s="111"/>
      <c r="G364" s="112"/>
      <c r="H364" s="114"/>
      <c r="I364" s="111"/>
      <c r="J364" s="111"/>
      <c r="K364" s="111"/>
      <c r="L364" s="112"/>
      <c r="M364" s="111"/>
      <c r="N364" s="111"/>
      <c r="O364" s="111"/>
      <c r="P364" s="111"/>
      <c r="Q364" s="111"/>
      <c r="R364" s="112"/>
      <c r="S364" s="112"/>
    </row>
    <row r="365" spans="1:19" ht="15" x14ac:dyDescent="0.25">
      <c r="A365" s="109"/>
      <c r="B365" s="109"/>
      <c r="C365" s="78"/>
      <c r="D365" s="78"/>
      <c r="E365" s="78"/>
      <c r="F365" s="78"/>
      <c r="G365" s="110"/>
      <c r="H365" s="115"/>
      <c r="I365" s="78"/>
      <c r="J365" s="78"/>
      <c r="K365" s="78"/>
      <c r="L365" s="110"/>
      <c r="M365" s="78"/>
      <c r="N365" s="78"/>
      <c r="O365" s="78"/>
      <c r="P365" s="78"/>
      <c r="Q365" s="78"/>
      <c r="R365" s="110"/>
      <c r="S365" s="110"/>
    </row>
    <row r="366" spans="1:19" ht="15" x14ac:dyDescent="0.25">
      <c r="A366" s="109"/>
      <c r="B366" s="109"/>
      <c r="C366" s="111"/>
      <c r="D366" s="111"/>
      <c r="E366" s="111"/>
      <c r="F366" s="111"/>
      <c r="G366" s="112"/>
      <c r="H366" s="114"/>
      <c r="I366" s="111"/>
      <c r="J366" s="111"/>
      <c r="K366" s="111"/>
      <c r="L366" s="112"/>
      <c r="M366" s="111"/>
      <c r="N366" s="111"/>
      <c r="O366" s="111"/>
      <c r="P366" s="111"/>
      <c r="Q366" s="111"/>
      <c r="R366" s="112"/>
      <c r="S366" s="112"/>
    </row>
    <row r="367" spans="1:19" ht="15" x14ac:dyDescent="0.25">
      <c r="A367" s="109"/>
      <c r="B367" s="109"/>
      <c r="C367" s="78"/>
      <c r="D367" s="78"/>
      <c r="E367" s="78"/>
      <c r="F367" s="78"/>
      <c r="G367" s="110"/>
      <c r="H367" s="115"/>
      <c r="I367" s="78"/>
      <c r="J367" s="78"/>
      <c r="K367" s="78"/>
      <c r="L367" s="110"/>
      <c r="M367" s="78"/>
      <c r="N367" s="78"/>
      <c r="O367" s="78"/>
      <c r="P367" s="78"/>
      <c r="Q367" s="78"/>
      <c r="R367" s="110"/>
      <c r="S367" s="110"/>
    </row>
    <row r="368" spans="1:19" ht="15" x14ac:dyDescent="0.25">
      <c r="A368" s="109"/>
      <c r="B368" s="109"/>
      <c r="C368" s="111"/>
      <c r="D368" s="111"/>
      <c r="E368" s="111"/>
      <c r="F368" s="111"/>
      <c r="G368" s="112"/>
      <c r="H368" s="114"/>
      <c r="I368" s="111"/>
      <c r="J368" s="111"/>
      <c r="K368" s="111"/>
      <c r="L368" s="112"/>
      <c r="M368" s="111"/>
      <c r="N368" s="111"/>
      <c r="O368" s="111"/>
      <c r="P368" s="111"/>
      <c r="Q368" s="111"/>
      <c r="R368" s="112"/>
      <c r="S368" s="112"/>
    </row>
    <row r="369" spans="1:19" ht="15" x14ac:dyDescent="0.25">
      <c r="A369" s="109"/>
      <c r="B369" s="109"/>
      <c r="C369" s="78"/>
      <c r="D369" s="78"/>
      <c r="E369" s="78"/>
      <c r="F369" s="78"/>
      <c r="G369" s="110"/>
      <c r="H369" s="115"/>
      <c r="I369" s="78"/>
      <c r="J369" s="78"/>
      <c r="K369" s="78"/>
      <c r="L369" s="110"/>
      <c r="M369" s="78"/>
      <c r="N369" s="78"/>
      <c r="O369" s="78"/>
      <c r="P369" s="78"/>
      <c r="Q369" s="78"/>
      <c r="R369" s="110"/>
      <c r="S369" s="110"/>
    </row>
    <row r="370" spans="1:19" ht="15" x14ac:dyDescent="0.25">
      <c r="A370" s="109"/>
      <c r="B370" s="109"/>
      <c r="C370" s="111"/>
      <c r="D370" s="111"/>
      <c r="E370" s="111"/>
      <c r="F370" s="111"/>
      <c r="G370" s="112"/>
      <c r="H370" s="114"/>
      <c r="I370" s="111"/>
      <c r="J370" s="111"/>
      <c r="K370" s="111"/>
      <c r="L370" s="112"/>
      <c r="M370" s="111"/>
      <c r="N370" s="111"/>
      <c r="O370" s="111"/>
      <c r="P370" s="111"/>
      <c r="Q370" s="111"/>
      <c r="R370" s="112"/>
      <c r="S370" s="112"/>
    </row>
    <row r="371" spans="1:19" ht="15" x14ac:dyDescent="0.25">
      <c r="A371" s="109"/>
      <c r="B371" s="109"/>
      <c r="C371" s="78"/>
      <c r="D371" s="78"/>
      <c r="E371" s="78"/>
      <c r="F371" s="78"/>
      <c r="G371" s="110"/>
      <c r="H371" s="115"/>
      <c r="I371" s="78"/>
      <c r="J371" s="78"/>
      <c r="K371" s="78"/>
      <c r="L371" s="110"/>
      <c r="M371" s="78"/>
      <c r="N371" s="78"/>
      <c r="O371" s="78"/>
      <c r="P371" s="78"/>
      <c r="Q371" s="78"/>
      <c r="R371" s="110"/>
      <c r="S371" s="110"/>
    </row>
    <row r="372" spans="1:19" ht="15" x14ac:dyDescent="0.25">
      <c r="A372" s="109"/>
      <c r="B372" s="109"/>
      <c r="C372" s="111"/>
      <c r="D372" s="111"/>
      <c r="E372" s="111"/>
      <c r="F372" s="111"/>
      <c r="G372" s="112"/>
      <c r="H372" s="114"/>
      <c r="I372" s="111"/>
      <c r="J372" s="111"/>
      <c r="K372" s="111"/>
      <c r="L372" s="112"/>
      <c r="M372" s="111"/>
      <c r="N372" s="111"/>
      <c r="O372" s="111"/>
      <c r="P372" s="111"/>
      <c r="Q372" s="111"/>
      <c r="R372" s="112"/>
      <c r="S372" s="112"/>
    </row>
    <row r="373" spans="1:19" ht="15" x14ac:dyDescent="0.25">
      <c r="A373" s="109"/>
      <c r="B373" s="109"/>
      <c r="C373" s="78"/>
      <c r="D373" s="78"/>
      <c r="E373" s="78"/>
      <c r="F373" s="78"/>
      <c r="G373" s="110"/>
      <c r="H373" s="115"/>
      <c r="I373" s="78"/>
      <c r="J373" s="78"/>
      <c r="K373" s="78"/>
      <c r="L373" s="110"/>
      <c r="M373" s="78"/>
      <c r="N373" s="78"/>
      <c r="O373" s="78"/>
      <c r="P373" s="78"/>
      <c r="Q373" s="78"/>
      <c r="R373" s="110"/>
      <c r="S373" s="110"/>
    </row>
    <row r="374" spans="1:19" ht="15" x14ac:dyDescent="0.25">
      <c r="A374" s="109"/>
      <c r="B374" s="109"/>
      <c r="C374" s="111"/>
      <c r="D374" s="111"/>
      <c r="E374" s="111"/>
      <c r="F374" s="111"/>
      <c r="G374" s="112"/>
      <c r="H374" s="114"/>
      <c r="I374" s="111"/>
      <c r="J374" s="111"/>
      <c r="K374" s="111"/>
      <c r="L374" s="112"/>
      <c r="M374" s="111"/>
      <c r="N374" s="111"/>
      <c r="O374" s="111"/>
      <c r="P374" s="111"/>
      <c r="Q374" s="111"/>
      <c r="R374" s="112"/>
      <c r="S374" s="112"/>
    </row>
    <row r="375" spans="1:19" ht="15" x14ac:dyDescent="0.25">
      <c r="A375" s="109"/>
      <c r="B375" s="109"/>
      <c r="C375" s="78"/>
      <c r="D375" s="78"/>
      <c r="E375" s="78"/>
      <c r="F375" s="78"/>
      <c r="G375" s="110"/>
      <c r="H375" s="115"/>
      <c r="I375" s="78"/>
      <c r="J375" s="78"/>
      <c r="K375" s="78"/>
      <c r="L375" s="110"/>
      <c r="M375" s="78"/>
      <c r="N375" s="78"/>
      <c r="O375" s="78"/>
      <c r="P375" s="78"/>
      <c r="Q375" s="78"/>
      <c r="R375" s="110"/>
      <c r="S375" s="110"/>
    </row>
    <row r="376" spans="1:19" ht="15" x14ac:dyDescent="0.25">
      <c r="A376" s="109"/>
      <c r="B376" s="109"/>
      <c r="C376" s="111"/>
      <c r="D376" s="111"/>
      <c r="E376" s="111"/>
      <c r="F376" s="111"/>
      <c r="G376" s="112"/>
      <c r="H376" s="114"/>
      <c r="I376" s="111"/>
      <c r="J376" s="111"/>
      <c r="K376" s="111"/>
      <c r="L376" s="112"/>
      <c r="M376" s="111"/>
      <c r="N376" s="111"/>
      <c r="O376" s="111"/>
      <c r="P376" s="111"/>
      <c r="Q376" s="111"/>
      <c r="R376" s="112"/>
      <c r="S376" s="112"/>
    </row>
    <row r="377" spans="1:19" ht="15" x14ac:dyDescent="0.25">
      <c r="A377" s="109"/>
      <c r="B377" s="109"/>
      <c r="C377" s="78"/>
      <c r="D377" s="78"/>
      <c r="E377" s="78"/>
      <c r="F377" s="78"/>
      <c r="G377" s="110"/>
      <c r="H377" s="115"/>
      <c r="I377" s="78"/>
      <c r="J377" s="78"/>
      <c r="K377" s="78"/>
      <c r="L377" s="110"/>
      <c r="M377" s="78"/>
      <c r="N377" s="78"/>
      <c r="O377" s="78"/>
      <c r="P377" s="78"/>
      <c r="Q377" s="78"/>
      <c r="R377" s="110"/>
      <c r="S377" s="110"/>
    </row>
    <row r="378" spans="1:19" ht="15" x14ac:dyDescent="0.25">
      <c r="A378" s="109"/>
      <c r="B378" s="109"/>
      <c r="C378" s="111"/>
      <c r="D378" s="111"/>
      <c r="E378" s="111"/>
      <c r="F378" s="111"/>
      <c r="G378" s="112"/>
      <c r="H378" s="114"/>
      <c r="I378" s="111"/>
      <c r="J378" s="111"/>
      <c r="K378" s="111"/>
      <c r="L378" s="112"/>
      <c r="M378" s="111"/>
      <c r="N378" s="111"/>
      <c r="O378" s="111"/>
      <c r="P378" s="111"/>
      <c r="Q378" s="111"/>
      <c r="R378" s="112"/>
      <c r="S378" s="112"/>
    </row>
    <row r="379" spans="1:19" ht="15" x14ac:dyDescent="0.25">
      <c r="A379" s="109"/>
      <c r="B379" s="109"/>
      <c r="C379" s="78"/>
      <c r="D379" s="78"/>
      <c r="E379" s="78"/>
      <c r="F379" s="78"/>
      <c r="G379" s="110"/>
      <c r="H379" s="115"/>
      <c r="I379" s="78"/>
      <c r="J379" s="78"/>
      <c r="K379" s="78"/>
      <c r="L379" s="110"/>
      <c r="M379" s="78"/>
      <c r="N379" s="78"/>
      <c r="O379" s="78"/>
      <c r="P379" s="78"/>
      <c r="Q379" s="78"/>
      <c r="R379" s="110"/>
      <c r="S379" s="110"/>
    </row>
    <row r="380" spans="1:19" ht="15" x14ac:dyDescent="0.25">
      <c r="A380" s="109"/>
      <c r="B380" s="109"/>
      <c r="C380" s="111"/>
      <c r="D380" s="111"/>
      <c r="E380" s="111"/>
      <c r="F380" s="111"/>
      <c r="G380" s="112"/>
      <c r="H380" s="114"/>
      <c r="I380" s="111"/>
      <c r="J380" s="111"/>
      <c r="K380" s="111"/>
      <c r="L380" s="112"/>
      <c r="M380" s="111"/>
      <c r="N380" s="111"/>
      <c r="O380" s="111"/>
      <c r="P380" s="111"/>
      <c r="Q380" s="111"/>
      <c r="R380" s="112"/>
      <c r="S380" s="112"/>
    </row>
    <row r="381" spans="1:19" ht="15" x14ac:dyDescent="0.25">
      <c r="A381" s="109"/>
      <c r="B381" s="109"/>
      <c r="C381" s="78"/>
      <c r="D381" s="78"/>
      <c r="E381" s="78"/>
      <c r="F381" s="78"/>
      <c r="G381" s="110"/>
      <c r="H381" s="115"/>
      <c r="I381" s="78"/>
      <c r="J381" s="78"/>
      <c r="K381" s="78"/>
      <c r="L381" s="110"/>
      <c r="M381" s="78"/>
      <c r="N381" s="78"/>
      <c r="O381" s="78"/>
      <c r="P381" s="78"/>
      <c r="Q381" s="78"/>
      <c r="R381" s="110"/>
      <c r="S381" s="110"/>
    </row>
    <row r="382" spans="1:19" ht="15" x14ac:dyDescent="0.25">
      <c r="A382" s="109"/>
      <c r="B382" s="109"/>
      <c r="C382" s="111"/>
      <c r="D382" s="111"/>
      <c r="E382" s="111"/>
      <c r="F382" s="111"/>
      <c r="G382" s="112"/>
      <c r="H382" s="114"/>
      <c r="I382" s="111"/>
      <c r="J382" s="111"/>
      <c r="K382" s="111"/>
      <c r="L382" s="112"/>
      <c r="M382" s="111"/>
      <c r="N382" s="111"/>
      <c r="O382" s="111"/>
      <c r="P382" s="111"/>
      <c r="Q382" s="111"/>
      <c r="R382" s="112"/>
      <c r="S382" s="112"/>
    </row>
    <row r="383" spans="1:19" ht="15" x14ac:dyDescent="0.25">
      <c r="A383" s="109"/>
      <c r="B383" s="109"/>
      <c r="C383" s="78"/>
      <c r="D383" s="78"/>
      <c r="E383" s="78"/>
      <c r="F383" s="78"/>
      <c r="G383" s="110"/>
      <c r="H383" s="115"/>
      <c r="I383" s="78"/>
      <c r="J383" s="78"/>
      <c r="K383" s="78"/>
      <c r="L383" s="110"/>
      <c r="M383" s="78"/>
      <c r="N383" s="78"/>
      <c r="O383" s="78"/>
      <c r="P383" s="78"/>
      <c r="Q383" s="78"/>
      <c r="R383" s="110"/>
      <c r="S383" s="110"/>
    </row>
    <row r="384" spans="1:19" ht="15" x14ac:dyDescent="0.25">
      <c r="A384" s="109"/>
      <c r="B384" s="109"/>
      <c r="C384" s="111"/>
      <c r="D384" s="111"/>
      <c r="E384" s="111"/>
      <c r="F384" s="111"/>
      <c r="G384" s="112"/>
      <c r="H384" s="114"/>
      <c r="I384" s="111"/>
      <c r="J384" s="111"/>
      <c r="K384" s="111"/>
      <c r="L384" s="112"/>
      <c r="M384" s="111"/>
      <c r="N384" s="111"/>
      <c r="O384" s="111"/>
      <c r="P384" s="111"/>
      <c r="Q384" s="111"/>
      <c r="R384" s="112"/>
      <c r="S384" s="112"/>
    </row>
    <row r="385" spans="1:19" ht="15" x14ac:dyDescent="0.25">
      <c r="A385" s="109"/>
      <c r="B385" s="109"/>
      <c r="C385" s="78"/>
      <c r="D385" s="78"/>
      <c r="E385" s="78"/>
      <c r="F385" s="78"/>
      <c r="G385" s="110"/>
      <c r="H385" s="115"/>
      <c r="I385" s="78"/>
      <c r="J385" s="78"/>
      <c r="K385" s="78"/>
      <c r="L385" s="110"/>
      <c r="M385" s="78"/>
      <c r="N385" s="78"/>
      <c r="O385" s="78"/>
      <c r="P385" s="78"/>
      <c r="Q385" s="78"/>
      <c r="R385" s="110"/>
      <c r="S385" s="110"/>
    </row>
    <row r="386" spans="1:19" ht="15" x14ac:dyDescent="0.25">
      <c r="A386" s="109"/>
      <c r="B386" s="109"/>
      <c r="C386" s="111"/>
      <c r="D386" s="111"/>
      <c r="E386" s="111"/>
      <c r="F386" s="111"/>
      <c r="G386" s="112"/>
      <c r="H386" s="114"/>
      <c r="I386" s="111"/>
      <c r="J386" s="111"/>
      <c r="K386" s="111"/>
      <c r="L386" s="112"/>
      <c r="M386" s="111"/>
      <c r="N386" s="111"/>
      <c r="O386" s="111"/>
      <c r="P386" s="111"/>
      <c r="Q386" s="111"/>
      <c r="R386" s="112"/>
      <c r="S386" s="112"/>
    </row>
    <row r="387" spans="1:19" ht="15" x14ac:dyDescent="0.25">
      <c r="A387" s="109"/>
      <c r="B387" s="109"/>
      <c r="C387" s="78"/>
      <c r="D387" s="78"/>
      <c r="E387" s="78"/>
      <c r="F387" s="78"/>
      <c r="G387" s="110"/>
      <c r="H387" s="115"/>
      <c r="I387" s="78"/>
      <c r="J387" s="78"/>
      <c r="K387" s="78"/>
      <c r="L387" s="110"/>
      <c r="M387" s="78"/>
      <c r="N387" s="78"/>
      <c r="O387" s="78"/>
      <c r="P387" s="78"/>
      <c r="Q387" s="78"/>
      <c r="R387" s="110"/>
      <c r="S387" s="110"/>
    </row>
    <row r="388" spans="1:19" ht="15" x14ac:dyDescent="0.25">
      <c r="A388" s="109"/>
      <c r="B388" s="109"/>
      <c r="C388" s="111"/>
      <c r="D388" s="111"/>
      <c r="E388" s="111"/>
      <c r="F388" s="111"/>
      <c r="G388" s="112"/>
      <c r="H388" s="114"/>
      <c r="I388" s="111"/>
      <c r="J388" s="111"/>
      <c r="K388" s="111"/>
      <c r="L388" s="112"/>
      <c r="M388" s="111"/>
      <c r="N388" s="111"/>
      <c r="O388" s="111"/>
      <c r="P388" s="111"/>
      <c r="Q388" s="111"/>
      <c r="R388" s="112"/>
      <c r="S388" s="112"/>
    </row>
    <row r="389" spans="1:19" ht="15" x14ac:dyDescent="0.25">
      <c r="A389" s="109"/>
      <c r="B389" s="109"/>
      <c r="C389" s="78"/>
      <c r="D389" s="78"/>
      <c r="E389" s="78"/>
      <c r="F389" s="78"/>
      <c r="G389" s="110"/>
      <c r="H389" s="115"/>
      <c r="I389" s="78"/>
      <c r="J389" s="78"/>
      <c r="K389" s="78"/>
      <c r="L389" s="110"/>
      <c r="M389" s="78"/>
      <c r="N389" s="78"/>
      <c r="O389" s="78"/>
      <c r="P389" s="78"/>
      <c r="Q389" s="78"/>
      <c r="R389" s="110"/>
      <c r="S389" s="110"/>
    </row>
    <row r="390" spans="1:19" ht="15" x14ac:dyDescent="0.25">
      <c r="A390" s="109"/>
      <c r="B390" s="109"/>
      <c r="C390" s="111"/>
      <c r="D390" s="111"/>
      <c r="E390" s="111"/>
      <c r="F390" s="111"/>
      <c r="G390" s="112"/>
      <c r="H390" s="114"/>
      <c r="I390" s="111"/>
      <c r="J390" s="111"/>
      <c r="K390" s="111"/>
      <c r="L390" s="112"/>
      <c r="M390" s="111"/>
      <c r="N390" s="111"/>
      <c r="O390" s="111"/>
      <c r="P390" s="111"/>
      <c r="Q390" s="111"/>
      <c r="R390" s="112"/>
      <c r="S390" s="112"/>
    </row>
    <row r="391" spans="1:19" ht="15" x14ac:dyDescent="0.25">
      <c r="A391" s="109"/>
      <c r="B391" s="109"/>
      <c r="C391" s="78"/>
      <c r="D391" s="78"/>
      <c r="E391" s="78"/>
      <c r="F391" s="78"/>
      <c r="G391" s="110"/>
      <c r="H391" s="115"/>
      <c r="I391" s="78"/>
      <c r="J391" s="78"/>
      <c r="K391" s="78"/>
      <c r="L391" s="110"/>
      <c r="M391" s="78"/>
      <c r="N391" s="78"/>
      <c r="O391" s="78"/>
      <c r="P391" s="78"/>
      <c r="Q391" s="78"/>
      <c r="R391" s="110"/>
      <c r="S391" s="110"/>
    </row>
    <row r="392" spans="1:19" ht="15" x14ac:dyDescent="0.25">
      <c r="A392" s="109"/>
      <c r="B392" s="109"/>
      <c r="C392" s="111"/>
      <c r="D392" s="111"/>
      <c r="E392" s="111"/>
      <c r="F392" s="111"/>
      <c r="G392" s="112"/>
      <c r="H392" s="114"/>
      <c r="I392" s="111"/>
      <c r="J392" s="111"/>
      <c r="K392" s="111"/>
      <c r="L392" s="112"/>
      <c r="M392" s="111"/>
      <c r="N392" s="111"/>
      <c r="O392" s="111"/>
      <c r="P392" s="111"/>
      <c r="Q392" s="111"/>
      <c r="R392" s="112"/>
      <c r="S392" s="112"/>
    </row>
    <row r="393" spans="1:19" ht="15" x14ac:dyDescent="0.25">
      <c r="A393" s="109"/>
      <c r="B393" s="109"/>
      <c r="C393" s="78"/>
      <c r="D393" s="78"/>
      <c r="E393" s="78"/>
      <c r="F393" s="78"/>
      <c r="G393" s="110"/>
      <c r="H393" s="115"/>
      <c r="I393" s="78"/>
      <c r="J393" s="78"/>
      <c r="K393" s="78"/>
      <c r="L393" s="110"/>
      <c r="M393" s="78"/>
      <c r="N393" s="78"/>
      <c r="O393" s="78"/>
      <c r="P393" s="78"/>
      <c r="Q393" s="78"/>
      <c r="R393" s="110"/>
      <c r="S393" s="110"/>
    </row>
    <row r="394" spans="1:19" ht="15" x14ac:dyDescent="0.25">
      <c r="A394" s="109"/>
      <c r="B394" s="109"/>
      <c r="C394" s="111"/>
      <c r="D394" s="111"/>
      <c r="E394" s="111"/>
      <c r="F394" s="111"/>
      <c r="G394" s="112"/>
      <c r="H394" s="114"/>
      <c r="I394" s="111"/>
      <c r="J394" s="111"/>
      <c r="K394" s="111"/>
      <c r="L394" s="112"/>
      <c r="M394" s="111"/>
      <c r="N394" s="111"/>
      <c r="O394" s="111"/>
      <c r="P394" s="111"/>
      <c r="Q394" s="111"/>
      <c r="R394" s="112"/>
      <c r="S394" s="112"/>
    </row>
    <row r="395" spans="1:19" ht="15" x14ac:dyDescent="0.25">
      <c r="A395" s="109"/>
      <c r="B395" s="109"/>
      <c r="C395" s="78"/>
      <c r="D395" s="78"/>
      <c r="E395" s="78"/>
      <c r="F395" s="78"/>
      <c r="G395" s="110"/>
      <c r="H395" s="115"/>
      <c r="I395" s="78"/>
      <c r="J395" s="78"/>
      <c r="K395" s="78"/>
      <c r="L395" s="110"/>
      <c r="M395" s="78"/>
      <c r="N395" s="78"/>
      <c r="O395" s="78"/>
      <c r="P395" s="78"/>
      <c r="Q395" s="78"/>
      <c r="R395" s="110"/>
      <c r="S395" s="110"/>
    </row>
    <row r="396" spans="1:19" ht="15" x14ac:dyDescent="0.25">
      <c r="A396" s="109"/>
      <c r="B396" s="109"/>
      <c r="C396" s="111"/>
      <c r="D396" s="111"/>
      <c r="E396" s="111"/>
      <c r="F396" s="111"/>
      <c r="G396" s="112"/>
      <c r="H396" s="114"/>
      <c r="I396" s="111"/>
      <c r="J396" s="111"/>
      <c r="K396" s="111"/>
      <c r="L396" s="112"/>
      <c r="M396" s="111"/>
      <c r="N396" s="111"/>
      <c r="O396" s="111"/>
      <c r="P396" s="111"/>
      <c r="Q396" s="111"/>
      <c r="R396" s="112"/>
      <c r="S396" s="112"/>
    </row>
    <row r="397" spans="1:19" ht="15" x14ac:dyDescent="0.25">
      <c r="A397" s="109"/>
      <c r="B397" s="109"/>
      <c r="C397" s="78"/>
      <c r="D397" s="78"/>
      <c r="E397" s="78"/>
      <c r="F397" s="78"/>
      <c r="G397" s="110"/>
      <c r="H397" s="115"/>
      <c r="I397" s="78"/>
      <c r="J397" s="78"/>
      <c r="K397" s="78"/>
      <c r="L397" s="110"/>
      <c r="M397" s="78"/>
      <c r="N397" s="78"/>
      <c r="O397" s="78"/>
      <c r="P397" s="78"/>
      <c r="Q397" s="78"/>
      <c r="R397" s="110"/>
      <c r="S397" s="110"/>
    </row>
    <row r="398" spans="1:19" ht="15" x14ac:dyDescent="0.25">
      <c r="A398" s="109"/>
      <c r="B398" s="109"/>
      <c r="C398" s="111"/>
      <c r="D398" s="111"/>
      <c r="E398" s="111"/>
      <c r="F398" s="111"/>
      <c r="G398" s="112"/>
      <c r="H398" s="114"/>
      <c r="I398" s="111"/>
      <c r="J398" s="111"/>
      <c r="K398" s="111"/>
      <c r="L398" s="112"/>
      <c r="M398" s="111"/>
      <c r="N398" s="111"/>
      <c r="O398" s="111"/>
      <c r="P398" s="111"/>
      <c r="Q398" s="111"/>
      <c r="R398" s="112"/>
      <c r="S398" s="112"/>
    </row>
    <row r="399" spans="1:19" ht="15" x14ac:dyDescent="0.25">
      <c r="A399" s="109"/>
      <c r="B399" s="109"/>
      <c r="C399" s="78"/>
      <c r="D399" s="78"/>
      <c r="E399" s="78"/>
      <c r="F399" s="78"/>
      <c r="G399" s="110"/>
      <c r="H399" s="115"/>
      <c r="I399" s="78"/>
      <c r="J399" s="78"/>
      <c r="K399" s="78"/>
      <c r="L399" s="110"/>
      <c r="M399" s="78"/>
      <c r="N399" s="78"/>
      <c r="O399" s="78"/>
      <c r="P399" s="78"/>
      <c r="Q399" s="78"/>
      <c r="R399" s="110"/>
      <c r="S399" s="110"/>
    </row>
    <row r="400" spans="1:19" ht="15" x14ac:dyDescent="0.25">
      <c r="A400" s="109"/>
      <c r="B400" s="109"/>
      <c r="C400" s="111"/>
      <c r="D400" s="111"/>
      <c r="E400" s="111"/>
      <c r="F400" s="111"/>
      <c r="G400" s="112"/>
      <c r="H400" s="114"/>
      <c r="I400" s="111"/>
      <c r="J400" s="111"/>
      <c r="K400" s="111"/>
      <c r="L400" s="112"/>
      <c r="M400" s="111"/>
      <c r="N400" s="111"/>
      <c r="O400" s="111"/>
      <c r="P400" s="111"/>
      <c r="Q400" s="111"/>
      <c r="R400" s="112"/>
      <c r="S400" s="112"/>
    </row>
    <row r="401" spans="1:19" ht="15" x14ac:dyDescent="0.25">
      <c r="A401" s="109"/>
      <c r="B401" s="109"/>
      <c r="C401" s="78"/>
      <c r="D401" s="78"/>
      <c r="E401" s="78"/>
      <c r="F401" s="78"/>
      <c r="G401" s="110"/>
      <c r="H401" s="115"/>
      <c r="I401" s="78"/>
      <c r="J401" s="78"/>
      <c r="K401" s="78"/>
      <c r="L401" s="110"/>
      <c r="M401" s="78"/>
      <c r="N401" s="78"/>
      <c r="O401" s="78"/>
      <c r="P401" s="78"/>
      <c r="Q401" s="78"/>
      <c r="R401" s="110"/>
      <c r="S401" s="110"/>
    </row>
    <row r="402" spans="1:19" ht="15" x14ac:dyDescent="0.25">
      <c r="A402" s="109"/>
      <c r="B402" s="109"/>
      <c r="C402" s="111"/>
      <c r="D402" s="111"/>
      <c r="E402" s="111"/>
      <c r="F402" s="111"/>
      <c r="G402" s="112"/>
      <c r="H402" s="114"/>
      <c r="I402" s="111"/>
      <c r="J402" s="111"/>
      <c r="K402" s="111"/>
      <c r="L402" s="112"/>
      <c r="M402" s="111"/>
      <c r="N402" s="111"/>
      <c r="O402" s="111"/>
      <c r="P402" s="111"/>
      <c r="Q402" s="111"/>
      <c r="R402" s="112"/>
      <c r="S402" s="112"/>
    </row>
    <row r="403" spans="1:19" ht="15" x14ac:dyDescent="0.25">
      <c r="A403" s="109"/>
      <c r="B403" s="109"/>
      <c r="C403" s="78"/>
      <c r="D403" s="78"/>
      <c r="E403" s="78"/>
      <c r="F403" s="78"/>
      <c r="G403" s="110"/>
      <c r="H403" s="115"/>
      <c r="I403" s="78"/>
      <c r="J403" s="78"/>
      <c r="K403" s="78"/>
      <c r="L403" s="110"/>
      <c r="M403" s="78"/>
      <c r="N403" s="78"/>
      <c r="O403" s="78"/>
      <c r="P403" s="78"/>
      <c r="Q403" s="78"/>
      <c r="R403" s="110"/>
      <c r="S403" s="110"/>
    </row>
    <row r="404" spans="1:19" ht="15" x14ac:dyDescent="0.25">
      <c r="A404" s="109"/>
      <c r="B404" s="109"/>
      <c r="C404" s="111"/>
      <c r="D404" s="111"/>
      <c r="E404" s="111"/>
      <c r="F404" s="111"/>
      <c r="G404" s="112"/>
      <c r="H404" s="114"/>
      <c r="I404" s="111"/>
      <c r="J404" s="111"/>
      <c r="K404" s="111"/>
      <c r="L404" s="112"/>
      <c r="M404" s="111"/>
      <c r="N404" s="111"/>
      <c r="O404" s="111"/>
      <c r="P404" s="111"/>
      <c r="Q404" s="111"/>
      <c r="R404" s="112"/>
      <c r="S404" s="112"/>
    </row>
    <row r="405" spans="1:19" ht="15" x14ac:dyDescent="0.25">
      <c r="A405" s="109"/>
      <c r="B405" s="109"/>
      <c r="C405" s="78"/>
      <c r="D405" s="78"/>
      <c r="E405" s="78"/>
      <c r="F405" s="78"/>
      <c r="G405" s="110"/>
      <c r="H405" s="115"/>
      <c r="I405" s="78"/>
      <c r="J405" s="78"/>
      <c r="K405" s="78"/>
      <c r="L405" s="110"/>
      <c r="M405" s="78"/>
      <c r="N405" s="78"/>
      <c r="O405" s="78"/>
      <c r="P405" s="78"/>
      <c r="Q405" s="78"/>
      <c r="R405" s="110"/>
      <c r="S405" s="110"/>
    </row>
    <row r="406" spans="1:19" ht="15" x14ac:dyDescent="0.25">
      <c r="A406" s="109"/>
      <c r="B406" s="109"/>
      <c r="C406" s="111"/>
      <c r="D406" s="111"/>
      <c r="E406" s="111"/>
      <c r="F406" s="111"/>
      <c r="G406" s="112"/>
      <c r="H406" s="114"/>
      <c r="I406" s="111"/>
      <c r="J406" s="111"/>
      <c r="K406" s="111"/>
      <c r="L406" s="112"/>
      <c r="M406" s="111"/>
      <c r="N406" s="111"/>
      <c r="O406" s="111"/>
      <c r="P406" s="111"/>
      <c r="Q406" s="111"/>
      <c r="R406" s="112"/>
      <c r="S406" s="112"/>
    </row>
    <row r="407" spans="1:19" ht="15" x14ac:dyDescent="0.25">
      <c r="A407" s="109"/>
      <c r="B407" s="109"/>
      <c r="C407" s="78"/>
      <c r="D407" s="78"/>
      <c r="E407" s="78"/>
      <c r="F407" s="78"/>
      <c r="G407" s="110"/>
      <c r="H407" s="115"/>
      <c r="I407" s="78"/>
      <c r="J407" s="78"/>
      <c r="K407" s="78"/>
      <c r="L407" s="110"/>
      <c r="M407" s="78"/>
      <c r="N407" s="78"/>
      <c r="O407" s="78"/>
      <c r="P407" s="78"/>
      <c r="Q407" s="78"/>
      <c r="R407" s="110"/>
      <c r="S407" s="110"/>
    </row>
    <row r="408" spans="1:19" ht="15" x14ac:dyDescent="0.25">
      <c r="A408" s="109"/>
      <c r="B408" s="109"/>
      <c r="C408" s="111"/>
      <c r="D408" s="111"/>
      <c r="E408" s="111"/>
      <c r="F408" s="111"/>
      <c r="G408" s="112"/>
      <c r="H408" s="114"/>
      <c r="I408" s="111"/>
      <c r="J408" s="111"/>
      <c r="K408" s="111"/>
      <c r="L408" s="112"/>
      <c r="M408" s="111"/>
      <c r="N408" s="111"/>
      <c r="O408" s="111"/>
      <c r="P408" s="111"/>
      <c r="Q408" s="111"/>
      <c r="R408" s="112"/>
      <c r="S408" s="112"/>
    </row>
    <row r="409" spans="1:19" ht="15" x14ac:dyDescent="0.25">
      <c r="A409" s="109"/>
      <c r="B409" s="109"/>
      <c r="C409" s="78"/>
      <c r="D409" s="78"/>
      <c r="E409" s="78"/>
      <c r="F409" s="78"/>
      <c r="G409" s="110"/>
      <c r="H409" s="115"/>
      <c r="I409" s="78"/>
      <c r="J409" s="78"/>
      <c r="K409" s="78"/>
      <c r="L409" s="110"/>
      <c r="M409" s="78"/>
      <c r="N409" s="78"/>
      <c r="O409" s="78"/>
      <c r="P409" s="78"/>
      <c r="Q409" s="78"/>
      <c r="R409" s="110"/>
      <c r="S409" s="110"/>
    </row>
    <row r="410" spans="1:19" ht="15" x14ac:dyDescent="0.25">
      <c r="A410" s="109"/>
      <c r="B410" s="109"/>
      <c r="C410" s="111"/>
      <c r="D410" s="111"/>
      <c r="E410" s="111"/>
      <c r="F410" s="111"/>
      <c r="G410" s="112"/>
      <c r="H410" s="114"/>
      <c r="I410" s="111"/>
      <c r="J410" s="111"/>
      <c r="K410" s="111"/>
      <c r="L410" s="112"/>
      <c r="M410" s="111"/>
      <c r="N410" s="111"/>
      <c r="O410" s="111"/>
      <c r="P410" s="111"/>
      <c r="Q410" s="111"/>
      <c r="R410" s="112"/>
      <c r="S410" s="112"/>
    </row>
    <row r="411" spans="1:19" ht="15" x14ac:dyDescent="0.25">
      <c r="A411" s="109"/>
      <c r="B411" s="109"/>
      <c r="C411" s="78"/>
      <c r="D411" s="78"/>
      <c r="E411" s="78"/>
      <c r="F411" s="78"/>
      <c r="G411" s="110"/>
      <c r="H411" s="115"/>
      <c r="I411" s="78"/>
      <c r="J411" s="78"/>
      <c r="K411" s="78"/>
      <c r="L411" s="110"/>
      <c r="M411" s="78"/>
      <c r="N411" s="78"/>
      <c r="O411" s="78"/>
      <c r="P411" s="78"/>
      <c r="Q411" s="78"/>
      <c r="R411" s="110"/>
      <c r="S411" s="110"/>
    </row>
    <row r="412" spans="1:19" ht="15" x14ac:dyDescent="0.25">
      <c r="A412" s="109"/>
      <c r="B412" s="109"/>
      <c r="C412" s="111"/>
      <c r="D412" s="111"/>
      <c r="E412" s="111"/>
      <c r="F412" s="111"/>
      <c r="G412" s="112"/>
      <c r="H412" s="114"/>
      <c r="I412" s="111"/>
      <c r="J412" s="111"/>
      <c r="K412" s="111"/>
      <c r="L412" s="112"/>
      <c r="M412" s="111"/>
      <c r="N412" s="111"/>
      <c r="O412" s="111"/>
      <c r="P412" s="111"/>
      <c r="Q412" s="111"/>
      <c r="R412" s="112"/>
      <c r="S412" s="112"/>
    </row>
    <row r="413" spans="1:19" ht="15" x14ac:dyDescent="0.25">
      <c r="A413" s="109"/>
      <c r="B413" s="109"/>
      <c r="C413" s="78"/>
      <c r="D413" s="78"/>
      <c r="E413" s="78"/>
      <c r="F413" s="78"/>
      <c r="G413" s="110"/>
      <c r="H413" s="115"/>
      <c r="I413" s="78"/>
      <c r="J413" s="78"/>
      <c r="K413" s="78"/>
      <c r="L413" s="110"/>
      <c r="M413" s="78"/>
      <c r="N413" s="78"/>
      <c r="O413" s="78"/>
      <c r="P413" s="78"/>
      <c r="Q413" s="78"/>
      <c r="R413" s="110"/>
      <c r="S413" s="110"/>
    </row>
    <row r="414" spans="1:19" ht="15" x14ac:dyDescent="0.25">
      <c r="A414" s="109"/>
      <c r="B414" s="109"/>
      <c r="C414" s="111"/>
      <c r="D414" s="111"/>
      <c r="E414" s="111"/>
      <c r="F414" s="111"/>
      <c r="G414" s="112"/>
      <c r="H414" s="114"/>
      <c r="I414" s="111"/>
      <c r="J414" s="111"/>
      <c r="K414" s="111"/>
      <c r="L414" s="112"/>
      <c r="M414" s="111"/>
      <c r="N414" s="111"/>
      <c r="O414" s="111"/>
      <c r="P414" s="111"/>
      <c r="Q414" s="111"/>
      <c r="R414" s="112"/>
      <c r="S414" s="112"/>
    </row>
    <row r="415" spans="1:19" ht="15" x14ac:dyDescent="0.25">
      <c r="A415" s="109"/>
      <c r="B415" s="109"/>
      <c r="C415" s="78"/>
      <c r="D415" s="78"/>
      <c r="E415" s="78"/>
      <c r="F415" s="78"/>
      <c r="G415" s="110"/>
      <c r="H415" s="115"/>
      <c r="I415" s="78"/>
      <c r="J415" s="78"/>
      <c r="K415" s="78"/>
      <c r="L415" s="110"/>
      <c r="M415" s="78"/>
      <c r="N415" s="78"/>
      <c r="O415" s="78"/>
      <c r="P415" s="78"/>
      <c r="Q415" s="78"/>
      <c r="R415" s="110"/>
      <c r="S415" s="110"/>
    </row>
    <row r="416" spans="1:19" ht="15" x14ac:dyDescent="0.25">
      <c r="A416" s="109"/>
      <c r="B416" s="109"/>
      <c r="C416" s="111"/>
      <c r="D416" s="111"/>
      <c r="E416" s="111"/>
      <c r="F416" s="111"/>
      <c r="G416" s="112"/>
      <c r="H416" s="114"/>
      <c r="I416" s="111"/>
      <c r="J416" s="111"/>
      <c r="K416" s="111"/>
      <c r="L416" s="112"/>
      <c r="M416" s="111"/>
      <c r="N416" s="111"/>
      <c r="O416" s="111"/>
      <c r="P416" s="111"/>
      <c r="Q416" s="111"/>
      <c r="R416" s="112"/>
      <c r="S416" s="112"/>
    </row>
    <row r="417" spans="1:19" ht="15" x14ac:dyDescent="0.25">
      <c r="A417" s="109"/>
      <c r="B417" s="109"/>
      <c r="C417" s="78"/>
      <c r="D417" s="78"/>
      <c r="E417" s="78"/>
      <c r="F417" s="78"/>
      <c r="G417" s="110"/>
      <c r="H417" s="115"/>
      <c r="I417" s="78"/>
      <c r="J417" s="78"/>
      <c r="K417" s="78"/>
      <c r="L417" s="110"/>
      <c r="M417" s="78"/>
      <c r="N417" s="78"/>
      <c r="O417" s="78"/>
      <c r="P417" s="78"/>
      <c r="Q417" s="78"/>
      <c r="R417" s="110"/>
      <c r="S417" s="110"/>
    </row>
    <row r="418" spans="1:19" ht="15" x14ac:dyDescent="0.25">
      <c r="A418" s="109"/>
      <c r="B418" s="109"/>
      <c r="C418" s="111"/>
      <c r="D418" s="111"/>
      <c r="E418" s="111"/>
      <c r="F418" s="111"/>
      <c r="G418" s="112"/>
      <c r="H418" s="114"/>
      <c r="I418" s="111"/>
      <c r="J418" s="111"/>
      <c r="K418" s="111"/>
      <c r="L418" s="112"/>
      <c r="M418" s="111"/>
      <c r="N418" s="111"/>
      <c r="O418" s="111"/>
      <c r="P418" s="111"/>
      <c r="Q418" s="111"/>
      <c r="R418" s="112"/>
      <c r="S418" s="112"/>
    </row>
    <row r="419" spans="1:19" ht="15" x14ac:dyDescent="0.25">
      <c r="A419" s="109"/>
      <c r="B419" s="109"/>
      <c r="C419" s="78"/>
      <c r="D419" s="78"/>
      <c r="E419" s="78"/>
      <c r="F419" s="78"/>
      <c r="G419" s="110"/>
      <c r="H419" s="115"/>
      <c r="I419" s="78"/>
      <c r="J419" s="78"/>
      <c r="K419" s="78"/>
      <c r="L419" s="110"/>
      <c r="M419" s="78"/>
      <c r="N419" s="78"/>
      <c r="O419" s="78"/>
      <c r="P419" s="78"/>
      <c r="Q419" s="78"/>
      <c r="R419" s="110"/>
      <c r="S419" s="110"/>
    </row>
    <row r="420" spans="1:19" ht="15" x14ac:dyDescent="0.25">
      <c r="A420" s="109"/>
      <c r="B420" s="109"/>
      <c r="C420" s="111"/>
      <c r="D420" s="111"/>
      <c r="E420" s="111"/>
      <c r="F420" s="111"/>
      <c r="G420" s="112"/>
      <c r="H420" s="114"/>
      <c r="I420" s="111"/>
      <c r="J420" s="111"/>
      <c r="K420" s="111"/>
      <c r="L420" s="112"/>
      <c r="M420" s="111"/>
      <c r="N420" s="111"/>
      <c r="O420" s="111"/>
      <c r="P420" s="111"/>
      <c r="Q420" s="111"/>
      <c r="R420" s="112"/>
      <c r="S420" s="112"/>
    </row>
    <row r="421" spans="1:19" ht="15" x14ac:dyDescent="0.25">
      <c r="A421" s="109"/>
      <c r="B421" s="109"/>
      <c r="C421" s="78"/>
      <c r="D421" s="78"/>
      <c r="E421" s="78"/>
      <c r="F421" s="78"/>
      <c r="G421" s="110"/>
      <c r="H421" s="115"/>
      <c r="I421" s="78"/>
      <c r="J421" s="78"/>
      <c r="K421" s="78"/>
      <c r="L421" s="110"/>
      <c r="M421" s="78"/>
      <c r="N421" s="78"/>
      <c r="O421" s="78"/>
      <c r="P421" s="78"/>
      <c r="Q421" s="78"/>
      <c r="R421" s="110"/>
      <c r="S421" s="110"/>
    </row>
    <row r="422" spans="1:19" ht="15" x14ac:dyDescent="0.25">
      <c r="A422" s="109"/>
      <c r="B422" s="109"/>
      <c r="C422" s="111"/>
      <c r="D422" s="111"/>
      <c r="E422" s="111"/>
      <c r="F422" s="111"/>
      <c r="G422" s="112"/>
      <c r="H422" s="114"/>
      <c r="I422" s="111"/>
      <c r="J422" s="111"/>
      <c r="K422" s="111"/>
      <c r="L422" s="112"/>
      <c r="M422" s="111"/>
      <c r="N422" s="111"/>
      <c r="O422" s="111"/>
      <c r="P422" s="111"/>
      <c r="Q422" s="111"/>
      <c r="R422" s="112"/>
      <c r="S422" s="112"/>
    </row>
    <row r="423" spans="1:19" ht="15" x14ac:dyDescent="0.25">
      <c r="A423" s="109"/>
      <c r="B423" s="109"/>
      <c r="C423" s="78"/>
      <c r="D423" s="78"/>
      <c r="E423" s="78"/>
      <c r="F423" s="78"/>
      <c r="G423" s="110"/>
      <c r="H423" s="115"/>
      <c r="I423" s="78"/>
      <c r="J423" s="78"/>
      <c r="K423" s="78"/>
      <c r="L423" s="110"/>
      <c r="M423" s="78"/>
      <c r="N423" s="78"/>
      <c r="O423" s="78"/>
      <c r="P423" s="78"/>
      <c r="Q423" s="78"/>
      <c r="R423" s="110"/>
      <c r="S423" s="110"/>
    </row>
    <row r="424" spans="1:19" ht="15" x14ac:dyDescent="0.25">
      <c r="A424" s="109"/>
      <c r="B424" s="109"/>
      <c r="C424" s="111"/>
      <c r="D424" s="111"/>
      <c r="E424" s="111"/>
      <c r="F424" s="111"/>
      <c r="G424" s="112"/>
      <c r="H424" s="114"/>
      <c r="I424" s="111"/>
      <c r="J424" s="111"/>
      <c r="K424" s="111"/>
      <c r="L424" s="112"/>
      <c r="M424" s="111"/>
      <c r="N424" s="111"/>
      <c r="O424" s="111"/>
      <c r="P424" s="111"/>
      <c r="Q424" s="111"/>
      <c r="R424" s="112"/>
      <c r="S424" s="112"/>
    </row>
    <row r="425" spans="1:19" ht="15" x14ac:dyDescent="0.25">
      <c r="A425" s="109"/>
      <c r="B425" s="109"/>
      <c r="C425" s="78"/>
      <c r="D425" s="78"/>
      <c r="E425" s="78"/>
      <c r="F425" s="78"/>
      <c r="G425" s="110"/>
      <c r="H425" s="115"/>
      <c r="I425" s="78"/>
      <c r="J425" s="78"/>
      <c r="K425" s="78"/>
      <c r="L425" s="110"/>
      <c r="M425" s="78"/>
      <c r="N425" s="78"/>
      <c r="O425" s="78"/>
      <c r="P425" s="78"/>
      <c r="Q425" s="78"/>
      <c r="R425" s="110"/>
      <c r="S425" s="110"/>
    </row>
    <row r="426" spans="1:19" ht="15" x14ac:dyDescent="0.25">
      <c r="A426" s="109"/>
      <c r="B426" s="109"/>
      <c r="C426" s="111"/>
      <c r="D426" s="111"/>
      <c r="E426" s="111"/>
      <c r="F426" s="111"/>
      <c r="G426" s="112"/>
      <c r="H426" s="114"/>
      <c r="I426" s="111"/>
      <c r="J426" s="111"/>
      <c r="K426" s="111"/>
      <c r="L426" s="112"/>
      <c r="M426" s="111"/>
      <c r="N426" s="111"/>
      <c r="O426" s="111"/>
      <c r="P426" s="111"/>
      <c r="Q426" s="111"/>
      <c r="R426" s="112"/>
      <c r="S426" s="112"/>
    </row>
    <row r="427" spans="1:19" ht="15" x14ac:dyDescent="0.25">
      <c r="A427" s="109"/>
      <c r="B427" s="109"/>
      <c r="C427" s="78"/>
      <c r="D427" s="78"/>
      <c r="E427" s="78"/>
      <c r="F427" s="78"/>
      <c r="G427" s="110"/>
      <c r="H427" s="115"/>
      <c r="I427" s="78"/>
      <c r="J427" s="78"/>
      <c r="K427" s="78"/>
      <c r="L427" s="110"/>
      <c r="M427" s="78"/>
      <c r="N427" s="78"/>
      <c r="O427" s="78"/>
      <c r="P427" s="78"/>
      <c r="Q427" s="78"/>
      <c r="R427" s="110"/>
      <c r="S427" s="110"/>
    </row>
    <row r="428" spans="1:19" ht="15" x14ac:dyDescent="0.25">
      <c r="A428" s="109"/>
      <c r="B428" s="109"/>
      <c r="C428" s="111"/>
      <c r="D428" s="111"/>
      <c r="E428" s="111"/>
      <c r="F428" s="111"/>
      <c r="G428" s="112"/>
      <c r="H428" s="114"/>
      <c r="I428" s="111"/>
      <c r="J428" s="111"/>
      <c r="K428" s="111"/>
      <c r="L428" s="112"/>
      <c r="M428" s="111"/>
      <c r="N428" s="111"/>
      <c r="O428" s="111"/>
      <c r="P428" s="111"/>
      <c r="Q428" s="111"/>
      <c r="R428" s="112"/>
      <c r="S428" s="112"/>
    </row>
    <row r="429" spans="1:19" ht="15" x14ac:dyDescent="0.25">
      <c r="A429" s="109"/>
      <c r="B429" s="109"/>
      <c r="C429" s="78"/>
      <c r="D429" s="78"/>
      <c r="E429" s="78"/>
      <c r="F429" s="78"/>
      <c r="G429" s="110"/>
      <c r="H429" s="115"/>
      <c r="I429" s="78"/>
      <c r="J429" s="78"/>
      <c r="K429" s="78"/>
      <c r="L429" s="110"/>
      <c r="M429" s="78"/>
      <c r="N429" s="78"/>
      <c r="O429" s="78"/>
      <c r="P429" s="78"/>
      <c r="Q429" s="78"/>
      <c r="R429" s="110"/>
      <c r="S429" s="110"/>
    </row>
    <row r="430" spans="1:19" ht="15" x14ac:dyDescent="0.25">
      <c r="A430" s="109"/>
      <c r="B430" s="109"/>
      <c r="C430" s="111"/>
      <c r="D430" s="111"/>
      <c r="E430" s="111"/>
      <c r="F430" s="111"/>
      <c r="G430" s="112"/>
      <c r="H430" s="114"/>
      <c r="I430" s="111"/>
      <c r="J430" s="111"/>
      <c r="K430" s="111"/>
      <c r="L430" s="112"/>
      <c r="M430" s="111"/>
      <c r="N430" s="111"/>
      <c r="O430" s="111"/>
      <c r="P430" s="111"/>
      <c r="Q430" s="111"/>
      <c r="R430" s="112"/>
      <c r="S430" s="112"/>
    </row>
    <row r="431" spans="1:19" ht="15" x14ac:dyDescent="0.25">
      <c r="A431" s="109"/>
      <c r="B431" s="109"/>
      <c r="C431" s="78"/>
      <c r="D431" s="78"/>
      <c r="E431" s="78"/>
      <c r="F431" s="78"/>
      <c r="G431" s="110"/>
      <c r="H431" s="115"/>
      <c r="I431" s="78"/>
      <c r="J431" s="78"/>
      <c r="K431" s="78"/>
      <c r="L431" s="110"/>
      <c r="M431" s="78"/>
      <c r="N431" s="78"/>
      <c r="O431" s="78"/>
      <c r="P431" s="78"/>
      <c r="Q431" s="78"/>
      <c r="R431" s="110"/>
      <c r="S431" s="110"/>
    </row>
    <row r="432" spans="1:19" ht="15" x14ac:dyDescent="0.25">
      <c r="A432" s="109"/>
      <c r="B432" s="109"/>
      <c r="C432" s="111"/>
      <c r="D432" s="111"/>
      <c r="E432" s="111"/>
      <c r="F432" s="111"/>
      <c r="G432" s="112"/>
      <c r="H432" s="114"/>
      <c r="I432" s="111"/>
      <c r="J432" s="111"/>
      <c r="K432" s="111"/>
      <c r="L432" s="112"/>
      <c r="M432" s="111"/>
      <c r="N432" s="111"/>
      <c r="O432" s="111"/>
      <c r="P432" s="111"/>
      <c r="Q432" s="111"/>
      <c r="R432" s="112"/>
      <c r="S432" s="112"/>
    </row>
    <row r="433" spans="1:19" ht="15" x14ac:dyDescent="0.25">
      <c r="A433" s="109"/>
      <c r="B433" s="109"/>
      <c r="C433" s="78"/>
      <c r="D433" s="78"/>
      <c r="E433" s="78"/>
      <c r="F433" s="78"/>
      <c r="G433" s="110"/>
      <c r="H433" s="115"/>
      <c r="I433" s="78"/>
      <c r="J433" s="78"/>
      <c r="K433" s="78"/>
      <c r="L433" s="110"/>
      <c r="M433" s="78"/>
      <c r="N433" s="78"/>
      <c r="O433" s="78"/>
      <c r="P433" s="78"/>
      <c r="Q433" s="78"/>
      <c r="R433" s="110"/>
      <c r="S433" s="110"/>
    </row>
    <row r="434" spans="1:19" ht="15" x14ac:dyDescent="0.25">
      <c r="A434" s="109"/>
      <c r="B434" s="109"/>
      <c r="C434" s="111"/>
      <c r="D434" s="111"/>
      <c r="E434" s="111"/>
      <c r="F434" s="111"/>
      <c r="G434" s="112"/>
      <c r="H434" s="114"/>
      <c r="I434" s="111"/>
      <c r="J434" s="111"/>
      <c r="K434" s="111"/>
      <c r="L434" s="112"/>
      <c r="M434" s="111"/>
      <c r="N434" s="111"/>
      <c r="O434" s="111"/>
      <c r="P434" s="111"/>
      <c r="Q434" s="111"/>
      <c r="R434" s="112"/>
      <c r="S434" s="112"/>
    </row>
    <row r="435" spans="1:19" ht="15" x14ac:dyDescent="0.25">
      <c r="A435" s="109"/>
      <c r="B435" s="109"/>
      <c r="C435" s="78"/>
      <c r="D435" s="78"/>
      <c r="E435" s="78"/>
      <c r="F435" s="78"/>
      <c r="G435" s="110"/>
      <c r="H435" s="115"/>
      <c r="I435" s="78"/>
      <c r="J435" s="78"/>
      <c r="K435" s="78"/>
      <c r="L435" s="110"/>
      <c r="M435" s="78"/>
      <c r="N435" s="78"/>
      <c r="O435" s="78"/>
      <c r="P435" s="78"/>
      <c r="Q435" s="78"/>
      <c r="R435" s="110"/>
      <c r="S435" s="110"/>
    </row>
    <row r="436" spans="1:19" ht="15" x14ac:dyDescent="0.25">
      <c r="A436" s="109"/>
      <c r="B436" s="109"/>
      <c r="C436" s="111"/>
      <c r="D436" s="111"/>
      <c r="E436" s="111"/>
      <c r="F436" s="111"/>
      <c r="G436" s="112"/>
      <c r="H436" s="114"/>
      <c r="I436" s="111"/>
      <c r="J436" s="111"/>
      <c r="K436" s="111"/>
      <c r="L436" s="112"/>
      <c r="M436" s="111"/>
      <c r="N436" s="111"/>
      <c r="O436" s="111"/>
      <c r="P436" s="111"/>
      <c r="Q436" s="111"/>
      <c r="R436" s="112"/>
      <c r="S436" s="112"/>
    </row>
    <row r="437" spans="1:19" ht="15" x14ac:dyDescent="0.25">
      <c r="A437" s="109"/>
      <c r="B437" s="109"/>
      <c r="C437" s="78"/>
      <c r="D437" s="78"/>
      <c r="E437" s="78"/>
      <c r="F437" s="78"/>
      <c r="G437" s="110"/>
      <c r="H437" s="115"/>
      <c r="I437" s="78"/>
      <c r="J437" s="78"/>
      <c r="K437" s="78"/>
      <c r="L437" s="110"/>
      <c r="M437" s="78"/>
      <c r="N437" s="78"/>
      <c r="O437" s="78"/>
      <c r="P437" s="78"/>
      <c r="Q437" s="78"/>
      <c r="R437" s="110"/>
      <c r="S437" s="110"/>
    </row>
    <row r="438" spans="1:19" ht="15" x14ac:dyDescent="0.25">
      <c r="A438" s="109"/>
      <c r="B438" s="109"/>
      <c r="C438" s="111"/>
      <c r="D438" s="111"/>
      <c r="E438" s="111"/>
      <c r="F438" s="111"/>
      <c r="G438" s="112"/>
      <c r="H438" s="114"/>
      <c r="I438" s="111"/>
      <c r="J438" s="111"/>
      <c r="K438" s="111"/>
      <c r="L438" s="112"/>
      <c r="M438" s="111"/>
      <c r="N438" s="111"/>
      <c r="O438" s="111"/>
      <c r="P438" s="111"/>
      <c r="Q438" s="111"/>
      <c r="R438" s="112"/>
      <c r="S438" s="112"/>
    </row>
    <row r="439" spans="1:19" ht="15" x14ac:dyDescent="0.25">
      <c r="A439" s="109"/>
      <c r="B439" s="109"/>
      <c r="C439" s="78"/>
      <c r="D439" s="78"/>
      <c r="E439" s="78"/>
      <c r="F439" s="78"/>
      <c r="G439" s="110"/>
      <c r="H439" s="115"/>
      <c r="I439" s="78"/>
      <c r="J439" s="78"/>
      <c r="K439" s="78"/>
      <c r="L439" s="110"/>
      <c r="M439" s="78"/>
      <c r="N439" s="78"/>
      <c r="O439" s="78"/>
      <c r="P439" s="78"/>
      <c r="Q439" s="78"/>
      <c r="R439" s="110"/>
      <c r="S439" s="110"/>
    </row>
    <row r="440" spans="1:19" ht="15" x14ac:dyDescent="0.25">
      <c r="A440" s="109"/>
      <c r="B440" s="109"/>
      <c r="C440" s="111"/>
      <c r="D440" s="111"/>
      <c r="E440" s="111"/>
      <c r="F440" s="111"/>
      <c r="G440" s="112"/>
      <c r="H440" s="114"/>
      <c r="I440" s="111"/>
      <c r="J440" s="111"/>
      <c r="K440" s="111"/>
      <c r="L440" s="112"/>
      <c r="M440" s="111"/>
      <c r="N440" s="111"/>
      <c r="O440" s="111"/>
      <c r="P440" s="111"/>
      <c r="Q440" s="111"/>
      <c r="R440" s="112"/>
      <c r="S440" s="112"/>
    </row>
    <row r="441" spans="1:19" ht="15" x14ac:dyDescent="0.25">
      <c r="A441" s="109"/>
      <c r="B441" s="109"/>
      <c r="C441" s="78"/>
      <c r="D441" s="78"/>
      <c r="E441" s="78"/>
      <c r="F441" s="78"/>
      <c r="G441" s="110"/>
      <c r="H441" s="115"/>
      <c r="I441" s="78"/>
      <c r="J441" s="78"/>
      <c r="K441" s="78"/>
      <c r="L441" s="110"/>
      <c r="M441" s="78"/>
      <c r="N441" s="78"/>
      <c r="O441" s="78"/>
      <c r="P441" s="78"/>
      <c r="Q441" s="78"/>
      <c r="R441" s="110"/>
      <c r="S441" s="110"/>
    </row>
    <row r="442" spans="1:19" ht="15" x14ac:dyDescent="0.25">
      <c r="A442" s="109"/>
      <c r="B442" s="109"/>
      <c r="C442" s="111"/>
      <c r="D442" s="111"/>
      <c r="E442" s="111"/>
      <c r="F442" s="111"/>
      <c r="G442" s="112"/>
      <c r="H442" s="114"/>
      <c r="I442" s="111"/>
      <c r="J442" s="111"/>
      <c r="K442" s="111"/>
      <c r="L442" s="112"/>
      <c r="M442" s="111"/>
      <c r="N442" s="111"/>
      <c r="O442" s="111"/>
      <c r="P442" s="111"/>
      <c r="Q442" s="111"/>
      <c r="R442" s="112"/>
      <c r="S442" s="112"/>
    </row>
    <row r="443" spans="1:19" ht="15" x14ac:dyDescent="0.25">
      <c r="A443" s="109"/>
      <c r="B443" s="109"/>
      <c r="C443" s="78"/>
      <c r="D443" s="78"/>
      <c r="E443" s="78"/>
      <c r="F443" s="78"/>
      <c r="G443" s="110"/>
      <c r="H443" s="115"/>
      <c r="I443" s="78"/>
      <c r="J443" s="78"/>
      <c r="K443" s="78"/>
      <c r="L443" s="110"/>
      <c r="M443" s="78"/>
      <c r="N443" s="78"/>
      <c r="O443" s="78"/>
      <c r="P443" s="78"/>
      <c r="Q443" s="78"/>
      <c r="R443" s="110"/>
      <c r="S443" s="110"/>
    </row>
    <row r="444" spans="1:19" ht="15" x14ac:dyDescent="0.25">
      <c r="A444" s="109"/>
      <c r="B444" s="109"/>
      <c r="C444" s="111"/>
      <c r="D444" s="111"/>
      <c r="E444" s="111"/>
      <c r="F444" s="111"/>
      <c r="G444" s="112"/>
      <c r="H444" s="114"/>
      <c r="I444" s="111"/>
      <c r="J444" s="111"/>
      <c r="K444" s="111"/>
      <c r="L444" s="112"/>
      <c r="M444" s="111"/>
      <c r="N444" s="111"/>
      <c r="O444" s="111"/>
      <c r="P444" s="111"/>
      <c r="Q444" s="111"/>
      <c r="R444" s="112"/>
      <c r="S444" s="112"/>
    </row>
    <row r="445" spans="1:19" ht="15" x14ac:dyDescent="0.25">
      <c r="A445" s="109"/>
      <c r="B445" s="109"/>
      <c r="C445" s="78"/>
      <c r="D445" s="78"/>
      <c r="E445" s="78"/>
      <c r="F445" s="78"/>
      <c r="G445" s="110"/>
      <c r="H445" s="115"/>
      <c r="I445" s="78"/>
      <c r="J445" s="78"/>
      <c r="K445" s="78"/>
      <c r="L445" s="110"/>
      <c r="M445" s="78"/>
      <c r="N445" s="78"/>
      <c r="O445" s="78"/>
      <c r="P445" s="78"/>
      <c r="Q445" s="78"/>
      <c r="R445" s="110"/>
      <c r="S445" s="110"/>
    </row>
    <row r="446" spans="1:19" ht="15" x14ac:dyDescent="0.25">
      <c r="A446" s="109"/>
      <c r="B446" s="109"/>
      <c r="C446" s="111"/>
      <c r="D446" s="111"/>
      <c r="E446" s="111"/>
      <c r="F446" s="111"/>
      <c r="G446" s="112"/>
      <c r="H446" s="114"/>
      <c r="I446" s="111"/>
      <c r="J446" s="111"/>
      <c r="K446" s="111"/>
      <c r="L446" s="112"/>
      <c r="M446" s="111"/>
      <c r="N446" s="111"/>
      <c r="O446" s="111"/>
      <c r="P446" s="111"/>
      <c r="Q446" s="111"/>
      <c r="R446" s="112"/>
      <c r="S446" s="112"/>
    </row>
    <row r="447" spans="1:19" ht="15" x14ac:dyDescent="0.25">
      <c r="A447" s="109"/>
      <c r="B447" s="109"/>
      <c r="C447" s="78"/>
      <c r="D447" s="78"/>
      <c r="E447" s="78"/>
      <c r="F447" s="78"/>
      <c r="G447" s="110"/>
      <c r="H447" s="115"/>
      <c r="I447" s="78"/>
      <c r="J447" s="78"/>
      <c r="K447" s="78"/>
      <c r="L447" s="110"/>
      <c r="M447" s="78"/>
      <c r="N447" s="78"/>
      <c r="O447" s="78"/>
      <c r="P447" s="78"/>
      <c r="Q447" s="78"/>
      <c r="R447" s="110"/>
      <c r="S447" s="110"/>
    </row>
    <row r="448" spans="1:19" ht="15" x14ac:dyDescent="0.25">
      <c r="A448" s="109"/>
      <c r="B448" s="109"/>
      <c r="C448" s="111"/>
      <c r="D448" s="111"/>
      <c r="E448" s="111"/>
      <c r="F448" s="111"/>
      <c r="G448" s="112"/>
      <c r="H448" s="114"/>
      <c r="I448" s="111"/>
      <c r="J448" s="111"/>
      <c r="K448" s="111"/>
      <c r="L448" s="112"/>
      <c r="M448" s="111"/>
      <c r="N448" s="111"/>
      <c r="O448" s="111"/>
      <c r="P448" s="111"/>
      <c r="Q448" s="111"/>
      <c r="R448" s="112"/>
      <c r="S448" s="112"/>
    </row>
    <row r="449" spans="1:19" ht="15" x14ac:dyDescent="0.25">
      <c r="A449" s="109"/>
      <c r="B449" s="109"/>
      <c r="C449" s="78"/>
      <c r="D449" s="78"/>
      <c r="E449" s="78"/>
      <c r="F449" s="78"/>
      <c r="G449" s="110"/>
      <c r="H449" s="115"/>
      <c r="I449" s="78"/>
      <c r="J449" s="78"/>
      <c r="K449" s="78"/>
      <c r="L449" s="110"/>
      <c r="M449" s="78"/>
      <c r="N449" s="78"/>
      <c r="O449" s="78"/>
      <c r="P449" s="78"/>
      <c r="Q449" s="78"/>
      <c r="R449" s="110"/>
      <c r="S449" s="110"/>
    </row>
    <row r="450" spans="1:19" ht="15" x14ac:dyDescent="0.25">
      <c r="A450" s="109"/>
      <c r="B450" s="109"/>
      <c r="C450" s="111"/>
      <c r="D450" s="111"/>
      <c r="E450" s="111"/>
      <c r="F450" s="111"/>
      <c r="G450" s="112"/>
      <c r="H450" s="114"/>
      <c r="I450" s="111"/>
      <c r="J450" s="111"/>
      <c r="K450" s="111"/>
      <c r="L450" s="112"/>
      <c r="M450" s="111"/>
      <c r="N450" s="111"/>
      <c r="O450" s="111"/>
      <c r="P450" s="111"/>
      <c r="Q450" s="111"/>
      <c r="R450" s="112"/>
      <c r="S450" s="112"/>
    </row>
    <row r="451" spans="1:19" ht="15" x14ac:dyDescent="0.25">
      <c r="A451" s="109"/>
      <c r="B451" s="109"/>
      <c r="C451" s="78"/>
      <c r="D451" s="78"/>
      <c r="E451" s="78"/>
      <c r="F451" s="78"/>
      <c r="G451" s="110"/>
      <c r="H451" s="115"/>
      <c r="I451" s="78"/>
      <c r="J451" s="78"/>
      <c r="K451" s="78"/>
      <c r="L451" s="110"/>
      <c r="M451" s="78"/>
      <c r="N451" s="78"/>
      <c r="O451" s="78"/>
      <c r="P451" s="78"/>
      <c r="Q451" s="78"/>
      <c r="R451" s="110"/>
      <c r="S451" s="110"/>
    </row>
    <row r="452" spans="1:19" ht="15" x14ac:dyDescent="0.25">
      <c r="A452" s="109"/>
      <c r="B452" s="109"/>
      <c r="C452" s="111"/>
      <c r="D452" s="111"/>
      <c r="E452" s="111"/>
      <c r="F452" s="111"/>
      <c r="G452" s="112"/>
      <c r="H452" s="114"/>
      <c r="I452" s="111"/>
      <c r="J452" s="111"/>
      <c r="K452" s="111"/>
      <c r="L452" s="112"/>
      <c r="M452" s="111"/>
      <c r="N452" s="111"/>
      <c r="O452" s="111"/>
      <c r="P452" s="111"/>
      <c r="Q452" s="111"/>
      <c r="R452" s="112"/>
      <c r="S452" s="112"/>
    </row>
    <row r="453" spans="1:19" ht="15" x14ac:dyDescent="0.25">
      <c r="A453" s="109"/>
      <c r="B453" s="109"/>
      <c r="C453" s="78"/>
      <c r="D453" s="78"/>
      <c r="E453" s="78"/>
      <c r="F453" s="78"/>
      <c r="G453" s="110"/>
      <c r="H453" s="115"/>
      <c r="I453" s="78"/>
      <c r="J453" s="78"/>
      <c r="K453" s="78"/>
      <c r="L453" s="110"/>
      <c r="M453" s="78"/>
      <c r="N453" s="78"/>
      <c r="O453" s="78"/>
      <c r="P453" s="78"/>
      <c r="Q453" s="78"/>
      <c r="R453" s="110"/>
      <c r="S453" s="110"/>
    </row>
    <row r="454" spans="1:19" ht="15" x14ac:dyDescent="0.25">
      <c r="A454" s="109"/>
      <c r="B454" s="109"/>
      <c r="C454" s="111"/>
      <c r="D454" s="111"/>
      <c r="E454" s="111"/>
      <c r="F454" s="111"/>
      <c r="G454" s="112"/>
      <c r="H454" s="114"/>
      <c r="I454" s="111"/>
      <c r="J454" s="111"/>
      <c r="K454" s="111"/>
      <c r="L454" s="112"/>
      <c r="M454" s="111"/>
      <c r="N454" s="111"/>
      <c r="O454" s="111"/>
      <c r="P454" s="111"/>
      <c r="Q454" s="111"/>
      <c r="R454" s="112"/>
      <c r="S454" s="112"/>
    </row>
    <row r="455" spans="1:19" ht="15" x14ac:dyDescent="0.25">
      <c r="A455" s="109"/>
      <c r="B455" s="109"/>
      <c r="C455" s="78"/>
      <c r="D455" s="78"/>
      <c r="E455" s="78"/>
      <c r="F455" s="78"/>
      <c r="G455" s="110"/>
      <c r="H455" s="115"/>
      <c r="I455" s="78"/>
      <c r="J455" s="78"/>
      <c r="K455" s="78"/>
      <c r="L455" s="110"/>
      <c r="M455" s="78"/>
      <c r="N455" s="78"/>
      <c r="O455" s="78"/>
      <c r="P455" s="78"/>
      <c r="Q455" s="78"/>
      <c r="R455" s="110"/>
      <c r="S455" s="110"/>
    </row>
    <row r="456" spans="1:19" ht="15" x14ac:dyDescent="0.25">
      <c r="A456" s="109"/>
      <c r="B456" s="109"/>
      <c r="C456" s="111"/>
      <c r="D456" s="111"/>
      <c r="E456" s="111"/>
      <c r="F456" s="111"/>
      <c r="G456" s="112"/>
      <c r="H456" s="114"/>
      <c r="I456" s="111"/>
      <c r="J456" s="111"/>
      <c r="K456" s="111"/>
      <c r="L456" s="112"/>
      <c r="M456" s="111"/>
      <c r="N456" s="111"/>
      <c r="O456" s="111"/>
      <c r="P456" s="111"/>
      <c r="Q456" s="111"/>
      <c r="R456" s="112"/>
      <c r="S456" s="112"/>
    </row>
    <row r="457" spans="1:19" ht="15" x14ac:dyDescent="0.25">
      <c r="A457" s="109"/>
      <c r="B457" s="109"/>
      <c r="C457" s="78"/>
      <c r="D457" s="78"/>
      <c r="E457" s="78"/>
      <c r="F457" s="78"/>
      <c r="G457" s="110"/>
      <c r="H457" s="115"/>
      <c r="I457" s="78"/>
      <c r="J457" s="78"/>
      <c r="K457" s="78"/>
      <c r="L457" s="110"/>
      <c r="M457" s="78"/>
      <c r="N457" s="78"/>
      <c r="O457" s="78"/>
      <c r="P457" s="78"/>
      <c r="Q457" s="78"/>
      <c r="R457" s="110"/>
      <c r="S457" s="110"/>
    </row>
    <row r="458" spans="1:19" ht="15" x14ac:dyDescent="0.25">
      <c r="A458" s="109"/>
      <c r="B458" s="109"/>
      <c r="C458" s="111"/>
      <c r="D458" s="111"/>
      <c r="E458" s="111"/>
      <c r="F458" s="111"/>
      <c r="G458" s="112"/>
      <c r="H458" s="114"/>
      <c r="I458" s="111"/>
      <c r="J458" s="111"/>
      <c r="K458" s="111"/>
      <c r="L458" s="112"/>
      <c r="M458" s="111"/>
      <c r="N458" s="111"/>
      <c r="O458" s="111"/>
      <c r="P458" s="111"/>
      <c r="Q458" s="111"/>
      <c r="R458" s="112"/>
      <c r="S458" s="112"/>
    </row>
    <row r="459" spans="1:19" ht="15" x14ac:dyDescent="0.25">
      <c r="A459" s="109"/>
      <c r="B459" s="109"/>
      <c r="C459" s="78"/>
      <c r="D459" s="78"/>
      <c r="E459" s="78"/>
      <c r="F459" s="78"/>
      <c r="G459" s="110"/>
      <c r="H459" s="115"/>
      <c r="I459" s="78"/>
      <c r="J459" s="78"/>
      <c r="K459" s="78"/>
      <c r="L459" s="110"/>
      <c r="M459" s="78"/>
      <c r="N459" s="78"/>
      <c r="O459" s="78"/>
      <c r="P459" s="78"/>
      <c r="Q459" s="78"/>
      <c r="R459" s="110"/>
      <c r="S459" s="110"/>
    </row>
    <row r="460" spans="1:19" ht="15" x14ac:dyDescent="0.25">
      <c r="A460" s="109"/>
      <c r="B460" s="109"/>
      <c r="C460" s="111"/>
      <c r="D460" s="111"/>
      <c r="E460" s="111"/>
      <c r="F460" s="111"/>
      <c r="G460" s="112"/>
      <c r="H460" s="114"/>
      <c r="I460" s="111"/>
      <c r="J460" s="111"/>
      <c r="K460" s="111"/>
      <c r="L460" s="112"/>
      <c r="M460" s="111"/>
      <c r="N460" s="111"/>
      <c r="O460" s="111"/>
      <c r="P460" s="111"/>
      <c r="Q460" s="111"/>
      <c r="R460" s="112"/>
      <c r="S460" s="112"/>
    </row>
    <row r="461" spans="1:19" ht="15" x14ac:dyDescent="0.25">
      <c r="A461" s="109"/>
      <c r="B461" s="109"/>
      <c r="C461" s="78"/>
      <c r="D461" s="78"/>
      <c r="E461" s="78"/>
      <c r="F461" s="78"/>
      <c r="G461" s="110"/>
      <c r="H461" s="115"/>
      <c r="I461" s="78"/>
      <c r="J461" s="78"/>
      <c r="K461" s="78"/>
      <c r="L461" s="110"/>
      <c r="M461" s="78"/>
      <c r="N461" s="78"/>
      <c r="O461" s="78"/>
      <c r="P461" s="78"/>
      <c r="Q461" s="78"/>
      <c r="R461" s="110"/>
      <c r="S461" s="110"/>
    </row>
    <row r="462" spans="1:19" ht="15" x14ac:dyDescent="0.25">
      <c r="A462" s="109"/>
      <c r="B462" s="109"/>
      <c r="C462" s="111"/>
      <c r="D462" s="111"/>
      <c r="E462" s="111"/>
      <c r="F462" s="111"/>
      <c r="G462" s="112"/>
      <c r="H462" s="114"/>
      <c r="I462" s="111"/>
      <c r="J462" s="111"/>
      <c r="K462" s="111"/>
      <c r="L462" s="112"/>
      <c r="M462" s="111"/>
      <c r="N462" s="111"/>
      <c r="O462" s="111"/>
      <c r="P462" s="111"/>
      <c r="Q462" s="111"/>
      <c r="R462" s="112"/>
      <c r="S462" s="112"/>
    </row>
    <row r="463" spans="1:19" ht="15" x14ac:dyDescent="0.25">
      <c r="A463" s="109"/>
      <c r="B463" s="109"/>
      <c r="C463" s="78"/>
      <c r="D463" s="78"/>
      <c r="E463" s="78"/>
      <c r="F463" s="78"/>
      <c r="G463" s="110"/>
      <c r="H463" s="115"/>
      <c r="I463" s="78"/>
      <c r="J463" s="78"/>
      <c r="K463" s="78"/>
      <c r="L463" s="110"/>
      <c r="M463" s="78"/>
      <c r="N463" s="78"/>
      <c r="O463" s="78"/>
      <c r="P463" s="78"/>
      <c r="Q463" s="78"/>
      <c r="R463" s="110"/>
      <c r="S463" s="110"/>
    </row>
    <row r="464" spans="1:19" ht="15" x14ac:dyDescent="0.25">
      <c r="A464" s="109"/>
      <c r="B464" s="109"/>
      <c r="C464" s="111"/>
      <c r="D464" s="111"/>
      <c r="E464" s="111"/>
      <c r="F464" s="111"/>
      <c r="G464" s="112"/>
      <c r="H464" s="114"/>
      <c r="I464" s="111"/>
      <c r="J464" s="111"/>
      <c r="K464" s="111"/>
      <c r="L464" s="112"/>
      <c r="M464" s="111"/>
      <c r="N464" s="111"/>
      <c r="O464" s="111"/>
      <c r="P464" s="111"/>
      <c r="Q464" s="111"/>
      <c r="R464" s="112"/>
      <c r="S464" s="112"/>
    </row>
    <row r="465" spans="1:19" ht="15" x14ac:dyDescent="0.25">
      <c r="A465" s="109"/>
      <c r="B465" s="109"/>
      <c r="C465" s="78"/>
      <c r="D465" s="78"/>
      <c r="E465" s="78"/>
      <c r="F465" s="78"/>
      <c r="G465" s="110"/>
      <c r="H465" s="115"/>
      <c r="I465" s="78"/>
      <c r="J465" s="78"/>
      <c r="K465" s="78"/>
      <c r="L465" s="110"/>
      <c r="M465" s="78"/>
      <c r="N465" s="78"/>
      <c r="O465" s="78"/>
      <c r="P465" s="78"/>
      <c r="Q465" s="78"/>
      <c r="R465" s="110"/>
      <c r="S465" s="110"/>
    </row>
    <row r="466" spans="1:19" ht="15" x14ac:dyDescent="0.25">
      <c r="A466" s="109"/>
      <c r="B466" s="109"/>
      <c r="C466" s="111"/>
      <c r="D466" s="111"/>
      <c r="E466" s="111"/>
      <c r="F466" s="111"/>
      <c r="G466" s="112"/>
      <c r="H466" s="114"/>
      <c r="I466" s="111"/>
      <c r="J466" s="111"/>
      <c r="K466" s="111"/>
      <c r="L466" s="112"/>
      <c r="M466" s="111"/>
      <c r="N466" s="111"/>
      <c r="O466" s="111"/>
      <c r="P466" s="111"/>
      <c r="Q466" s="111"/>
      <c r="R466" s="112"/>
      <c r="S466" s="112"/>
    </row>
    <row r="467" spans="1:19" ht="15" x14ac:dyDescent="0.25">
      <c r="A467" s="109"/>
      <c r="B467" s="109"/>
      <c r="C467" s="78"/>
      <c r="D467" s="78"/>
      <c r="E467" s="78"/>
      <c r="F467" s="78"/>
      <c r="G467" s="110"/>
      <c r="H467" s="115"/>
      <c r="I467" s="78"/>
      <c r="J467" s="78"/>
      <c r="K467" s="78"/>
      <c r="L467" s="110"/>
      <c r="M467" s="78"/>
      <c r="N467" s="78"/>
      <c r="O467" s="78"/>
      <c r="P467" s="78"/>
      <c r="Q467" s="78"/>
      <c r="R467" s="110"/>
      <c r="S467" s="110"/>
    </row>
    <row r="468" spans="1:19" ht="15" x14ac:dyDescent="0.25">
      <c r="A468" s="109"/>
      <c r="B468" s="109"/>
      <c r="C468" s="111"/>
      <c r="D468" s="111"/>
      <c r="E468" s="111"/>
      <c r="F468" s="111"/>
      <c r="G468" s="112"/>
      <c r="H468" s="114"/>
      <c r="I468" s="111"/>
      <c r="J468" s="111"/>
      <c r="K468" s="111"/>
      <c r="L468" s="112"/>
      <c r="M468" s="111"/>
      <c r="N468" s="111"/>
      <c r="O468" s="111"/>
      <c r="P468" s="111"/>
      <c r="Q468" s="111"/>
      <c r="R468" s="112"/>
      <c r="S468" s="112"/>
    </row>
    <row r="469" spans="1:19" ht="15" x14ac:dyDescent="0.25">
      <c r="A469" s="109"/>
      <c r="B469" s="109"/>
      <c r="C469" s="78"/>
      <c r="D469" s="78"/>
      <c r="E469" s="78"/>
      <c r="F469" s="78"/>
      <c r="G469" s="110"/>
      <c r="H469" s="115"/>
      <c r="I469" s="78"/>
      <c r="J469" s="78"/>
      <c r="K469" s="78"/>
      <c r="L469" s="110"/>
      <c r="M469" s="78"/>
      <c r="N469" s="78"/>
      <c r="O469" s="78"/>
      <c r="P469" s="78"/>
      <c r="Q469" s="78"/>
      <c r="R469" s="110"/>
      <c r="S469" s="110"/>
    </row>
    <row r="470" spans="1:19" ht="15" x14ac:dyDescent="0.25">
      <c r="A470" s="109"/>
      <c r="B470" s="109"/>
      <c r="C470" s="111"/>
      <c r="D470" s="111"/>
      <c r="E470" s="111"/>
      <c r="F470" s="111"/>
      <c r="G470" s="112"/>
      <c r="H470" s="114"/>
      <c r="I470" s="111"/>
      <c r="J470" s="111"/>
      <c r="K470" s="111"/>
      <c r="L470" s="112"/>
      <c r="M470" s="111"/>
      <c r="N470" s="111"/>
      <c r="O470" s="111"/>
      <c r="P470" s="111"/>
      <c r="Q470" s="111"/>
      <c r="R470" s="112"/>
      <c r="S470" s="112"/>
    </row>
    <row r="471" spans="1:19" ht="15" x14ac:dyDescent="0.25">
      <c r="A471" s="109"/>
      <c r="B471" s="109"/>
      <c r="C471" s="78"/>
      <c r="D471" s="78"/>
      <c r="E471" s="78"/>
      <c r="F471" s="78"/>
      <c r="G471" s="110"/>
      <c r="H471" s="115"/>
      <c r="I471" s="78"/>
      <c r="J471" s="78"/>
      <c r="K471" s="78"/>
      <c r="L471" s="110"/>
      <c r="M471" s="78"/>
      <c r="N471" s="78"/>
      <c r="O471" s="78"/>
      <c r="P471" s="78"/>
      <c r="Q471" s="78"/>
      <c r="R471" s="110"/>
      <c r="S471" s="110"/>
    </row>
    <row r="472" spans="1:19" ht="15" x14ac:dyDescent="0.25">
      <c r="A472" s="109"/>
      <c r="B472" s="109"/>
      <c r="C472" s="111"/>
      <c r="D472" s="111"/>
      <c r="E472" s="111"/>
      <c r="F472" s="111"/>
      <c r="G472" s="112"/>
      <c r="H472" s="114"/>
      <c r="I472" s="111"/>
      <c r="J472" s="111"/>
      <c r="K472" s="111"/>
      <c r="L472" s="112"/>
      <c r="M472" s="111"/>
      <c r="N472" s="111"/>
      <c r="O472" s="111"/>
      <c r="P472" s="111"/>
      <c r="Q472" s="111"/>
      <c r="R472" s="112"/>
      <c r="S472" s="112"/>
    </row>
    <row r="473" spans="1:19" ht="15" x14ac:dyDescent="0.25">
      <c r="A473" s="109"/>
      <c r="B473" s="109"/>
      <c r="C473" s="78"/>
      <c r="D473" s="78"/>
      <c r="E473" s="78"/>
      <c r="F473" s="78"/>
      <c r="G473" s="110"/>
      <c r="H473" s="115"/>
      <c r="I473" s="78"/>
      <c r="J473" s="78"/>
      <c r="K473" s="78"/>
      <c r="L473" s="110"/>
      <c r="M473" s="78"/>
      <c r="N473" s="78"/>
      <c r="O473" s="78"/>
      <c r="P473" s="78"/>
      <c r="Q473" s="78"/>
      <c r="R473" s="110"/>
      <c r="S473" s="110"/>
    </row>
    <row r="474" spans="1:19" ht="15" x14ac:dyDescent="0.25">
      <c r="A474" s="109"/>
      <c r="B474" s="109"/>
      <c r="C474" s="111"/>
      <c r="D474" s="111"/>
      <c r="E474" s="111"/>
      <c r="F474" s="111"/>
      <c r="G474" s="112"/>
      <c r="H474" s="114"/>
      <c r="I474" s="111"/>
      <c r="J474" s="111"/>
      <c r="K474" s="111"/>
      <c r="L474" s="112"/>
      <c r="M474" s="111"/>
      <c r="N474" s="111"/>
      <c r="O474" s="111"/>
      <c r="P474" s="111"/>
      <c r="Q474" s="111"/>
      <c r="R474" s="112"/>
      <c r="S474" s="112"/>
    </row>
    <row r="475" spans="1:19" ht="15" x14ac:dyDescent="0.25">
      <c r="A475" s="109"/>
      <c r="B475" s="109"/>
      <c r="C475" s="78"/>
      <c r="D475" s="78"/>
      <c r="E475" s="78"/>
      <c r="F475" s="78"/>
      <c r="G475" s="110"/>
      <c r="H475" s="115"/>
      <c r="I475" s="78"/>
      <c r="J475" s="78"/>
      <c r="K475" s="78"/>
      <c r="L475" s="110"/>
      <c r="M475" s="78"/>
      <c r="N475" s="78"/>
      <c r="O475" s="78"/>
      <c r="P475" s="78"/>
      <c r="Q475" s="78"/>
      <c r="R475" s="110"/>
      <c r="S475" s="110"/>
    </row>
    <row r="476" spans="1:19" ht="15" x14ac:dyDescent="0.25">
      <c r="A476" s="109"/>
      <c r="B476" s="109"/>
      <c r="C476" s="111"/>
      <c r="D476" s="111"/>
      <c r="E476" s="111"/>
      <c r="F476" s="111"/>
      <c r="G476" s="112"/>
      <c r="H476" s="114"/>
      <c r="I476" s="111"/>
      <c r="J476" s="111"/>
      <c r="K476" s="111"/>
      <c r="L476" s="112"/>
      <c r="M476" s="111"/>
      <c r="N476" s="111"/>
      <c r="O476" s="111"/>
      <c r="P476" s="111"/>
      <c r="Q476" s="111"/>
      <c r="R476" s="112"/>
      <c r="S476" s="112"/>
    </row>
    <row r="477" spans="1:19" ht="15" x14ac:dyDescent="0.25">
      <c r="A477" s="109"/>
      <c r="B477" s="109"/>
      <c r="C477" s="78"/>
      <c r="D477" s="78"/>
      <c r="E477" s="78"/>
      <c r="F477" s="78"/>
      <c r="G477" s="110"/>
      <c r="H477" s="115"/>
      <c r="I477" s="78"/>
      <c r="J477" s="78"/>
      <c r="K477" s="78"/>
      <c r="L477" s="110"/>
      <c r="M477" s="78"/>
      <c r="N477" s="78"/>
      <c r="O477" s="78"/>
      <c r="P477" s="78"/>
      <c r="Q477" s="78"/>
      <c r="R477" s="110"/>
      <c r="S477" s="110"/>
    </row>
    <row r="478" spans="1:19" ht="15" x14ac:dyDescent="0.25">
      <c r="A478" s="109"/>
      <c r="B478" s="109"/>
      <c r="C478" s="111"/>
      <c r="D478" s="111"/>
      <c r="E478" s="111"/>
      <c r="F478" s="111"/>
      <c r="G478" s="112"/>
      <c r="H478" s="114"/>
      <c r="I478" s="111"/>
      <c r="J478" s="111"/>
      <c r="K478" s="111"/>
      <c r="L478" s="112"/>
      <c r="M478" s="111"/>
      <c r="N478" s="111"/>
      <c r="O478" s="111"/>
      <c r="P478" s="111"/>
      <c r="Q478" s="111"/>
      <c r="R478" s="112"/>
      <c r="S478" s="112"/>
    </row>
    <row r="479" spans="1:19" ht="15" x14ac:dyDescent="0.25">
      <c r="A479" s="109"/>
      <c r="B479" s="109"/>
      <c r="C479" s="78"/>
      <c r="D479" s="78"/>
      <c r="E479" s="78"/>
      <c r="F479" s="78"/>
      <c r="G479" s="110"/>
      <c r="H479" s="115"/>
      <c r="I479" s="78"/>
      <c r="J479" s="78"/>
      <c r="K479" s="78"/>
      <c r="L479" s="110"/>
      <c r="M479" s="78"/>
      <c r="N479" s="78"/>
      <c r="O479" s="78"/>
      <c r="P479" s="78"/>
      <c r="Q479" s="78"/>
      <c r="R479" s="110"/>
      <c r="S479" s="110"/>
    </row>
    <row r="480" spans="1:19" ht="15" x14ac:dyDescent="0.25">
      <c r="A480" s="109"/>
      <c r="B480" s="109"/>
      <c r="C480" s="111"/>
      <c r="D480" s="111"/>
      <c r="E480" s="111"/>
      <c r="F480" s="111"/>
      <c r="G480" s="112"/>
      <c r="H480" s="114"/>
      <c r="I480" s="111"/>
      <c r="J480" s="111"/>
      <c r="K480" s="111"/>
      <c r="L480" s="112"/>
      <c r="M480" s="111"/>
      <c r="N480" s="111"/>
      <c r="O480" s="111"/>
      <c r="P480" s="111"/>
      <c r="Q480" s="111"/>
      <c r="R480" s="112"/>
      <c r="S480" s="112"/>
    </row>
    <row r="481" spans="1:19" ht="15" x14ac:dyDescent="0.25">
      <c r="A481" s="109"/>
      <c r="B481" s="109"/>
      <c r="C481" s="78"/>
      <c r="D481" s="78"/>
      <c r="E481" s="78"/>
      <c r="F481" s="78"/>
      <c r="G481" s="110"/>
      <c r="H481" s="115"/>
      <c r="I481" s="78"/>
      <c r="J481" s="78"/>
      <c r="K481" s="78"/>
      <c r="L481" s="110"/>
      <c r="M481" s="78"/>
      <c r="N481" s="78"/>
      <c r="O481" s="78"/>
      <c r="P481" s="78"/>
      <c r="Q481" s="78"/>
      <c r="R481" s="110"/>
      <c r="S481" s="110"/>
    </row>
    <row r="482" spans="1:19" ht="15" x14ac:dyDescent="0.25">
      <c r="A482" s="109"/>
      <c r="B482" s="109"/>
      <c r="C482" s="111"/>
      <c r="D482" s="111"/>
      <c r="E482" s="111"/>
      <c r="F482" s="111"/>
      <c r="G482" s="112"/>
      <c r="H482" s="114"/>
      <c r="I482" s="111"/>
      <c r="J482" s="111"/>
      <c r="K482" s="111"/>
      <c r="L482" s="112"/>
      <c r="M482" s="111"/>
      <c r="N482" s="111"/>
      <c r="O482" s="111"/>
      <c r="P482" s="111"/>
      <c r="Q482" s="111"/>
      <c r="R482" s="112"/>
      <c r="S482" s="112"/>
    </row>
    <row r="483" spans="1:19" ht="15" x14ac:dyDescent="0.25">
      <c r="A483" s="109"/>
      <c r="B483" s="109"/>
      <c r="C483" s="78"/>
      <c r="D483" s="78"/>
      <c r="E483" s="78"/>
      <c r="F483" s="78"/>
      <c r="G483" s="110"/>
      <c r="H483" s="115"/>
      <c r="I483" s="78"/>
      <c r="J483" s="78"/>
      <c r="K483" s="78"/>
      <c r="L483" s="110"/>
      <c r="M483" s="78"/>
      <c r="N483" s="78"/>
      <c r="O483" s="78"/>
      <c r="P483" s="78"/>
      <c r="Q483" s="78"/>
      <c r="R483" s="110"/>
      <c r="S483" s="110"/>
    </row>
    <row r="484" spans="1:19" ht="15" x14ac:dyDescent="0.25">
      <c r="A484" s="109"/>
      <c r="B484" s="109"/>
      <c r="C484" s="111"/>
      <c r="D484" s="111"/>
      <c r="E484" s="111"/>
      <c r="F484" s="111"/>
      <c r="G484" s="112"/>
      <c r="H484" s="114"/>
      <c r="I484" s="111"/>
      <c r="J484" s="111"/>
      <c r="K484" s="111"/>
      <c r="L484" s="112"/>
      <c r="M484" s="111"/>
      <c r="N484" s="111"/>
      <c r="O484" s="111"/>
      <c r="P484" s="111"/>
      <c r="Q484" s="111"/>
      <c r="R484" s="112"/>
      <c r="S484" s="112"/>
    </row>
    <row r="485" spans="1:19" ht="15" x14ac:dyDescent="0.25">
      <c r="A485" s="109"/>
      <c r="B485" s="109"/>
      <c r="C485" s="78"/>
      <c r="D485" s="78"/>
      <c r="E485" s="78"/>
      <c r="F485" s="78"/>
      <c r="G485" s="110"/>
      <c r="H485" s="115"/>
      <c r="I485" s="78"/>
      <c r="J485" s="78"/>
      <c r="K485" s="78"/>
      <c r="L485" s="110"/>
      <c r="M485" s="78"/>
      <c r="N485" s="78"/>
      <c r="O485" s="78"/>
      <c r="P485" s="78"/>
      <c r="Q485" s="78"/>
      <c r="R485" s="110"/>
      <c r="S485" s="110"/>
    </row>
    <row r="486" spans="1:19" ht="15" x14ac:dyDescent="0.25">
      <c r="A486" s="109"/>
      <c r="B486" s="109"/>
      <c r="C486" s="111"/>
      <c r="D486" s="111"/>
      <c r="E486" s="111"/>
      <c r="F486" s="111"/>
      <c r="G486" s="112"/>
      <c r="H486" s="114"/>
      <c r="I486" s="111"/>
      <c r="J486" s="111"/>
      <c r="K486" s="111"/>
      <c r="L486" s="112"/>
      <c r="M486" s="111"/>
      <c r="N486" s="111"/>
      <c r="O486" s="111"/>
      <c r="P486" s="111"/>
      <c r="Q486" s="111"/>
      <c r="R486" s="112"/>
      <c r="S486" s="112"/>
    </row>
    <row r="487" spans="1:19" ht="15" x14ac:dyDescent="0.25">
      <c r="A487" s="109"/>
      <c r="B487" s="109"/>
      <c r="C487" s="78"/>
      <c r="D487" s="78"/>
      <c r="E487" s="78"/>
      <c r="F487" s="78"/>
      <c r="G487" s="110"/>
      <c r="H487" s="115"/>
      <c r="I487" s="78"/>
      <c r="J487" s="78"/>
      <c r="K487" s="78"/>
      <c r="L487" s="110"/>
      <c r="M487" s="78"/>
      <c r="N487" s="78"/>
      <c r="O487" s="78"/>
      <c r="P487" s="78"/>
      <c r="Q487" s="78"/>
      <c r="R487" s="110"/>
      <c r="S487" s="110"/>
    </row>
    <row r="488" spans="1:19" ht="15" x14ac:dyDescent="0.25">
      <c r="A488" s="109"/>
      <c r="B488" s="109"/>
      <c r="C488" s="111"/>
      <c r="D488" s="111"/>
      <c r="E488" s="111"/>
      <c r="F488" s="111"/>
      <c r="G488" s="112"/>
      <c r="H488" s="114"/>
      <c r="I488" s="111"/>
      <c r="J488" s="111"/>
      <c r="K488" s="111"/>
      <c r="L488" s="112"/>
      <c r="M488" s="111"/>
      <c r="N488" s="111"/>
      <c r="O488" s="111"/>
      <c r="P488" s="111"/>
      <c r="Q488" s="111"/>
      <c r="R488" s="112"/>
      <c r="S488" s="112"/>
    </row>
    <row r="489" spans="1:19" ht="15" x14ac:dyDescent="0.25">
      <c r="A489" s="109"/>
      <c r="B489" s="109"/>
      <c r="C489" s="78"/>
      <c r="D489" s="78"/>
      <c r="E489" s="78"/>
      <c r="F489" s="78"/>
      <c r="G489" s="110"/>
      <c r="H489" s="115"/>
      <c r="I489" s="78"/>
      <c r="J489" s="78"/>
      <c r="K489" s="78"/>
      <c r="L489" s="110"/>
      <c r="M489" s="78"/>
      <c r="N489" s="78"/>
      <c r="O489" s="78"/>
      <c r="P489" s="78"/>
      <c r="Q489" s="78"/>
      <c r="R489" s="110"/>
      <c r="S489" s="110"/>
    </row>
    <row r="490" spans="1:19" ht="15" x14ac:dyDescent="0.25">
      <c r="A490" s="109"/>
      <c r="B490" s="109"/>
      <c r="C490" s="111"/>
      <c r="D490" s="111"/>
      <c r="E490" s="111"/>
      <c r="F490" s="111"/>
      <c r="G490" s="112"/>
      <c r="H490" s="114"/>
      <c r="I490" s="111"/>
      <c r="J490" s="111"/>
      <c r="K490" s="111"/>
      <c r="L490" s="112"/>
      <c r="M490" s="111"/>
      <c r="N490" s="111"/>
      <c r="O490" s="111"/>
      <c r="P490" s="111"/>
      <c r="Q490" s="111"/>
      <c r="R490" s="112"/>
      <c r="S490" s="112"/>
    </row>
    <row r="491" spans="1:19" ht="15" x14ac:dyDescent="0.25">
      <c r="A491" s="109"/>
      <c r="B491" s="109"/>
      <c r="C491" s="78"/>
      <c r="D491" s="78"/>
      <c r="E491" s="78"/>
      <c r="F491" s="78"/>
      <c r="G491" s="110"/>
      <c r="H491" s="115"/>
      <c r="I491" s="78"/>
      <c r="J491" s="78"/>
      <c r="K491" s="78"/>
      <c r="L491" s="110"/>
      <c r="M491" s="78"/>
      <c r="N491" s="78"/>
      <c r="O491" s="78"/>
      <c r="P491" s="78"/>
      <c r="Q491" s="78"/>
      <c r="R491" s="110"/>
      <c r="S491" s="110"/>
    </row>
    <row r="492" spans="1:19" ht="15" x14ac:dyDescent="0.25">
      <c r="A492" s="109"/>
      <c r="B492" s="109"/>
      <c r="C492" s="111"/>
      <c r="D492" s="111"/>
      <c r="E492" s="111"/>
      <c r="F492" s="111"/>
      <c r="G492" s="112"/>
      <c r="H492" s="114"/>
      <c r="I492" s="111"/>
      <c r="J492" s="111"/>
      <c r="K492" s="111"/>
      <c r="L492" s="112"/>
      <c r="M492" s="111"/>
      <c r="N492" s="111"/>
      <c r="O492" s="111"/>
      <c r="P492" s="111"/>
      <c r="Q492" s="111"/>
      <c r="R492" s="112"/>
      <c r="S492" s="112"/>
    </row>
    <row r="493" spans="1:19" ht="15" x14ac:dyDescent="0.25">
      <c r="A493" s="109"/>
      <c r="B493" s="109"/>
      <c r="C493" s="78"/>
      <c r="D493" s="78"/>
      <c r="E493" s="78"/>
      <c r="F493" s="78"/>
      <c r="G493" s="110"/>
      <c r="H493" s="115"/>
      <c r="I493" s="78"/>
      <c r="J493" s="78"/>
      <c r="K493" s="78"/>
      <c r="L493" s="110"/>
      <c r="M493" s="78"/>
      <c r="N493" s="78"/>
      <c r="O493" s="78"/>
      <c r="P493" s="78"/>
      <c r="Q493" s="78"/>
      <c r="R493" s="110"/>
      <c r="S493" s="110"/>
    </row>
    <row r="494" spans="1:19" ht="15" x14ac:dyDescent="0.25">
      <c r="A494" s="109"/>
      <c r="B494" s="109"/>
      <c r="C494" s="111"/>
      <c r="D494" s="111"/>
      <c r="E494" s="111"/>
      <c r="F494" s="111"/>
      <c r="G494" s="112"/>
      <c r="H494" s="114"/>
      <c r="I494" s="111"/>
      <c r="J494" s="111"/>
      <c r="K494" s="111"/>
      <c r="L494" s="112"/>
      <c r="M494" s="111"/>
      <c r="N494" s="111"/>
      <c r="O494" s="111"/>
      <c r="P494" s="111"/>
      <c r="Q494" s="111"/>
      <c r="R494" s="112"/>
      <c r="S494" s="112"/>
    </row>
    <row r="495" spans="1:19" ht="15" x14ac:dyDescent="0.25">
      <c r="A495" s="109"/>
      <c r="B495" s="109"/>
      <c r="C495" s="78"/>
      <c r="D495" s="78"/>
      <c r="E495" s="78"/>
      <c r="F495" s="78"/>
      <c r="G495" s="110"/>
      <c r="H495" s="115"/>
      <c r="I495" s="78"/>
      <c r="J495" s="78"/>
      <c r="K495" s="78"/>
      <c r="L495" s="110"/>
      <c r="M495" s="78"/>
      <c r="N495" s="78"/>
      <c r="O495" s="78"/>
      <c r="P495" s="78"/>
      <c r="Q495" s="78"/>
      <c r="R495" s="110"/>
      <c r="S495" s="110"/>
    </row>
    <row r="496" spans="1:19" ht="15" x14ac:dyDescent="0.25">
      <c r="A496" s="109"/>
      <c r="B496" s="109"/>
      <c r="C496" s="111"/>
      <c r="D496" s="111"/>
      <c r="E496" s="111"/>
      <c r="F496" s="111"/>
      <c r="G496" s="112"/>
      <c r="H496" s="114"/>
      <c r="I496" s="111"/>
      <c r="J496" s="111"/>
      <c r="K496" s="111"/>
      <c r="L496" s="112"/>
      <c r="M496" s="111"/>
      <c r="N496" s="111"/>
      <c r="O496" s="111"/>
      <c r="P496" s="111"/>
      <c r="Q496" s="111"/>
      <c r="R496" s="112"/>
      <c r="S496" s="112"/>
    </row>
    <row r="497" spans="1:19" ht="15" x14ac:dyDescent="0.25">
      <c r="A497" s="109"/>
      <c r="B497" s="109"/>
      <c r="C497" s="78"/>
      <c r="D497" s="78"/>
      <c r="E497" s="78"/>
      <c r="F497" s="78"/>
      <c r="G497" s="110"/>
      <c r="H497" s="115"/>
      <c r="I497" s="78"/>
      <c r="J497" s="78"/>
      <c r="K497" s="78"/>
      <c r="L497" s="110"/>
      <c r="M497" s="78"/>
      <c r="N497" s="78"/>
      <c r="O497" s="78"/>
      <c r="P497" s="78"/>
      <c r="Q497" s="78"/>
      <c r="R497" s="110"/>
      <c r="S497" s="110"/>
    </row>
    <row r="498" spans="1:19" ht="15" x14ac:dyDescent="0.25">
      <c r="A498" s="109"/>
      <c r="B498" s="109"/>
      <c r="C498" s="111"/>
      <c r="D498" s="111"/>
      <c r="E498" s="111"/>
      <c r="F498" s="111"/>
      <c r="G498" s="112"/>
      <c r="H498" s="114"/>
      <c r="I498" s="111"/>
      <c r="J498" s="111"/>
      <c r="K498" s="111"/>
      <c r="L498" s="112"/>
      <c r="M498" s="111"/>
      <c r="N498" s="111"/>
      <c r="O498" s="111"/>
      <c r="P498" s="111"/>
      <c r="Q498" s="111"/>
      <c r="R498" s="112"/>
      <c r="S498" s="112"/>
    </row>
    <row r="499" spans="1:19" ht="15" x14ac:dyDescent="0.25">
      <c r="A499" s="109"/>
      <c r="B499" s="109"/>
      <c r="C499" s="78"/>
      <c r="D499" s="78"/>
      <c r="E499" s="78"/>
      <c r="F499" s="78"/>
      <c r="G499" s="110"/>
      <c r="H499" s="115"/>
      <c r="I499" s="78"/>
      <c r="J499" s="78"/>
      <c r="K499" s="78"/>
      <c r="L499" s="110"/>
      <c r="M499" s="78"/>
      <c r="N499" s="78"/>
      <c r="O499" s="78"/>
      <c r="P499" s="78"/>
      <c r="Q499" s="78"/>
      <c r="R499" s="110"/>
      <c r="S499" s="110"/>
    </row>
    <row r="500" spans="1:19" ht="15" x14ac:dyDescent="0.25">
      <c r="A500" s="109"/>
      <c r="B500" s="109"/>
      <c r="C500" s="111"/>
      <c r="D500" s="111"/>
      <c r="E500" s="111"/>
      <c r="F500" s="111"/>
      <c r="G500" s="112"/>
      <c r="H500" s="114"/>
      <c r="I500" s="111"/>
      <c r="J500" s="111"/>
      <c r="K500" s="111"/>
      <c r="L500" s="112"/>
      <c r="M500" s="111"/>
      <c r="N500" s="111"/>
      <c r="O500" s="111"/>
      <c r="P500" s="111"/>
      <c r="Q500" s="111"/>
      <c r="R500" s="112"/>
      <c r="S500" s="112"/>
    </row>
    <row r="501" spans="1:19" ht="15" x14ac:dyDescent="0.25">
      <c r="A501" s="109"/>
      <c r="B501" s="109"/>
      <c r="C501" s="78"/>
      <c r="D501" s="78"/>
      <c r="E501" s="78"/>
      <c r="F501" s="78"/>
      <c r="G501" s="110"/>
      <c r="H501" s="115"/>
      <c r="I501" s="78"/>
      <c r="J501" s="78"/>
      <c r="K501" s="78"/>
      <c r="L501" s="110"/>
      <c r="M501" s="78"/>
      <c r="N501" s="78"/>
      <c r="O501" s="78"/>
      <c r="P501" s="78"/>
      <c r="Q501" s="78"/>
      <c r="R501" s="110"/>
      <c r="S501" s="110"/>
    </row>
    <row r="502" spans="1:19" ht="15" x14ac:dyDescent="0.25">
      <c r="A502" s="109"/>
      <c r="B502" s="109"/>
      <c r="C502" s="111"/>
      <c r="D502" s="111"/>
      <c r="E502" s="111"/>
      <c r="F502" s="111"/>
      <c r="G502" s="112"/>
      <c r="H502" s="114"/>
      <c r="I502" s="111"/>
      <c r="J502" s="111"/>
      <c r="K502" s="111"/>
      <c r="L502" s="112"/>
      <c r="M502" s="111"/>
      <c r="N502" s="111"/>
      <c r="O502" s="111"/>
      <c r="P502" s="111"/>
      <c r="Q502" s="111"/>
      <c r="R502" s="112"/>
      <c r="S502" s="112"/>
    </row>
    <row r="503" spans="1:19" ht="15" x14ac:dyDescent="0.25">
      <c r="A503" s="109"/>
      <c r="B503" s="109"/>
      <c r="C503" s="78"/>
      <c r="D503" s="78"/>
      <c r="E503" s="78"/>
      <c r="F503" s="78"/>
      <c r="G503" s="110"/>
      <c r="H503" s="115"/>
      <c r="I503" s="78"/>
      <c r="J503" s="78"/>
      <c r="K503" s="78"/>
      <c r="L503" s="110"/>
      <c r="M503" s="78"/>
      <c r="N503" s="78"/>
      <c r="O503" s="78"/>
      <c r="P503" s="78"/>
      <c r="Q503" s="78"/>
      <c r="R503" s="110"/>
      <c r="S503" s="110"/>
    </row>
    <row r="504" spans="1:19" ht="15" x14ac:dyDescent="0.25">
      <c r="A504" s="109"/>
      <c r="B504" s="109"/>
      <c r="C504" s="111"/>
      <c r="D504" s="111"/>
      <c r="E504" s="111"/>
      <c r="F504" s="111"/>
      <c r="G504" s="112"/>
      <c r="H504" s="114"/>
      <c r="I504" s="111"/>
      <c r="J504" s="111"/>
      <c r="K504" s="111"/>
      <c r="L504" s="112"/>
      <c r="M504" s="111"/>
      <c r="N504" s="111"/>
      <c r="O504" s="111"/>
      <c r="P504" s="111"/>
      <c r="Q504" s="111"/>
      <c r="R504" s="112"/>
      <c r="S504" s="112"/>
    </row>
    <row r="505" spans="1:19" ht="15" x14ac:dyDescent="0.25">
      <c r="A505" s="109"/>
      <c r="B505" s="109"/>
      <c r="C505" s="78"/>
      <c r="D505" s="78"/>
      <c r="E505" s="78"/>
      <c r="F505" s="78"/>
      <c r="G505" s="110"/>
      <c r="H505" s="115"/>
      <c r="I505" s="78"/>
      <c r="J505" s="78"/>
      <c r="K505" s="78"/>
      <c r="L505" s="110"/>
      <c r="M505" s="78"/>
      <c r="N505" s="78"/>
      <c r="O505" s="78"/>
      <c r="P505" s="78"/>
      <c r="Q505" s="78"/>
      <c r="R505" s="110"/>
      <c r="S505" s="110"/>
    </row>
    <row r="506" spans="1:19" ht="15" x14ac:dyDescent="0.25">
      <c r="A506" s="109"/>
      <c r="B506" s="109"/>
      <c r="C506" s="111"/>
      <c r="D506" s="111"/>
      <c r="E506" s="111"/>
      <c r="F506" s="111"/>
      <c r="G506" s="112"/>
      <c r="H506" s="114"/>
      <c r="I506" s="111"/>
      <c r="J506" s="111"/>
      <c r="K506" s="111"/>
      <c r="L506" s="112"/>
      <c r="M506" s="111"/>
      <c r="N506" s="111"/>
      <c r="O506" s="111"/>
      <c r="P506" s="111"/>
      <c r="Q506" s="111"/>
      <c r="R506" s="112"/>
      <c r="S506" s="112"/>
    </row>
    <row r="507" spans="1:19" ht="15" x14ac:dyDescent="0.25">
      <c r="A507" s="109"/>
      <c r="B507" s="109"/>
      <c r="C507" s="78"/>
      <c r="D507" s="78"/>
      <c r="E507" s="78"/>
      <c r="F507" s="78"/>
      <c r="G507" s="110"/>
      <c r="H507" s="115"/>
      <c r="I507" s="78"/>
      <c r="J507" s="78"/>
      <c r="K507" s="78"/>
      <c r="L507" s="110"/>
      <c r="M507" s="78"/>
      <c r="N507" s="78"/>
      <c r="O507" s="78"/>
      <c r="P507" s="78"/>
      <c r="Q507" s="78"/>
      <c r="R507" s="110"/>
      <c r="S507" s="110"/>
    </row>
    <row r="508" spans="1:19" ht="15" x14ac:dyDescent="0.25">
      <c r="A508" s="109"/>
      <c r="B508" s="109"/>
      <c r="C508" s="111"/>
      <c r="D508" s="111"/>
      <c r="E508" s="111"/>
      <c r="F508" s="111"/>
      <c r="G508" s="112"/>
      <c r="H508" s="114"/>
      <c r="I508" s="111"/>
      <c r="J508" s="111"/>
      <c r="K508" s="111"/>
      <c r="L508" s="112"/>
      <c r="M508" s="111"/>
      <c r="N508" s="111"/>
      <c r="O508" s="111"/>
      <c r="P508" s="111"/>
      <c r="Q508" s="111"/>
      <c r="R508" s="112"/>
      <c r="S508" s="112"/>
    </row>
    <row r="509" spans="1:19" ht="15" x14ac:dyDescent="0.25">
      <c r="A509" s="109"/>
      <c r="B509" s="109"/>
      <c r="C509" s="78"/>
      <c r="D509" s="78"/>
      <c r="E509" s="78"/>
      <c r="F509" s="78"/>
      <c r="G509" s="110"/>
      <c r="H509" s="115"/>
      <c r="I509" s="78"/>
      <c r="J509" s="78"/>
      <c r="K509" s="78"/>
      <c r="L509" s="110"/>
      <c r="M509" s="78"/>
      <c r="N509" s="78"/>
      <c r="O509" s="78"/>
      <c r="P509" s="78"/>
      <c r="Q509" s="78"/>
      <c r="R509" s="110"/>
      <c r="S509" s="110"/>
    </row>
    <row r="510" spans="1:19" ht="15" x14ac:dyDescent="0.25">
      <c r="A510" s="109"/>
      <c r="B510" s="109"/>
      <c r="C510" s="111"/>
      <c r="D510" s="111"/>
      <c r="E510" s="111"/>
      <c r="F510" s="111"/>
      <c r="G510" s="112"/>
      <c r="H510" s="114"/>
      <c r="I510" s="111"/>
      <c r="J510" s="111"/>
      <c r="K510" s="111"/>
      <c r="L510" s="112"/>
      <c r="M510" s="111"/>
      <c r="N510" s="111"/>
      <c r="O510" s="111"/>
      <c r="P510" s="111"/>
      <c r="Q510" s="111"/>
      <c r="R510" s="112"/>
      <c r="S510" s="112"/>
    </row>
    <row r="511" spans="1:19" ht="15" x14ac:dyDescent="0.25">
      <c r="A511" s="109"/>
      <c r="B511" s="109"/>
      <c r="C511" s="78"/>
      <c r="D511" s="78"/>
      <c r="E511" s="78"/>
      <c r="F511" s="78"/>
      <c r="G511" s="110"/>
      <c r="H511" s="115"/>
      <c r="I511" s="78"/>
      <c r="J511" s="78"/>
      <c r="K511" s="78"/>
      <c r="L511" s="110"/>
      <c r="M511" s="78"/>
      <c r="N511" s="78"/>
      <c r="O511" s="78"/>
      <c r="P511" s="78"/>
      <c r="Q511" s="78"/>
      <c r="R511" s="110"/>
      <c r="S511" s="110"/>
    </row>
    <row r="512" spans="1:19" ht="15" x14ac:dyDescent="0.25">
      <c r="A512" s="109"/>
      <c r="B512" s="109"/>
      <c r="C512" s="111"/>
      <c r="D512" s="111"/>
      <c r="E512" s="111"/>
      <c r="F512" s="111"/>
      <c r="G512" s="112"/>
      <c r="H512" s="114"/>
      <c r="I512" s="111"/>
      <c r="J512" s="111"/>
      <c r="K512" s="111"/>
      <c r="L512" s="112"/>
      <c r="M512" s="111"/>
      <c r="N512" s="111"/>
      <c r="O512" s="111"/>
      <c r="P512" s="111"/>
      <c r="Q512" s="111"/>
      <c r="R512" s="112"/>
      <c r="S512" s="112"/>
    </row>
    <row r="513" spans="1:19" ht="15" x14ac:dyDescent="0.25">
      <c r="A513" s="109"/>
      <c r="B513" s="109"/>
      <c r="C513" s="78"/>
      <c r="D513" s="78"/>
      <c r="E513" s="78"/>
      <c r="F513" s="78"/>
      <c r="G513" s="110"/>
      <c r="H513" s="115"/>
      <c r="I513" s="78"/>
      <c r="J513" s="78"/>
      <c r="K513" s="78"/>
      <c r="L513" s="110"/>
      <c r="M513" s="78"/>
      <c r="N513" s="78"/>
      <c r="O513" s="78"/>
      <c r="P513" s="78"/>
      <c r="Q513" s="78"/>
      <c r="R513" s="110"/>
      <c r="S513" s="110"/>
    </row>
    <row r="514" spans="1:19" ht="15" x14ac:dyDescent="0.25">
      <c r="A514" s="109"/>
      <c r="B514" s="109"/>
      <c r="C514" s="111"/>
      <c r="D514" s="111"/>
      <c r="E514" s="111"/>
      <c r="F514" s="111"/>
      <c r="G514" s="112"/>
      <c r="H514" s="114"/>
      <c r="I514" s="111"/>
      <c r="J514" s="111"/>
      <c r="K514" s="111"/>
      <c r="L514" s="112"/>
      <c r="M514" s="111"/>
      <c r="N514" s="111"/>
      <c r="O514" s="111"/>
      <c r="P514" s="111"/>
      <c r="Q514" s="111"/>
      <c r="R514" s="112"/>
      <c r="S514" s="112"/>
    </row>
    <row r="515" spans="1:19" ht="15" x14ac:dyDescent="0.25">
      <c r="A515" s="109"/>
      <c r="B515" s="109"/>
      <c r="C515" s="78"/>
      <c r="D515" s="78"/>
      <c r="E515" s="78"/>
      <c r="F515" s="78"/>
      <c r="G515" s="110"/>
      <c r="H515" s="115"/>
      <c r="I515" s="78"/>
      <c r="J515" s="78"/>
      <c r="K515" s="78"/>
      <c r="L515" s="110"/>
      <c r="M515" s="78"/>
      <c r="N515" s="78"/>
      <c r="O515" s="78"/>
      <c r="P515" s="78"/>
      <c r="Q515" s="78"/>
      <c r="R515" s="110"/>
      <c r="S515" s="110"/>
    </row>
    <row r="516" spans="1:19" ht="15" x14ac:dyDescent="0.25">
      <c r="A516" s="109"/>
      <c r="B516" s="109"/>
      <c r="C516" s="111"/>
      <c r="D516" s="111"/>
      <c r="E516" s="111"/>
      <c r="F516" s="111"/>
      <c r="G516" s="112"/>
      <c r="H516" s="114"/>
      <c r="I516" s="111"/>
      <c r="J516" s="111"/>
      <c r="K516" s="111"/>
      <c r="L516" s="112"/>
      <c r="M516" s="111"/>
      <c r="N516" s="111"/>
      <c r="O516" s="111"/>
      <c r="P516" s="111"/>
      <c r="Q516" s="111"/>
      <c r="R516" s="112"/>
      <c r="S516" s="112"/>
    </row>
    <row r="517" spans="1:19" ht="15" x14ac:dyDescent="0.25">
      <c r="A517" s="109"/>
      <c r="B517" s="109"/>
      <c r="C517" s="78"/>
      <c r="D517" s="78"/>
      <c r="E517" s="78"/>
      <c r="F517" s="78"/>
      <c r="G517" s="110"/>
      <c r="H517" s="115"/>
      <c r="I517" s="78"/>
      <c r="J517" s="78"/>
      <c r="K517" s="78"/>
      <c r="L517" s="110"/>
      <c r="M517" s="78"/>
      <c r="N517" s="78"/>
      <c r="O517" s="78"/>
      <c r="P517" s="78"/>
      <c r="Q517" s="78"/>
      <c r="R517" s="110"/>
      <c r="S517" s="110"/>
    </row>
    <row r="518" spans="1:19" ht="15" x14ac:dyDescent="0.25">
      <c r="A518" s="109"/>
      <c r="B518" s="109"/>
      <c r="C518" s="111"/>
      <c r="D518" s="111"/>
      <c r="E518" s="111"/>
      <c r="F518" s="111"/>
      <c r="G518" s="112"/>
      <c r="H518" s="114"/>
      <c r="I518" s="111"/>
      <c r="J518" s="111"/>
      <c r="K518" s="111"/>
      <c r="L518" s="112"/>
      <c r="M518" s="111"/>
      <c r="N518" s="111"/>
      <c r="O518" s="111"/>
      <c r="P518" s="111"/>
      <c r="Q518" s="111"/>
      <c r="R518" s="112"/>
      <c r="S518" s="112"/>
    </row>
    <row r="519" spans="1:19" ht="15" x14ac:dyDescent="0.25">
      <c r="A519" s="109"/>
      <c r="B519" s="109"/>
      <c r="C519" s="78"/>
      <c r="D519" s="78"/>
      <c r="E519" s="78"/>
      <c r="F519" s="78"/>
      <c r="G519" s="110"/>
      <c r="H519" s="115"/>
      <c r="I519" s="78"/>
      <c r="J519" s="78"/>
      <c r="K519" s="78"/>
      <c r="L519" s="110"/>
      <c r="M519" s="78"/>
      <c r="N519" s="78"/>
      <c r="O519" s="78"/>
      <c r="P519" s="78"/>
      <c r="Q519" s="78"/>
      <c r="R519" s="110"/>
      <c r="S519" s="110"/>
    </row>
    <row r="520" spans="1:19" ht="15" x14ac:dyDescent="0.25">
      <c r="A520" s="109"/>
      <c r="B520" s="109"/>
      <c r="C520" s="111"/>
      <c r="D520" s="111"/>
      <c r="E520" s="111"/>
      <c r="F520" s="111"/>
      <c r="G520" s="112"/>
      <c r="H520" s="114"/>
      <c r="I520" s="111"/>
      <c r="J520" s="111"/>
      <c r="K520" s="111"/>
      <c r="L520" s="112"/>
      <c r="M520" s="111"/>
      <c r="N520" s="111"/>
      <c r="O520" s="111"/>
      <c r="P520" s="111"/>
      <c r="Q520" s="111"/>
      <c r="R520" s="112"/>
      <c r="S520" s="112"/>
    </row>
    <row r="521" spans="1:19" ht="15" x14ac:dyDescent="0.25">
      <c r="A521" s="109"/>
      <c r="B521" s="109"/>
      <c r="C521" s="78"/>
      <c r="D521" s="78"/>
      <c r="E521" s="78"/>
      <c r="F521" s="78"/>
      <c r="G521" s="110"/>
      <c r="H521" s="115"/>
      <c r="I521" s="78"/>
      <c r="J521" s="78"/>
      <c r="K521" s="78"/>
      <c r="L521" s="110"/>
      <c r="M521" s="78"/>
      <c r="N521" s="78"/>
      <c r="O521" s="78"/>
      <c r="P521" s="78"/>
      <c r="Q521" s="78"/>
      <c r="R521" s="110"/>
      <c r="S521" s="110"/>
    </row>
    <row r="522" spans="1:19" ht="15" x14ac:dyDescent="0.25">
      <c r="A522" s="109"/>
      <c r="B522" s="109"/>
      <c r="C522" s="111"/>
      <c r="D522" s="111"/>
      <c r="E522" s="111"/>
      <c r="F522" s="111"/>
      <c r="G522" s="112"/>
      <c r="H522" s="114"/>
      <c r="I522" s="111"/>
      <c r="J522" s="111"/>
      <c r="K522" s="111"/>
      <c r="L522" s="112"/>
      <c r="M522" s="111"/>
      <c r="N522" s="111"/>
      <c r="O522" s="111"/>
      <c r="P522" s="111"/>
      <c r="Q522" s="111"/>
      <c r="R522" s="112"/>
      <c r="S522" s="112"/>
    </row>
    <row r="523" spans="1:19" ht="15" x14ac:dyDescent="0.25">
      <c r="A523" s="109"/>
      <c r="B523" s="109"/>
      <c r="C523" s="78"/>
      <c r="D523" s="78"/>
      <c r="E523" s="78"/>
      <c r="F523" s="78"/>
      <c r="G523" s="110"/>
      <c r="H523" s="115"/>
      <c r="I523" s="78"/>
      <c r="J523" s="78"/>
      <c r="K523" s="78"/>
      <c r="L523" s="110"/>
      <c r="M523" s="78"/>
      <c r="N523" s="78"/>
      <c r="O523" s="78"/>
      <c r="P523" s="78"/>
      <c r="Q523" s="78"/>
      <c r="R523" s="110"/>
      <c r="S523" s="110"/>
    </row>
    <row r="524" spans="1:19" ht="15" x14ac:dyDescent="0.25">
      <c r="A524" s="109"/>
      <c r="B524" s="109"/>
      <c r="C524" s="111"/>
      <c r="D524" s="111"/>
      <c r="E524" s="111"/>
      <c r="F524" s="111"/>
      <c r="G524" s="112"/>
      <c r="H524" s="114"/>
      <c r="I524" s="111"/>
      <c r="J524" s="111"/>
      <c r="K524" s="111"/>
      <c r="L524" s="112"/>
      <c r="M524" s="111"/>
      <c r="N524" s="111"/>
      <c r="O524" s="111"/>
      <c r="P524" s="111"/>
      <c r="Q524" s="111"/>
      <c r="R524" s="112"/>
      <c r="S524" s="112"/>
    </row>
    <row r="525" spans="1:19" ht="15" x14ac:dyDescent="0.25">
      <c r="A525" s="109"/>
      <c r="B525" s="109"/>
      <c r="C525" s="78"/>
      <c r="D525" s="78"/>
      <c r="E525" s="78"/>
      <c r="F525" s="78"/>
      <c r="G525" s="110"/>
      <c r="H525" s="115"/>
      <c r="I525" s="78"/>
      <c r="J525" s="78"/>
      <c r="K525" s="78"/>
      <c r="L525" s="110"/>
      <c r="M525" s="78"/>
      <c r="N525" s="78"/>
      <c r="O525" s="78"/>
      <c r="P525" s="78"/>
      <c r="Q525" s="78"/>
      <c r="R525" s="110"/>
      <c r="S525" s="110"/>
    </row>
    <row r="526" spans="1:19" ht="15" x14ac:dyDescent="0.25">
      <c r="A526" s="109"/>
      <c r="B526" s="109"/>
      <c r="C526" s="111"/>
      <c r="D526" s="111"/>
      <c r="E526" s="111"/>
      <c r="F526" s="111"/>
      <c r="G526" s="112"/>
      <c r="H526" s="114"/>
      <c r="I526" s="111"/>
      <c r="J526" s="111"/>
      <c r="K526" s="111"/>
      <c r="L526" s="112"/>
      <c r="M526" s="111"/>
      <c r="N526" s="111"/>
      <c r="O526" s="111"/>
      <c r="P526" s="111"/>
      <c r="Q526" s="111"/>
      <c r="R526" s="112"/>
      <c r="S526" s="112"/>
    </row>
    <row r="527" spans="1:19" ht="15" x14ac:dyDescent="0.25">
      <c r="A527" s="109"/>
      <c r="B527" s="109"/>
      <c r="C527" s="78"/>
      <c r="D527" s="78"/>
      <c r="E527" s="78"/>
      <c r="F527" s="78"/>
      <c r="G527" s="110"/>
      <c r="H527" s="115"/>
      <c r="I527" s="78"/>
      <c r="J527" s="78"/>
      <c r="K527" s="78"/>
      <c r="L527" s="110"/>
      <c r="M527" s="78"/>
      <c r="N527" s="78"/>
      <c r="O527" s="78"/>
      <c r="P527" s="78"/>
      <c r="Q527" s="78"/>
      <c r="R527" s="110"/>
      <c r="S527" s="110"/>
    </row>
    <row r="528" spans="1:19" ht="15" x14ac:dyDescent="0.25">
      <c r="A528" s="109"/>
      <c r="B528" s="109"/>
      <c r="C528" s="111"/>
      <c r="D528" s="111"/>
      <c r="E528" s="111"/>
      <c r="F528" s="111"/>
      <c r="G528" s="112"/>
      <c r="H528" s="114"/>
      <c r="I528" s="111"/>
      <c r="J528" s="111"/>
      <c r="K528" s="111"/>
      <c r="L528" s="112"/>
      <c r="M528" s="111"/>
      <c r="N528" s="111"/>
      <c r="O528" s="111"/>
      <c r="P528" s="111"/>
      <c r="Q528" s="111"/>
      <c r="R528" s="112"/>
      <c r="S528" s="112"/>
    </row>
    <row r="529" spans="1:19" ht="15" x14ac:dyDescent="0.25">
      <c r="A529" s="109"/>
      <c r="B529" s="109"/>
      <c r="C529" s="78"/>
      <c r="D529" s="78"/>
      <c r="E529" s="78"/>
      <c r="F529" s="78"/>
      <c r="G529" s="110"/>
      <c r="H529" s="115"/>
      <c r="I529" s="78"/>
      <c r="J529" s="78"/>
      <c r="K529" s="78"/>
      <c r="L529" s="110"/>
      <c r="M529" s="78"/>
      <c r="N529" s="78"/>
      <c r="O529" s="78"/>
      <c r="P529" s="78"/>
      <c r="Q529" s="78"/>
      <c r="R529" s="110"/>
      <c r="S529" s="110"/>
    </row>
    <row r="530" spans="1:19" ht="15" x14ac:dyDescent="0.25">
      <c r="A530" s="109"/>
      <c r="B530" s="109"/>
      <c r="C530" s="111"/>
      <c r="D530" s="111"/>
      <c r="E530" s="111"/>
      <c r="F530" s="111"/>
      <c r="G530" s="112"/>
      <c r="H530" s="114"/>
      <c r="I530" s="111"/>
      <c r="J530" s="111"/>
      <c r="K530" s="111"/>
      <c r="L530" s="112"/>
      <c r="M530" s="111"/>
      <c r="N530" s="111"/>
      <c r="O530" s="111"/>
      <c r="P530" s="111"/>
      <c r="Q530" s="111"/>
      <c r="R530" s="112"/>
      <c r="S530" s="112"/>
    </row>
    <row r="531" spans="1:19" ht="15" x14ac:dyDescent="0.25">
      <c r="A531" s="109"/>
      <c r="B531" s="109"/>
      <c r="C531" s="78"/>
      <c r="D531" s="78"/>
      <c r="E531" s="78"/>
      <c r="F531" s="78"/>
      <c r="G531" s="110"/>
      <c r="H531" s="115"/>
      <c r="I531" s="78"/>
      <c r="J531" s="78"/>
      <c r="K531" s="78"/>
      <c r="L531" s="110"/>
      <c r="M531" s="78"/>
      <c r="N531" s="78"/>
      <c r="O531" s="78"/>
      <c r="P531" s="78"/>
      <c r="Q531" s="78"/>
      <c r="R531" s="110"/>
      <c r="S531" s="110"/>
    </row>
    <row r="532" spans="1:19" ht="15" x14ac:dyDescent="0.25">
      <c r="A532" s="109"/>
      <c r="B532" s="109"/>
      <c r="C532" s="111"/>
      <c r="D532" s="111"/>
      <c r="E532" s="111"/>
      <c r="F532" s="111"/>
      <c r="G532" s="112"/>
      <c r="H532" s="114"/>
      <c r="I532" s="111"/>
      <c r="J532" s="111"/>
      <c r="K532" s="111"/>
      <c r="L532" s="112"/>
      <c r="M532" s="111"/>
      <c r="N532" s="111"/>
      <c r="O532" s="111"/>
      <c r="P532" s="111"/>
      <c r="Q532" s="111"/>
      <c r="R532" s="112"/>
      <c r="S532" s="112"/>
    </row>
    <row r="533" spans="1:19" ht="15" x14ac:dyDescent="0.25">
      <c r="A533" s="109"/>
      <c r="B533" s="109"/>
      <c r="C533" s="78"/>
      <c r="D533" s="78"/>
      <c r="E533" s="78"/>
      <c r="F533" s="78"/>
      <c r="G533" s="110"/>
      <c r="H533" s="115"/>
      <c r="I533" s="78"/>
      <c r="J533" s="78"/>
      <c r="K533" s="78"/>
      <c r="L533" s="110"/>
      <c r="M533" s="78"/>
      <c r="N533" s="78"/>
      <c r="O533" s="78"/>
      <c r="P533" s="78"/>
      <c r="Q533" s="78"/>
      <c r="R533" s="110"/>
      <c r="S533" s="110"/>
    </row>
    <row r="534" spans="1:19" ht="15" x14ac:dyDescent="0.25">
      <c r="A534" s="109"/>
      <c r="B534" s="109"/>
      <c r="C534" s="111"/>
      <c r="D534" s="111"/>
      <c r="E534" s="111"/>
      <c r="F534" s="111"/>
      <c r="G534" s="112"/>
      <c r="H534" s="114"/>
      <c r="I534" s="111"/>
      <c r="J534" s="111"/>
      <c r="K534" s="111"/>
      <c r="L534" s="112"/>
      <c r="M534" s="111"/>
      <c r="N534" s="111"/>
      <c r="O534" s="111"/>
      <c r="P534" s="111"/>
      <c r="Q534" s="111"/>
      <c r="R534" s="112"/>
      <c r="S534" s="112"/>
    </row>
    <row r="535" spans="1:19" ht="15" x14ac:dyDescent="0.25">
      <c r="A535" s="109"/>
      <c r="B535" s="109"/>
      <c r="C535" s="78"/>
      <c r="D535" s="78"/>
      <c r="E535" s="78"/>
      <c r="F535" s="78"/>
      <c r="G535" s="110"/>
      <c r="H535" s="115"/>
      <c r="I535" s="78"/>
      <c r="J535" s="78"/>
      <c r="K535" s="78"/>
      <c r="L535" s="110"/>
      <c r="M535" s="78"/>
      <c r="N535" s="78"/>
      <c r="O535" s="78"/>
      <c r="P535" s="78"/>
      <c r="Q535" s="78"/>
      <c r="R535" s="110"/>
      <c r="S535" s="110"/>
    </row>
    <row r="536" spans="1:19" ht="15" x14ac:dyDescent="0.25">
      <c r="A536" s="109"/>
      <c r="B536" s="109"/>
      <c r="C536" s="111"/>
      <c r="D536" s="111"/>
      <c r="E536" s="111"/>
      <c r="F536" s="111"/>
      <c r="G536" s="112"/>
      <c r="H536" s="114"/>
      <c r="I536" s="111"/>
      <c r="J536" s="111"/>
      <c r="K536" s="111"/>
      <c r="L536" s="112"/>
      <c r="M536" s="111"/>
      <c r="N536" s="111"/>
      <c r="O536" s="111"/>
      <c r="P536" s="111"/>
      <c r="Q536" s="111"/>
      <c r="R536" s="112"/>
      <c r="S536" s="112"/>
    </row>
    <row r="537" spans="1:19" ht="15" x14ac:dyDescent="0.25">
      <c r="A537" s="109"/>
      <c r="B537" s="109"/>
      <c r="C537" s="78"/>
      <c r="D537" s="78"/>
      <c r="E537" s="78"/>
      <c r="F537" s="78"/>
      <c r="G537" s="110"/>
      <c r="H537" s="115"/>
      <c r="I537" s="78"/>
      <c r="J537" s="78"/>
      <c r="K537" s="78"/>
      <c r="L537" s="110"/>
      <c r="M537" s="78"/>
      <c r="N537" s="78"/>
      <c r="O537" s="78"/>
      <c r="P537" s="78"/>
      <c r="Q537" s="78"/>
      <c r="R537" s="110"/>
      <c r="S537" s="110"/>
    </row>
    <row r="538" spans="1:19" ht="15" x14ac:dyDescent="0.25">
      <c r="A538" s="109"/>
      <c r="B538" s="109"/>
      <c r="C538" s="111"/>
      <c r="D538" s="111"/>
      <c r="E538" s="111"/>
      <c r="F538" s="111"/>
      <c r="G538" s="112"/>
      <c r="H538" s="114"/>
      <c r="I538" s="111"/>
      <c r="J538" s="111"/>
      <c r="K538" s="111"/>
      <c r="L538" s="112"/>
      <c r="M538" s="111"/>
      <c r="N538" s="111"/>
      <c r="O538" s="111"/>
      <c r="P538" s="111"/>
      <c r="Q538" s="111"/>
      <c r="R538" s="112"/>
      <c r="S538" s="112"/>
    </row>
    <row r="539" spans="1:19" ht="15" x14ac:dyDescent="0.25">
      <c r="A539" s="109"/>
      <c r="B539" s="109"/>
      <c r="C539" s="78"/>
      <c r="D539" s="78"/>
      <c r="E539" s="78"/>
      <c r="F539" s="78"/>
      <c r="G539" s="110"/>
      <c r="H539" s="115"/>
      <c r="I539" s="78"/>
      <c r="J539" s="78"/>
      <c r="K539" s="78"/>
      <c r="L539" s="110"/>
      <c r="M539" s="78"/>
      <c r="N539" s="78"/>
      <c r="O539" s="78"/>
      <c r="P539" s="78"/>
      <c r="Q539" s="78"/>
      <c r="R539" s="110"/>
      <c r="S539" s="110"/>
    </row>
    <row r="540" spans="1:19" ht="15" x14ac:dyDescent="0.25">
      <c r="A540" s="109"/>
      <c r="B540" s="109"/>
      <c r="C540" s="111"/>
      <c r="D540" s="111"/>
      <c r="E540" s="111"/>
      <c r="F540" s="111"/>
      <c r="G540" s="112"/>
      <c r="H540" s="114"/>
      <c r="I540" s="111"/>
      <c r="J540" s="111"/>
      <c r="K540" s="111"/>
      <c r="L540" s="112"/>
      <c r="M540" s="111"/>
      <c r="N540" s="111"/>
      <c r="O540" s="111"/>
      <c r="P540" s="111"/>
      <c r="Q540" s="111"/>
      <c r="R540" s="112"/>
      <c r="S540" s="112"/>
    </row>
    <row r="541" spans="1:19" ht="15" x14ac:dyDescent="0.25">
      <c r="A541" s="109"/>
      <c r="B541" s="109"/>
      <c r="C541" s="78"/>
      <c r="D541" s="78"/>
      <c r="E541" s="78"/>
      <c r="F541" s="78"/>
      <c r="G541" s="110"/>
      <c r="H541" s="115"/>
      <c r="I541" s="78"/>
      <c r="J541" s="78"/>
      <c r="K541" s="78"/>
      <c r="L541" s="110"/>
      <c r="M541" s="78"/>
      <c r="N541" s="78"/>
      <c r="O541" s="78"/>
      <c r="P541" s="78"/>
      <c r="Q541" s="78"/>
      <c r="R541" s="110"/>
      <c r="S541" s="110"/>
    </row>
    <row r="542" spans="1:19" ht="15" x14ac:dyDescent="0.25">
      <c r="A542" s="109"/>
      <c r="B542" s="109"/>
      <c r="C542" s="111"/>
      <c r="D542" s="111"/>
      <c r="E542" s="111"/>
      <c r="F542" s="111"/>
      <c r="G542" s="112"/>
      <c r="H542" s="114"/>
      <c r="I542" s="111"/>
      <c r="J542" s="111"/>
      <c r="K542" s="111"/>
      <c r="L542" s="112"/>
      <c r="M542" s="111"/>
      <c r="N542" s="111"/>
      <c r="O542" s="111"/>
      <c r="P542" s="111"/>
      <c r="Q542" s="111"/>
      <c r="R542" s="112"/>
      <c r="S542" s="112"/>
    </row>
    <row r="543" spans="1:19" ht="15" x14ac:dyDescent="0.25">
      <c r="A543" s="109"/>
      <c r="B543" s="109"/>
      <c r="C543" s="78"/>
      <c r="D543" s="78"/>
      <c r="E543" s="78"/>
      <c r="F543" s="78"/>
      <c r="G543" s="110"/>
      <c r="H543" s="115"/>
      <c r="I543" s="78"/>
      <c r="J543" s="78"/>
      <c r="K543" s="78"/>
      <c r="L543" s="110"/>
      <c r="M543" s="78"/>
      <c r="N543" s="78"/>
      <c r="O543" s="78"/>
      <c r="P543" s="78"/>
      <c r="Q543" s="78"/>
      <c r="R543" s="110"/>
      <c r="S543" s="110"/>
    </row>
    <row r="544" spans="1:19" ht="15" x14ac:dyDescent="0.25">
      <c r="A544" s="109"/>
      <c r="B544" s="109"/>
      <c r="C544" s="111"/>
      <c r="D544" s="111"/>
      <c r="E544" s="111"/>
      <c r="F544" s="111"/>
      <c r="G544" s="112"/>
      <c r="H544" s="114"/>
      <c r="I544" s="111"/>
      <c r="J544" s="111"/>
      <c r="K544" s="111"/>
      <c r="L544" s="112"/>
      <c r="M544" s="111"/>
      <c r="N544" s="111"/>
      <c r="O544" s="111"/>
      <c r="P544" s="111"/>
      <c r="Q544" s="111"/>
      <c r="R544" s="112"/>
      <c r="S544" s="112"/>
    </row>
    <row r="545" spans="1:19" ht="15" x14ac:dyDescent="0.25">
      <c r="A545" s="109"/>
      <c r="B545" s="109"/>
      <c r="C545" s="78"/>
      <c r="D545" s="78"/>
      <c r="E545" s="78"/>
      <c r="F545" s="78"/>
      <c r="G545" s="110"/>
      <c r="H545" s="115"/>
      <c r="I545" s="78"/>
      <c r="J545" s="78"/>
      <c r="K545" s="78"/>
      <c r="L545" s="110"/>
      <c r="M545" s="78"/>
      <c r="N545" s="78"/>
      <c r="O545" s="78"/>
      <c r="P545" s="78"/>
      <c r="Q545" s="78"/>
      <c r="R545" s="110"/>
      <c r="S545" s="110"/>
    </row>
    <row r="546" spans="1:19" ht="15" x14ac:dyDescent="0.25">
      <c r="A546" s="109"/>
      <c r="B546" s="109"/>
      <c r="C546" s="111"/>
      <c r="D546" s="111"/>
      <c r="E546" s="111"/>
      <c r="F546" s="111"/>
      <c r="G546" s="112"/>
      <c r="H546" s="114"/>
      <c r="I546" s="111"/>
      <c r="J546" s="111"/>
      <c r="K546" s="111"/>
      <c r="L546" s="112"/>
      <c r="M546" s="111"/>
      <c r="N546" s="111"/>
      <c r="O546" s="111"/>
      <c r="P546" s="111"/>
      <c r="Q546" s="111"/>
      <c r="R546" s="112"/>
      <c r="S546" s="112"/>
    </row>
    <row r="547" spans="1:19" ht="15" x14ac:dyDescent="0.25">
      <c r="A547" s="109"/>
      <c r="B547" s="109"/>
      <c r="C547" s="78"/>
      <c r="D547" s="78"/>
      <c r="E547" s="78"/>
      <c r="F547" s="78"/>
      <c r="G547" s="110"/>
      <c r="H547" s="115"/>
      <c r="I547" s="78"/>
      <c r="J547" s="78"/>
      <c r="K547" s="78"/>
      <c r="L547" s="110"/>
      <c r="M547" s="78"/>
      <c r="N547" s="78"/>
      <c r="O547" s="78"/>
      <c r="P547" s="78"/>
      <c r="Q547" s="78"/>
      <c r="R547" s="110"/>
      <c r="S547" s="110"/>
    </row>
    <row r="548" spans="1:19" ht="15" x14ac:dyDescent="0.25">
      <c r="A548" s="109"/>
      <c r="B548" s="109"/>
      <c r="C548" s="111"/>
      <c r="D548" s="111"/>
      <c r="E548" s="111"/>
      <c r="F548" s="111"/>
      <c r="G548" s="112"/>
      <c r="H548" s="114"/>
      <c r="I548" s="111"/>
      <c r="J548" s="111"/>
      <c r="K548" s="111"/>
      <c r="L548" s="112"/>
      <c r="M548" s="111"/>
      <c r="N548" s="111"/>
      <c r="O548" s="111"/>
      <c r="P548" s="111"/>
      <c r="Q548" s="111"/>
      <c r="R548" s="112"/>
      <c r="S548" s="112"/>
    </row>
    <row r="549" spans="1:19" ht="15" x14ac:dyDescent="0.25">
      <c r="A549" s="109"/>
      <c r="B549" s="109"/>
      <c r="C549" s="78"/>
      <c r="D549" s="78"/>
      <c r="E549" s="78"/>
      <c r="F549" s="78"/>
      <c r="G549" s="110"/>
      <c r="H549" s="115"/>
      <c r="I549" s="78"/>
      <c r="J549" s="78"/>
      <c r="K549" s="78"/>
      <c r="L549" s="110"/>
      <c r="M549" s="78"/>
      <c r="N549" s="78"/>
      <c r="O549" s="78"/>
      <c r="P549" s="78"/>
      <c r="Q549" s="78"/>
      <c r="R549" s="110"/>
      <c r="S549" s="110"/>
    </row>
    <row r="550" spans="1:19" ht="15" x14ac:dyDescent="0.25">
      <c r="A550" s="109"/>
      <c r="B550" s="109"/>
      <c r="C550" s="111"/>
      <c r="D550" s="111"/>
      <c r="E550" s="111"/>
      <c r="F550" s="111"/>
      <c r="G550" s="112"/>
      <c r="H550" s="114"/>
      <c r="I550" s="111"/>
      <c r="J550" s="111"/>
      <c r="K550" s="111"/>
      <c r="L550" s="112"/>
      <c r="M550" s="111"/>
      <c r="N550" s="111"/>
      <c r="O550" s="111"/>
      <c r="P550" s="111"/>
      <c r="Q550" s="111"/>
      <c r="R550" s="112"/>
      <c r="S550" s="112"/>
    </row>
    <row r="551" spans="1:19" ht="15" x14ac:dyDescent="0.25">
      <c r="A551" s="109"/>
      <c r="B551" s="109"/>
      <c r="C551" s="78"/>
      <c r="D551" s="78"/>
      <c r="E551" s="78"/>
      <c r="F551" s="78"/>
      <c r="G551" s="110"/>
      <c r="H551" s="115"/>
      <c r="I551" s="78"/>
      <c r="J551" s="78"/>
      <c r="K551" s="78"/>
      <c r="L551" s="110"/>
      <c r="M551" s="78"/>
      <c r="N551" s="78"/>
      <c r="O551" s="78"/>
      <c r="P551" s="78"/>
      <c r="Q551" s="78"/>
      <c r="R551" s="110"/>
      <c r="S551" s="110"/>
    </row>
    <row r="552" spans="1:19" ht="15" x14ac:dyDescent="0.25">
      <c r="A552" s="109"/>
      <c r="B552" s="109"/>
      <c r="C552" s="111"/>
      <c r="D552" s="111"/>
      <c r="E552" s="111"/>
      <c r="F552" s="111"/>
      <c r="G552" s="112"/>
      <c r="H552" s="114"/>
      <c r="I552" s="111"/>
      <c r="J552" s="111"/>
      <c r="K552" s="111"/>
      <c r="L552" s="112"/>
      <c r="M552" s="111"/>
      <c r="N552" s="111"/>
      <c r="O552" s="111"/>
      <c r="P552" s="111"/>
      <c r="Q552" s="111"/>
      <c r="R552" s="112"/>
      <c r="S552" s="112"/>
    </row>
    <row r="553" spans="1:19" ht="15" x14ac:dyDescent="0.25">
      <c r="A553" s="109"/>
      <c r="B553" s="109"/>
      <c r="C553" s="78"/>
      <c r="D553" s="78"/>
      <c r="E553" s="78"/>
      <c r="F553" s="78"/>
      <c r="G553" s="110"/>
      <c r="H553" s="115"/>
      <c r="I553" s="78"/>
      <c r="J553" s="78"/>
      <c r="K553" s="78"/>
      <c r="L553" s="110"/>
      <c r="M553" s="78"/>
      <c r="N553" s="78"/>
      <c r="O553" s="78"/>
      <c r="P553" s="78"/>
      <c r="Q553" s="78"/>
      <c r="R553" s="110"/>
      <c r="S553" s="110"/>
    </row>
    <row r="554" spans="1:19" ht="15" x14ac:dyDescent="0.25">
      <c r="A554" s="109"/>
      <c r="B554" s="109"/>
      <c r="C554" s="111"/>
      <c r="D554" s="111"/>
      <c r="E554" s="111"/>
      <c r="F554" s="111"/>
      <c r="G554" s="112"/>
      <c r="H554" s="114"/>
      <c r="I554" s="111"/>
      <c r="J554" s="111"/>
      <c r="K554" s="111"/>
      <c r="L554" s="112"/>
      <c r="M554" s="111"/>
      <c r="N554" s="111"/>
      <c r="O554" s="111"/>
      <c r="P554" s="111"/>
      <c r="Q554" s="111"/>
      <c r="R554" s="112"/>
      <c r="S554" s="112"/>
    </row>
    <row r="555" spans="1:19" ht="15" x14ac:dyDescent="0.25">
      <c r="A555" s="109"/>
      <c r="B555" s="109"/>
      <c r="C555" s="78"/>
      <c r="D555" s="78"/>
      <c r="E555" s="78"/>
      <c r="F555" s="78"/>
      <c r="G555" s="110"/>
      <c r="H555" s="115"/>
      <c r="I555" s="78"/>
      <c r="J555" s="78"/>
      <c r="K555" s="78"/>
      <c r="L555" s="110"/>
      <c r="M555" s="78"/>
      <c r="N555" s="78"/>
      <c r="O555" s="78"/>
      <c r="P555" s="78"/>
      <c r="Q555" s="78"/>
      <c r="R555" s="110"/>
      <c r="S555" s="110"/>
    </row>
    <row r="556" spans="1:19" ht="15" x14ac:dyDescent="0.25">
      <c r="A556" s="109"/>
      <c r="B556" s="109"/>
      <c r="C556" s="111"/>
      <c r="D556" s="111"/>
      <c r="E556" s="111"/>
      <c r="F556" s="111"/>
      <c r="G556" s="112"/>
      <c r="H556" s="114"/>
      <c r="I556" s="111"/>
      <c r="J556" s="111"/>
      <c r="K556" s="111"/>
      <c r="L556" s="112"/>
      <c r="M556" s="111"/>
      <c r="N556" s="111"/>
      <c r="O556" s="111"/>
      <c r="P556" s="111"/>
      <c r="Q556" s="111"/>
      <c r="R556" s="112"/>
      <c r="S556" s="112"/>
    </row>
    <row r="557" spans="1:19" ht="15" x14ac:dyDescent="0.25">
      <c r="A557" s="109"/>
      <c r="B557" s="109"/>
      <c r="C557" s="78"/>
      <c r="D557" s="78"/>
      <c r="E557" s="78"/>
      <c r="F557" s="78"/>
      <c r="G557" s="110"/>
      <c r="H557" s="115"/>
      <c r="I557" s="78"/>
      <c r="J557" s="78"/>
      <c r="K557" s="78"/>
      <c r="L557" s="110"/>
      <c r="M557" s="78"/>
      <c r="N557" s="78"/>
      <c r="O557" s="78"/>
      <c r="P557" s="78"/>
      <c r="Q557" s="78"/>
      <c r="R557" s="110"/>
      <c r="S557" s="110"/>
    </row>
    <row r="558" spans="1:19" ht="15" x14ac:dyDescent="0.25">
      <c r="A558" s="109"/>
      <c r="B558" s="109"/>
      <c r="C558" s="111"/>
      <c r="D558" s="111"/>
      <c r="E558" s="111"/>
      <c r="F558" s="111"/>
      <c r="G558" s="112"/>
      <c r="H558" s="114"/>
      <c r="I558" s="111"/>
      <c r="J558" s="111"/>
      <c r="K558" s="111"/>
      <c r="L558" s="112"/>
      <c r="M558" s="111"/>
      <c r="N558" s="111"/>
      <c r="O558" s="111"/>
      <c r="P558" s="111"/>
      <c r="Q558" s="111"/>
      <c r="R558" s="112"/>
      <c r="S558" s="112"/>
    </row>
    <row r="559" spans="1:19" ht="15" x14ac:dyDescent="0.25">
      <c r="A559" s="109"/>
      <c r="B559" s="109"/>
      <c r="C559" s="78"/>
      <c r="D559" s="78"/>
      <c r="E559" s="78"/>
      <c r="F559" s="78"/>
      <c r="G559" s="110"/>
      <c r="H559" s="115"/>
      <c r="I559" s="78"/>
      <c r="J559" s="78"/>
      <c r="K559" s="78"/>
      <c r="L559" s="110"/>
      <c r="M559" s="78"/>
      <c r="N559" s="78"/>
      <c r="O559" s="78"/>
      <c r="P559" s="78"/>
      <c r="Q559" s="78"/>
      <c r="R559" s="110"/>
      <c r="S559" s="110"/>
    </row>
    <row r="560" spans="1:19" ht="15" x14ac:dyDescent="0.25">
      <c r="A560" s="109"/>
      <c r="B560" s="109"/>
      <c r="C560" s="111"/>
      <c r="D560" s="111"/>
      <c r="E560" s="111"/>
      <c r="F560" s="111"/>
      <c r="G560" s="112"/>
      <c r="H560" s="114"/>
      <c r="I560" s="111"/>
      <c r="J560" s="111"/>
      <c r="K560" s="111"/>
      <c r="L560" s="112"/>
      <c r="M560" s="111"/>
      <c r="N560" s="111"/>
      <c r="O560" s="111"/>
      <c r="P560" s="111"/>
      <c r="Q560" s="111"/>
      <c r="R560" s="112"/>
      <c r="S560" s="112"/>
    </row>
    <row r="561" spans="1:19" ht="15" x14ac:dyDescent="0.25">
      <c r="A561" s="109"/>
      <c r="B561" s="109"/>
      <c r="C561" s="78"/>
      <c r="D561" s="78"/>
      <c r="E561" s="78"/>
      <c r="F561" s="78"/>
      <c r="G561" s="110"/>
      <c r="H561" s="115"/>
      <c r="I561" s="78"/>
      <c r="J561" s="78"/>
      <c r="K561" s="78"/>
      <c r="L561" s="110"/>
      <c r="M561" s="78"/>
      <c r="N561" s="78"/>
      <c r="O561" s="78"/>
      <c r="P561" s="78"/>
      <c r="Q561" s="78"/>
      <c r="R561" s="110"/>
      <c r="S561" s="110"/>
    </row>
    <row r="562" spans="1:19" ht="15" x14ac:dyDescent="0.25">
      <c r="A562" s="109"/>
      <c r="B562" s="109"/>
      <c r="C562" s="111"/>
      <c r="D562" s="111"/>
      <c r="E562" s="111"/>
      <c r="F562" s="111"/>
      <c r="G562" s="112"/>
      <c r="H562" s="114"/>
      <c r="I562" s="111"/>
      <c r="J562" s="111"/>
      <c r="K562" s="111"/>
      <c r="L562" s="112"/>
      <c r="M562" s="111"/>
      <c r="N562" s="111"/>
      <c r="O562" s="111"/>
      <c r="P562" s="111"/>
      <c r="Q562" s="111"/>
      <c r="R562" s="112"/>
      <c r="S562" s="112"/>
    </row>
    <row r="563" spans="1:19" ht="15" x14ac:dyDescent="0.25">
      <c r="A563" s="109"/>
      <c r="B563" s="109"/>
      <c r="C563" s="78"/>
      <c r="D563" s="78"/>
      <c r="E563" s="78"/>
      <c r="F563" s="78"/>
      <c r="G563" s="110"/>
      <c r="H563" s="115"/>
      <c r="I563" s="78"/>
      <c r="J563" s="78"/>
      <c r="K563" s="78"/>
      <c r="L563" s="110"/>
      <c r="M563" s="78"/>
      <c r="N563" s="78"/>
      <c r="O563" s="78"/>
      <c r="P563" s="78"/>
      <c r="Q563" s="78"/>
      <c r="R563" s="110"/>
      <c r="S563" s="110"/>
    </row>
    <row r="564" spans="1:19" ht="15" x14ac:dyDescent="0.25">
      <c r="A564" s="109"/>
      <c r="B564" s="109"/>
      <c r="C564" s="111"/>
      <c r="D564" s="111"/>
      <c r="E564" s="111"/>
      <c r="F564" s="111"/>
      <c r="G564" s="112"/>
      <c r="H564" s="114"/>
      <c r="I564" s="111"/>
      <c r="J564" s="111"/>
      <c r="K564" s="111"/>
      <c r="L564" s="112"/>
      <c r="M564" s="111"/>
      <c r="N564" s="111"/>
      <c r="O564" s="111"/>
      <c r="P564" s="111"/>
      <c r="Q564" s="111"/>
      <c r="R564" s="112"/>
      <c r="S564" s="112"/>
    </row>
    <row r="565" spans="1:19" ht="15" x14ac:dyDescent="0.25">
      <c r="A565" s="109"/>
      <c r="B565" s="109"/>
      <c r="C565" s="78"/>
      <c r="D565" s="78"/>
      <c r="E565" s="78"/>
      <c r="F565" s="78"/>
      <c r="G565" s="110"/>
      <c r="H565" s="115"/>
      <c r="I565" s="78"/>
      <c r="J565" s="78"/>
      <c r="K565" s="78"/>
      <c r="L565" s="110"/>
      <c r="M565" s="78"/>
      <c r="N565" s="78"/>
      <c r="O565" s="78"/>
      <c r="P565" s="78"/>
      <c r="Q565" s="78"/>
      <c r="R565" s="110"/>
      <c r="S565" s="110"/>
    </row>
    <row r="566" spans="1:19" ht="15" x14ac:dyDescent="0.25">
      <c r="A566" s="109"/>
      <c r="B566" s="109"/>
      <c r="C566" s="111"/>
      <c r="D566" s="111"/>
      <c r="E566" s="111"/>
      <c r="F566" s="111"/>
      <c r="G566" s="112"/>
      <c r="H566" s="114"/>
      <c r="I566" s="111"/>
      <c r="J566" s="111"/>
      <c r="K566" s="111"/>
      <c r="L566" s="112"/>
      <c r="M566" s="111"/>
      <c r="N566" s="111"/>
      <c r="O566" s="111"/>
      <c r="P566" s="111"/>
      <c r="Q566" s="111"/>
      <c r="R566" s="112"/>
      <c r="S566" s="112"/>
    </row>
    <row r="567" spans="1:19" ht="15" x14ac:dyDescent="0.25">
      <c r="A567" s="109"/>
      <c r="B567" s="109"/>
      <c r="C567" s="78"/>
      <c r="D567" s="78"/>
      <c r="E567" s="78"/>
      <c r="F567" s="78"/>
      <c r="G567" s="110"/>
      <c r="H567" s="115"/>
      <c r="I567" s="78"/>
      <c r="J567" s="78"/>
      <c r="K567" s="78"/>
      <c r="L567" s="110"/>
      <c r="M567" s="78"/>
      <c r="N567" s="78"/>
      <c r="O567" s="78"/>
      <c r="P567" s="78"/>
      <c r="Q567" s="78"/>
      <c r="R567" s="110"/>
      <c r="S567" s="110"/>
    </row>
    <row r="568" spans="1:19" ht="15" x14ac:dyDescent="0.25">
      <c r="A568" s="109"/>
      <c r="B568" s="109"/>
      <c r="C568" s="111"/>
      <c r="D568" s="111"/>
      <c r="E568" s="111"/>
      <c r="F568" s="111"/>
      <c r="G568" s="112"/>
      <c r="H568" s="114"/>
      <c r="I568" s="111"/>
      <c r="J568" s="111"/>
      <c r="K568" s="111"/>
      <c r="L568" s="112"/>
      <c r="M568" s="111"/>
      <c r="N568" s="111"/>
      <c r="O568" s="111"/>
      <c r="P568" s="111"/>
      <c r="Q568" s="111"/>
      <c r="R568" s="112"/>
      <c r="S568" s="112"/>
    </row>
    <row r="569" spans="1:19" ht="15" x14ac:dyDescent="0.25">
      <c r="A569" s="109"/>
      <c r="B569" s="109"/>
      <c r="C569" s="78"/>
      <c r="D569" s="78"/>
      <c r="E569" s="78"/>
      <c r="F569" s="78"/>
      <c r="G569" s="110"/>
      <c r="H569" s="115"/>
      <c r="I569" s="78"/>
      <c r="J569" s="78"/>
      <c r="K569" s="78"/>
      <c r="L569" s="110"/>
      <c r="M569" s="78"/>
      <c r="N569" s="78"/>
      <c r="O569" s="78"/>
      <c r="P569" s="78"/>
      <c r="Q569" s="78"/>
      <c r="R569" s="110"/>
      <c r="S569" s="110"/>
    </row>
    <row r="570" spans="1:19" ht="15" x14ac:dyDescent="0.25">
      <c r="A570" s="109"/>
      <c r="B570" s="109"/>
      <c r="C570" s="111"/>
      <c r="D570" s="111"/>
      <c r="E570" s="111"/>
      <c r="F570" s="111"/>
      <c r="G570" s="112"/>
      <c r="H570" s="114"/>
      <c r="I570" s="111"/>
      <c r="J570" s="111"/>
      <c r="K570" s="111"/>
      <c r="L570" s="112"/>
      <c r="M570" s="111"/>
      <c r="N570" s="111"/>
      <c r="O570" s="111"/>
      <c r="P570" s="111"/>
      <c r="Q570" s="111"/>
      <c r="R570" s="112"/>
      <c r="S570" s="112"/>
    </row>
    <row r="571" spans="1:19" ht="15" x14ac:dyDescent="0.25">
      <c r="A571" s="109"/>
      <c r="B571" s="109"/>
      <c r="C571" s="78"/>
      <c r="D571" s="78"/>
      <c r="E571" s="78"/>
      <c r="F571" s="78"/>
      <c r="G571" s="110"/>
      <c r="H571" s="115"/>
      <c r="I571" s="78"/>
      <c r="J571" s="78"/>
      <c r="K571" s="78"/>
      <c r="L571" s="110"/>
      <c r="M571" s="78"/>
      <c r="N571" s="78"/>
      <c r="O571" s="78"/>
      <c r="P571" s="78"/>
      <c r="Q571" s="78"/>
      <c r="R571" s="110"/>
      <c r="S571" s="110"/>
    </row>
    <row r="572" spans="1:19" ht="15" x14ac:dyDescent="0.25">
      <c r="A572" s="109"/>
      <c r="B572" s="109"/>
      <c r="C572" s="111"/>
      <c r="D572" s="111"/>
      <c r="E572" s="111"/>
      <c r="F572" s="111"/>
      <c r="G572" s="112"/>
      <c r="H572" s="114"/>
      <c r="I572" s="111"/>
      <c r="J572" s="111"/>
      <c r="K572" s="111"/>
      <c r="L572" s="112"/>
      <c r="M572" s="111"/>
      <c r="N572" s="111"/>
      <c r="O572" s="111"/>
      <c r="P572" s="111"/>
      <c r="Q572" s="111"/>
      <c r="R572" s="112"/>
      <c r="S572" s="112"/>
    </row>
    <row r="573" spans="1:19" ht="15" x14ac:dyDescent="0.25">
      <c r="A573" s="109"/>
      <c r="B573" s="109"/>
      <c r="C573" s="78"/>
      <c r="D573" s="78"/>
      <c r="E573" s="78"/>
      <c r="F573" s="78"/>
      <c r="G573" s="110"/>
      <c r="H573" s="115"/>
      <c r="I573" s="78"/>
      <c r="J573" s="78"/>
      <c r="K573" s="78"/>
      <c r="L573" s="110"/>
      <c r="M573" s="78"/>
      <c r="N573" s="78"/>
      <c r="O573" s="78"/>
      <c r="P573" s="78"/>
      <c r="Q573" s="78"/>
      <c r="R573" s="110"/>
      <c r="S573" s="110"/>
    </row>
    <row r="574" spans="1:19" ht="15" x14ac:dyDescent="0.25">
      <c r="A574" s="109"/>
      <c r="B574" s="109"/>
      <c r="C574" s="111"/>
      <c r="D574" s="111"/>
      <c r="E574" s="111"/>
      <c r="F574" s="111"/>
      <c r="G574" s="112"/>
      <c r="H574" s="114"/>
      <c r="I574" s="111"/>
      <c r="J574" s="111"/>
      <c r="K574" s="111"/>
      <c r="L574" s="112"/>
      <c r="M574" s="111"/>
      <c r="N574" s="111"/>
      <c r="O574" s="111"/>
      <c r="P574" s="111"/>
      <c r="Q574" s="111"/>
      <c r="R574" s="112"/>
      <c r="S574" s="112"/>
    </row>
    <row r="575" spans="1:19" ht="15" x14ac:dyDescent="0.25">
      <c r="A575" s="109"/>
      <c r="B575" s="109"/>
      <c r="C575" s="78"/>
      <c r="D575" s="78"/>
      <c r="E575" s="78"/>
      <c r="F575" s="78"/>
      <c r="G575" s="110"/>
      <c r="H575" s="115"/>
      <c r="I575" s="78"/>
      <c r="J575" s="78"/>
      <c r="K575" s="78"/>
      <c r="L575" s="110"/>
      <c r="M575" s="78"/>
      <c r="N575" s="78"/>
      <c r="O575" s="78"/>
      <c r="P575" s="78"/>
      <c r="Q575" s="78"/>
      <c r="R575" s="110"/>
      <c r="S575" s="110"/>
    </row>
    <row r="576" spans="1:19" ht="15" x14ac:dyDescent="0.25">
      <c r="A576" s="109"/>
      <c r="B576" s="109"/>
      <c r="C576" s="111"/>
      <c r="D576" s="111"/>
      <c r="E576" s="111"/>
      <c r="F576" s="111"/>
      <c r="G576" s="112"/>
      <c r="H576" s="114"/>
      <c r="I576" s="111"/>
      <c r="J576" s="111"/>
      <c r="K576" s="111"/>
      <c r="L576" s="112"/>
      <c r="M576" s="111"/>
      <c r="N576" s="111"/>
      <c r="O576" s="111"/>
      <c r="P576" s="111"/>
      <c r="Q576" s="111"/>
      <c r="R576" s="112"/>
      <c r="S576" s="112"/>
    </row>
    <row r="577" spans="1:19" ht="15" x14ac:dyDescent="0.25">
      <c r="A577" s="109"/>
      <c r="B577" s="109"/>
      <c r="C577" s="78"/>
      <c r="D577" s="78"/>
      <c r="E577" s="78"/>
      <c r="F577" s="78"/>
      <c r="G577" s="110"/>
      <c r="H577" s="115"/>
      <c r="I577" s="78"/>
      <c r="J577" s="78"/>
      <c r="K577" s="78"/>
      <c r="L577" s="110"/>
      <c r="M577" s="78"/>
      <c r="N577" s="78"/>
      <c r="O577" s="78"/>
      <c r="P577" s="78"/>
      <c r="Q577" s="78"/>
      <c r="R577" s="110"/>
      <c r="S577" s="110"/>
    </row>
    <row r="578" spans="1:19" ht="15" x14ac:dyDescent="0.25">
      <c r="A578" s="109"/>
      <c r="B578" s="109"/>
      <c r="C578" s="111"/>
      <c r="D578" s="111"/>
      <c r="E578" s="111"/>
      <c r="F578" s="111"/>
      <c r="G578" s="112"/>
      <c r="H578" s="114"/>
      <c r="I578" s="111"/>
      <c r="J578" s="111"/>
      <c r="K578" s="111"/>
      <c r="L578" s="112"/>
      <c r="M578" s="111"/>
      <c r="N578" s="111"/>
      <c r="O578" s="111"/>
      <c r="P578" s="111"/>
      <c r="Q578" s="111"/>
      <c r="R578" s="112"/>
      <c r="S578" s="112"/>
    </row>
    <row r="579" spans="1:19" ht="15" x14ac:dyDescent="0.25">
      <c r="A579" s="109"/>
      <c r="B579" s="109"/>
      <c r="C579" s="78"/>
      <c r="D579" s="78"/>
      <c r="E579" s="78"/>
      <c r="F579" s="78"/>
      <c r="G579" s="110"/>
      <c r="H579" s="115"/>
      <c r="I579" s="78"/>
      <c r="J579" s="78"/>
      <c r="K579" s="78"/>
      <c r="L579" s="110"/>
      <c r="M579" s="78"/>
      <c r="N579" s="78"/>
      <c r="O579" s="78"/>
      <c r="P579" s="78"/>
      <c r="Q579" s="78"/>
      <c r="R579" s="110"/>
      <c r="S579" s="110"/>
    </row>
    <row r="580" spans="1:19" ht="15" x14ac:dyDescent="0.25">
      <c r="A580" s="109"/>
      <c r="B580" s="109"/>
      <c r="C580" s="111"/>
      <c r="D580" s="111"/>
      <c r="E580" s="111"/>
      <c r="F580" s="111"/>
      <c r="G580" s="112"/>
      <c r="H580" s="114"/>
      <c r="I580" s="111"/>
      <c r="J580" s="111"/>
      <c r="K580" s="111"/>
      <c r="L580" s="112"/>
      <c r="M580" s="111"/>
      <c r="N580" s="111"/>
      <c r="O580" s="111"/>
      <c r="P580" s="111"/>
      <c r="Q580" s="111"/>
      <c r="R580" s="112"/>
      <c r="S580" s="112"/>
    </row>
    <row r="581" spans="1:19" ht="15" x14ac:dyDescent="0.25">
      <c r="A581" s="109"/>
      <c r="B581" s="109"/>
      <c r="C581" s="78"/>
      <c r="D581" s="78"/>
      <c r="E581" s="78"/>
      <c r="F581" s="78"/>
      <c r="G581" s="110"/>
      <c r="H581" s="115"/>
      <c r="I581" s="78"/>
      <c r="J581" s="78"/>
      <c r="K581" s="78"/>
      <c r="L581" s="110"/>
      <c r="M581" s="78"/>
      <c r="N581" s="78"/>
      <c r="O581" s="78"/>
      <c r="P581" s="78"/>
      <c r="Q581" s="78"/>
      <c r="R581" s="110"/>
      <c r="S581" s="110"/>
    </row>
    <row r="582" spans="1:19" ht="15" x14ac:dyDescent="0.25">
      <c r="A582" s="109"/>
      <c r="B582" s="109"/>
      <c r="C582" s="111"/>
      <c r="D582" s="111"/>
      <c r="E582" s="111"/>
      <c r="F582" s="111"/>
      <c r="G582" s="112"/>
      <c r="H582" s="114"/>
      <c r="I582" s="111"/>
      <c r="J582" s="111"/>
      <c r="K582" s="111"/>
      <c r="L582" s="112"/>
      <c r="M582" s="111"/>
      <c r="N582" s="111"/>
      <c r="O582" s="111"/>
      <c r="P582" s="111"/>
      <c r="Q582" s="111"/>
      <c r="R582" s="112"/>
      <c r="S582" s="112"/>
    </row>
    <row r="583" spans="1:19" ht="15" x14ac:dyDescent="0.25">
      <c r="A583" s="109"/>
      <c r="B583" s="109"/>
      <c r="C583" s="78"/>
      <c r="D583" s="78"/>
      <c r="E583" s="78"/>
      <c r="F583" s="78"/>
      <c r="G583" s="110"/>
      <c r="H583" s="115"/>
      <c r="I583" s="78"/>
      <c r="J583" s="78"/>
      <c r="K583" s="78"/>
      <c r="L583" s="110"/>
      <c r="M583" s="78"/>
      <c r="N583" s="78"/>
      <c r="O583" s="78"/>
      <c r="P583" s="78"/>
      <c r="Q583" s="78"/>
      <c r="R583" s="110"/>
      <c r="S583" s="110"/>
    </row>
    <row r="584" spans="1:19" ht="15" x14ac:dyDescent="0.25">
      <c r="A584" s="109"/>
      <c r="B584" s="109"/>
      <c r="C584" s="111"/>
      <c r="D584" s="111"/>
      <c r="E584" s="111"/>
      <c r="F584" s="111"/>
      <c r="G584" s="112"/>
      <c r="H584" s="114"/>
      <c r="I584" s="111"/>
      <c r="J584" s="111"/>
      <c r="K584" s="111"/>
      <c r="L584" s="112"/>
      <c r="M584" s="111"/>
      <c r="N584" s="111"/>
      <c r="O584" s="111"/>
      <c r="P584" s="111"/>
      <c r="Q584" s="111"/>
      <c r="R584" s="112"/>
      <c r="S584" s="112"/>
    </row>
    <row r="585" spans="1:19" ht="15" x14ac:dyDescent="0.25">
      <c r="A585" s="109"/>
      <c r="B585" s="109"/>
      <c r="C585" s="78"/>
      <c r="D585" s="78"/>
      <c r="E585" s="78"/>
      <c r="F585" s="78"/>
      <c r="G585" s="110"/>
      <c r="H585" s="115"/>
      <c r="I585" s="78"/>
      <c r="J585" s="78"/>
      <c r="K585" s="78"/>
      <c r="L585" s="110"/>
      <c r="M585" s="78"/>
      <c r="N585" s="78"/>
      <c r="O585" s="78"/>
      <c r="P585" s="78"/>
      <c r="Q585" s="78"/>
      <c r="R585" s="110"/>
      <c r="S585" s="110"/>
    </row>
    <row r="586" spans="1:19" ht="15" x14ac:dyDescent="0.25">
      <c r="A586" s="109"/>
      <c r="B586" s="109"/>
      <c r="C586" s="111"/>
      <c r="D586" s="111"/>
      <c r="E586" s="111"/>
      <c r="F586" s="111"/>
      <c r="G586" s="112"/>
      <c r="H586" s="114"/>
      <c r="I586" s="111"/>
      <c r="J586" s="111"/>
      <c r="K586" s="111"/>
      <c r="L586" s="112"/>
      <c r="M586" s="111"/>
      <c r="N586" s="111"/>
      <c r="O586" s="111"/>
      <c r="P586" s="111"/>
      <c r="Q586" s="111"/>
      <c r="R586" s="112"/>
      <c r="S586" s="112"/>
    </row>
    <row r="587" spans="1:19" ht="15" x14ac:dyDescent="0.25">
      <c r="A587" s="109"/>
      <c r="B587" s="109"/>
      <c r="C587" s="78"/>
      <c r="D587" s="78"/>
      <c r="E587" s="78"/>
      <c r="F587" s="78"/>
      <c r="G587" s="110"/>
      <c r="H587" s="115"/>
      <c r="I587" s="78"/>
      <c r="J587" s="78"/>
      <c r="K587" s="78"/>
      <c r="L587" s="110"/>
      <c r="M587" s="78"/>
      <c r="N587" s="78"/>
      <c r="O587" s="78"/>
      <c r="P587" s="78"/>
      <c r="Q587" s="78"/>
      <c r="R587" s="110"/>
      <c r="S587" s="110"/>
    </row>
    <row r="588" spans="1:19" ht="15" x14ac:dyDescent="0.25">
      <c r="A588" s="109"/>
      <c r="B588" s="109"/>
      <c r="C588" s="111"/>
      <c r="D588" s="111"/>
      <c r="E588" s="111"/>
      <c r="F588" s="111"/>
      <c r="G588" s="112"/>
      <c r="H588" s="114"/>
      <c r="I588" s="111"/>
      <c r="J588" s="111"/>
      <c r="K588" s="111"/>
      <c r="L588" s="112"/>
      <c r="M588" s="111"/>
      <c r="N588" s="111"/>
      <c r="O588" s="111"/>
      <c r="P588" s="111"/>
      <c r="Q588" s="111"/>
      <c r="R588" s="112"/>
      <c r="S588" s="112"/>
    </row>
    <row r="589" spans="1:19" ht="15" x14ac:dyDescent="0.25">
      <c r="A589" s="109"/>
      <c r="B589" s="109"/>
      <c r="C589" s="78"/>
      <c r="D589" s="78"/>
      <c r="E589" s="78"/>
      <c r="F589" s="78"/>
      <c r="G589" s="110"/>
      <c r="H589" s="115"/>
      <c r="I589" s="78"/>
      <c r="J589" s="78"/>
      <c r="K589" s="78"/>
      <c r="L589" s="110"/>
      <c r="M589" s="78"/>
      <c r="N589" s="78"/>
      <c r="O589" s="78"/>
      <c r="P589" s="78"/>
      <c r="Q589" s="78"/>
      <c r="R589" s="110"/>
      <c r="S589" s="110"/>
    </row>
    <row r="590" spans="1:19" ht="15" x14ac:dyDescent="0.25">
      <c r="A590" s="109"/>
      <c r="B590" s="109"/>
      <c r="C590" s="111"/>
      <c r="D590" s="111"/>
      <c r="E590" s="111"/>
      <c r="F590" s="111"/>
      <c r="G590" s="112"/>
      <c r="H590" s="114"/>
      <c r="I590" s="111"/>
      <c r="J590" s="111"/>
      <c r="K590" s="111"/>
      <c r="L590" s="112"/>
      <c r="M590" s="111"/>
      <c r="N590" s="111"/>
      <c r="O590" s="111"/>
      <c r="P590" s="111"/>
      <c r="Q590" s="111"/>
      <c r="R590" s="112"/>
      <c r="S590" s="112"/>
    </row>
    <row r="591" spans="1:19" ht="15" x14ac:dyDescent="0.25">
      <c r="A591" s="109"/>
      <c r="B591" s="109"/>
      <c r="C591" s="78"/>
      <c r="D591" s="78"/>
      <c r="E591" s="78"/>
      <c r="F591" s="78"/>
      <c r="G591" s="110"/>
      <c r="H591" s="115"/>
      <c r="I591" s="78"/>
      <c r="J591" s="78"/>
      <c r="K591" s="78"/>
      <c r="L591" s="110"/>
      <c r="M591" s="78"/>
      <c r="N591" s="78"/>
      <c r="O591" s="78"/>
      <c r="P591" s="78"/>
      <c r="Q591" s="78"/>
      <c r="R591" s="110"/>
      <c r="S591" s="110"/>
    </row>
    <row r="592" spans="1:19" ht="15" x14ac:dyDescent="0.25">
      <c r="A592" s="109"/>
      <c r="B592" s="109"/>
      <c r="C592" s="111"/>
      <c r="D592" s="111"/>
      <c r="E592" s="111"/>
      <c r="F592" s="111"/>
      <c r="G592" s="112"/>
      <c r="H592" s="114"/>
      <c r="I592" s="111"/>
      <c r="J592" s="111"/>
      <c r="K592" s="111"/>
      <c r="L592" s="112"/>
      <c r="M592" s="111"/>
      <c r="N592" s="111"/>
      <c r="O592" s="111"/>
      <c r="P592" s="111"/>
      <c r="Q592" s="111"/>
      <c r="R592" s="112"/>
      <c r="S592" s="112"/>
    </row>
    <row r="593" spans="1:19" ht="15" x14ac:dyDescent="0.25">
      <c r="A593" s="109"/>
      <c r="B593" s="109"/>
      <c r="C593" s="78"/>
      <c r="D593" s="78"/>
      <c r="E593" s="78"/>
      <c r="F593" s="78"/>
      <c r="G593" s="110"/>
      <c r="H593" s="115"/>
      <c r="I593" s="78"/>
      <c r="J593" s="78"/>
      <c r="K593" s="78"/>
      <c r="L593" s="110"/>
      <c r="M593" s="78"/>
      <c r="N593" s="78"/>
      <c r="O593" s="78"/>
      <c r="P593" s="78"/>
      <c r="Q593" s="78"/>
      <c r="R593" s="110"/>
      <c r="S593" s="110"/>
    </row>
    <row r="594" spans="1:19" ht="15" x14ac:dyDescent="0.25">
      <c r="A594" s="109"/>
      <c r="B594" s="109"/>
      <c r="C594" s="111"/>
      <c r="D594" s="111"/>
      <c r="E594" s="111"/>
      <c r="F594" s="111"/>
      <c r="G594" s="112"/>
      <c r="H594" s="114"/>
      <c r="I594" s="111"/>
      <c r="J594" s="111"/>
      <c r="K594" s="111"/>
      <c r="L594" s="112"/>
      <c r="M594" s="111"/>
      <c r="N594" s="111"/>
      <c r="O594" s="111"/>
      <c r="P594" s="111"/>
      <c r="Q594" s="111"/>
      <c r="R594" s="112"/>
      <c r="S594" s="112"/>
    </row>
    <row r="595" spans="1:19" ht="15" x14ac:dyDescent="0.25">
      <c r="A595" s="109"/>
      <c r="B595" s="109"/>
      <c r="C595" s="78"/>
      <c r="D595" s="78"/>
      <c r="E595" s="78"/>
      <c r="F595" s="78"/>
      <c r="G595" s="110"/>
      <c r="H595" s="115"/>
      <c r="I595" s="78"/>
      <c r="J595" s="78"/>
      <c r="K595" s="78"/>
      <c r="L595" s="110"/>
      <c r="M595" s="78"/>
      <c r="N595" s="78"/>
      <c r="O595" s="78"/>
      <c r="P595" s="78"/>
      <c r="Q595" s="78"/>
      <c r="R595" s="110"/>
      <c r="S595" s="110"/>
    </row>
    <row r="596" spans="1:19" ht="15" x14ac:dyDescent="0.25">
      <c r="A596" s="109"/>
      <c r="B596" s="109"/>
      <c r="C596" s="111"/>
      <c r="D596" s="111"/>
      <c r="E596" s="111"/>
      <c r="F596" s="111"/>
      <c r="G596" s="112"/>
      <c r="H596" s="114"/>
      <c r="I596" s="111"/>
      <c r="J596" s="111"/>
      <c r="K596" s="111"/>
      <c r="L596" s="112"/>
      <c r="M596" s="111"/>
      <c r="N596" s="111"/>
      <c r="O596" s="111"/>
      <c r="P596" s="111"/>
      <c r="Q596" s="111"/>
      <c r="R596" s="112"/>
      <c r="S596" s="112"/>
    </row>
    <row r="597" spans="1:19" ht="15" x14ac:dyDescent="0.25">
      <c r="A597" s="109"/>
      <c r="B597" s="109"/>
      <c r="C597" s="78"/>
      <c r="D597" s="78"/>
      <c r="E597" s="78"/>
      <c r="F597" s="78"/>
      <c r="G597" s="110"/>
      <c r="H597" s="115"/>
      <c r="I597" s="78"/>
      <c r="J597" s="78"/>
      <c r="K597" s="78"/>
      <c r="L597" s="110"/>
      <c r="M597" s="78"/>
      <c r="N597" s="78"/>
      <c r="O597" s="78"/>
      <c r="P597" s="78"/>
      <c r="Q597" s="78"/>
      <c r="R597" s="110"/>
      <c r="S597" s="110"/>
    </row>
    <row r="598" spans="1:19" ht="15" x14ac:dyDescent="0.25">
      <c r="A598" s="109"/>
      <c r="B598" s="109"/>
      <c r="C598" s="111"/>
      <c r="D598" s="111"/>
      <c r="E598" s="111"/>
      <c r="F598" s="111"/>
      <c r="G598" s="112"/>
      <c r="H598" s="114"/>
      <c r="I598" s="111"/>
      <c r="J598" s="111"/>
      <c r="K598" s="111"/>
      <c r="L598" s="112"/>
      <c r="M598" s="111"/>
      <c r="N598" s="111"/>
      <c r="O598" s="111"/>
      <c r="P598" s="111"/>
      <c r="Q598" s="111"/>
      <c r="R598" s="112"/>
      <c r="S598" s="112"/>
    </row>
    <row r="599" spans="1:19" ht="15" x14ac:dyDescent="0.25">
      <c r="A599" s="109"/>
      <c r="B599" s="109"/>
      <c r="C599" s="78"/>
      <c r="D599" s="78"/>
      <c r="E599" s="78"/>
      <c r="F599" s="78"/>
      <c r="G599" s="110"/>
      <c r="H599" s="115"/>
      <c r="I599" s="78"/>
      <c r="J599" s="78"/>
      <c r="K599" s="78"/>
      <c r="L599" s="110"/>
      <c r="M599" s="78"/>
      <c r="N599" s="78"/>
      <c r="O599" s="78"/>
      <c r="P599" s="78"/>
      <c r="Q599" s="78"/>
      <c r="R599" s="110"/>
      <c r="S599" s="110"/>
    </row>
    <row r="600" spans="1:19" ht="15" x14ac:dyDescent="0.25">
      <c r="A600" s="109"/>
      <c r="B600" s="109"/>
      <c r="C600" s="111"/>
      <c r="D600" s="111"/>
      <c r="E600" s="111"/>
      <c r="F600" s="111"/>
      <c r="G600" s="112"/>
      <c r="H600" s="114"/>
      <c r="I600" s="111"/>
      <c r="J600" s="111"/>
      <c r="K600" s="111"/>
      <c r="L600" s="112"/>
      <c r="M600" s="111"/>
      <c r="N600" s="111"/>
      <c r="O600" s="111"/>
      <c r="P600" s="111"/>
      <c r="Q600" s="111"/>
      <c r="R600" s="112"/>
      <c r="S600" s="112"/>
    </row>
    <row r="601" spans="1:19" ht="15" x14ac:dyDescent="0.25">
      <c r="A601" s="109"/>
      <c r="B601" s="109"/>
      <c r="C601" s="78"/>
      <c r="D601" s="78"/>
      <c r="E601" s="78"/>
      <c r="F601" s="78"/>
      <c r="G601" s="110"/>
      <c r="H601" s="115"/>
      <c r="I601" s="78"/>
      <c r="J601" s="78"/>
      <c r="K601" s="78"/>
      <c r="L601" s="110"/>
      <c r="M601" s="78"/>
      <c r="N601" s="78"/>
      <c r="O601" s="78"/>
      <c r="P601" s="78"/>
      <c r="Q601" s="78"/>
      <c r="R601" s="110"/>
      <c r="S601" s="110"/>
    </row>
    <row r="602" spans="1:19" ht="15" x14ac:dyDescent="0.25">
      <c r="A602" s="109"/>
      <c r="B602" s="109"/>
      <c r="C602" s="111"/>
      <c r="D602" s="111"/>
      <c r="E602" s="111"/>
      <c r="F602" s="111"/>
      <c r="G602" s="112"/>
      <c r="H602" s="114"/>
      <c r="I602" s="111"/>
      <c r="J602" s="111"/>
      <c r="K602" s="111"/>
      <c r="L602" s="112"/>
      <c r="M602" s="111"/>
      <c r="N602" s="111"/>
      <c r="O602" s="111"/>
      <c r="P602" s="111"/>
      <c r="Q602" s="111"/>
      <c r="R602" s="112"/>
      <c r="S602" s="112"/>
    </row>
    <row r="603" spans="1:19" ht="15" x14ac:dyDescent="0.25">
      <c r="A603" s="109"/>
      <c r="B603" s="109"/>
      <c r="C603" s="78"/>
      <c r="D603" s="78"/>
      <c r="E603" s="78"/>
      <c r="F603" s="78"/>
      <c r="G603" s="110"/>
      <c r="H603" s="115"/>
      <c r="I603" s="78"/>
      <c r="J603" s="78"/>
      <c r="K603" s="78"/>
      <c r="L603" s="110"/>
      <c r="M603" s="78"/>
      <c r="N603" s="78"/>
      <c r="O603" s="78"/>
      <c r="P603" s="78"/>
      <c r="Q603" s="78"/>
      <c r="R603" s="110"/>
      <c r="S603" s="110"/>
    </row>
    <row r="604" spans="1:19" ht="15" x14ac:dyDescent="0.25">
      <c r="A604" s="109"/>
      <c r="B604" s="109"/>
      <c r="C604" s="111"/>
      <c r="D604" s="111"/>
      <c r="E604" s="111"/>
      <c r="F604" s="111"/>
      <c r="G604" s="112"/>
      <c r="H604" s="114"/>
      <c r="I604" s="111"/>
      <c r="J604" s="111"/>
      <c r="K604" s="111"/>
      <c r="L604" s="112"/>
      <c r="M604" s="111"/>
      <c r="N604" s="111"/>
      <c r="O604" s="111"/>
      <c r="P604" s="111"/>
      <c r="Q604" s="111"/>
      <c r="R604" s="112"/>
      <c r="S604" s="112"/>
    </row>
    <row r="605" spans="1:19" ht="15" x14ac:dyDescent="0.25">
      <c r="A605" s="109"/>
      <c r="B605" s="109"/>
      <c r="C605" s="78"/>
      <c r="D605" s="78"/>
      <c r="E605" s="78"/>
      <c r="F605" s="78"/>
      <c r="G605" s="110"/>
      <c r="H605" s="115"/>
      <c r="I605" s="78"/>
      <c r="J605" s="78"/>
      <c r="K605" s="78"/>
      <c r="L605" s="110"/>
      <c r="M605" s="78"/>
      <c r="N605" s="78"/>
      <c r="O605" s="78"/>
      <c r="P605" s="78"/>
      <c r="Q605" s="78"/>
      <c r="R605" s="110"/>
      <c r="S605" s="110"/>
    </row>
    <row r="606" spans="1:19" ht="15" x14ac:dyDescent="0.25">
      <c r="A606" s="109"/>
      <c r="B606" s="109"/>
      <c r="C606" s="111"/>
      <c r="D606" s="111"/>
      <c r="E606" s="111"/>
      <c r="F606" s="111"/>
      <c r="G606" s="112"/>
      <c r="H606" s="114"/>
      <c r="I606" s="111"/>
      <c r="J606" s="111"/>
      <c r="K606" s="111"/>
      <c r="L606" s="112"/>
      <c r="M606" s="111"/>
      <c r="N606" s="111"/>
      <c r="O606" s="111"/>
      <c r="P606" s="111"/>
      <c r="Q606" s="111"/>
      <c r="R606" s="112"/>
      <c r="S606" s="112"/>
    </row>
    <row r="607" spans="1:19" ht="15" x14ac:dyDescent="0.25">
      <c r="A607" s="109"/>
      <c r="B607" s="109"/>
      <c r="C607" s="78"/>
      <c r="D607" s="78"/>
      <c r="E607" s="78"/>
      <c r="F607" s="78"/>
      <c r="G607" s="110"/>
      <c r="H607" s="115"/>
      <c r="I607" s="78"/>
      <c r="J607" s="78"/>
      <c r="K607" s="78"/>
      <c r="L607" s="110"/>
      <c r="M607" s="78"/>
      <c r="N607" s="78"/>
      <c r="O607" s="78"/>
      <c r="P607" s="78"/>
      <c r="Q607" s="78"/>
      <c r="R607" s="110"/>
      <c r="S607" s="110"/>
    </row>
    <row r="608" spans="1:19" ht="15" x14ac:dyDescent="0.25">
      <c r="A608" s="109"/>
      <c r="B608" s="109"/>
      <c r="C608" s="111"/>
      <c r="D608" s="111"/>
      <c r="E608" s="111"/>
      <c r="F608" s="111"/>
      <c r="G608" s="112"/>
      <c r="H608" s="114"/>
      <c r="I608" s="111"/>
      <c r="J608" s="111"/>
      <c r="K608" s="111"/>
      <c r="L608" s="112"/>
      <c r="M608" s="111"/>
      <c r="N608" s="111"/>
      <c r="O608" s="111"/>
      <c r="P608" s="111"/>
      <c r="Q608" s="111"/>
      <c r="R608" s="112"/>
      <c r="S608" s="112"/>
    </row>
    <row r="609" spans="1:19" ht="15" x14ac:dyDescent="0.25">
      <c r="A609" s="109"/>
      <c r="B609" s="109"/>
      <c r="C609" s="78"/>
      <c r="D609" s="78"/>
      <c r="E609" s="78"/>
      <c r="F609" s="78"/>
      <c r="G609" s="110"/>
      <c r="H609" s="115"/>
      <c r="I609" s="78"/>
      <c r="J609" s="78"/>
      <c r="K609" s="78"/>
      <c r="L609" s="110"/>
      <c r="M609" s="78"/>
      <c r="N609" s="78"/>
      <c r="O609" s="78"/>
      <c r="P609" s="78"/>
      <c r="Q609" s="78"/>
      <c r="R609" s="110"/>
      <c r="S609" s="110"/>
    </row>
    <row r="610" spans="1:19" ht="15" x14ac:dyDescent="0.25">
      <c r="A610" s="109"/>
      <c r="B610" s="109"/>
      <c r="C610" s="111"/>
      <c r="D610" s="111"/>
      <c r="E610" s="111"/>
      <c r="F610" s="111"/>
      <c r="G610" s="112"/>
      <c r="H610" s="114"/>
      <c r="I610" s="111"/>
      <c r="J610" s="111"/>
      <c r="K610" s="111"/>
      <c r="L610" s="112"/>
      <c r="M610" s="111"/>
      <c r="N610" s="111"/>
      <c r="O610" s="111"/>
      <c r="P610" s="111"/>
      <c r="Q610" s="111"/>
      <c r="R610" s="112"/>
      <c r="S610" s="112"/>
    </row>
    <row r="611" spans="1:19" ht="15" x14ac:dyDescent="0.25">
      <c r="A611" s="109"/>
      <c r="B611" s="109"/>
      <c r="C611" s="78"/>
      <c r="D611" s="78"/>
      <c r="E611" s="78"/>
      <c r="F611" s="78"/>
      <c r="G611" s="110"/>
      <c r="H611" s="115"/>
      <c r="I611" s="78"/>
      <c r="J611" s="78"/>
      <c r="K611" s="78"/>
      <c r="L611" s="110"/>
      <c r="M611" s="78"/>
      <c r="N611" s="78"/>
      <c r="O611" s="78"/>
      <c r="P611" s="78"/>
      <c r="Q611" s="78"/>
      <c r="R611" s="110"/>
      <c r="S611" s="110"/>
    </row>
    <row r="612" spans="1:19" ht="15" x14ac:dyDescent="0.25">
      <c r="A612" s="109"/>
      <c r="B612" s="109"/>
      <c r="C612" s="111"/>
      <c r="D612" s="111"/>
      <c r="E612" s="111"/>
      <c r="F612" s="111"/>
      <c r="G612" s="112"/>
      <c r="H612" s="114"/>
      <c r="I612" s="111"/>
      <c r="J612" s="111"/>
      <c r="K612" s="111"/>
      <c r="L612" s="112"/>
      <c r="M612" s="111"/>
      <c r="N612" s="111"/>
      <c r="O612" s="111"/>
      <c r="P612" s="111"/>
      <c r="Q612" s="111"/>
      <c r="R612" s="112"/>
      <c r="S612" s="112"/>
    </row>
    <row r="613" spans="1:19" ht="15" x14ac:dyDescent="0.25">
      <c r="A613" s="109"/>
      <c r="B613" s="109"/>
      <c r="C613" s="78"/>
      <c r="D613" s="78"/>
      <c r="E613" s="78"/>
      <c r="F613" s="78"/>
      <c r="G613" s="110"/>
      <c r="H613" s="115"/>
      <c r="I613" s="78"/>
      <c r="J613" s="78"/>
      <c r="K613" s="78"/>
      <c r="L613" s="110"/>
      <c r="M613" s="78"/>
      <c r="N613" s="78"/>
      <c r="O613" s="78"/>
      <c r="P613" s="78"/>
      <c r="Q613" s="78"/>
      <c r="R613" s="110"/>
      <c r="S613" s="110"/>
    </row>
    <row r="614" spans="1:19" ht="15" x14ac:dyDescent="0.25">
      <c r="A614" s="109"/>
      <c r="B614" s="109"/>
      <c r="C614" s="111"/>
      <c r="D614" s="111"/>
      <c r="E614" s="111"/>
      <c r="F614" s="111"/>
      <c r="G614" s="112"/>
      <c r="H614" s="114"/>
      <c r="I614" s="111"/>
      <c r="J614" s="111"/>
      <c r="K614" s="111"/>
      <c r="L614" s="112"/>
      <c r="M614" s="111"/>
      <c r="N614" s="111"/>
      <c r="O614" s="111"/>
      <c r="P614" s="111"/>
      <c r="Q614" s="111"/>
      <c r="R614" s="112"/>
      <c r="S614" s="112"/>
    </row>
    <row r="615" spans="1:19" ht="15" x14ac:dyDescent="0.25">
      <c r="A615" s="109"/>
      <c r="B615" s="109"/>
      <c r="C615" s="78"/>
      <c r="D615" s="78"/>
      <c r="E615" s="78"/>
      <c r="F615" s="78"/>
      <c r="G615" s="110"/>
      <c r="H615" s="115"/>
      <c r="I615" s="78"/>
      <c r="J615" s="78"/>
      <c r="K615" s="78"/>
      <c r="L615" s="110"/>
      <c r="M615" s="78"/>
      <c r="N615" s="78"/>
      <c r="O615" s="78"/>
      <c r="P615" s="78"/>
      <c r="Q615" s="78"/>
      <c r="R615" s="110"/>
      <c r="S615" s="110"/>
    </row>
    <row r="616" spans="1:19" ht="15" x14ac:dyDescent="0.25">
      <c r="A616" s="109"/>
      <c r="B616" s="109"/>
      <c r="C616" s="111"/>
      <c r="D616" s="111"/>
      <c r="E616" s="111"/>
      <c r="F616" s="111"/>
      <c r="G616" s="112"/>
      <c r="H616" s="114"/>
      <c r="I616" s="111"/>
      <c r="J616" s="111"/>
      <c r="K616" s="111"/>
      <c r="L616" s="112"/>
      <c r="M616" s="111"/>
      <c r="N616" s="111"/>
      <c r="O616" s="111"/>
      <c r="P616" s="111"/>
      <c r="Q616" s="111"/>
      <c r="R616" s="112"/>
      <c r="S616" s="112"/>
    </row>
    <row r="617" spans="1:19" ht="15" x14ac:dyDescent="0.25">
      <c r="A617" s="109"/>
      <c r="B617" s="109"/>
      <c r="C617" s="78"/>
      <c r="D617" s="78"/>
      <c r="E617" s="78"/>
      <c r="F617" s="78"/>
      <c r="G617" s="110"/>
      <c r="H617" s="115"/>
      <c r="I617" s="78"/>
      <c r="J617" s="78"/>
      <c r="K617" s="78"/>
      <c r="L617" s="110"/>
      <c r="M617" s="78"/>
      <c r="N617" s="78"/>
      <c r="O617" s="78"/>
      <c r="P617" s="78"/>
      <c r="Q617" s="78"/>
      <c r="R617" s="110"/>
      <c r="S617" s="110"/>
    </row>
    <row r="618" spans="1:19" ht="15" x14ac:dyDescent="0.25">
      <c r="A618" s="109"/>
      <c r="B618" s="109"/>
      <c r="C618" s="111"/>
      <c r="D618" s="111"/>
      <c r="E618" s="111"/>
      <c r="F618" s="111"/>
      <c r="G618" s="112"/>
      <c r="H618" s="114"/>
      <c r="I618" s="111"/>
      <c r="J618" s="111"/>
      <c r="K618" s="111"/>
      <c r="L618" s="112"/>
      <c r="M618" s="111"/>
      <c r="N618" s="111"/>
      <c r="O618" s="111"/>
      <c r="P618" s="111"/>
      <c r="Q618" s="111"/>
      <c r="R618" s="112"/>
      <c r="S618" s="112"/>
    </row>
    <row r="619" spans="1:19" ht="15" x14ac:dyDescent="0.25">
      <c r="A619" s="109"/>
      <c r="B619" s="109"/>
      <c r="C619" s="78"/>
      <c r="D619" s="78"/>
      <c r="E619" s="78"/>
      <c r="F619" s="78"/>
      <c r="G619" s="110"/>
      <c r="H619" s="115"/>
      <c r="I619" s="78"/>
      <c r="J619" s="78"/>
      <c r="K619" s="78"/>
      <c r="L619" s="110"/>
      <c r="M619" s="78"/>
      <c r="N619" s="78"/>
      <c r="O619" s="78"/>
      <c r="P619" s="78"/>
      <c r="Q619" s="78"/>
      <c r="R619" s="110"/>
      <c r="S619" s="110"/>
    </row>
    <row r="620" spans="1:19" ht="15" x14ac:dyDescent="0.25">
      <c r="A620" s="109"/>
      <c r="B620" s="109"/>
      <c r="C620" s="111"/>
      <c r="D620" s="111"/>
      <c r="E620" s="111"/>
      <c r="F620" s="111"/>
      <c r="G620" s="112"/>
      <c r="H620" s="114"/>
      <c r="I620" s="111"/>
      <c r="J620" s="111"/>
      <c r="K620" s="111"/>
      <c r="L620" s="112"/>
      <c r="M620" s="111"/>
      <c r="N620" s="111"/>
      <c r="O620" s="111"/>
      <c r="P620" s="111"/>
      <c r="Q620" s="111"/>
      <c r="R620" s="112"/>
      <c r="S620" s="112"/>
    </row>
    <row r="621" spans="1:19" ht="15" x14ac:dyDescent="0.25">
      <c r="A621" s="109"/>
      <c r="B621" s="109"/>
      <c r="C621" s="78"/>
      <c r="D621" s="78"/>
      <c r="E621" s="78"/>
      <c r="F621" s="78"/>
      <c r="G621" s="110"/>
      <c r="H621" s="115"/>
      <c r="I621" s="78"/>
      <c r="J621" s="78"/>
      <c r="K621" s="78"/>
      <c r="L621" s="110"/>
      <c r="M621" s="78"/>
      <c r="N621" s="78"/>
      <c r="O621" s="78"/>
      <c r="P621" s="78"/>
      <c r="Q621" s="78"/>
      <c r="R621" s="110"/>
      <c r="S621" s="110"/>
    </row>
    <row r="622" spans="1:19" ht="15" x14ac:dyDescent="0.25">
      <c r="A622" s="109"/>
      <c r="B622" s="109"/>
      <c r="C622" s="111"/>
      <c r="D622" s="111"/>
      <c r="E622" s="111"/>
      <c r="F622" s="111"/>
      <c r="G622" s="112"/>
      <c r="H622" s="114"/>
      <c r="I622" s="111"/>
      <c r="J622" s="111"/>
      <c r="K622" s="111"/>
      <c r="L622" s="112"/>
      <c r="M622" s="111"/>
      <c r="N622" s="111"/>
      <c r="O622" s="111"/>
      <c r="P622" s="111"/>
      <c r="Q622" s="111"/>
      <c r="R622" s="112"/>
      <c r="S622" s="112"/>
    </row>
    <row r="623" spans="1:19" ht="15" x14ac:dyDescent="0.25">
      <c r="A623" s="109"/>
      <c r="B623" s="109"/>
      <c r="C623" s="78"/>
      <c r="D623" s="78"/>
      <c r="E623" s="78"/>
      <c r="F623" s="78"/>
      <c r="G623" s="110"/>
      <c r="H623" s="115"/>
      <c r="I623" s="78"/>
      <c r="J623" s="78"/>
      <c r="K623" s="78"/>
      <c r="L623" s="110"/>
      <c r="M623" s="78"/>
      <c r="N623" s="78"/>
      <c r="O623" s="78"/>
      <c r="P623" s="78"/>
      <c r="Q623" s="78"/>
      <c r="R623" s="110"/>
      <c r="S623" s="110"/>
    </row>
    <row r="624" spans="1:19" ht="15" x14ac:dyDescent="0.25">
      <c r="A624" s="109"/>
      <c r="B624" s="109"/>
      <c r="C624" s="111"/>
      <c r="D624" s="111"/>
      <c r="E624" s="111"/>
      <c r="F624" s="111"/>
      <c r="G624" s="112"/>
      <c r="H624" s="114"/>
      <c r="I624" s="111"/>
      <c r="J624" s="111"/>
      <c r="K624" s="111"/>
      <c r="L624" s="112"/>
      <c r="M624" s="111"/>
      <c r="N624" s="111"/>
      <c r="O624" s="111"/>
      <c r="P624" s="111"/>
      <c r="Q624" s="111"/>
      <c r="R624" s="112"/>
      <c r="S624" s="112"/>
    </row>
    <row r="625" spans="1:19" ht="15" x14ac:dyDescent="0.25">
      <c r="A625" s="109"/>
      <c r="B625" s="109"/>
      <c r="C625" s="78"/>
      <c r="D625" s="78"/>
      <c r="E625" s="78"/>
      <c r="F625" s="78"/>
      <c r="G625" s="110"/>
      <c r="H625" s="115"/>
      <c r="I625" s="78"/>
      <c r="J625" s="78"/>
      <c r="K625" s="78"/>
      <c r="L625" s="110"/>
      <c r="M625" s="78"/>
      <c r="N625" s="78"/>
      <c r="O625" s="78"/>
      <c r="P625" s="78"/>
      <c r="Q625" s="78"/>
      <c r="R625" s="110"/>
      <c r="S625" s="110"/>
    </row>
    <row r="626" spans="1:19" ht="15" x14ac:dyDescent="0.25">
      <c r="A626" s="109"/>
      <c r="B626" s="109"/>
      <c r="C626" s="111"/>
      <c r="D626" s="111"/>
      <c r="E626" s="111"/>
      <c r="F626" s="111"/>
      <c r="G626" s="112"/>
      <c r="H626" s="114"/>
      <c r="I626" s="111"/>
      <c r="J626" s="111"/>
      <c r="K626" s="111"/>
      <c r="L626" s="112"/>
      <c r="M626" s="111"/>
      <c r="N626" s="111"/>
      <c r="O626" s="111"/>
      <c r="P626" s="111"/>
      <c r="Q626" s="111"/>
      <c r="R626" s="112"/>
      <c r="S626" s="112"/>
    </row>
    <row r="627" spans="1:19" ht="15" x14ac:dyDescent="0.25">
      <c r="A627" s="109"/>
      <c r="B627" s="109"/>
      <c r="C627" s="78"/>
      <c r="D627" s="78"/>
      <c r="E627" s="78"/>
      <c r="F627" s="78"/>
      <c r="G627" s="110"/>
      <c r="H627" s="115"/>
      <c r="I627" s="78"/>
      <c r="J627" s="78"/>
      <c r="K627" s="78"/>
      <c r="L627" s="110"/>
      <c r="M627" s="78"/>
      <c r="N627" s="78"/>
      <c r="O627" s="78"/>
      <c r="P627" s="78"/>
      <c r="Q627" s="78"/>
      <c r="R627" s="110"/>
      <c r="S627" s="110"/>
    </row>
    <row r="628" spans="1:19" ht="15" x14ac:dyDescent="0.25">
      <c r="A628" s="109"/>
      <c r="B628" s="109"/>
      <c r="C628" s="111"/>
      <c r="D628" s="111"/>
      <c r="E628" s="111"/>
      <c r="F628" s="111"/>
      <c r="G628" s="112"/>
      <c r="H628" s="114"/>
      <c r="I628" s="111"/>
      <c r="J628" s="111"/>
      <c r="K628" s="111"/>
      <c r="L628" s="112"/>
      <c r="M628" s="111"/>
      <c r="N628" s="111"/>
      <c r="O628" s="111"/>
      <c r="P628" s="111"/>
      <c r="Q628" s="111"/>
      <c r="R628" s="112"/>
      <c r="S628" s="112"/>
    </row>
    <row r="629" spans="1:19" ht="15" x14ac:dyDescent="0.25">
      <c r="A629" s="109"/>
      <c r="B629" s="109"/>
      <c r="C629" s="78"/>
      <c r="D629" s="78"/>
      <c r="E629" s="78"/>
      <c r="F629" s="78"/>
      <c r="G629" s="110"/>
      <c r="H629" s="115"/>
      <c r="I629" s="78"/>
      <c r="J629" s="78"/>
      <c r="K629" s="78"/>
      <c r="L629" s="110"/>
      <c r="M629" s="78"/>
      <c r="N629" s="78"/>
      <c r="O629" s="78"/>
      <c r="P629" s="78"/>
      <c r="Q629" s="78"/>
      <c r="R629" s="110"/>
      <c r="S629" s="110"/>
    </row>
    <row r="630" spans="1:19" ht="15" x14ac:dyDescent="0.25">
      <c r="A630" s="109"/>
      <c r="B630" s="109"/>
      <c r="C630" s="111"/>
      <c r="D630" s="111"/>
      <c r="E630" s="111"/>
      <c r="F630" s="111"/>
      <c r="G630" s="112"/>
      <c r="H630" s="114"/>
      <c r="I630" s="111"/>
      <c r="J630" s="111"/>
      <c r="K630" s="111"/>
      <c r="L630" s="112"/>
      <c r="M630" s="111"/>
      <c r="N630" s="111"/>
      <c r="O630" s="111"/>
      <c r="P630" s="111"/>
      <c r="Q630" s="111"/>
      <c r="R630" s="112"/>
      <c r="S630" s="112"/>
    </row>
    <row r="631" spans="1:19" ht="15" x14ac:dyDescent="0.25">
      <c r="A631" s="109"/>
      <c r="B631" s="109"/>
      <c r="C631" s="78"/>
      <c r="D631" s="78"/>
      <c r="E631" s="78"/>
      <c r="F631" s="78"/>
      <c r="G631" s="110"/>
      <c r="H631" s="115"/>
      <c r="I631" s="78"/>
      <c r="J631" s="78"/>
      <c r="K631" s="78"/>
      <c r="L631" s="110"/>
      <c r="M631" s="78"/>
      <c r="N631" s="78"/>
      <c r="O631" s="78"/>
      <c r="P631" s="78"/>
      <c r="Q631" s="78"/>
      <c r="R631" s="110"/>
      <c r="S631" s="110"/>
    </row>
    <row r="632" spans="1:19" ht="15" x14ac:dyDescent="0.25">
      <c r="A632" s="109"/>
      <c r="B632" s="109"/>
      <c r="C632" s="111"/>
      <c r="D632" s="111"/>
      <c r="E632" s="111"/>
      <c r="F632" s="111"/>
      <c r="G632" s="112"/>
      <c r="H632" s="114"/>
      <c r="I632" s="111"/>
      <c r="J632" s="111"/>
      <c r="K632" s="111"/>
      <c r="L632" s="112"/>
      <c r="M632" s="111"/>
      <c r="N632" s="111"/>
      <c r="O632" s="111"/>
      <c r="P632" s="111"/>
      <c r="Q632" s="111"/>
      <c r="R632" s="112"/>
      <c r="S632" s="112"/>
    </row>
    <row r="633" spans="1:19" ht="15" x14ac:dyDescent="0.25">
      <c r="A633" s="109"/>
      <c r="B633" s="109"/>
      <c r="C633" s="78"/>
      <c r="D633" s="78"/>
      <c r="E633" s="78"/>
      <c r="F633" s="78"/>
      <c r="G633" s="110"/>
      <c r="H633" s="115"/>
      <c r="I633" s="78"/>
      <c r="J633" s="78"/>
      <c r="K633" s="78"/>
      <c r="L633" s="110"/>
      <c r="M633" s="78"/>
      <c r="N633" s="78"/>
      <c r="O633" s="78"/>
      <c r="P633" s="78"/>
      <c r="Q633" s="78"/>
      <c r="R633" s="110"/>
      <c r="S633" s="110"/>
    </row>
    <row r="634" spans="1:19" ht="15" x14ac:dyDescent="0.25">
      <c r="A634" s="109"/>
      <c r="B634" s="109"/>
      <c r="C634" s="111"/>
      <c r="D634" s="111"/>
      <c r="E634" s="111"/>
      <c r="F634" s="111"/>
      <c r="G634" s="112"/>
      <c r="H634" s="114"/>
      <c r="I634" s="111"/>
      <c r="J634" s="111"/>
      <c r="K634" s="111"/>
      <c r="L634" s="112"/>
      <c r="M634" s="111"/>
      <c r="N634" s="111"/>
      <c r="O634" s="111"/>
      <c r="P634" s="111"/>
      <c r="Q634" s="111"/>
      <c r="R634" s="112"/>
      <c r="S634" s="112"/>
    </row>
    <row r="635" spans="1:19" ht="15" x14ac:dyDescent="0.25">
      <c r="A635" s="109"/>
      <c r="B635" s="109"/>
      <c r="C635" s="78"/>
      <c r="D635" s="78"/>
      <c r="E635" s="78"/>
      <c r="F635" s="78"/>
      <c r="G635" s="110"/>
      <c r="H635" s="115"/>
      <c r="I635" s="78"/>
      <c r="J635" s="78"/>
      <c r="K635" s="78"/>
      <c r="L635" s="110"/>
      <c r="M635" s="78"/>
      <c r="N635" s="78"/>
      <c r="O635" s="78"/>
      <c r="P635" s="78"/>
      <c r="Q635" s="78"/>
      <c r="R635" s="110"/>
      <c r="S635" s="110"/>
    </row>
    <row r="636" spans="1:19" ht="15" x14ac:dyDescent="0.25">
      <c r="A636" s="109"/>
      <c r="B636" s="109"/>
      <c r="C636" s="111"/>
      <c r="D636" s="111"/>
      <c r="E636" s="111"/>
      <c r="F636" s="111"/>
      <c r="G636" s="112"/>
      <c r="H636" s="114"/>
      <c r="I636" s="111"/>
      <c r="J636" s="111"/>
      <c r="K636" s="111"/>
      <c r="L636" s="112"/>
      <c r="M636" s="111"/>
      <c r="N636" s="111"/>
      <c r="O636" s="111"/>
      <c r="P636" s="111"/>
      <c r="Q636" s="111"/>
      <c r="R636" s="112"/>
      <c r="S636" s="112"/>
    </row>
    <row r="637" spans="1:19" ht="15" x14ac:dyDescent="0.25">
      <c r="A637" s="109"/>
      <c r="B637" s="109"/>
      <c r="C637" s="78"/>
      <c r="D637" s="78"/>
      <c r="E637" s="78"/>
      <c r="F637" s="78"/>
      <c r="G637" s="110"/>
      <c r="H637" s="115"/>
      <c r="I637" s="78"/>
      <c r="J637" s="78"/>
      <c r="K637" s="78"/>
      <c r="L637" s="110"/>
      <c r="M637" s="78"/>
      <c r="N637" s="78"/>
      <c r="O637" s="78"/>
      <c r="P637" s="78"/>
      <c r="Q637" s="78"/>
      <c r="R637" s="110"/>
      <c r="S637" s="110"/>
    </row>
    <row r="638" spans="1:19" ht="15" x14ac:dyDescent="0.25">
      <c r="A638" s="109"/>
      <c r="B638" s="109"/>
      <c r="C638" s="111"/>
      <c r="D638" s="111"/>
      <c r="E638" s="111"/>
      <c r="F638" s="111"/>
      <c r="G638" s="112"/>
      <c r="H638" s="114"/>
      <c r="I638" s="111"/>
      <c r="J638" s="111"/>
      <c r="K638" s="111"/>
      <c r="L638" s="112"/>
      <c r="M638" s="111"/>
      <c r="N638" s="111"/>
      <c r="O638" s="111"/>
      <c r="P638" s="111"/>
      <c r="Q638" s="111"/>
      <c r="R638" s="112"/>
      <c r="S638" s="112"/>
    </row>
    <row r="639" spans="1:19" ht="15" x14ac:dyDescent="0.25">
      <c r="A639" s="109"/>
      <c r="B639" s="109"/>
      <c r="C639" s="78"/>
      <c r="D639" s="78"/>
      <c r="E639" s="78"/>
      <c r="F639" s="78"/>
      <c r="G639" s="110"/>
      <c r="H639" s="115"/>
      <c r="I639" s="78"/>
      <c r="J639" s="78"/>
      <c r="K639" s="78"/>
      <c r="L639" s="110"/>
      <c r="M639" s="78"/>
      <c r="N639" s="78"/>
      <c r="O639" s="78"/>
      <c r="P639" s="78"/>
      <c r="Q639" s="78"/>
      <c r="R639" s="110"/>
      <c r="S639" s="110"/>
    </row>
    <row r="640" spans="1:19" ht="15" x14ac:dyDescent="0.25">
      <c r="A640" s="109"/>
      <c r="B640" s="109"/>
      <c r="C640" s="111"/>
      <c r="D640" s="111"/>
      <c r="E640" s="111"/>
      <c r="F640" s="111"/>
      <c r="G640" s="112"/>
      <c r="H640" s="114"/>
      <c r="I640" s="111"/>
      <c r="J640" s="111"/>
      <c r="K640" s="111"/>
      <c r="L640" s="112"/>
      <c r="M640" s="111"/>
      <c r="N640" s="111"/>
      <c r="O640" s="111"/>
      <c r="P640" s="111"/>
      <c r="Q640" s="111"/>
      <c r="R640" s="112"/>
      <c r="S640" s="112"/>
    </row>
    <row r="641" spans="1:19" ht="15" x14ac:dyDescent="0.25">
      <c r="A641" s="109"/>
      <c r="B641" s="109"/>
      <c r="C641" s="78"/>
      <c r="D641" s="78"/>
      <c r="E641" s="78"/>
      <c r="F641" s="78"/>
      <c r="G641" s="110"/>
      <c r="H641" s="115"/>
      <c r="I641" s="78"/>
      <c r="J641" s="78"/>
      <c r="K641" s="78"/>
      <c r="L641" s="110"/>
      <c r="M641" s="78"/>
      <c r="N641" s="78"/>
      <c r="O641" s="78"/>
      <c r="P641" s="78"/>
      <c r="Q641" s="78"/>
      <c r="R641" s="110"/>
      <c r="S641" s="110"/>
    </row>
    <row r="642" spans="1:19" ht="15" x14ac:dyDescent="0.25">
      <c r="A642" s="109"/>
      <c r="B642" s="109"/>
      <c r="C642" s="111"/>
      <c r="D642" s="111"/>
      <c r="E642" s="111"/>
      <c r="F642" s="111"/>
      <c r="G642" s="112"/>
      <c r="H642" s="114"/>
      <c r="I642" s="111"/>
      <c r="J642" s="111"/>
      <c r="K642" s="111"/>
      <c r="L642" s="112"/>
      <c r="M642" s="111"/>
      <c r="N642" s="111"/>
      <c r="O642" s="111"/>
      <c r="P642" s="111"/>
      <c r="Q642" s="111"/>
      <c r="R642" s="112"/>
      <c r="S642" s="112"/>
    </row>
    <row r="643" spans="1:19" ht="15" x14ac:dyDescent="0.25">
      <c r="A643" s="109"/>
      <c r="B643" s="109"/>
      <c r="C643" s="78"/>
      <c r="D643" s="78"/>
      <c r="E643" s="78"/>
      <c r="F643" s="78"/>
      <c r="G643" s="110"/>
      <c r="H643" s="115"/>
      <c r="I643" s="78"/>
      <c r="J643" s="78"/>
      <c r="K643" s="78"/>
      <c r="L643" s="110"/>
      <c r="M643" s="78"/>
      <c r="N643" s="78"/>
      <c r="O643" s="78"/>
      <c r="P643" s="78"/>
      <c r="Q643" s="78"/>
      <c r="R643" s="110"/>
      <c r="S643" s="110"/>
    </row>
    <row r="644" spans="1:19" ht="15" x14ac:dyDescent="0.25">
      <c r="A644" s="109"/>
      <c r="B644" s="109"/>
      <c r="C644" s="111"/>
      <c r="D644" s="111"/>
      <c r="E644" s="111"/>
      <c r="F644" s="111"/>
      <c r="G644" s="112"/>
      <c r="H644" s="114"/>
      <c r="I644" s="111"/>
      <c r="J644" s="111"/>
      <c r="K644" s="111"/>
      <c r="L644" s="112"/>
      <c r="M644" s="111"/>
      <c r="N644" s="111"/>
      <c r="O644" s="111"/>
      <c r="P644" s="111"/>
      <c r="Q644" s="111"/>
      <c r="R644" s="112"/>
      <c r="S644" s="112"/>
    </row>
    <row r="645" spans="1:19" ht="15" x14ac:dyDescent="0.25">
      <c r="A645" s="109"/>
      <c r="B645" s="109"/>
      <c r="C645" s="78"/>
      <c r="D645" s="78"/>
      <c r="E645" s="78"/>
      <c r="F645" s="78"/>
      <c r="G645" s="110"/>
      <c r="H645" s="115"/>
      <c r="I645" s="78"/>
      <c r="J645" s="78"/>
      <c r="K645" s="78"/>
      <c r="L645" s="110"/>
      <c r="M645" s="78"/>
      <c r="N645" s="78"/>
      <c r="O645" s="78"/>
      <c r="P645" s="78"/>
      <c r="Q645" s="78"/>
      <c r="R645" s="110"/>
      <c r="S645" s="110"/>
    </row>
    <row r="646" spans="1:19" ht="15" x14ac:dyDescent="0.25">
      <c r="A646" s="109"/>
      <c r="B646" s="109"/>
      <c r="C646" s="111"/>
      <c r="D646" s="111"/>
      <c r="E646" s="111"/>
      <c r="F646" s="111"/>
      <c r="G646" s="112"/>
      <c r="H646" s="114"/>
      <c r="I646" s="111"/>
      <c r="J646" s="111"/>
      <c r="K646" s="111"/>
      <c r="L646" s="112"/>
      <c r="M646" s="111"/>
      <c r="N646" s="111"/>
      <c r="O646" s="111"/>
      <c r="P646" s="111"/>
      <c r="Q646" s="111"/>
      <c r="R646" s="112"/>
      <c r="S646" s="112"/>
    </row>
    <row r="647" spans="1:19" ht="15" x14ac:dyDescent="0.25">
      <c r="A647" s="109"/>
      <c r="B647" s="109"/>
      <c r="C647" s="78"/>
      <c r="D647" s="78"/>
      <c r="E647" s="78"/>
      <c r="F647" s="78"/>
      <c r="G647" s="110"/>
      <c r="H647" s="115"/>
      <c r="I647" s="78"/>
      <c r="J647" s="78"/>
      <c r="K647" s="78"/>
      <c r="L647" s="110"/>
      <c r="M647" s="78"/>
      <c r="N647" s="78"/>
      <c r="O647" s="78"/>
      <c r="P647" s="78"/>
      <c r="Q647" s="78"/>
      <c r="R647" s="110"/>
      <c r="S647" s="110"/>
    </row>
    <row r="648" spans="1:19" ht="15" x14ac:dyDescent="0.25">
      <c r="A648" s="109"/>
      <c r="B648" s="109"/>
      <c r="C648" s="111"/>
      <c r="D648" s="111"/>
      <c r="E648" s="111"/>
      <c r="F648" s="111"/>
      <c r="G648" s="112"/>
      <c r="H648" s="114"/>
      <c r="I648" s="111"/>
      <c r="J648" s="111"/>
      <c r="K648" s="111"/>
      <c r="L648" s="112"/>
      <c r="M648" s="111"/>
      <c r="N648" s="111"/>
      <c r="O648" s="111"/>
      <c r="P648" s="111"/>
      <c r="Q648" s="111"/>
      <c r="R648" s="112"/>
      <c r="S648" s="112"/>
    </row>
    <row r="649" spans="1:19" ht="15" x14ac:dyDescent="0.25">
      <c r="A649" s="109"/>
      <c r="B649" s="109"/>
      <c r="C649" s="78"/>
      <c r="D649" s="78"/>
      <c r="E649" s="78"/>
      <c r="F649" s="78"/>
      <c r="G649" s="110"/>
      <c r="H649" s="115"/>
      <c r="I649" s="78"/>
      <c r="J649" s="78"/>
      <c r="K649" s="78"/>
      <c r="L649" s="110"/>
      <c r="M649" s="78"/>
      <c r="N649" s="78"/>
      <c r="O649" s="78"/>
      <c r="P649" s="78"/>
      <c r="Q649" s="78"/>
      <c r="R649" s="110"/>
      <c r="S649" s="110"/>
    </row>
    <row r="650" spans="1:19" ht="15" x14ac:dyDescent="0.25">
      <c r="A650" s="109"/>
      <c r="B650" s="109"/>
      <c r="C650" s="111"/>
      <c r="D650" s="111"/>
      <c r="E650" s="111"/>
      <c r="F650" s="111"/>
      <c r="G650" s="112"/>
      <c r="H650" s="114"/>
      <c r="I650" s="111"/>
      <c r="J650" s="111"/>
      <c r="K650" s="111"/>
      <c r="L650" s="112"/>
      <c r="M650" s="111"/>
      <c r="N650" s="111"/>
      <c r="O650" s="111"/>
      <c r="P650" s="111"/>
      <c r="Q650" s="111"/>
      <c r="R650" s="112"/>
      <c r="S650" s="112"/>
    </row>
    <row r="651" spans="1:19" ht="15" x14ac:dyDescent="0.25">
      <c r="A651" s="109"/>
      <c r="B651" s="109"/>
      <c r="C651" s="78"/>
      <c r="D651" s="78"/>
      <c r="E651" s="78"/>
      <c r="F651" s="78"/>
      <c r="G651" s="110"/>
      <c r="H651" s="115"/>
      <c r="I651" s="78"/>
      <c r="J651" s="78"/>
      <c r="K651" s="78"/>
      <c r="L651" s="110"/>
      <c r="M651" s="78"/>
      <c r="N651" s="78"/>
      <c r="O651" s="78"/>
      <c r="P651" s="78"/>
      <c r="Q651" s="78"/>
      <c r="R651" s="110"/>
      <c r="S651" s="110"/>
    </row>
    <row r="652" spans="1:19" ht="15" x14ac:dyDescent="0.25">
      <c r="A652" s="109"/>
      <c r="B652" s="109"/>
      <c r="C652" s="111"/>
      <c r="D652" s="111"/>
      <c r="E652" s="111"/>
      <c r="F652" s="111"/>
      <c r="G652" s="112"/>
      <c r="H652" s="114"/>
      <c r="I652" s="111"/>
      <c r="J652" s="111"/>
      <c r="K652" s="111"/>
      <c r="L652" s="112"/>
      <c r="M652" s="111"/>
      <c r="N652" s="111"/>
      <c r="O652" s="111"/>
      <c r="P652" s="111"/>
      <c r="Q652" s="111"/>
      <c r="R652" s="112"/>
      <c r="S652" s="112"/>
    </row>
    <row r="653" spans="1:19" ht="15" x14ac:dyDescent="0.25">
      <c r="A653" s="109"/>
      <c r="B653" s="109"/>
      <c r="C653" s="78"/>
      <c r="D653" s="78"/>
      <c r="E653" s="78"/>
      <c r="F653" s="78"/>
      <c r="G653" s="110"/>
      <c r="H653" s="115"/>
      <c r="I653" s="78"/>
      <c r="J653" s="78"/>
      <c r="K653" s="78"/>
      <c r="L653" s="110"/>
      <c r="M653" s="78"/>
      <c r="N653" s="78"/>
      <c r="O653" s="78"/>
      <c r="P653" s="78"/>
      <c r="Q653" s="78"/>
      <c r="R653" s="110"/>
      <c r="S653" s="110"/>
    </row>
    <row r="654" spans="1:19" ht="15" x14ac:dyDescent="0.25">
      <c r="A654" s="109"/>
      <c r="B654" s="109"/>
      <c r="C654" s="111"/>
      <c r="D654" s="111"/>
      <c r="E654" s="111"/>
      <c r="F654" s="111"/>
      <c r="G654" s="112"/>
      <c r="H654" s="114"/>
      <c r="I654" s="111"/>
      <c r="J654" s="111"/>
      <c r="K654" s="111"/>
      <c r="L654" s="112"/>
      <c r="M654" s="111"/>
      <c r="N654" s="111"/>
      <c r="O654" s="111"/>
      <c r="P654" s="111"/>
      <c r="Q654" s="111"/>
      <c r="R654" s="112"/>
      <c r="S654" s="112"/>
    </row>
    <row r="655" spans="1:19" ht="15" x14ac:dyDescent="0.25">
      <c r="A655" s="109"/>
      <c r="B655" s="109"/>
      <c r="C655" s="78"/>
      <c r="D655" s="78"/>
      <c r="E655" s="78"/>
      <c r="F655" s="78"/>
      <c r="G655" s="110"/>
      <c r="H655" s="115"/>
      <c r="I655" s="78"/>
      <c r="J655" s="78"/>
      <c r="K655" s="78"/>
      <c r="L655" s="110"/>
      <c r="M655" s="78"/>
      <c r="N655" s="78"/>
      <c r="O655" s="78"/>
      <c r="P655" s="78"/>
      <c r="Q655" s="78"/>
      <c r="R655" s="110"/>
      <c r="S655" s="110"/>
    </row>
    <row r="656" spans="1:19" ht="15" x14ac:dyDescent="0.25">
      <c r="A656" s="109"/>
      <c r="B656" s="109"/>
      <c r="C656" s="111"/>
      <c r="D656" s="111"/>
      <c r="E656" s="111"/>
      <c r="F656" s="111"/>
      <c r="G656" s="112"/>
      <c r="H656" s="114"/>
      <c r="I656" s="111"/>
      <c r="J656" s="111"/>
      <c r="K656" s="111"/>
      <c r="L656" s="112"/>
      <c r="M656" s="111"/>
      <c r="N656" s="111"/>
      <c r="O656" s="111"/>
      <c r="P656" s="111"/>
      <c r="Q656" s="111"/>
      <c r="R656" s="112"/>
      <c r="S656" s="112"/>
    </row>
    <row r="657" spans="1:19" ht="15" x14ac:dyDescent="0.25">
      <c r="A657" s="109"/>
      <c r="B657" s="109"/>
      <c r="C657" s="78"/>
      <c r="D657" s="78"/>
      <c r="E657" s="78"/>
      <c r="F657" s="78"/>
      <c r="G657" s="110"/>
      <c r="H657" s="115"/>
      <c r="I657" s="78"/>
      <c r="J657" s="78"/>
      <c r="K657" s="78"/>
      <c r="L657" s="110"/>
      <c r="M657" s="78"/>
      <c r="N657" s="78"/>
      <c r="O657" s="78"/>
      <c r="P657" s="78"/>
      <c r="Q657" s="78"/>
      <c r="R657" s="110"/>
      <c r="S657" s="110"/>
    </row>
    <row r="658" spans="1:19" ht="15" x14ac:dyDescent="0.25">
      <c r="A658" s="109"/>
      <c r="B658" s="109"/>
      <c r="C658" s="111"/>
      <c r="D658" s="111"/>
      <c r="E658" s="111"/>
      <c r="F658" s="111"/>
      <c r="G658" s="112"/>
      <c r="H658" s="114"/>
      <c r="I658" s="111"/>
      <c r="J658" s="111"/>
      <c r="K658" s="111"/>
      <c r="L658" s="112"/>
      <c r="M658" s="111"/>
      <c r="N658" s="111"/>
      <c r="O658" s="111"/>
      <c r="P658" s="111"/>
      <c r="Q658" s="111"/>
      <c r="R658" s="112"/>
      <c r="S658" s="112"/>
    </row>
    <row r="659" spans="1:19" ht="15" x14ac:dyDescent="0.25">
      <c r="A659" s="109"/>
      <c r="B659" s="109"/>
      <c r="C659" s="78"/>
      <c r="D659" s="78"/>
      <c r="E659" s="78"/>
      <c r="F659" s="78"/>
      <c r="G659" s="110"/>
      <c r="H659" s="115"/>
      <c r="I659" s="78"/>
      <c r="J659" s="78"/>
      <c r="K659" s="78"/>
      <c r="L659" s="110"/>
      <c r="M659" s="78"/>
      <c r="N659" s="78"/>
      <c r="O659" s="78"/>
      <c r="P659" s="78"/>
      <c r="Q659" s="78"/>
      <c r="R659" s="110"/>
      <c r="S659" s="110"/>
    </row>
    <row r="660" spans="1:19" ht="15" x14ac:dyDescent="0.25">
      <c r="A660" s="109"/>
      <c r="B660" s="109"/>
      <c r="C660" s="111"/>
      <c r="D660" s="111"/>
      <c r="E660" s="111"/>
      <c r="F660" s="111"/>
      <c r="G660" s="112"/>
      <c r="H660" s="114"/>
      <c r="I660" s="111"/>
      <c r="J660" s="111"/>
      <c r="K660" s="111"/>
      <c r="L660" s="112"/>
      <c r="M660" s="111"/>
      <c r="N660" s="111"/>
      <c r="O660" s="111"/>
      <c r="P660" s="111"/>
      <c r="Q660" s="111"/>
      <c r="R660" s="112"/>
      <c r="S660" s="112"/>
    </row>
    <row r="661" spans="1:19" ht="15" x14ac:dyDescent="0.25">
      <c r="A661" s="109"/>
      <c r="B661" s="109"/>
      <c r="C661" s="78"/>
      <c r="D661" s="78"/>
      <c r="E661" s="78"/>
      <c r="F661" s="78"/>
      <c r="G661" s="110"/>
      <c r="H661" s="115"/>
      <c r="I661" s="78"/>
      <c r="J661" s="78"/>
      <c r="K661" s="78"/>
      <c r="L661" s="110"/>
      <c r="M661" s="78"/>
      <c r="N661" s="78"/>
      <c r="O661" s="78"/>
      <c r="P661" s="78"/>
      <c r="Q661" s="78"/>
      <c r="R661" s="110"/>
      <c r="S661" s="110"/>
    </row>
    <row r="662" spans="1:19" ht="15" x14ac:dyDescent="0.25">
      <c r="A662" s="109"/>
      <c r="B662" s="109"/>
      <c r="C662" s="111"/>
      <c r="D662" s="111"/>
      <c r="E662" s="111"/>
      <c r="F662" s="111"/>
      <c r="G662" s="112"/>
      <c r="H662" s="114"/>
      <c r="I662" s="111"/>
      <c r="J662" s="111"/>
      <c r="K662" s="111"/>
      <c r="L662" s="112"/>
      <c r="M662" s="111"/>
      <c r="N662" s="111"/>
      <c r="O662" s="111"/>
      <c r="P662" s="111"/>
      <c r="Q662" s="111"/>
      <c r="R662" s="112"/>
      <c r="S662" s="112"/>
    </row>
    <row r="663" spans="1:19" ht="15" x14ac:dyDescent="0.25">
      <c r="A663" s="109"/>
      <c r="B663" s="109"/>
      <c r="C663" s="78"/>
      <c r="D663" s="78"/>
      <c r="E663" s="78"/>
      <c r="F663" s="78"/>
      <c r="G663" s="110"/>
      <c r="H663" s="115"/>
      <c r="I663" s="78"/>
      <c r="J663" s="78"/>
      <c r="K663" s="78"/>
      <c r="L663" s="110"/>
      <c r="M663" s="78"/>
      <c r="N663" s="78"/>
      <c r="O663" s="78"/>
      <c r="P663" s="78"/>
      <c r="Q663" s="78"/>
      <c r="R663" s="110"/>
      <c r="S663" s="110"/>
    </row>
    <row r="664" spans="1:19" ht="15" x14ac:dyDescent="0.25">
      <c r="A664" s="109"/>
      <c r="B664" s="109"/>
      <c r="C664" s="111"/>
      <c r="D664" s="111"/>
      <c r="E664" s="111"/>
      <c r="F664" s="111"/>
      <c r="G664" s="112"/>
      <c r="H664" s="114"/>
      <c r="I664" s="111"/>
      <c r="J664" s="111"/>
      <c r="K664" s="111"/>
      <c r="L664" s="112"/>
      <c r="M664" s="111"/>
      <c r="N664" s="111"/>
      <c r="O664" s="111"/>
      <c r="P664" s="111"/>
      <c r="Q664" s="111"/>
      <c r="R664" s="112"/>
      <c r="S664" s="112"/>
    </row>
    <row r="665" spans="1:19" ht="15" x14ac:dyDescent="0.25">
      <c r="A665" s="109"/>
      <c r="B665" s="109"/>
      <c r="C665" s="78"/>
      <c r="D665" s="78"/>
      <c r="E665" s="78"/>
      <c r="F665" s="78"/>
      <c r="G665" s="110"/>
      <c r="H665" s="115"/>
      <c r="I665" s="78"/>
      <c r="J665" s="78"/>
      <c r="K665" s="78"/>
      <c r="L665" s="110"/>
      <c r="M665" s="78"/>
      <c r="N665" s="78"/>
      <c r="O665" s="78"/>
      <c r="P665" s="78"/>
      <c r="Q665" s="78"/>
      <c r="R665" s="110"/>
      <c r="S665" s="110"/>
    </row>
    <row r="666" spans="1:19" ht="15" x14ac:dyDescent="0.25">
      <c r="A666" s="109"/>
      <c r="B666" s="109"/>
      <c r="C666" s="111"/>
      <c r="D666" s="111"/>
      <c r="E666" s="111"/>
      <c r="F666" s="111"/>
      <c r="G666" s="112"/>
      <c r="H666" s="114"/>
      <c r="I666" s="111"/>
      <c r="J666" s="111"/>
      <c r="K666" s="111"/>
      <c r="L666" s="112"/>
      <c r="M666" s="111"/>
      <c r="N666" s="111"/>
      <c r="O666" s="111"/>
      <c r="P666" s="111"/>
      <c r="Q666" s="111"/>
      <c r="R666" s="112"/>
      <c r="S666" s="112"/>
    </row>
    <row r="667" spans="1:19" ht="15" x14ac:dyDescent="0.25">
      <c r="A667" s="109"/>
      <c r="B667" s="109"/>
      <c r="C667" s="78"/>
      <c r="D667" s="78"/>
      <c r="E667" s="78"/>
      <c r="F667" s="78"/>
      <c r="G667" s="110"/>
      <c r="H667" s="115"/>
      <c r="I667" s="78"/>
      <c r="J667" s="78"/>
      <c r="K667" s="78"/>
      <c r="L667" s="110"/>
      <c r="M667" s="78"/>
      <c r="N667" s="78"/>
      <c r="O667" s="78"/>
      <c r="P667" s="78"/>
      <c r="Q667" s="78"/>
      <c r="R667" s="110"/>
      <c r="S667" s="110"/>
    </row>
    <row r="668" spans="1:19" ht="15" x14ac:dyDescent="0.25">
      <c r="A668" s="109"/>
      <c r="B668" s="109"/>
      <c r="C668" s="111"/>
      <c r="D668" s="111"/>
      <c r="E668" s="111"/>
      <c r="F668" s="111"/>
      <c r="G668" s="112"/>
      <c r="H668" s="114"/>
      <c r="I668" s="111"/>
      <c r="J668" s="111"/>
      <c r="K668" s="111"/>
      <c r="L668" s="112"/>
      <c r="M668" s="111"/>
      <c r="N668" s="111"/>
      <c r="O668" s="111"/>
      <c r="P668" s="111"/>
      <c r="Q668" s="111"/>
      <c r="R668" s="112"/>
      <c r="S668" s="112"/>
    </row>
    <row r="669" spans="1:19" ht="15" x14ac:dyDescent="0.25">
      <c r="A669" s="109"/>
      <c r="B669" s="109"/>
      <c r="C669" s="78"/>
      <c r="D669" s="78"/>
      <c r="E669" s="78"/>
      <c r="F669" s="78"/>
      <c r="G669" s="110"/>
      <c r="H669" s="115"/>
      <c r="I669" s="78"/>
      <c r="J669" s="78"/>
      <c r="K669" s="78"/>
      <c r="L669" s="110"/>
      <c r="M669" s="78"/>
      <c r="N669" s="78"/>
      <c r="O669" s="78"/>
      <c r="P669" s="78"/>
      <c r="Q669" s="78"/>
      <c r="R669" s="110"/>
      <c r="S669" s="110"/>
    </row>
    <row r="670" spans="1:19" ht="15" x14ac:dyDescent="0.25">
      <c r="A670" s="109"/>
      <c r="B670" s="109"/>
      <c r="C670" s="111"/>
      <c r="D670" s="111"/>
      <c r="E670" s="111"/>
      <c r="F670" s="111"/>
      <c r="G670" s="112"/>
      <c r="H670" s="114"/>
      <c r="I670" s="111"/>
      <c r="J670" s="111"/>
      <c r="K670" s="111"/>
      <c r="L670" s="112"/>
      <c r="M670" s="111"/>
      <c r="N670" s="111"/>
      <c r="O670" s="111"/>
      <c r="P670" s="111"/>
      <c r="Q670" s="111"/>
      <c r="R670" s="112"/>
      <c r="S670" s="112"/>
    </row>
    <row r="671" spans="1:19" ht="15" x14ac:dyDescent="0.25">
      <c r="A671" s="109"/>
      <c r="B671" s="109"/>
      <c r="C671" s="78"/>
      <c r="D671" s="78"/>
      <c r="E671" s="78"/>
      <c r="F671" s="78"/>
      <c r="G671" s="110"/>
      <c r="H671" s="115"/>
      <c r="I671" s="78"/>
      <c r="J671" s="78"/>
      <c r="K671" s="78"/>
      <c r="L671" s="110"/>
      <c r="M671" s="78"/>
      <c r="N671" s="78"/>
      <c r="O671" s="78"/>
      <c r="P671" s="78"/>
      <c r="Q671" s="78"/>
      <c r="R671" s="110"/>
      <c r="S671" s="110"/>
    </row>
    <row r="672" spans="1:19" ht="15" x14ac:dyDescent="0.25">
      <c r="A672" s="109"/>
      <c r="B672" s="109"/>
      <c r="C672" s="111"/>
      <c r="D672" s="111"/>
      <c r="E672" s="111"/>
      <c r="F672" s="111"/>
      <c r="G672" s="112"/>
      <c r="H672" s="114"/>
      <c r="I672" s="111"/>
      <c r="J672" s="111"/>
      <c r="K672" s="111"/>
      <c r="L672" s="112"/>
      <c r="M672" s="111"/>
      <c r="N672" s="111"/>
      <c r="O672" s="111"/>
      <c r="P672" s="111"/>
      <c r="Q672" s="111"/>
      <c r="R672" s="112"/>
      <c r="S672" s="112"/>
    </row>
    <row r="673" spans="1:19" ht="15" x14ac:dyDescent="0.25">
      <c r="A673" s="109"/>
      <c r="B673" s="109"/>
      <c r="C673" s="78"/>
      <c r="D673" s="78"/>
      <c r="E673" s="78"/>
      <c r="F673" s="78"/>
      <c r="G673" s="110"/>
      <c r="H673" s="115"/>
      <c r="I673" s="78"/>
      <c r="J673" s="78"/>
      <c r="K673" s="78"/>
      <c r="L673" s="110"/>
      <c r="M673" s="78"/>
      <c r="N673" s="78"/>
      <c r="O673" s="78"/>
      <c r="P673" s="78"/>
      <c r="Q673" s="78"/>
      <c r="R673" s="110"/>
      <c r="S673" s="110"/>
    </row>
    <row r="674" spans="1:19" ht="15" x14ac:dyDescent="0.25">
      <c r="A674" s="109"/>
      <c r="B674" s="109"/>
      <c r="C674" s="111"/>
      <c r="D674" s="111"/>
      <c r="E674" s="111"/>
      <c r="F674" s="111"/>
      <c r="G674" s="112"/>
      <c r="H674" s="114"/>
      <c r="I674" s="111"/>
      <c r="J674" s="111"/>
      <c r="K674" s="111"/>
      <c r="L674" s="112"/>
      <c r="M674" s="111"/>
      <c r="N674" s="111"/>
      <c r="O674" s="111"/>
      <c r="P674" s="111"/>
      <c r="Q674" s="111"/>
      <c r="R674" s="112"/>
      <c r="S674" s="112"/>
    </row>
    <row r="675" spans="1:19" ht="15" x14ac:dyDescent="0.25">
      <c r="A675" s="109"/>
      <c r="B675" s="109"/>
      <c r="C675" s="78"/>
      <c r="D675" s="78"/>
      <c r="E675" s="78"/>
      <c r="F675" s="78"/>
      <c r="G675" s="110"/>
      <c r="H675" s="115"/>
      <c r="I675" s="78"/>
      <c r="J675" s="78"/>
      <c r="K675" s="78"/>
      <c r="L675" s="110"/>
      <c r="M675" s="78"/>
      <c r="N675" s="78"/>
      <c r="O675" s="78"/>
      <c r="P675" s="78"/>
      <c r="Q675" s="78"/>
      <c r="R675" s="110"/>
      <c r="S675" s="110"/>
    </row>
    <row r="676" spans="1:19" ht="15" x14ac:dyDescent="0.25">
      <c r="A676" s="109"/>
      <c r="B676" s="109"/>
      <c r="C676" s="111"/>
      <c r="D676" s="111"/>
      <c r="E676" s="111"/>
      <c r="F676" s="111"/>
      <c r="G676" s="112"/>
      <c r="H676" s="114"/>
      <c r="I676" s="111"/>
      <c r="J676" s="111"/>
      <c r="K676" s="111"/>
      <c r="L676" s="112"/>
      <c r="M676" s="111"/>
      <c r="N676" s="111"/>
      <c r="O676" s="111"/>
      <c r="P676" s="111"/>
      <c r="Q676" s="111"/>
      <c r="R676" s="112"/>
      <c r="S676" s="112"/>
    </row>
    <row r="677" spans="1:19" ht="15" x14ac:dyDescent="0.25">
      <c r="A677" s="109"/>
      <c r="B677" s="109"/>
      <c r="C677" s="78"/>
      <c r="D677" s="78"/>
      <c r="E677" s="78"/>
      <c r="F677" s="78"/>
      <c r="G677" s="110"/>
      <c r="H677" s="115"/>
      <c r="I677" s="78"/>
      <c r="J677" s="78"/>
      <c r="K677" s="78"/>
      <c r="L677" s="110"/>
      <c r="M677" s="78"/>
      <c r="N677" s="78"/>
      <c r="O677" s="78"/>
      <c r="P677" s="78"/>
      <c r="Q677" s="78"/>
      <c r="R677" s="110"/>
      <c r="S677" s="110"/>
    </row>
    <row r="678" spans="1:19" ht="15" x14ac:dyDescent="0.25">
      <c r="A678" s="109"/>
      <c r="B678" s="109"/>
      <c r="C678" s="111"/>
      <c r="D678" s="111"/>
      <c r="E678" s="111"/>
      <c r="F678" s="111"/>
      <c r="G678" s="112"/>
      <c r="H678" s="114"/>
      <c r="I678" s="111"/>
      <c r="J678" s="111"/>
      <c r="K678" s="111"/>
      <c r="L678" s="112"/>
      <c r="M678" s="111"/>
      <c r="N678" s="111"/>
      <c r="O678" s="111"/>
      <c r="P678" s="111"/>
      <c r="Q678" s="111"/>
      <c r="R678" s="112"/>
      <c r="S678" s="112"/>
    </row>
    <row r="679" spans="1:19" ht="15" x14ac:dyDescent="0.25">
      <c r="A679" s="109"/>
      <c r="B679" s="109"/>
      <c r="C679" s="78"/>
      <c r="D679" s="78"/>
      <c r="E679" s="78"/>
      <c r="F679" s="78"/>
      <c r="G679" s="110"/>
      <c r="H679" s="115"/>
      <c r="I679" s="78"/>
      <c r="J679" s="78"/>
      <c r="K679" s="78"/>
      <c r="L679" s="110"/>
      <c r="M679" s="78"/>
      <c r="N679" s="78"/>
      <c r="O679" s="78"/>
      <c r="P679" s="78"/>
      <c r="Q679" s="78"/>
      <c r="R679" s="110"/>
      <c r="S679" s="110"/>
    </row>
    <row r="680" spans="1:19" ht="15" x14ac:dyDescent="0.25">
      <c r="A680" s="109"/>
      <c r="B680" s="109"/>
      <c r="C680" s="111"/>
      <c r="D680" s="111"/>
      <c r="E680" s="111"/>
      <c r="F680" s="111"/>
      <c r="G680" s="112"/>
      <c r="H680" s="114"/>
      <c r="I680" s="111"/>
      <c r="J680" s="111"/>
      <c r="K680" s="111"/>
      <c r="L680" s="112"/>
      <c r="M680" s="111"/>
      <c r="N680" s="111"/>
      <c r="O680" s="111"/>
      <c r="P680" s="111"/>
      <c r="Q680" s="111"/>
      <c r="R680" s="112"/>
      <c r="S680" s="112"/>
    </row>
    <row r="681" spans="1:19" ht="15" x14ac:dyDescent="0.25">
      <c r="A681" s="109"/>
      <c r="B681" s="109"/>
      <c r="C681" s="78"/>
      <c r="D681" s="78"/>
      <c r="E681" s="78"/>
      <c r="F681" s="78"/>
      <c r="G681" s="110"/>
      <c r="H681" s="115"/>
      <c r="I681" s="78"/>
      <c r="J681" s="78"/>
      <c r="K681" s="78"/>
      <c r="L681" s="110"/>
      <c r="M681" s="78"/>
      <c r="N681" s="78"/>
      <c r="O681" s="78"/>
      <c r="P681" s="78"/>
      <c r="Q681" s="78"/>
      <c r="R681" s="110"/>
      <c r="S681" s="110"/>
    </row>
    <row r="682" spans="1:19" ht="15" x14ac:dyDescent="0.25">
      <c r="A682" s="109"/>
      <c r="B682" s="109"/>
      <c r="C682" s="111"/>
      <c r="D682" s="111"/>
      <c r="E682" s="111"/>
      <c r="F682" s="111"/>
      <c r="G682" s="112"/>
      <c r="H682" s="114"/>
      <c r="I682" s="111"/>
      <c r="J682" s="111"/>
      <c r="K682" s="111"/>
      <c r="L682" s="112"/>
      <c r="M682" s="111"/>
      <c r="N682" s="111"/>
      <c r="O682" s="111"/>
      <c r="P682" s="111"/>
      <c r="Q682" s="111"/>
      <c r="R682" s="112"/>
      <c r="S682" s="112"/>
    </row>
    <row r="683" spans="1:19" ht="15" x14ac:dyDescent="0.25">
      <c r="A683" s="109"/>
      <c r="B683" s="109"/>
      <c r="C683" s="78"/>
      <c r="D683" s="78"/>
      <c r="E683" s="78"/>
      <c r="F683" s="78"/>
      <c r="G683" s="110"/>
      <c r="H683" s="115"/>
      <c r="I683" s="78"/>
      <c r="J683" s="78"/>
      <c r="K683" s="78"/>
      <c r="L683" s="110"/>
      <c r="M683" s="78"/>
      <c r="N683" s="78"/>
      <c r="O683" s="78"/>
      <c r="P683" s="78"/>
      <c r="Q683" s="78"/>
      <c r="R683" s="110"/>
      <c r="S683" s="110"/>
    </row>
    <row r="684" spans="1:19" ht="15" x14ac:dyDescent="0.25">
      <c r="A684" s="109"/>
      <c r="B684" s="109"/>
      <c r="C684" s="111"/>
      <c r="D684" s="111"/>
      <c r="E684" s="111"/>
      <c r="F684" s="111"/>
      <c r="G684" s="112"/>
      <c r="H684" s="114"/>
      <c r="I684" s="111"/>
      <c r="J684" s="111"/>
      <c r="K684" s="111"/>
      <c r="L684" s="112"/>
      <c r="M684" s="111"/>
      <c r="N684" s="111"/>
      <c r="O684" s="111"/>
      <c r="P684" s="111"/>
      <c r="Q684" s="111"/>
      <c r="R684" s="112"/>
      <c r="S684" s="112"/>
    </row>
    <row r="685" spans="1:19" ht="15" x14ac:dyDescent="0.25">
      <c r="A685" s="109"/>
      <c r="B685" s="109"/>
      <c r="C685" s="78"/>
      <c r="D685" s="78"/>
      <c r="E685" s="78"/>
      <c r="F685" s="78"/>
      <c r="G685" s="110"/>
      <c r="H685" s="115"/>
      <c r="I685" s="78"/>
      <c r="J685" s="78"/>
      <c r="K685" s="78"/>
      <c r="L685" s="110"/>
      <c r="M685" s="78"/>
      <c r="N685" s="78"/>
      <c r="O685" s="78"/>
      <c r="P685" s="78"/>
      <c r="Q685" s="78"/>
      <c r="R685" s="110"/>
      <c r="S685" s="110"/>
    </row>
    <row r="686" spans="1:19" ht="15" x14ac:dyDescent="0.25">
      <c r="A686" s="109"/>
      <c r="B686" s="109"/>
      <c r="C686" s="111"/>
      <c r="D686" s="111"/>
      <c r="E686" s="111"/>
      <c r="F686" s="111"/>
      <c r="G686" s="112"/>
      <c r="H686" s="114"/>
      <c r="I686" s="111"/>
      <c r="J686" s="111"/>
      <c r="K686" s="111"/>
      <c r="L686" s="112"/>
      <c r="M686" s="111"/>
      <c r="N686" s="111"/>
      <c r="O686" s="111"/>
      <c r="P686" s="111"/>
      <c r="Q686" s="111"/>
      <c r="R686" s="112"/>
      <c r="S686" s="112"/>
    </row>
    <row r="687" spans="1:19" ht="15" x14ac:dyDescent="0.25">
      <c r="A687" s="109"/>
      <c r="B687" s="109"/>
      <c r="C687" s="78"/>
      <c r="D687" s="78"/>
      <c r="E687" s="78"/>
      <c r="F687" s="78"/>
      <c r="G687" s="110"/>
      <c r="H687" s="115"/>
      <c r="I687" s="78"/>
      <c r="J687" s="78"/>
      <c r="K687" s="78"/>
      <c r="L687" s="110"/>
      <c r="M687" s="78"/>
      <c r="N687" s="78"/>
      <c r="O687" s="78"/>
      <c r="P687" s="78"/>
      <c r="Q687" s="78"/>
      <c r="R687" s="110"/>
      <c r="S687" s="110"/>
    </row>
    <row r="688" spans="1:19" ht="15" x14ac:dyDescent="0.25">
      <c r="A688" s="109"/>
      <c r="B688" s="109"/>
      <c r="C688" s="111"/>
      <c r="D688" s="111"/>
      <c r="E688" s="111"/>
      <c r="F688" s="111"/>
      <c r="G688" s="112"/>
      <c r="H688" s="114"/>
      <c r="I688" s="111"/>
      <c r="J688" s="111"/>
      <c r="K688" s="111"/>
      <c r="L688" s="112"/>
      <c r="M688" s="111"/>
      <c r="N688" s="111"/>
      <c r="O688" s="111"/>
      <c r="P688" s="111"/>
      <c r="Q688" s="111"/>
      <c r="R688" s="112"/>
      <c r="S688" s="112"/>
    </row>
    <row r="689" spans="1:19" ht="15" x14ac:dyDescent="0.25">
      <c r="A689" s="109"/>
      <c r="B689" s="109"/>
      <c r="C689" s="78"/>
      <c r="D689" s="78"/>
      <c r="E689" s="78"/>
      <c r="F689" s="78"/>
      <c r="G689" s="110"/>
      <c r="H689" s="115"/>
      <c r="I689" s="78"/>
      <c r="J689" s="78"/>
      <c r="K689" s="78"/>
      <c r="L689" s="110"/>
      <c r="M689" s="78"/>
      <c r="N689" s="78"/>
      <c r="O689" s="78"/>
      <c r="P689" s="78"/>
      <c r="Q689" s="78"/>
      <c r="R689" s="110"/>
      <c r="S689" s="110"/>
    </row>
    <row r="690" spans="1:19" ht="15" x14ac:dyDescent="0.25">
      <c r="A690" s="109"/>
      <c r="B690" s="109"/>
      <c r="C690" s="111"/>
      <c r="D690" s="111"/>
      <c r="E690" s="111"/>
      <c r="F690" s="111"/>
      <c r="G690" s="112"/>
      <c r="H690" s="114"/>
      <c r="I690" s="111"/>
      <c r="J690" s="111"/>
      <c r="K690" s="111"/>
      <c r="L690" s="112"/>
      <c r="M690" s="111"/>
      <c r="N690" s="111"/>
      <c r="O690" s="111"/>
      <c r="P690" s="111"/>
      <c r="Q690" s="111"/>
      <c r="R690" s="112"/>
      <c r="S690" s="112"/>
    </row>
    <row r="691" spans="1:19" ht="15" x14ac:dyDescent="0.25">
      <c r="A691" s="109"/>
      <c r="B691" s="109"/>
      <c r="C691" s="78"/>
      <c r="D691" s="78"/>
      <c r="E691" s="78"/>
      <c r="F691" s="78"/>
      <c r="G691" s="110"/>
      <c r="H691" s="115"/>
      <c r="I691" s="78"/>
      <c r="J691" s="78"/>
      <c r="K691" s="78"/>
      <c r="L691" s="110"/>
      <c r="M691" s="78"/>
      <c r="N691" s="78"/>
      <c r="O691" s="78"/>
      <c r="P691" s="78"/>
      <c r="Q691" s="78"/>
      <c r="R691" s="110"/>
      <c r="S691" s="110"/>
    </row>
    <row r="692" spans="1:19" ht="15" x14ac:dyDescent="0.25">
      <c r="A692" s="109"/>
      <c r="B692" s="109"/>
      <c r="C692" s="111"/>
      <c r="D692" s="111"/>
      <c r="E692" s="111"/>
      <c r="F692" s="111"/>
      <c r="G692" s="112"/>
      <c r="H692" s="114"/>
      <c r="I692" s="111"/>
      <c r="J692" s="111"/>
      <c r="K692" s="111"/>
      <c r="L692" s="112"/>
      <c r="M692" s="111"/>
      <c r="N692" s="111"/>
      <c r="O692" s="111"/>
      <c r="P692" s="111"/>
      <c r="Q692" s="111"/>
      <c r="R692" s="112"/>
      <c r="S692" s="112"/>
    </row>
    <row r="693" spans="1:19" ht="15" x14ac:dyDescent="0.25">
      <c r="A693" s="109"/>
      <c r="B693" s="109"/>
      <c r="C693" s="78"/>
      <c r="D693" s="78"/>
      <c r="E693" s="78"/>
      <c r="F693" s="78"/>
      <c r="G693" s="110"/>
      <c r="H693" s="115"/>
      <c r="I693" s="78"/>
      <c r="J693" s="78"/>
      <c r="K693" s="78"/>
      <c r="L693" s="110"/>
      <c r="M693" s="78"/>
      <c r="N693" s="78"/>
      <c r="O693" s="78"/>
      <c r="P693" s="78"/>
      <c r="Q693" s="78"/>
      <c r="R693" s="110"/>
      <c r="S693" s="110"/>
    </row>
    <row r="694" spans="1:19" ht="15" x14ac:dyDescent="0.25">
      <c r="A694" s="109"/>
      <c r="B694" s="109"/>
      <c r="C694" s="111"/>
      <c r="D694" s="111"/>
      <c r="E694" s="111"/>
      <c r="F694" s="111"/>
      <c r="G694" s="112"/>
      <c r="H694" s="114"/>
      <c r="I694" s="111"/>
      <c r="J694" s="111"/>
      <c r="K694" s="111"/>
      <c r="L694" s="112"/>
      <c r="M694" s="111"/>
      <c r="N694" s="111"/>
      <c r="O694" s="111"/>
      <c r="P694" s="111"/>
      <c r="Q694" s="111"/>
      <c r="R694" s="112"/>
      <c r="S694" s="112"/>
    </row>
    <row r="695" spans="1:19" ht="15" x14ac:dyDescent="0.25">
      <c r="A695" s="109"/>
      <c r="B695" s="109"/>
      <c r="C695" s="78"/>
      <c r="D695" s="78"/>
      <c r="E695" s="78"/>
      <c r="F695" s="78"/>
      <c r="G695" s="110"/>
      <c r="H695" s="115"/>
      <c r="I695" s="78"/>
      <c r="J695" s="78"/>
      <c r="K695" s="78"/>
      <c r="L695" s="110"/>
      <c r="M695" s="78"/>
      <c r="N695" s="78"/>
      <c r="O695" s="78"/>
      <c r="P695" s="78"/>
      <c r="Q695" s="78"/>
      <c r="R695" s="110"/>
      <c r="S695" s="110"/>
    </row>
    <row r="696" spans="1:19" ht="15" x14ac:dyDescent="0.25">
      <c r="A696" s="109"/>
      <c r="B696" s="109"/>
      <c r="C696" s="111"/>
      <c r="D696" s="111"/>
      <c r="E696" s="111"/>
      <c r="F696" s="111"/>
      <c r="G696" s="112"/>
      <c r="H696" s="114"/>
      <c r="I696" s="111"/>
      <c r="J696" s="111"/>
      <c r="K696" s="111"/>
      <c r="L696" s="112"/>
      <c r="M696" s="111"/>
      <c r="N696" s="111"/>
      <c r="O696" s="111"/>
      <c r="P696" s="111"/>
      <c r="Q696" s="111"/>
      <c r="R696" s="112"/>
      <c r="S696" s="112"/>
    </row>
    <row r="697" spans="1:19" ht="15" x14ac:dyDescent="0.25">
      <c r="A697" s="109"/>
      <c r="B697" s="109"/>
      <c r="C697" s="78"/>
      <c r="D697" s="78"/>
      <c r="E697" s="78"/>
      <c r="F697" s="78"/>
      <c r="G697" s="110"/>
      <c r="H697" s="115"/>
      <c r="I697" s="78"/>
      <c r="J697" s="78"/>
      <c r="K697" s="78"/>
      <c r="L697" s="110"/>
      <c r="M697" s="78"/>
      <c r="N697" s="78"/>
      <c r="O697" s="78"/>
      <c r="P697" s="78"/>
      <c r="Q697" s="78"/>
      <c r="R697" s="110"/>
      <c r="S697" s="110"/>
    </row>
    <row r="698" spans="1:19" ht="15" x14ac:dyDescent="0.25">
      <c r="A698" s="109"/>
      <c r="B698" s="109"/>
      <c r="C698" s="111"/>
      <c r="D698" s="111"/>
      <c r="E698" s="111"/>
      <c r="F698" s="111"/>
      <c r="G698" s="112"/>
      <c r="H698" s="114"/>
      <c r="I698" s="111"/>
      <c r="J698" s="111"/>
      <c r="K698" s="111"/>
      <c r="L698" s="112"/>
      <c r="M698" s="111"/>
      <c r="N698" s="111"/>
      <c r="O698" s="111"/>
      <c r="P698" s="111"/>
      <c r="Q698" s="111"/>
      <c r="R698" s="112"/>
      <c r="S698" s="112"/>
    </row>
    <row r="699" spans="1:19" ht="15" x14ac:dyDescent="0.25">
      <c r="A699" s="109"/>
      <c r="B699" s="109"/>
      <c r="C699" s="78"/>
      <c r="D699" s="78"/>
      <c r="E699" s="78"/>
      <c r="F699" s="78"/>
      <c r="G699" s="110"/>
      <c r="H699" s="115"/>
      <c r="I699" s="78"/>
      <c r="J699" s="78"/>
      <c r="K699" s="78"/>
      <c r="L699" s="110"/>
      <c r="M699" s="78"/>
      <c r="N699" s="78"/>
      <c r="O699" s="78"/>
      <c r="P699" s="78"/>
      <c r="Q699" s="78"/>
      <c r="R699" s="110"/>
      <c r="S699" s="110"/>
    </row>
    <row r="700" spans="1:19" ht="15" x14ac:dyDescent="0.25">
      <c r="A700" s="109"/>
      <c r="B700" s="109"/>
      <c r="C700" s="111"/>
      <c r="D700" s="111"/>
      <c r="E700" s="111"/>
      <c r="F700" s="111"/>
      <c r="G700" s="112"/>
      <c r="H700" s="114"/>
      <c r="I700" s="111"/>
      <c r="J700" s="111"/>
      <c r="K700" s="111"/>
      <c r="L700" s="112"/>
      <c r="M700" s="111"/>
      <c r="N700" s="111"/>
      <c r="O700" s="111"/>
      <c r="P700" s="111"/>
      <c r="Q700" s="111"/>
      <c r="R700" s="112"/>
      <c r="S700" s="112"/>
    </row>
    <row r="701" spans="1:19" ht="15" x14ac:dyDescent="0.25">
      <c r="A701" s="109"/>
      <c r="B701" s="109"/>
      <c r="C701" s="78"/>
      <c r="D701" s="78"/>
      <c r="E701" s="78"/>
      <c r="F701" s="78"/>
      <c r="G701" s="110"/>
      <c r="H701" s="115"/>
      <c r="I701" s="78"/>
      <c r="J701" s="78"/>
      <c r="K701" s="78"/>
      <c r="L701" s="110"/>
      <c r="M701" s="78"/>
      <c r="N701" s="78"/>
      <c r="O701" s="78"/>
      <c r="P701" s="78"/>
      <c r="Q701" s="78"/>
      <c r="R701" s="110"/>
      <c r="S701" s="110"/>
    </row>
    <row r="702" spans="1:19" ht="15" x14ac:dyDescent="0.25">
      <c r="A702" s="109"/>
      <c r="B702" s="109"/>
      <c r="C702" s="111"/>
      <c r="D702" s="111"/>
      <c r="E702" s="111"/>
      <c r="F702" s="111"/>
      <c r="G702" s="112"/>
      <c r="H702" s="114"/>
      <c r="I702" s="111"/>
      <c r="J702" s="111"/>
      <c r="K702" s="111"/>
      <c r="L702" s="112"/>
      <c r="M702" s="111"/>
      <c r="N702" s="111"/>
      <c r="O702" s="111"/>
      <c r="P702" s="111"/>
      <c r="Q702" s="111"/>
      <c r="R702" s="112"/>
      <c r="S702" s="112"/>
    </row>
    <row r="703" spans="1:19" ht="15" x14ac:dyDescent="0.25">
      <c r="A703" s="109"/>
      <c r="B703" s="109"/>
      <c r="C703" s="78"/>
      <c r="D703" s="78"/>
      <c r="E703" s="78"/>
      <c r="F703" s="78"/>
      <c r="G703" s="110"/>
      <c r="H703" s="115"/>
      <c r="I703" s="78"/>
      <c r="J703" s="78"/>
      <c r="K703" s="78"/>
      <c r="L703" s="110"/>
      <c r="M703" s="78"/>
      <c r="N703" s="78"/>
      <c r="O703" s="78"/>
      <c r="P703" s="78"/>
      <c r="Q703" s="78"/>
      <c r="R703" s="110"/>
      <c r="S703" s="110"/>
    </row>
    <row r="704" spans="1:19" ht="15" x14ac:dyDescent="0.25">
      <c r="A704" s="109"/>
      <c r="B704" s="109"/>
      <c r="C704" s="111"/>
      <c r="D704" s="111"/>
      <c r="E704" s="111"/>
      <c r="F704" s="111"/>
      <c r="G704" s="112"/>
      <c r="H704" s="114"/>
      <c r="I704" s="111"/>
      <c r="J704" s="111"/>
      <c r="K704" s="111"/>
      <c r="L704" s="112"/>
      <c r="M704" s="111"/>
      <c r="N704" s="111"/>
      <c r="O704" s="111"/>
      <c r="P704" s="111"/>
      <c r="Q704" s="111"/>
      <c r="R704" s="112"/>
      <c r="S704" s="112"/>
    </row>
    <row r="705" spans="1:19" ht="15" x14ac:dyDescent="0.25">
      <c r="A705" s="109"/>
      <c r="B705" s="109"/>
      <c r="C705" s="78"/>
      <c r="D705" s="78"/>
      <c r="E705" s="78"/>
      <c r="F705" s="78"/>
      <c r="G705" s="110"/>
      <c r="H705" s="115"/>
      <c r="I705" s="78"/>
      <c r="J705" s="78"/>
      <c r="K705" s="78"/>
      <c r="L705" s="110"/>
      <c r="M705" s="78"/>
      <c r="N705" s="78"/>
      <c r="O705" s="78"/>
      <c r="P705" s="78"/>
      <c r="Q705" s="78"/>
      <c r="R705" s="110"/>
      <c r="S705" s="110"/>
    </row>
    <row r="706" spans="1:19" ht="15" x14ac:dyDescent="0.25">
      <c r="A706" s="109"/>
      <c r="B706" s="109"/>
      <c r="C706" s="111"/>
      <c r="D706" s="111"/>
      <c r="E706" s="111"/>
      <c r="F706" s="111"/>
      <c r="G706" s="112"/>
      <c r="H706" s="114"/>
      <c r="I706" s="111"/>
      <c r="J706" s="111"/>
      <c r="K706" s="111"/>
      <c r="L706" s="112"/>
      <c r="M706" s="111"/>
      <c r="N706" s="111"/>
      <c r="O706" s="111"/>
      <c r="P706" s="111"/>
      <c r="Q706" s="111"/>
      <c r="R706" s="112"/>
      <c r="S706" s="112"/>
    </row>
    <row r="707" spans="1:19" ht="15" x14ac:dyDescent="0.25">
      <c r="A707" s="109"/>
      <c r="B707" s="109"/>
      <c r="C707" s="78"/>
      <c r="D707" s="78"/>
      <c r="E707" s="78"/>
      <c r="F707" s="78"/>
      <c r="G707" s="110"/>
      <c r="H707" s="115"/>
      <c r="I707" s="78"/>
      <c r="J707" s="78"/>
      <c r="K707" s="78"/>
      <c r="L707" s="110"/>
      <c r="M707" s="78"/>
      <c r="N707" s="78"/>
      <c r="O707" s="78"/>
      <c r="P707" s="78"/>
      <c r="Q707" s="78"/>
      <c r="R707" s="110"/>
      <c r="S707" s="110"/>
    </row>
    <row r="708" spans="1:19" ht="15" x14ac:dyDescent="0.25">
      <c r="A708" s="109"/>
      <c r="B708" s="109"/>
      <c r="C708" s="111"/>
      <c r="D708" s="111"/>
      <c r="E708" s="111"/>
      <c r="F708" s="111"/>
      <c r="G708" s="112"/>
      <c r="H708" s="114"/>
      <c r="I708" s="111"/>
      <c r="J708" s="111"/>
      <c r="K708" s="111"/>
      <c r="L708" s="112"/>
      <c r="M708" s="111"/>
      <c r="N708" s="111"/>
      <c r="O708" s="111"/>
      <c r="P708" s="111"/>
      <c r="Q708" s="111"/>
      <c r="R708" s="112"/>
      <c r="S708" s="112"/>
    </row>
    <row r="709" spans="1:19" ht="15" x14ac:dyDescent="0.25">
      <c r="A709" s="109"/>
      <c r="B709" s="109"/>
      <c r="C709" s="78"/>
      <c r="D709" s="78"/>
      <c r="E709" s="78"/>
      <c r="F709" s="78"/>
      <c r="G709" s="110"/>
      <c r="H709" s="115"/>
      <c r="I709" s="78"/>
      <c r="J709" s="78"/>
      <c r="K709" s="78"/>
      <c r="L709" s="110"/>
      <c r="M709" s="78"/>
      <c r="N709" s="78"/>
      <c r="O709" s="78"/>
      <c r="P709" s="78"/>
      <c r="Q709" s="78"/>
      <c r="R709" s="110"/>
      <c r="S709" s="110"/>
    </row>
    <row r="710" spans="1:19" ht="15" x14ac:dyDescent="0.25">
      <c r="A710" s="109"/>
      <c r="B710" s="109"/>
      <c r="C710" s="111"/>
      <c r="D710" s="111"/>
      <c r="E710" s="111"/>
      <c r="F710" s="111"/>
      <c r="G710" s="112"/>
      <c r="H710" s="114"/>
      <c r="I710" s="111"/>
      <c r="J710" s="111"/>
      <c r="K710" s="111"/>
      <c r="L710" s="112"/>
      <c r="M710" s="111"/>
      <c r="N710" s="111"/>
      <c r="O710" s="111"/>
      <c r="P710" s="111"/>
      <c r="Q710" s="111"/>
      <c r="R710" s="112"/>
      <c r="S710" s="112"/>
    </row>
    <row r="711" spans="1:19" ht="15" x14ac:dyDescent="0.25">
      <c r="A711" s="109"/>
      <c r="B711" s="109"/>
      <c r="C711" s="78"/>
      <c r="D711" s="78"/>
      <c r="E711" s="78"/>
      <c r="F711" s="78"/>
      <c r="G711" s="110"/>
      <c r="H711" s="115"/>
      <c r="I711" s="78"/>
      <c r="J711" s="78"/>
      <c r="K711" s="78"/>
      <c r="L711" s="110"/>
      <c r="M711" s="78"/>
      <c r="N711" s="78"/>
      <c r="O711" s="78"/>
      <c r="P711" s="78"/>
      <c r="Q711" s="78"/>
      <c r="R711" s="110"/>
      <c r="S711" s="110"/>
    </row>
    <row r="712" spans="1:19" ht="15" x14ac:dyDescent="0.25">
      <c r="A712" s="109"/>
      <c r="B712" s="109"/>
      <c r="C712" s="111"/>
      <c r="D712" s="111"/>
      <c r="E712" s="111"/>
      <c r="F712" s="111"/>
      <c r="G712" s="112"/>
      <c r="H712" s="114"/>
      <c r="I712" s="111"/>
      <c r="J712" s="111"/>
      <c r="K712" s="111"/>
      <c r="L712" s="112"/>
      <c r="M712" s="111"/>
      <c r="N712" s="111"/>
      <c r="O712" s="111"/>
      <c r="P712" s="111"/>
      <c r="Q712" s="111"/>
      <c r="R712" s="112"/>
      <c r="S712" s="112"/>
    </row>
    <row r="713" spans="1:19" ht="15" x14ac:dyDescent="0.25">
      <c r="A713" s="109"/>
      <c r="B713" s="109"/>
      <c r="C713" s="78"/>
      <c r="D713" s="78"/>
      <c r="E713" s="78"/>
      <c r="F713" s="78"/>
      <c r="G713" s="110"/>
      <c r="H713" s="115"/>
      <c r="I713" s="78"/>
      <c r="J713" s="78"/>
      <c r="K713" s="78"/>
      <c r="L713" s="110"/>
      <c r="M713" s="78"/>
      <c r="N713" s="78"/>
      <c r="O713" s="78"/>
      <c r="P713" s="78"/>
      <c r="Q713" s="78"/>
      <c r="R713" s="110"/>
      <c r="S713" s="110"/>
    </row>
    <row r="714" spans="1:19" ht="15" x14ac:dyDescent="0.25">
      <c r="A714" s="109"/>
      <c r="B714" s="109"/>
      <c r="C714" s="111"/>
      <c r="D714" s="111"/>
      <c r="E714" s="111"/>
      <c r="F714" s="111"/>
      <c r="G714" s="112"/>
      <c r="H714" s="114"/>
      <c r="I714" s="111"/>
      <c r="J714" s="111"/>
      <c r="K714" s="111"/>
      <c r="L714" s="112"/>
      <c r="M714" s="111"/>
      <c r="N714" s="111"/>
      <c r="O714" s="111"/>
      <c r="P714" s="111"/>
      <c r="Q714" s="111"/>
      <c r="R714" s="112"/>
      <c r="S714" s="112"/>
    </row>
    <row r="715" spans="1:19" ht="15" x14ac:dyDescent="0.25">
      <c r="A715" s="109"/>
      <c r="B715" s="109"/>
      <c r="C715" s="78"/>
      <c r="D715" s="78"/>
      <c r="E715" s="78"/>
      <c r="F715" s="78"/>
      <c r="G715" s="110"/>
      <c r="H715" s="115"/>
      <c r="I715" s="78"/>
      <c r="J715" s="78"/>
      <c r="K715" s="78"/>
      <c r="L715" s="110"/>
      <c r="M715" s="78"/>
      <c r="N715" s="78"/>
      <c r="O715" s="78"/>
      <c r="P715" s="78"/>
      <c r="Q715" s="78"/>
      <c r="R715" s="110"/>
      <c r="S715" s="110"/>
    </row>
    <row r="716" spans="1:19" ht="15" x14ac:dyDescent="0.25">
      <c r="A716" s="109"/>
      <c r="B716" s="109"/>
      <c r="C716" s="111"/>
      <c r="D716" s="111"/>
      <c r="E716" s="111"/>
      <c r="F716" s="111"/>
      <c r="G716" s="112"/>
      <c r="H716" s="114"/>
      <c r="I716" s="111"/>
      <c r="J716" s="111"/>
      <c r="K716" s="111"/>
      <c r="L716" s="112"/>
      <c r="M716" s="111"/>
      <c r="N716" s="111"/>
      <c r="O716" s="111"/>
      <c r="P716" s="111"/>
      <c r="Q716" s="111"/>
      <c r="R716" s="112"/>
      <c r="S716" s="112"/>
    </row>
    <row r="717" spans="1:19" ht="15" x14ac:dyDescent="0.25">
      <c r="A717" s="109"/>
      <c r="B717" s="109"/>
      <c r="C717" s="78"/>
      <c r="D717" s="78"/>
      <c r="E717" s="78"/>
      <c r="F717" s="78"/>
      <c r="G717" s="110"/>
      <c r="H717" s="115"/>
      <c r="I717" s="78"/>
      <c r="J717" s="78"/>
      <c r="K717" s="78"/>
      <c r="L717" s="110"/>
      <c r="M717" s="78"/>
      <c r="N717" s="78"/>
      <c r="O717" s="78"/>
      <c r="P717" s="78"/>
      <c r="Q717" s="78"/>
      <c r="R717" s="110"/>
      <c r="S717" s="110"/>
    </row>
    <row r="718" spans="1:19" ht="15" x14ac:dyDescent="0.25">
      <c r="A718" s="109"/>
      <c r="B718" s="109"/>
      <c r="C718" s="111"/>
      <c r="D718" s="111"/>
      <c r="E718" s="111"/>
      <c r="F718" s="111"/>
      <c r="G718" s="112"/>
      <c r="H718" s="114"/>
      <c r="I718" s="111"/>
      <c r="J718" s="111"/>
      <c r="K718" s="111"/>
      <c r="L718" s="112"/>
      <c r="M718" s="111"/>
      <c r="N718" s="111"/>
      <c r="O718" s="111"/>
      <c r="P718" s="111"/>
      <c r="Q718" s="111"/>
      <c r="R718" s="112"/>
      <c r="S718" s="112"/>
    </row>
    <row r="719" spans="1:19" ht="15" x14ac:dyDescent="0.25">
      <c r="A719" s="109"/>
      <c r="B719" s="109"/>
      <c r="C719" s="78"/>
      <c r="D719" s="78"/>
      <c r="E719" s="78"/>
      <c r="F719" s="78"/>
      <c r="G719" s="110"/>
      <c r="H719" s="115"/>
      <c r="I719" s="78"/>
      <c r="J719" s="78"/>
      <c r="K719" s="78"/>
      <c r="L719" s="110"/>
      <c r="M719" s="78"/>
      <c r="N719" s="78"/>
      <c r="O719" s="78"/>
      <c r="P719" s="78"/>
      <c r="Q719" s="78"/>
      <c r="R719" s="110"/>
      <c r="S719" s="110"/>
    </row>
    <row r="720" spans="1:19" ht="15" x14ac:dyDescent="0.25">
      <c r="A720" s="109"/>
      <c r="B720" s="109"/>
      <c r="C720" s="111"/>
      <c r="D720" s="111"/>
      <c r="E720" s="111"/>
      <c r="F720" s="111"/>
      <c r="G720" s="112"/>
      <c r="H720" s="114"/>
      <c r="I720" s="111"/>
      <c r="J720" s="111"/>
      <c r="K720" s="111"/>
      <c r="L720" s="112"/>
      <c r="M720" s="111"/>
      <c r="N720" s="111"/>
      <c r="O720" s="111"/>
      <c r="P720" s="111"/>
      <c r="Q720" s="111"/>
      <c r="R720" s="112"/>
      <c r="S720" s="112"/>
    </row>
    <row r="721" spans="1:19" ht="15" x14ac:dyDescent="0.25">
      <c r="A721" s="109"/>
      <c r="B721" s="109"/>
      <c r="C721" s="78"/>
      <c r="D721" s="78"/>
      <c r="E721" s="78"/>
      <c r="F721" s="78"/>
      <c r="G721" s="110"/>
      <c r="H721" s="115"/>
      <c r="I721" s="78"/>
      <c r="J721" s="78"/>
      <c r="K721" s="78"/>
      <c r="L721" s="110"/>
      <c r="M721" s="78"/>
      <c r="N721" s="78"/>
      <c r="O721" s="78"/>
      <c r="P721" s="78"/>
      <c r="Q721" s="78"/>
      <c r="R721" s="110"/>
      <c r="S721" s="110"/>
    </row>
    <row r="722" spans="1:19" ht="15" x14ac:dyDescent="0.25">
      <c r="A722" s="109"/>
      <c r="B722" s="109"/>
      <c r="C722" s="111"/>
      <c r="D722" s="111"/>
      <c r="E722" s="111"/>
      <c r="F722" s="111"/>
      <c r="G722" s="112"/>
      <c r="H722" s="114"/>
      <c r="I722" s="111"/>
      <c r="J722" s="111"/>
      <c r="K722" s="111"/>
      <c r="L722" s="112"/>
      <c r="M722" s="111"/>
      <c r="N722" s="111"/>
      <c r="O722" s="111"/>
      <c r="P722" s="111"/>
      <c r="Q722" s="111"/>
      <c r="R722" s="112"/>
      <c r="S722" s="112"/>
    </row>
    <row r="723" spans="1:19" ht="15" x14ac:dyDescent="0.25">
      <c r="A723" s="109"/>
      <c r="B723" s="109"/>
      <c r="C723" s="78"/>
      <c r="D723" s="78"/>
      <c r="E723" s="78"/>
      <c r="F723" s="78"/>
      <c r="G723" s="110"/>
      <c r="H723" s="115"/>
      <c r="I723" s="78"/>
      <c r="J723" s="78"/>
      <c r="K723" s="78"/>
      <c r="L723" s="110"/>
      <c r="M723" s="78"/>
      <c r="N723" s="78"/>
      <c r="O723" s="78"/>
      <c r="P723" s="78"/>
      <c r="Q723" s="78"/>
      <c r="R723" s="110"/>
      <c r="S723" s="110"/>
    </row>
    <row r="724" spans="1:19" ht="15" x14ac:dyDescent="0.25">
      <c r="A724" s="109"/>
      <c r="B724" s="109"/>
      <c r="C724" s="111"/>
      <c r="D724" s="111"/>
      <c r="E724" s="111"/>
      <c r="F724" s="111"/>
      <c r="G724" s="112"/>
      <c r="H724" s="114"/>
      <c r="I724" s="111"/>
      <c r="J724" s="111"/>
      <c r="K724" s="111"/>
      <c r="L724" s="112"/>
      <c r="M724" s="111"/>
      <c r="N724" s="111"/>
      <c r="O724" s="111"/>
      <c r="P724" s="111"/>
      <c r="Q724" s="111"/>
      <c r="R724" s="112"/>
      <c r="S724" s="112"/>
    </row>
    <row r="725" spans="1:19" ht="15" x14ac:dyDescent="0.25">
      <c r="A725" s="109"/>
      <c r="B725" s="109"/>
      <c r="C725" s="78"/>
      <c r="D725" s="78"/>
      <c r="E725" s="78"/>
      <c r="F725" s="78"/>
      <c r="G725" s="110"/>
      <c r="H725" s="115"/>
      <c r="I725" s="78"/>
      <c r="J725" s="78"/>
      <c r="K725" s="78"/>
      <c r="L725" s="110"/>
      <c r="M725" s="78"/>
      <c r="N725" s="78"/>
      <c r="O725" s="78"/>
      <c r="P725" s="78"/>
      <c r="Q725" s="78"/>
      <c r="R725" s="110"/>
      <c r="S725" s="110"/>
    </row>
    <row r="726" spans="1:19" ht="15" x14ac:dyDescent="0.25">
      <c r="A726" s="109"/>
      <c r="B726" s="109"/>
      <c r="C726" s="111"/>
      <c r="D726" s="111"/>
      <c r="E726" s="111"/>
      <c r="F726" s="111"/>
      <c r="G726" s="112"/>
      <c r="H726" s="114"/>
      <c r="I726" s="111"/>
      <c r="J726" s="111"/>
      <c r="K726" s="111"/>
      <c r="L726" s="112"/>
      <c r="M726" s="111"/>
      <c r="N726" s="111"/>
      <c r="O726" s="111"/>
      <c r="P726" s="111"/>
      <c r="Q726" s="111"/>
      <c r="R726" s="112"/>
      <c r="S726" s="112"/>
    </row>
    <row r="727" spans="1:19" ht="15" x14ac:dyDescent="0.25">
      <c r="A727" s="109"/>
      <c r="B727" s="109"/>
      <c r="C727" s="78"/>
      <c r="D727" s="78"/>
      <c r="E727" s="78"/>
      <c r="F727" s="78"/>
      <c r="G727" s="110"/>
      <c r="H727" s="115"/>
      <c r="I727" s="78"/>
      <c r="J727" s="78"/>
      <c r="K727" s="78"/>
      <c r="L727" s="110"/>
      <c r="M727" s="78"/>
      <c r="N727" s="78"/>
      <c r="O727" s="78"/>
      <c r="P727" s="78"/>
      <c r="Q727" s="78"/>
      <c r="R727" s="110"/>
      <c r="S727" s="110"/>
    </row>
    <row r="728" spans="1:19" ht="15" x14ac:dyDescent="0.25">
      <c r="A728" s="109"/>
      <c r="B728" s="109"/>
      <c r="C728" s="111"/>
      <c r="D728" s="111"/>
      <c r="E728" s="111"/>
      <c r="F728" s="111"/>
      <c r="G728" s="112"/>
      <c r="H728" s="114"/>
      <c r="I728" s="111"/>
      <c r="J728" s="111"/>
      <c r="K728" s="111"/>
      <c r="L728" s="112"/>
      <c r="M728" s="111"/>
      <c r="N728" s="111"/>
      <c r="O728" s="111"/>
      <c r="P728" s="111"/>
      <c r="Q728" s="111"/>
      <c r="R728" s="112"/>
      <c r="S728" s="112"/>
    </row>
    <row r="729" spans="1:19" ht="15" x14ac:dyDescent="0.25">
      <c r="A729" s="109"/>
      <c r="B729" s="109"/>
      <c r="C729" s="78"/>
      <c r="D729" s="78"/>
      <c r="E729" s="78"/>
      <c r="F729" s="78"/>
      <c r="G729" s="110"/>
      <c r="H729" s="115"/>
      <c r="I729" s="78"/>
      <c r="J729" s="78"/>
      <c r="K729" s="78"/>
      <c r="L729" s="110"/>
      <c r="M729" s="78"/>
      <c r="N729" s="78"/>
      <c r="O729" s="78"/>
      <c r="P729" s="78"/>
      <c r="Q729" s="78"/>
      <c r="R729" s="110"/>
      <c r="S729" s="110"/>
    </row>
    <row r="730" spans="1:19" ht="15" x14ac:dyDescent="0.25">
      <c r="A730" s="109"/>
      <c r="B730" s="109"/>
      <c r="C730" s="111"/>
      <c r="D730" s="111"/>
      <c r="E730" s="111"/>
      <c r="F730" s="111"/>
      <c r="G730" s="112"/>
      <c r="H730" s="114"/>
      <c r="I730" s="111"/>
      <c r="J730" s="111"/>
      <c r="K730" s="111"/>
      <c r="L730" s="112"/>
      <c r="M730" s="111"/>
      <c r="N730" s="111"/>
      <c r="O730" s="111"/>
      <c r="P730" s="111"/>
      <c r="Q730" s="111"/>
      <c r="R730" s="112"/>
      <c r="S730" s="112"/>
    </row>
    <row r="731" spans="1:19" ht="15" x14ac:dyDescent="0.25">
      <c r="A731" s="109"/>
      <c r="B731" s="109"/>
      <c r="C731" s="78"/>
      <c r="D731" s="78"/>
      <c r="E731" s="78"/>
      <c r="F731" s="78"/>
      <c r="G731" s="110"/>
      <c r="H731" s="115"/>
      <c r="I731" s="78"/>
      <c r="J731" s="78"/>
      <c r="K731" s="78"/>
      <c r="L731" s="110"/>
      <c r="M731" s="78"/>
      <c r="N731" s="78"/>
      <c r="O731" s="78"/>
      <c r="P731" s="78"/>
      <c r="Q731" s="78"/>
      <c r="R731" s="110"/>
      <c r="S731" s="110"/>
    </row>
    <row r="732" spans="1:19" ht="15" x14ac:dyDescent="0.25">
      <c r="A732" s="109"/>
      <c r="B732" s="109"/>
      <c r="C732" s="111"/>
      <c r="D732" s="111"/>
      <c r="E732" s="111"/>
      <c r="F732" s="111"/>
      <c r="G732" s="112"/>
      <c r="H732" s="114"/>
      <c r="I732" s="111"/>
      <c r="J732" s="111"/>
      <c r="K732" s="111"/>
      <c r="L732" s="112"/>
      <c r="M732" s="111"/>
      <c r="N732" s="111"/>
      <c r="O732" s="111"/>
      <c r="P732" s="111"/>
      <c r="Q732" s="111"/>
      <c r="R732" s="112"/>
      <c r="S732" s="112"/>
    </row>
    <row r="733" spans="1:19" ht="15" x14ac:dyDescent="0.25">
      <c r="A733" s="109"/>
      <c r="B733" s="109"/>
      <c r="C733" s="78"/>
      <c r="D733" s="78"/>
      <c r="E733" s="78"/>
      <c r="F733" s="78"/>
      <c r="G733" s="110"/>
      <c r="H733" s="115"/>
      <c r="I733" s="78"/>
      <c r="J733" s="78"/>
      <c r="K733" s="78"/>
      <c r="L733" s="110"/>
      <c r="M733" s="78"/>
      <c r="N733" s="78"/>
      <c r="O733" s="78"/>
      <c r="P733" s="78"/>
      <c r="Q733" s="78"/>
      <c r="R733" s="110"/>
      <c r="S733" s="110"/>
    </row>
    <row r="734" spans="1:19" ht="15" x14ac:dyDescent="0.25">
      <c r="A734" s="109"/>
      <c r="B734" s="109"/>
      <c r="C734" s="111"/>
      <c r="D734" s="111"/>
      <c r="E734" s="111"/>
      <c r="F734" s="111"/>
      <c r="G734" s="112"/>
      <c r="H734" s="114"/>
      <c r="I734" s="111"/>
      <c r="J734" s="111"/>
      <c r="K734" s="111"/>
      <c r="L734" s="112"/>
      <c r="M734" s="111"/>
      <c r="N734" s="111"/>
      <c r="O734" s="111"/>
      <c r="P734" s="111"/>
      <c r="Q734" s="111"/>
      <c r="R734" s="112"/>
      <c r="S734" s="112"/>
    </row>
    <row r="735" spans="1:19" ht="15" x14ac:dyDescent="0.25">
      <c r="A735" s="109"/>
      <c r="B735" s="109"/>
      <c r="C735" s="78"/>
      <c r="D735" s="78"/>
      <c r="E735" s="78"/>
      <c r="F735" s="78"/>
      <c r="G735" s="110"/>
      <c r="H735" s="115"/>
      <c r="I735" s="78"/>
      <c r="J735" s="78"/>
      <c r="K735" s="78"/>
      <c r="L735" s="110"/>
      <c r="M735" s="78"/>
      <c r="N735" s="78"/>
      <c r="O735" s="78"/>
      <c r="P735" s="78"/>
      <c r="Q735" s="78"/>
      <c r="R735" s="110"/>
      <c r="S735" s="110"/>
    </row>
    <row r="736" spans="1:19" ht="15" x14ac:dyDescent="0.25">
      <c r="A736" s="109"/>
      <c r="B736" s="109"/>
      <c r="C736" s="111"/>
      <c r="D736" s="111"/>
      <c r="E736" s="111"/>
      <c r="F736" s="111"/>
      <c r="G736" s="112"/>
      <c r="H736" s="114"/>
      <c r="I736" s="111"/>
      <c r="J736" s="111"/>
      <c r="K736" s="111"/>
      <c r="L736" s="112"/>
      <c r="M736" s="111"/>
      <c r="N736" s="111"/>
      <c r="O736" s="111"/>
      <c r="P736" s="111"/>
      <c r="Q736" s="111"/>
      <c r="R736" s="112"/>
      <c r="S736" s="112"/>
    </row>
    <row r="737" spans="1:19" ht="15" x14ac:dyDescent="0.25">
      <c r="A737" s="109"/>
      <c r="B737" s="109"/>
      <c r="C737" s="78"/>
      <c r="D737" s="78"/>
      <c r="E737" s="78"/>
      <c r="F737" s="78"/>
      <c r="G737" s="110"/>
      <c r="H737" s="115"/>
      <c r="I737" s="78"/>
      <c r="J737" s="78"/>
      <c r="K737" s="78"/>
      <c r="L737" s="110"/>
      <c r="M737" s="78"/>
      <c r="N737" s="78"/>
      <c r="O737" s="78"/>
      <c r="P737" s="78"/>
      <c r="Q737" s="78"/>
      <c r="R737" s="110"/>
      <c r="S737" s="110"/>
    </row>
    <row r="738" spans="1:19" ht="15" x14ac:dyDescent="0.25">
      <c r="A738" s="109"/>
      <c r="B738" s="109"/>
      <c r="C738" s="111"/>
      <c r="D738" s="111"/>
      <c r="E738" s="111"/>
      <c r="F738" s="111"/>
      <c r="G738" s="112"/>
      <c r="H738" s="114"/>
      <c r="I738" s="111"/>
      <c r="J738" s="111"/>
      <c r="K738" s="111"/>
      <c r="L738" s="112"/>
      <c r="M738" s="111"/>
      <c r="N738" s="111"/>
      <c r="O738" s="111"/>
      <c r="P738" s="111"/>
      <c r="Q738" s="111"/>
      <c r="R738" s="112"/>
      <c r="S738" s="112"/>
    </row>
    <row r="739" spans="1:19" ht="15" x14ac:dyDescent="0.25">
      <c r="A739" s="109"/>
      <c r="B739" s="109"/>
      <c r="C739" s="78"/>
      <c r="D739" s="78"/>
      <c r="E739" s="78"/>
      <c r="F739" s="78"/>
      <c r="G739" s="110"/>
      <c r="H739" s="115"/>
      <c r="I739" s="78"/>
      <c r="J739" s="78"/>
      <c r="K739" s="78"/>
      <c r="L739" s="110"/>
      <c r="M739" s="78"/>
      <c r="N739" s="78"/>
      <c r="O739" s="78"/>
      <c r="P739" s="78"/>
      <c r="Q739" s="78"/>
      <c r="R739" s="110"/>
      <c r="S739" s="110"/>
    </row>
    <row r="740" spans="1:19" ht="15" x14ac:dyDescent="0.25">
      <c r="A740" s="109"/>
      <c r="B740" s="109"/>
      <c r="C740" s="111"/>
      <c r="D740" s="111"/>
      <c r="E740" s="111"/>
      <c r="F740" s="111"/>
      <c r="G740" s="112"/>
      <c r="H740" s="114"/>
      <c r="I740" s="111"/>
      <c r="J740" s="111"/>
      <c r="K740" s="111"/>
      <c r="L740" s="112"/>
      <c r="M740" s="111"/>
      <c r="N740" s="111"/>
      <c r="O740" s="111"/>
      <c r="P740" s="111"/>
      <c r="Q740" s="111"/>
      <c r="R740" s="112"/>
      <c r="S740" s="112"/>
    </row>
    <row r="741" spans="1:19" ht="15" x14ac:dyDescent="0.25">
      <c r="A741" s="109"/>
      <c r="B741" s="109"/>
      <c r="C741" s="78"/>
      <c r="D741" s="78"/>
      <c r="E741" s="78"/>
      <c r="F741" s="78"/>
      <c r="G741" s="110"/>
      <c r="H741" s="115"/>
      <c r="I741" s="78"/>
      <c r="J741" s="78"/>
      <c r="K741" s="78"/>
      <c r="L741" s="110"/>
      <c r="M741" s="78"/>
      <c r="N741" s="78"/>
      <c r="O741" s="78"/>
      <c r="P741" s="78"/>
      <c r="Q741" s="78"/>
      <c r="R741" s="110"/>
      <c r="S741" s="110"/>
    </row>
    <row r="742" spans="1:19" ht="15" x14ac:dyDescent="0.25">
      <c r="A742" s="109"/>
      <c r="B742" s="109"/>
      <c r="C742" s="111"/>
      <c r="D742" s="111"/>
      <c r="E742" s="111"/>
      <c r="F742" s="111"/>
      <c r="G742" s="112"/>
      <c r="H742" s="114"/>
      <c r="I742" s="111"/>
      <c r="J742" s="111"/>
      <c r="K742" s="111"/>
      <c r="L742" s="112"/>
      <c r="M742" s="111"/>
      <c r="N742" s="111"/>
      <c r="O742" s="111"/>
      <c r="P742" s="111"/>
      <c r="Q742" s="111"/>
      <c r="R742" s="112"/>
      <c r="S742" s="112"/>
    </row>
    <row r="743" spans="1:19" ht="15" x14ac:dyDescent="0.25">
      <c r="A743" s="109"/>
      <c r="B743" s="109"/>
      <c r="C743" s="78"/>
      <c r="D743" s="78"/>
      <c r="E743" s="78"/>
      <c r="F743" s="78"/>
      <c r="G743" s="110"/>
      <c r="H743" s="115"/>
      <c r="I743" s="78"/>
      <c r="J743" s="78"/>
      <c r="K743" s="78"/>
      <c r="L743" s="110"/>
      <c r="M743" s="78"/>
      <c r="N743" s="78"/>
      <c r="O743" s="78"/>
      <c r="P743" s="78"/>
      <c r="Q743" s="78"/>
      <c r="R743" s="110"/>
      <c r="S743" s="110"/>
    </row>
    <row r="744" spans="1:19" ht="15" x14ac:dyDescent="0.25">
      <c r="A744" s="109"/>
      <c r="B744" s="109"/>
      <c r="C744" s="111"/>
      <c r="D744" s="111"/>
      <c r="E744" s="111"/>
      <c r="F744" s="111"/>
      <c r="G744" s="112"/>
      <c r="H744" s="114"/>
      <c r="I744" s="111"/>
      <c r="J744" s="111"/>
      <c r="K744" s="111"/>
      <c r="L744" s="112"/>
      <c r="M744" s="111"/>
      <c r="N744" s="111"/>
      <c r="O744" s="111"/>
      <c r="P744" s="111"/>
      <c r="Q744" s="111"/>
      <c r="R744" s="112"/>
      <c r="S744" s="112"/>
    </row>
    <row r="745" spans="1:19" ht="15" x14ac:dyDescent="0.25">
      <c r="A745" s="109"/>
      <c r="B745" s="109"/>
      <c r="C745" s="78"/>
      <c r="D745" s="78"/>
      <c r="E745" s="78"/>
      <c r="F745" s="78"/>
      <c r="G745" s="110"/>
      <c r="H745" s="115"/>
      <c r="I745" s="78"/>
      <c r="J745" s="78"/>
      <c r="K745" s="78"/>
      <c r="L745" s="110"/>
      <c r="M745" s="78"/>
      <c r="N745" s="78"/>
      <c r="O745" s="78"/>
      <c r="P745" s="78"/>
      <c r="Q745" s="78"/>
      <c r="R745" s="110"/>
      <c r="S745" s="110"/>
    </row>
    <row r="746" spans="1:19" ht="15" x14ac:dyDescent="0.25">
      <c r="A746" s="109"/>
      <c r="B746" s="109"/>
      <c r="C746" s="111"/>
      <c r="D746" s="111"/>
      <c r="E746" s="111"/>
      <c r="F746" s="111"/>
      <c r="G746" s="112"/>
      <c r="H746" s="114"/>
      <c r="I746" s="111"/>
      <c r="J746" s="111"/>
      <c r="K746" s="111"/>
      <c r="L746" s="112"/>
      <c r="M746" s="111"/>
      <c r="N746" s="111"/>
      <c r="O746" s="111"/>
      <c r="P746" s="111"/>
      <c r="Q746" s="111"/>
      <c r="R746" s="112"/>
      <c r="S746" s="112"/>
    </row>
    <row r="747" spans="1:19" ht="15" x14ac:dyDescent="0.25">
      <c r="A747" s="109"/>
      <c r="B747" s="109"/>
      <c r="C747" s="78"/>
      <c r="D747" s="78"/>
      <c r="E747" s="78"/>
      <c r="F747" s="78"/>
      <c r="G747" s="110"/>
      <c r="H747" s="115"/>
      <c r="I747" s="78"/>
      <c r="J747" s="78"/>
      <c r="K747" s="78"/>
      <c r="L747" s="110"/>
      <c r="M747" s="78"/>
      <c r="N747" s="78"/>
      <c r="O747" s="78"/>
      <c r="P747" s="78"/>
      <c r="Q747" s="78"/>
      <c r="R747" s="110"/>
      <c r="S747" s="110"/>
    </row>
    <row r="748" spans="1:19" ht="15" x14ac:dyDescent="0.25">
      <c r="A748" s="109"/>
      <c r="B748" s="109"/>
      <c r="C748" s="111"/>
      <c r="D748" s="111"/>
      <c r="E748" s="111"/>
      <c r="F748" s="111"/>
      <c r="G748" s="112"/>
      <c r="H748" s="114"/>
      <c r="I748" s="111"/>
      <c r="J748" s="111"/>
      <c r="K748" s="111"/>
      <c r="L748" s="112"/>
      <c r="M748" s="111"/>
      <c r="N748" s="111"/>
      <c r="O748" s="111"/>
      <c r="P748" s="111"/>
      <c r="Q748" s="111"/>
      <c r="R748" s="112"/>
      <c r="S748" s="112"/>
    </row>
    <row r="749" spans="1:19" ht="15" x14ac:dyDescent="0.25">
      <c r="A749" s="109"/>
      <c r="B749" s="109"/>
      <c r="C749" s="78"/>
      <c r="D749" s="78"/>
      <c r="E749" s="78"/>
      <c r="F749" s="78"/>
      <c r="G749" s="110"/>
      <c r="H749" s="115"/>
      <c r="I749" s="78"/>
      <c r="J749" s="78"/>
      <c r="K749" s="78"/>
      <c r="L749" s="110"/>
      <c r="M749" s="78"/>
      <c r="N749" s="78"/>
      <c r="O749" s="78"/>
      <c r="P749" s="78"/>
      <c r="Q749" s="78"/>
      <c r="R749" s="110"/>
      <c r="S749" s="110"/>
    </row>
    <row r="750" spans="1:19" ht="15" x14ac:dyDescent="0.25">
      <c r="A750" s="109"/>
      <c r="B750" s="109"/>
      <c r="C750" s="111"/>
      <c r="D750" s="111"/>
      <c r="E750" s="111"/>
      <c r="F750" s="111"/>
      <c r="G750" s="112"/>
      <c r="H750" s="114"/>
      <c r="I750" s="111"/>
      <c r="J750" s="111"/>
      <c r="K750" s="111"/>
      <c r="L750" s="112"/>
      <c r="M750" s="111"/>
      <c r="N750" s="111"/>
      <c r="O750" s="111"/>
      <c r="P750" s="111"/>
      <c r="Q750" s="111"/>
      <c r="R750" s="112"/>
      <c r="S750" s="112"/>
    </row>
    <row r="751" spans="1:19" ht="15" x14ac:dyDescent="0.25">
      <c r="A751" s="109"/>
      <c r="B751" s="109"/>
      <c r="C751" s="78"/>
      <c r="D751" s="78"/>
      <c r="E751" s="78"/>
      <c r="F751" s="78"/>
      <c r="G751" s="110"/>
      <c r="H751" s="115"/>
      <c r="I751" s="78"/>
      <c r="J751" s="78"/>
      <c r="K751" s="78"/>
      <c r="L751" s="110"/>
      <c r="M751" s="78"/>
      <c r="N751" s="78"/>
      <c r="O751" s="78"/>
      <c r="P751" s="78"/>
      <c r="Q751" s="78"/>
      <c r="R751" s="110"/>
      <c r="S751" s="110"/>
    </row>
    <row r="752" spans="1:19" ht="15" x14ac:dyDescent="0.25">
      <c r="A752" s="109"/>
      <c r="B752" s="109"/>
      <c r="C752" s="111"/>
      <c r="D752" s="111"/>
      <c r="E752" s="111"/>
      <c r="F752" s="111"/>
      <c r="G752" s="112"/>
      <c r="H752" s="114"/>
      <c r="I752" s="111"/>
      <c r="J752" s="111"/>
      <c r="K752" s="111"/>
      <c r="L752" s="112"/>
      <c r="M752" s="111"/>
      <c r="N752" s="111"/>
      <c r="O752" s="111"/>
      <c r="P752" s="111"/>
      <c r="Q752" s="111"/>
      <c r="R752" s="112"/>
      <c r="S752" s="112"/>
    </row>
    <row r="753" spans="1:19" ht="15" x14ac:dyDescent="0.25">
      <c r="A753" s="109"/>
      <c r="B753" s="109"/>
      <c r="C753" s="78"/>
      <c r="D753" s="78"/>
      <c r="E753" s="78"/>
      <c r="F753" s="78"/>
      <c r="G753" s="110"/>
      <c r="H753" s="115"/>
      <c r="I753" s="78"/>
      <c r="J753" s="78"/>
      <c r="K753" s="78"/>
      <c r="L753" s="110"/>
      <c r="M753" s="78"/>
      <c r="N753" s="78"/>
      <c r="O753" s="78"/>
      <c r="P753" s="78"/>
      <c r="Q753" s="78"/>
      <c r="R753" s="110"/>
      <c r="S753" s="110"/>
    </row>
    <row r="754" spans="1:19" ht="15" x14ac:dyDescent="0.25">
      <c r="A754" s="109"/>
      <c r="B754" s="109"/>
      <c r="C754" s="111"/>
      <c r="D754" s="111"/>
      <c r="E754" s="111"/>
      <c r="F754" s="111"/>
      <c r="G754" s="112"/>
      <c r="H754" s="114"/>
      <c r="I754" s="111"/>
      <c r="J754" s="111"/>
      <c r="K754" s="111"/>
      <c r="L754" s="112"/>
      <c r="M754" s="111"/>
      <c r="N754" s="111"/>
      <c r="O754" s="111"/>
      <c r="P754" s="111"/>
      <c r="Q754" s="111"/>
      <c r="R754" s="112"/>
      <c r="S754" s="112"/>
    </row>
    <row r="755" spans="1:19" ht="15" x14ac:dyDescent="0.25">
      <c r="A755" s="109"/>
      <c r="B755" s="109"/>
      <c r="C755" s="78"/>
      <c r="D755" s="78"/>
      <c r="E755" s="78"/>
      <c r="F755" s="78"/>
      <c r="G755" s="110"/>
      <c r="H755" s="115"/>
      <c r="I755" s="78"/>
      <c r="J755" s="78"/>
      <c r="K755" s="78"/>
      <c r="L755" s="110"/>
      <c r="M755" s="78"/>
      <c r="N755" s="78"/>
      <c r="O755" s="78"/>
      <c r="P755" s="78"/>
      <c r="Q755" s="78"/>
      <c r="R755" s="110"/>
      <c r="S755" s="110"/>
    </row>
    <row r="756" spans="1:19" ht="15" x14ac:dyDescent="0.25">
      <c r="A756" s="109"/>
      <c r="B756" s="109"/>
      <c r="C756" s="111"/>
      <c r="D756" s="111"/>
      <c r="E756" s="111"/>
      <c r="F756" s="111"/>
      <c r="G756" s="112"/>
      <c r="H756" s="114"/>
      <c r="I756" s="111"/>
      <c r="J756" s="111"/>
      <c r="K756" s="111"/>
      <c r="L756" s="112"/>
      <c r="M756" s="111"/>
      <c r="N756" s="111"/>
      <c r="O756" s="111"/>
      <c r="P756" s="111"/>
      <c r="Q756" s="111"/>
      <c r="R756" s="112"/>
      <c r="S756" s="112"/>
    </row>
    <row r="757" spans="1:19" ht="15" x14ac:dyDescent="0.25">
      <c r="A757" s="109"/>
      <c r="B757" s="109"/>
      <c r="C757" s="78"/>
      <c r="D757" s="78"/>
      <c r="E757" s="78"/>
      <c r="F757" s="78"/>
      <c r="G757" s="110"/>
      <c r="H757" s="115"/>
      <c r="I757" s="78"/>
      <c r="J757" s="78"/>
      <c r="K757" s="78"/>
      <c r="L757" s="110"/>
      <c r="M757" s="78"/>
      <c r="N757" s="78"/>
      <c r="O757" s="78"/>
      <c r="P757" s="78"/>
      <c r="Q757" s="78"/>
      <c r="R757" s="110"/>
      <c r="S757" s="110"/>
    </row>
    <row r="758" spans="1:19" ht="15" x14ac:dyDescent="0.25">
      <c r="A758" s="109"/>
      <c r="B758" s="109"/>
      <c r="C758" s="111"/>
      <c r="D758" s="111"/>
      <c r="E758" s="111"/>
      <c r="F758" s="111"/>
      <c r="G758" s="112"/>
      <c r="H758" s="114"/>
      <c r="I758" s="111"/>
      <c r="J758" s="111"/>
      <c r="K758" s="111"/>
      <c r="L758" s="112"/>
      <c r="M758" s="111"/>
      <c r="N758" s="111"/>
      <c r="O758" s="111"/>
      <c r="P758" s="111"/>
      <c r="Q758" s="111"/>
      <c r="R758" s="112"/>
      <c r="S758" s="112"/>
    </row>
    <row r="759" spans="1:19" ht="15" x14ac:dyDescent="0.25">
      <c r="A759" s="109"/>
      <c r="B759" s="109"/>
      <c r="C759" s="78"/>
      <c r="D759" s="78"/>
      <c r="E759" s="78"/>
      <c r="F759" s="78"/>
      <c r="G759" s="110"/>
      <c r="H759" s="115"/>
      <c r="I759" s="78"/>
      <c r="J759" s="78"/>
      <c r="K759" s="78"/>
      <c r="L759" s="110"/>
      <c r="M759" s="78"/>
      <c r="N759" s="78"/>
      <c r="O759" s="78"/>
      <c r="P759" s="78"/>
      <c r="Q759" s="78"/>
      <c r="R759" s="110"/>
      <c r="S759" s="110"/>
    </row>
    <row r="760" spans="1:19" ht="15" x14ac:dyDescent="0.25">
      <c r="A760" s="109"/>
      <c r="B760" s="109"/>
      <c r="C760" s="111"/>
      <c r="D760" s="111"/>
      <c r="E760" s="111"/>
      <c r="F760" s="111"/>
      <c r="G760" s="112"/>
      <c r="H760" s="114"/>
      <c r="I760" s="111"/>
      <c r="J760" s="111"/>
      <c r="K760" s="111"/>
      <c r="L760" s="112"/>
      <c r="M760" s="111"/>
      <c r="N760" s="111"/>
      <c r="O760" s="111"/>
      <c r="P760" s="111"/>
      <c r="Q760" s="111"/>
      <c r="R760" s="112"/>
      <c r="S760" s="112"/>
    </row>
    <row r="761" spans="1:19" ht="15" x14ac:dyDescent="0.25">
      <c r="A761" s="109"/>
      <c r="B761" s="109"/>
      <c r="C761" s="78"/>
      <c r="D761" s="78"/>
      <c r="E761" s="78"/>
      <c r="F761" s="78"/>
      <c r="G761" s="110"/>
      <c r="H761" s="115"/>
      <c r="I761" s="78"/>
      <c r="J761" s="78"/>
      <c r="K761" s="78"/>
      <c r="L761" s="110"/>
      <c r="M761" s="78"/>
      <c r="N761" s="78"/>
      <c r="O761" s="78"/>
      <c r="P761" s="78"/>
      <c r="Q761" s="78"/>
      <c r="R761" s="110"/>
      <c r="S761" s="110"/>
    </row>
    <row r="762" spans="1:19" ht="15" x14ac:dyDescent="0.25">
      <c r="A762" s="109"/>
      <c r="B762" s="109"/>
      <c r="C762" s="111"/>
      <c r="D762" s="111"/>
      <c r="E762" s="111"/>
      <c r="F762" s="111"/>
      <c r="G762" s="112"/>
      <c r="H762" s="114"/>
      <c r="I762" s="111"/>
      <c r="J762" s="111"/>
      <c r="K762" s="111"/>
      <c r="L762" s="112"/>
      <c r="M762" s="111"/>
      <c r="N762" s="111"/>
      <c r="O762" s="111"/>
      <c r="P762" s="111"/>
      <c r="Q762" s="111"/>
      <c r="R762" s="112"/>
      <c r="S762" s="112"/>
    </row>
    <row r="763" spans="1:19" ht="15" x14ac:dyDescent="0.25">
      <c r="A763" s="109"/>
      <c r="B763" s="109"/>
      <c r="C763" s="78"/>
      <c r="D763" s="78"/>
      <c r="E763" s="78"/>
      <c r="F763" s="78"/>
      <c r="G763" s="110"/>
      <c r="H763" s="115"/>
      <c r="I763" s="78"/>
      <c r="J763" s="78"/>
      <c r="K763" s="78"/>
      <c r="L763" s="110"/>
      <c r="M763" s="78"/>
      <c r="N763" s="78"/>
      <c r="O763" s="78"/>
      <c r="P763" s="78"/>
      <c r="Q763" s="78"/>
      <c r="R763" s="110"/>
      <c r="S763" s="110"/>
    </row>
    <row r="764" spans="1:19" ht="15" x14ac:dyDescent="0.25">
      <c r="A764" s="109"/>
      <c r="B764" s="109"/>
      <c r="C764" s="111"/>
      <c r="D764" s="111"/>
      <c r="E764" s="111"/>
      <c r="F764" s="111"/>
      <c r="G764" s="112"/>
      <c r="H764" s="114"/>
      <c r="I764" s="111"/>
      <c r="J764" s="111"/>
      <c r="K764" s="111"/>
      <c r="L764" s="112"/>
      <c r="M764" s="111"/>
      <c r="N764" s="111"/>
      <c r="O764" s="111"/>
      <c r="P764" s="111"/>
      <c r="Q764" s="111"/>
      <c r="R764" s="112"/>
      <c r="S764" s="112"/>
    </row>
    <row r="765" spans="1:19" ht="15" x14ac:dyDescent="0.25">
      <c r="A765" s="109"/>
      <c r="B765" s="109"/>
      <c r="C765" s="78"/>
      <c r="D765" s="78"/>
      <c r="E765" s="78"/>
      <c r="F765" s="78"/>
      <c r="G765" s="110"/>
      <c r="H765" s="115"/>
      <c r="I765" s="78"/>
      <c r="J765" s="78"/>
      <c r="K765" s="78"/>
      <c r="L765" s="110"/>
      <c r="M765" s="78"/>
      <c r="N765" s="78"/>
      <c r="O765" s="78"/>
      <c r="P765" s="78"/>
      <c r="Q765" s="78"/>
      <c r="R765" s="110"/>
      <c r="S765" s="110"/>
    </row>
    <row r="766" spans="1:19" ht="15" x14ac:dyDescent="0.25">
      <c r="A766" s="109"/>
      <c r="B766" s="109"/>
      <c r="C766" s="111"/>
      <c r="D766" s="111"/>
      <c r="E766" s="111"/>
      <c r="F766" s="111"/>
      <c r="G766" s="112"/>
      <c r="H766" s="114"/>
      <c r="I766" s="111"/>
      <c r="J766" s="111"/>
      <c r="K766" s="111"/>
      <c r="L766" s="112"/>
      <c r="M766" s="111"/>
      <c r="N766" s="111"/>
      <c r="O766" s="111"/>
      <c r="P766" s="111"/>
      <c r="Q766" s="111"/>
      <c r="R766" s="112"/>
      <c r="S766" s="112"/>
    </row>
    <row r="767" spans="1:19" ht="15" x14ac:dyDescent="0.25">
      <c r="A767" s="109"/>
      <c r="B767" s="109"/>
      <c r="C767" s="78"/>
      <c r="D767" s="78"/>
      <c r="E767" s="78"/>
      <c r="F767" s="78"/>
      <c r="G767" s="110"/>
      <c r="H767" s="115"/>
      <c r="I767" s="78"/>
      <c r="J767" s="78"/>
      <c r="K767" s="78"/>
      <c r="L767" s="110"/>
      <c r="M767" s="78"/>
      <c r="N767" s="78"/>
      <c r="O767" s="78"/>
      <c r="P767" s="78"/>
      <c r="Q767" s="78"/>
      <c r="R767" s="110"/>
      <c r="S767" s="110"/>
    </row>
    <row r="768" spans="1:19" ht="15" x14ac:dyDescent="0.25">
      <c r="A768" s="109"/>
      <c r="B768" s="109"/>
      <c r="C768" s="111"/>
      <c r="D768" s="111"/>
      <c r="E768" s="111"/>
      <c r="F768" s="111"/>
      <c r="G768" s="112"/>
      <c r="H768" s="114"/>
      <c r="I768" s="111"/>
      <c r="J768" s="111"/>
      <c r="K768" s="111"/>
      <c r="L768" s="112"/>
      <c r="M768" s="111"/>
      <c r="N768" s="111"/>
      <c r="O768" s="111"/>
      <c r="P768" s="111"/>
      <c r="Q768" s="111"/>
      <c r="R768" s="112"/>
      <c r="S768" s="112"/>
    </row>
    <row r="769" spans="1:19" ht="15" x14ac:dyDescent="0.25">
      <c r="A769" s="109"/>
      <c r="B769" s="109"/>
      <c r="C769" s="78"/>
      <c r="D769" s="78"/>
      <c r="E769" s="78"/>
      <c r="F769" s="78"/>
      <c r="G769" s="110"/>
      <c r="H769" s="115"/>
      <c r="I769" s="78"/>
      <c r="J769" s="78"/>
      <c r="K769" s="78"/>
      <c r="L769" s="110"/>
      <c r="M769" s="78"/>
      <c r="N769" s="78"/>
      <c r="O769" s="78"/>
      <c r="P769" s="78"/>
      <c r="Q769" s="78"/>
      <c r="R769" s="110"/>
      <c r="S769" s="110"/>
    </row>
    <row r="770" spans="1:19" ht="15" x14ac:dyDescent="0.25">
      <c r="A770" s="109"/>
      <c r="B770" s="109"/>
      <c r="C770" s="111"/>
      <c r="D770" s="111"/>
      <c r="E770" s="111"/>
      <c r="F770" s="111"/>
      <c r="G770" s="112"/>
      <c r="H770" s="114"/>
      <c r="I770" s="111"/>
      <c r="J770" s="111"/>
      <c r="K770" s="111"/>
      <c r="L770" s="112"/>
      <c r="M770" s="111"/>
      <c r="N770" s="111"/>
      <c r="O770" s="111"/>
      <c r="P770" s="111"/>
      <c r="Q770" s="111"/>
      <c r="R770" s="112"/>
      <c r="S770" s="112"/>
    </row>
    <row r="771" spans="1:19" ht="15" x14ac:dyDescent="0.25">
      <c r="A771" s="109"/>
      <c r="B771" s="109"/>
      <c r="C771" s="78"/>
      <c r="D771" s="78"/>
      <c r="E771" s="78"/>
      <c r="F771" s="78"/>
      <c r="G771" s="110"/>
      <c r="H771" s="115"/>
      <c r="I771" s="78"/>
      <c r="J771" s="78"/>
      <c r="K771" s="78"/>
      <c r="L771" s="110"/>
      <c r="M771" s="78"/>
      <c r="N771" s="78"/>
      <c r="O771" s="78"/>
      <c r="P771" s="78"/>
      <c r="Q771" s="78"/>
      <c r="R771" s="110"/>
      <c r="S771" s="110"/>
    </row>
    <row r="772" spans="1:19" ht="15" x14ac:dyDescent="0.25">
      <c r="A772" s="109"/>
      <c r="B772" s="109"/>
      <c r="C772" s="111"/>
      <c r="D772" s="111"/>
      <c r="E772" s="111"/>
      <c r="F772" s="111"/>
      <c r="G772" s="112"/>
      <c r="H772" s="114"/>
      <c r="I772" s="111"/>
      <c r="J772" s="111"/>
      <c r="K772" s="111"/>
      <c r="L772" s="112"/>
      <c r="M772" s="111"/>
      <c r="N772" s="111"/>
      <c r="O772" s="111"/>
      <c r="P772" s="111"/>
      <c r="Q772" s="111"/>
      <c r="R772" s="112"/>
      <c r="S772" s="112"/>
    </row>
    <row r="773" spans="1:19" ht="15" x14ac:dyDescent="0.25">
      <c r="A773" s="109"/>
      <c r="B773" s="109"/>
      <c r="C773" s="78"/>
      <c r="D773" s="78"/>
      <c r="E773" s="78"/>
      <c r="F773" s="78"/>
      <c r="G773" s="110"/>
      <c r="H773" s="115"/>
      <c r="I773" s="78"/>
      <c r="J773" s="78"/>
      <c r="K773" s="78"/>
      <c r="L773" s="110"/>
      <c r="M773" s="78"/>
      <c r="N773" s="78"/>
      <c r="O773" s="78"/>
      <c r="P773" s="78"/>
      <c r="Q773" s="78"/>
      <c r="R773" s="110"/>
      <c r="S773" s="110"/>
    </row>
    <row r="774" spans="1:19" ht="15" x14ac:dyDescent="0.25">
      <c r="A774" s="109"/>
      <c r="B774" s="109"/>
      <c r="C774" s="111"/>
      <c r="D774" s="111"/>
      <c r="E774" s="111"/>
      <c r="F774" s="111"/>
      <c r="G774" s="112"/>
      <c r="H774" s="114"/>
      <c r="I774" s="111"/>
      <c r="J774" s="111"/>
      <c r="K774" s="111"/>
      <c r="L774" s="112"/>
      <c r="M774" s="111"/>
      <c r="N774" s="111"/>
      <c r="O774" s="111"/>
      <c r="P774" s="111"/>
      <c r="Q774" s="111"/>
      <c r="R774" s="112"/>
      <c r="S774" s="112"/>
    </row>
    <row r="775" spans="1:19" ht="15" x14ac:dyDescent="0.25">
      <c r="A775" s="109"/>
      <c r="B775" s="109"/>
      <c r="C775" s="78"/>
      <c r="D775" s="78"/>
      <c r="E775" s="78"/>
      <c r="F775" s="78"/>
      <c r="G775" s="110"/>
      <c r="H775" s="115"/>
      <c r="I775" s="78"/>
      <c r="J775" s="78"/>
      <c r="K775" s="78"/>
      <c r="L775" s="110"/>
      <c r="M775" s="78"/>
      <c r="N775" s="78"/>
      <c r="O775" s="78"/>
      <c r="P775" s="78"/>
      <c r="Q775" s="78"/>
      <c r="R775" s="110"/>
      <c r="S775" s="110"/>
    </row>
    <row r="776" spans="1:19" ht="15" x14ac:dyDescent="0.25">
      <c r="A776" s="109"/>
      <c r="B776" s="109"/>
      <c r="C776" s="111"/>
      <c r="D776" s="111"/>
      <c r="E776" s="111"/>
      <c r="F776" s="111"/>
      <c r="G776" s="112"/>
      <c r="H776" s="114"/>
      <c r="I776" s="111"/>
      <c r="J776" s="111"/>
      <c r="K776" s="111"/>
      <c r="L776" s="112"/>
      <c r="M776" s="111"/>
      <c r="N776" s="111"/>
      <c r="O776" s="111"/>
      <c r="P776" s="111"/>
      <c r="Q776" s="111"/>
      <c r="R776" s="112"/>
      <c r="S776" s="112"/>
    </row>
    <row r="777" spans="1:19" ht="15" x14ac:dyDescent="0.25">
      <c r="A777" s="109"/>
      <c r="B777" s="109"/>
      <c r="C777" s="78"/>
      <c r="D777" s="78"/>
      <c r="E777" s="78"/>
      <c r="F777" s="78"/>
      <c r="G777" s="110"/>
      <c r="H777" s="115"/>
      <c r="I777" s="78"/>
      <c r="J777" s="78"/>
      <c r="K777" s="78"/>
      <c r="L777" s="110"/>
      <c r="M777" s="78"/>
      <c r="N777" s="78"/>
      <c r="O777" s="78"/>
      <c r="P777" s="78"/>
      <c r="Q777" s="78"/>
      <c r="R777" s="110"/>
      <c r="S777" s="110"/>
    </row>
    <row r="778" spans="1:19" ht="15" x14ac:dyDescent="0.25">
      <c r="A778" s="109"/>
      <c r="B778" s="109"/>
      <c r="C778" s="111"/>
      <c r="D778" s="111"/>
      <c r="E778" s="111"/>
      <c r="F778" s="111"/>
      <c r="G778" s="112"/>
      <c r="H778" s="114"/>
      <c r="I778" s="111"/>
      <c r="J778" s="111"/>
      <c r="K778" s="111"/>
      <c r="L778" s="112"/>
      <c r="M778" s="111"/>
      <c r="N778" s="111"/>
      <c r="O778" s="111"/>
      <c r="P778" s="111"/>
      <c r="Q778" s="111"/>
      <c r="R778" s="112"/>
      <c r="S778" s="112"/>
    </row>
    <row r="779" spans="1:19" ht="15" x14ac:dyDescent="0.25">
      <c r="A779" s="109"/>
      <c r="B779" s="109"/>
      <c r="C779" s="78"/>
      <c r="D779" s="78"/>
      <c r="E779" s="78"/>
      <c r="F779" s="78"/>
      <c r="G779" s="110"/>
      <c r="H779" s="115"/>
      <c r="I779" s="78"/>
      <c r="J779" s="78"/>
      <c r="K779" s="78"/>
      <c r="L779" s="110"/>
      <c r="M779" s="78"/>
      <c r="N779" s="78"/>
      <c r="O779" s="78"/>
      <c r="P779" s="78"/>
      <c r="Q779" s="78"/>
      <c r="R779" s="110"/>
      <c r="S779" s="110"/>
    </row>
    <row r="780" spans="1:19" ht="15" x14ac:dyDescent="0.25">
      <c r="A780" s="109"/>
      <c r="B780" s="109"/>
      <c r="C780" s="111"/>
      <c r="D780" s="111"/>
      <c r="E780" s="111"/>
      <c r="F780" s="111"/>
      <c r="G780" s="112"/>
      <c r="H780" s="114"/>
      <c r="I780" s="111"/>
      <c r="J780" s="111"/>
      <c r="K780" s="111"/>
      <c r="L780" s="112"/>
      <c r="M780" s="111"/>
      <c r="N780" s="111"/>
      <c r="O780" s="111"/>
      <c r="P780" s="111"/>
      <c r="Q780" s="111"/>
      <c r="R780" s="112"/>
      <c r="S780" s="112"/>
    </row>
    <row r="781" spans="1:19" ht="15" x14ac:dyDescent="0.25">
      <c r="A781" s="109"/>
      <c r="B781" s="109"/>
      <c r="C781" s="78"/>
      <c r="D781" s="78"/>
      <c r="E781" s="78"/>
      <c r="F781" s="78"/>
      <c r="G781" s="110"/>
      <c r="H781" s="115"/>
      <c r="I781" s="78"/>
      <c r="J781" s="78"/>
      <c r="K781" s="78"/>
      <c r="L781" s="110"/>
      <c r="M781" s="78"/>
      <c r="N781" s="78"/>
      <c r="O781" s="78"/>
      <c r="P781" s="78"/>
      <c r="Q781" s="78"/>
      <c r="R781" s="110"/>
      <c r="S781" s="110"/>
    </row>
    <row r="782" spans="1:19" ht="15" x14ac:dyDescent="0.25">
      <c r="A782" s="109"/>
      <c r="B782" s="109"/>
      <c r="C782" s="111"/>
      <c r="D782" s="111"/>
      <c r="E782" s="111"/>
      <c r="F782" s="111"/>
      <c r="G782" s="112"/>
      <c r="H782" s="114"/>
      <c r="I782" s="111"/>
      <c r="J782" s="111"/>
      <c r="K782" s="111"/>
      <c r="L782" s="112"/>
      <c r="M782" s="111"/>
      <c r="N782" s="111"/>
      <c r="O782" s="111"/>
      <c r="P782" s="111"/>
      <c r="Q782" s="111"/>
      <c r="R782" s="112"/>
      <c r="S782" s="112"/>
    </row>
    <row r="783" spans="1:19" ht="15" x14ac:dyDescent="0.25">
      <c r="A783" s="109"/>
      <c r="B783" s="109"/>
      <c r="C783" s="78"/>
      <c r="D783" s="78"/>
      <c r="E783" s="78"/>
      <c r="F783" s="78"/>
      <c r="G783" s="110"/>
      <c r="H783" s="115"/>
      <c r="I783" s="78"/>
      <c r="J783" s="78"/>
      <c r="K783" s="78"/>
      <c r="L783" s="110"/>
      <c r="M783" s="78"/>
      <c r="N783" s="78"/>
      <c r="O783" s="78"/>
      <c r="P783" s="78"/>
      <c r="Q783" s="78"/>
      <c r="R783" s="110"/>
      <c r="S783" s="110"/>
    </row>
    <row r="784" spans="1:19" ht="15" x14ac:dyDescent="0.25">
      <c r="A784" s="109"/>
      <c r="B784" s="109"/>
      <c r="C784" s="111"/>
      <c r="D784" s="111"/>
      <c r="E784" s="111"/>
      <c r="F784" s="111"/>
      <c r="G784" s="112"/>
      <c r="H784" s="114"/>
      <c r="I784" s="111"/>
      <c r="J784" s="111"/>
      <c r="K784" s="111"/>
      <c r="L784" s="112"/>
      <c r="M784" s="111"/>
      <c r="N784" s="111"/>
      <c r="O784" s="111"/>
      <c r="P784" s="111"/>
      <c r="Q784" s="111"/>
      <c r="R784" s="112"/>
      <c r="S784" s="112"/>
    </row>
    <row r="785" spans="1:19" ht="15" x14ac:dyDescent="0.25">
      <c r="A785" s="109"/>
      <c r="B785" s="109"/>
      <c r="C785" s="78"/>
      <c r="D785" s="78"/>
      <c r="E785" s="78"/>
      <c r="F785" s="78"/>
      <c r="G785" s="110"/>
      <c r="H785" s="115"/>
      <c r="I785" s="78"/>
      <c r="J785" s="78"/>
      <c r="K785" s="78"/>
      <c r="L785" s="110"/>
      <c r="M785" s="78"/>
      <c r="N785" s="78"/>
      <c r="O785" s="78"/>
      <c r="P785" s="78"/>
      <c r="Q785" s="78"/>
      <c r="R785" s="110"/>
      <c r="S785" s="110"/>
    </row>
    <row r="786" spans="1:19" ht="15" x14ac:dyDescent="0.25">
      <c r="A786" s="109"/>
      <c r="B786" s="109"/>
      <c r="C786" s="111"/>
      <c r="D786" s="111"/>
      <c r="E786" s="111"/>
      <c r="F786" s="111"/>
      <c r="G786" s="112"/>
      <c r="H786" s="114"/>
      <c r="I786" s="111"/>
      <c r="J786" s="111"/>
      <c r="K786" s="111"/>
      <c r="L786" s="112"/>
      <c r="M786" s="111"/>
      <c r="N786" s="111"/>
      <c r="O786" s="111"/>
      <c r="P786" s="111"/>
      <c r="Q786" s="111"/>
      <c r="R786" s="112"/>
      <c r="S786" s="112"/>
    </row>
    <row r="787" spans="1:19" ht="15" x14ac:dyDescent="0.25">
      <c r="A787" s="109"/>
      <c r="B787" s="109"/>
      <c r="C787" s="78"/>
      <c r="D787" s="78"/>
      <c r="E787" s="78"/>
      <c r="F787" s="78"/>
      <c r="G787" s="110"/>
      <c r="H787" s="115"/>
      <c r="I787" s="78"/>
      <c r="J787" s="78"/>
      <c r="K787" s="78"/>
      <c r="L787" s="110"/>
      <c r="M787" s="78"/>
      <c r="N787" s="78"/>
      <c r="O787" s="78"/>
      <c r="P787" s="78"/>
      <c r="Q787" s="78"/>
      <c r="R787" s="110"/>
      <c r="S787" s="110"/>
    </row>
    <row r="788" spans="1:19" ht="15" x14ac:dyDescent="0.25">
      <c r="A788" s="109"/>
      <c r="B788" s="109"/>
      <c r="C788" s="111"/>
      <c r="D788" s="111"/>
      <c r="E788" s="111"/>
      <c r="F788" s="111"/>
      <c r="G788" s="112"/>
      <c r="H788" s="114"/>
      <c r="I788" s="111"/>
      <c r="J788" s="111"/>
      <c r="K788" s="111"/>
      <c r="L788" s="112"/>
      <c r="M788" s="111"/>
      <c r="N788" s="111"/>
      <c r="O788" s="111"/>
      <c r="P788" s="111"/>
      <c r="Q788" s="111"/>
      <c r="R788" s="112"/>
      <c r="S788" s="112"/>
    </row>
    <row r="789" spans="1:19" ht="15" x14ac:dyDescent="0.25">
      <c r="A789" s="109"/>
      <c r="B789" s="109"/>
      <c r="C789" s="78"/>
      <c r="D789" s="78"/>
      <c r="E789" s="78"/>
      <c r="F789" s="78"/>
      <c r="G789" s="110"/>
      <c r="H789" s="115"/>
      <c r="I789" s="78"/>
      <c r="J789" s="78"/>
      <c r="K789" s="78"/>
      <c r="L789" s="110"/>
      <c r="M789" s="78"/>
      <c r="N789" s="78"/>
      <c r="O789" s="78"/>
      <c r="P789" s="78"/>
      <c r="Q789" s="78"/>
      <c r="R789" s="110"/>
      <c r="S789" s="110"/>
    </row>
    <row r="790" spans="1:19" ht="15" x14ac:dyDescent="0.25">
      <c r="A790" s="109"/>
      <c r="B790" s="109"/>
      <c r="C790" s="111"/>
      <c r="D790" s="111"/>
      <c r="E790" s="111"/>
      <c r="F790" s="111"/>
      <c r="G790" s="112"/>
      <c r="H790" s="114"/>
      <c r="I790" s="111"/>
      <c r="J790" s="111"/>
      <c r="K790" s="111"/>
      <c r="L790" s="112"/>
      <c r="M790" s="111"/>
      <c r="N790" s="111"/>
      <c r="O790" s="111"/>
      <c r="P790" s="111"/>
      <c r="Q790" s="111"/>
      <c r="R790" s="112"/>
      <c r="S790" s="112"/>
    </row>
    <row r="791" spans="1:19" ht="15" x14ac:dyDescent="0.25">
      <c r="A791" s="109"/>
      <c r="B791" s="109"/>
      <c r="C791" s="78"/>
      <c r="D791" s="78"/>
      <c r="E791" s="78"/>
      <c r="F791" s="78"/>
      <c r="G791" s="110"/>
      <c r="H791" s="115"/>
      <c r="I791" s="78"/>
      <c r="J791" s="78"/>
      <c r="K791" s="78"/>
      <c r="L791" s="110"/>
      <c r="M791" s="78"/>
      <c r="N791" s="78"/>
      <c r="O791" s="78"/>
      <c r="P791" s="78"/>
      <c r="Q791" s="78"/>
      <c r="R791" s="110"/>
      <c r="S791" s="110"/>
    </row>
    <row r="792" spans="1:19" ht="15" x14ac:dyDescent="0.25">
      <c r="A792" s="109"/>
      <c r="B792" s="109"/>
      <c r="C792" s="111"/>
      <c r="D792" s="111"/>
      <c r="E792" s="111"/>
      <c r="F792" s="111"/>
      <c r="G792" s="112"/>
      <c r="H792" s="114"/>
      <c r="I792" s="111"/>
      <c r="J792" s="111"/>
      <c r="K792" s="111"/>
      <c r="L792" s="112"/>
      <c r="M792" s="111"/>
      <c r="N792" s="111"/>
      <c r="O792" s="111"/>
      <c r="P792" s="111"/>
      <c r="Q792" s="111"/>
      <c r="R792" s="112"/>
      <c r="S792" s="112"/>
    </row>
    <row r="793" spans="1:19" ht="15" x14ac:dyDescent="0.25">
      <c r="A793" s="109"/>
      <c r="B793" s="109"/>
      <c r="C793" s="78"/>
      <c r="D793" s="78"/>
      <c r="E793" s="78"/>
      <c r="F793" s="78"/>
      <c r="G793" s="110"/>
      <c r="H793" s="115"/>
      <c r="I793" s="78"/>
      <c r="J793" s="78"/>
      <c r="K793" s="78"/>
      <c r="L793" s="110"/>
      <c r="M793" s="78"/>
      <c r="N793" s="78"/>
      <c r="O793" s="78"/>
      <c r="P793" s="78"/>
      <c r="Q793" s="78"/>
      <c r="R793" s="110"/>
      <c r="S793" s="110"/>
    </row>
    <row r="794" spans="1:19" ht="15" x14ac:dyDescent="0.25">
      <c r="A794" s="109"/>
      <c r="B794" s="109"/>
      <c r="C794" s="111"/>
      <c r="D794" s="111"/>
      <c r="E794" s="111"/>
      <c r="F794" s="111"/>
      <c r="G794" s="112"/>
      <c r="H794" s="114"/>
      <c r="I794" s="111"/>
      <c r="J794" s="111"/>
      <c r="K794" s="111"/>
      <c r="L794" s="112"/>
      <c r="M794" s="111"/>
      <c r="N794" s="111"/>
      <c r="O794" s="111"/>
      <c r="P794" s="111"/>
      <c r="Q794" s="111"/>
      <c r="R794" s="112"/>
      <c r="S794" s="112"/>
    </row>
    <row r="795" spans="1:19" ht="15" x14ac:dyDescent="0.25">
      <c r="A795" s="109"/>
      <c r="B795" s="109"/>
      <c r="C795" s="78"/>
      <c r="D795" s="78"/>
      <c r="E795" s="78"/>
      <c r="F795" s="78"/>
      <c r="G795" s="110"/>
      <c r="H795" s="115"/>
      <c r="I795" s="78"/>
      <c r="J795" s="78"/>
      <c r="K795" s="78"/>
      <c r="L795" s="110"/>
      <c r="M795" s="78"/>
      <c r="N795" s="78"/>
      <c r="O795" s="78"/>
      <c r="P795" s="78"/>
      <c r="Q795" s="78"/>
      <c r="R795" s="110"/>
      <c r="S795" s="110"/>
    </row>
    <row r="796" spans="1:19" ht="15" x14ac:dyDescent="0.25">
      <c r="A796" s="109"/>
      <c r="B796" s="109"/>
      <c r="C796" s="111"/>
      <c r="D796" s="111"/>
      <c r="E796" s="111"/>
      <c r="F796" s="111"/>
      <c r="G796" s="112"/>
      <c r="H796" s="114"/>
      <c r="I796" s="111"/>
      <c r="J796" s="111"/>
      <c r="K796" s="111"/>
      <c r="L796" s="112"/>
      <c r="M796" s="111"/>
      <c r="N796" s="111"/>
      <c r="O796" s="111"/>
      <c r="P796" s="111"/>
      <c r="Q796" s="111"/>
      <c r="R796" s="112"/>
      <c r="S796" s="112"/>
    </row>
    <row r="797" spans="1:19" ht="15" x14ac:dyDescent="0.25">
      <c r="A797" s="109"/>
      <c r="B797" s="109"/>
      <c r="C797" s="78"/>
      <c r="D797" s="78"/>
      <c r="E797" s="78"/>
      <c r="F797" s="78"/>
      <c r="G797" s="110"/>
      <c r="H797" s="115"/>
      <c r="I797" s="78"/>
      <c r="J797" s="78"/>
      <c r="K797" s="78"/>
      <c r="L797" s="110"/>
      <c r="M797" s="78"/>
      <c r="N797" s="78"/>
      <c r="O797" s="78"/>
      <c r="P797" s="78"/>
      <c r="Q797" s="78"/>
      <c r="R797" s="110"/>
      <c r="S797" s="110"/>
    </row>
    <row r="798" spans="1:19" ht="15" x14ac:dyDescent="0.25">
      <c r="A798" s="109"/>
      <c r="B798" s="109"/>
      <c r="C798" s="111"/>
      <c r="D798" s="111"/>
      <c r="E798" s="111"/>
      <c r="F798" s="111"/>
      <c r="G798" s="112"/>
      <c r="H798" s="114"/>
      <c r="I798" s="111"/>
      <c r="J798" s="111"/>
      <c r="K798" s="111"/>
      <c r="L798" s="112"/>
      <c r="M798" s="111"/>
      <c r="N798" s="111"/>
      <c r="O798" s="111"/>
      <c r="P798" s="111"/>
      <c r="Q798" s="111"/>
      <c r="R798" s="112"/>
      <c r="S798" s="112"/>
    </row>
    <row r="799" spans="1:19" ht="15" x14ac:dyDescent="0.25">
      <c r="A799" s="109"/>
      <c r="B799" s="109"/>
      <c r="C799" s="78"/>
      <c r="D799" s="78"/>
      <c r="E799" s="78"/>
      <c r="F799" s="78"/>
      <c r="G799" s="110"/>
      <c r="H799" s="115"/>
      <c r="I799" s="78"/>
      <c r="J799" s="78"/>
      <c r="K799" s="78"/>
      <c r="L799" s="110"/>
      <c r="M799" s="78"/>
      <c r="N799" s="78"/>
      <c r="O799" s="78"/>
      <c r="P799" s="78"/>
      <c r="Q799" s="78"/>
      <c r="R799" s="110"/>
      <c r="S799" s="110"/>
    </row>
    <row r="800" spans="1:19" ht="15" x14ac:dyDescent="0.25">
      <c r="A800" s="109"/>
      <c r="B800" s="109"/>
      <c r="C800" s="111"/>
      <c r="D800" s="111"/>
      <c r="E800" s="111"/>
      <c r="F800" s="111"/>
      <c r="G800" s="112"/>
      <c r="H800" s="114"/>
      <c r="I800" s="111"/>
      <c r="J800" s="111"/>
      <c r="K800" s="111"/>
      <c r="L800" s="112"/>
      <c r="M800" s="111"/>
      <c r="N800" s="111"/>
      <c r="O800" s="111"/>
      <c r="P800" s="111"/>
      <c r="Q800" s="111"/>
      <c r="R800" s="112"/>
      <c r="S800" s="112"/>
    </row>
    <row r="801" spans="1:19" ht="15" x14ac:dyDescent="0.25">
      <c r="A801" s="109"/>
      <c r="B801" s="109"/>
      <c r="C801" s="78"/>
      <c r="D801" s="78"/>
      <c r="E801" s="78"/>
      <c r="F801" s="78"/>
      <c r="G801" s="110"/>
      <c r="H801" s="115"/>
      <c r="I801" s="78"/>
      <c r="J801" s="78"/>
      <c r="K801" s="78"/>
      <c r="L801" s="110"/>
      <c r="M801" s="78"/>
      <c r="N801" s="78"/>
      <c r="O801" s="78"/>
      <c r="P801" s="78"/>
      <c r="Q801" s="78"/>
      <c r="R801" s="110"/>
      <c r="S801" s="110"/>
    </row>
    <row r="802" spans="1:19" ht="15" x14ac:dyDescent="0.25">
      <c r="A802" s="109"/>
      <c r="B802" s="109"/>
      <c r="C802" s="111"/>
      <c r="D802" s="111"/>
      <c r="E802" s="111"/>
      <c r="F802" s="111"/>
      <c r="G802" s="112"/>
      <c r="H802" s="114"/>
      <c r="I802" s="111"/>
      <c r="J802" s="111"/>
      <c r="K802" s="111"/>
      <c r="L802" s="112"/>
      <c r="M802" s="111"/>
      <c r="N802" s="111"/>
      <c r="O802" s="111"/>
      <c r="P802" s="111"/>
      <c r="Q802" s="111"/>
      <c r="R802" s="112"/>
      <c r="S802" s="112"/>
    </row>
    <row r="803" spans="1:19" ht="15" x14ac:dyDescent="0.25">
      <c r="A803" s="109"/>
      <c r="B803" s="109"/>
      <c r="C803" s="78"/>
      <c r="D803" s="78"/>
      <c r="E803" s="78"/>
      <c r="F803" s="78"/>
      <c r="G803" s="110"/>
      <c r="H803" s="115"/>
      <c r="I803" s="78"/>
      <c r="J803" s="78"/>
      <c r="K803" s="78"/>
      <c r="L803" s="110"/>
      <c r="M803" s="78"/>
      <c r="N803" s="78"/>
      <c r="O803" s="78"/>
      <c r="P803" s="78"/>
      <c r="Q803" s="78"/>
      <c r="R803" s="110"/>
      <c r="S803" s="110"/>
    </row>
    <row r="804" spans="1:19" ht="15" x14ac:dyDescent="0.25">
      <c r="A804" s="109"/>
      <c r="B804" s="109"/>
      <c r="C804" s="111"/>
      <c r="D804" s="111"/>
      <c r="E804" s="111"/>
      <c r="F804" s="111"/>
      <c r="G804" s="112"/>
      <c r="H804" s="114"/>
      <c r="I804" s="111"/>
      <c r="J804" s="111"/>
      <c r="K804" s="111"/>
      <c r="L804" s="112"/>
      <c r="M804" s="111"/>
      <c r="N804" s="111"/>
      <c r="O804" s="111"/>
      <c r="P804" s="111"/>
      <c r="Q804" s="111"/>
      <c r="R804" s="112"/>
      <c r="S804" s="112"/>
    </row>
    <row r="805" spans="1:19" ht="15" x14ac:dyDescent="0.25">
      <c r="A805" s="109"/>
      <c r="B805" s="109"/>
      <c r="C805" s="78"/>
      <c r="D805" s="78"/>
      <c r="E805" s="78"/>
      <c r="F805" s="78"/>
      <c r="G805" s="110"/>
      <c r="H805" s="115"/>
      <c r="I805" s="78"/>
      <c r="J805" s="78"/>
      <c r="K805" s="78"/>
      <c r="L805" s="110"/>
      <c r="M805" s="78"/>
      <c r="N805" s="78"/>
      <c r="O805" s="78"/>
      <c r="P805" s="78"/>
      <c r="Q805" s="78"/>
      <c r="R805" s="110"/>
      <c r="S805" s="110"/>
    </row>
    <row r="806" spans="1:19" ht="15" x14ac:dyDescent="0.25">
      <c r="A806" s="109"/>
      <c r="B806" s="109"/>
      <c r="C806" s="111"/>
      <c r="D806" s="111"/>
      <c r="E806" s="111"/>
      <c r="F806" s="111"/>
      <c r="G806" s="112"/>
      <c r="H806" s="114"/>
      <c r="I806" s="111"/>
      <c r="J806" s="111"/>
      <c r="K806" s="111"/>
      <c r="L806" s="112"/>
      <c r="M806" s="111"/>
      <c r="N806" s="111"/>
      <c r="O806" s="111"/>
      <c r="P806" s="111"/>
      <c r="Q806" s="111"/>
      <c r="R806" s="112"/>
      <c r="S806" s="112"/>
    </row>
    <row r="807" spans="1:19" ht="15" x14ac:dyDescent="0.25">
      <c r="A807" s="109"/>
      <c r="B807" s="109"/>
      <c r="C807" s="78"/>
      <c r="D807" s="78"/>
      <c r="E807" s="78"/>
      <c r="F807" s="78"/>
      <c r="G807" s="110"/>
      <c r="H807" s="115"/>
      <c r="I807" s="78"/>
      <c r="J807" s="78"/>
      <c r="K807" s="78"/>
      <c r="L807" s="110"/>
      <c r="M807" s="78"/>
      <c r="N807" s="78"/>
      <c r="O807" s="78"/>
      <c r="P807" s="78"/>
      <c r="Q807" s="78"/>
      <c r="R807" s="110"/>
      <c r="S807" s="110"/>
    </row>
    <row r="808" spans="1:19" ht="15" x14ac:dyDescent="0.25">
      <c r="A808" s="109"/>
      <c r="B808" s="109"/>
      <c r="C808" s="111"/>
      <c r="D808" s="111"/>
      <c r="E808" s="111"/>
      <c r="F808" s="111"/>
      <c r="G808" s="112"/>
      <c r="H808" s="114"/>
      <c r="I808" s="111"/>
      <c r="J808" s="111"/>
      <c r="K808" s="111"/>
      <c r="L808" s="112"/>
      <c r="M808" s="111"/>
      <c r="N808" s="111"/>
      <c r="O808" s="111"/>
      <c r="P808" s="111"/>
      <c r="Q808" s="111"/>
      <c r="R808" s="112"/>
      <c r="S808" s="112"/>
    </row>
    <row r="809" spans="1:19" ht="15" x14ac:dyDescent="0.25">
      <c r="A809" s="109"/>
      <c r="B809" s="109"/>
      <c r="C809" s="78"/>
      <c r="D809" s="78"/>
      <c r="E809" s="78"/>
      <c r="F809" s="78"/>
      <c r="G809" s="110"/>
      <c r="H809" s="115"/>
      <c r="I809" s="78"/>
      <c r="J809" s="78"/>
      <c r="K809" s="78"/>
      <c r="L809" s="110"/>
      <c r="M809" s="78"/>
      <c r="N809" s="78"/>
      <c r="O809" s="78"/>
      <c r="P809" s="78"/>
      <c r="Q809" s="78"/>
      <c r="R809" s="110"/>
      <c r="S809" s="110"/>
    </row>
    <row r="810" spans="1:19" ht="15" x14ac:dyDescent="0.25">
      <c r="A810" s="109"/>
      <c r="B810" s="109"/>
      <c r="C810" s="111"/>
      <c r="D810" s="111"/>
      <c r="E810" s="111"/>
      <c r="F810" s="111"/>
      <c r="G810" s="112"/>
      <c r="H810" s="114"/>
      <c r="I810" s="111"/>
      <c r="J810" s="111"/>
      <c r="K810" s="111"/>
      <c r="L810" s="112"/>
      <c r="M810" s="111"/>
      <c r="N810" s="111"/>
      <c r="O810" s="111"/>
      <c r="P810" s="111"/>
      <c r="Q810" s="111"/>
      <c r="R810" s="112"/>
      <c r="S810" s="112"/>
    </row>
    <row r="811" spans="1:19" ht="15" x14ac:dyDescent="0.25">
      <c r="A811" s="109"/>
      <c r="B811" s="109"/>
      <c r="C811" s="78"/>
      <c r="D811" s="78"/>
      <c r="E811" s="78"/>
      <c r="F811" s="78"/>
      <c r="G811" s="110"/>
      <c r="H811" s="115"/>
      <c r="I811" s="78"/>
      <c r="J811" s="78"/>
      <c r="K811" s="78"/>
      <c r="L811" s="110"/>
      <c r="M811" s="78"/>
      <c r="N811" s="78"/>
      <c r="O811" s="78"/>
      <c r="P811" s="78"/>
      <c r="Q811" s="78"/>
      <c r="R811" s="110"/>
      <c r="S811" s="110"/>
    </row>
    <row r="812" spans="1:19" ht="15" x14ac:dyDescent="0.25">
      <c r="A812" s="109"/>
      <c r="B812" s="109"/>
      <c r="C812" s="111"/>
      <c r="D812" s="111"/>
      <c r="E812" s="111"/>
      <c r="F812" s="111"/>
      <c r="G812" s="112"/>
      <c r="H812" s="114"/>
      <c r="I812" s="111"/>
      <c r="J812" s="111"/>
      <c r="K812" s="111"/>
      <c r="L812" s="112"/>
      <c r="M812" s="111"/>
      <c r="N812" s="111"/>
      <c r="O812" s="111"/>
      <c r="P812" s="111"/>
      <c r="Q812" s="111"/>
      <c r="R812" s="112"/>
      <c r="S812" s="112"/>
    </row>
    <row r="813" spans="1:19" ht="15" x14ac:dyDescent="0.25">
      <c r="A813" s="109"/>
      <c r="B813" s="109"/>
      <c r="C813" s="78"/>
      <c r="D813" s="78"/>
      <c r="E813" s="78"/>
      <c r="F813" s="78"/>
      <c r="G813" s="110"/>
      <c r="H813" s="115"/>
      <c r="I813" s="78"/>
      <c r="J813" s="78"/>
      <c r="K813" s="78"/>
      <c r="L813" s="110"/>
      <c r="M813" s="78"/>
      <c r="N813" s="78"/>
      <c r="O813" s="78"/>
      <c r="P813" s="78"/>
      <c r="Q813" s="78"/>
      <c r="R813" s="110"/>
      <c r="S813" s="110"/>
    </row>
    <row r="814" spans="1:19" ht="15" x14ac:dyDescent="0.25">
      <c r="A814" s="109"/>
      <c r="B814" s="109"/>
      <c r="C814" s="111"/>
      <c r="D814" s="111"/>
      <c r="E814" s="111"/>
      <c r="F814" s="111"/>
      <c r="G814" s="112"/>
      <c r="H814" s="114"/>
      <c r="I814" s="111"/>
      <c r="J814" s="111"/>
      <c r="K814" s="111"/>
      <c r="L814" s="112"/>
      <c r="M814" s="111"/>
      <c r="N814" s="111"/>
      <c r="O814" s="111"/>
      <c r="P814" s="111"/>
      <c r="Q814" s="111"/>
      <c r="R814" s="112"/>
      <c r="S814" s="112"/>
    </row>
    <row r="815" spans="1:19" ht="15" x14ac:dyDescent="0.25">
      <c r="A815" s="109"/>
      <c r="B815" s="109"/>
      <c r="C815" s="78"/>
      <c r="D815" s="78"/>
      <c r="E815" s="78"/>
      <c r="F815" s="78"/>
      <c r="G815" s="110"/>
      <c r="H815" s="115"/>
      <c r="I815" s="78"/>
      <c r="J815" s="78"/>
      <c r="K815" s="78"/>
      <c r="L815" s="110"/>
      <c r="M815" s="78"/>
      <c r="N815" s="78"/>
      <c r="O815" s="78"/>
      <c r="P815" s="78"/>
      <c r="Q815" s="78"/>
      <c r="R815" s="110"/>
      <c r="S815" s="110"/>
    </row>
    <row r="816" spans="1:19" ht="15" x14ac:dyDescent="0.25">
      <c r="A816" s="109"/>
      <c r="B816" s="109"/>
      <c r="C816" s="111"/>
      <c r="D816" s="111"/>
      <c r="E816" s="111"/>
      <c r="F816" s="111"/>
      <c r="G816" s="112"/>
      <c r="H816" s="114"/>
      <c r="I816" s="111"/>
      <c r="J816" s="111"/>
      <c r="K816" s="111"/>
      <c r="L816" s="112"/>
      <c r="M816" s="111"/>
      <c r="N816" s="111"/>
      <c r="O816" s="111"/>
      <c r="P816" s="111"/>
      <c r="Q816" s="111"/>
      <c r="R816" s="112"/>
      <c r="S816" s="112"/>
    </row>
    <row r="817" spans="1:19" ht="15" x14ac:dyDescent="0.25">
      <c r="A817" s="109"/>
      <c r="B817" s="109"/>
      <c r="C817" s="78"/>
      <c r="D817" s="78"/>
      <c r="E817" s="78"/>
      <c r="F817" s="78"/>
      <c r="G817" s="110"/>
      <c r="H817" s="115"/>
      <c r="I817" s="78"/>
      <c r="J817" s="78"/>
      <c r="K817" s="78"/>
      <c r="L817" s="110"/>
      <c r="M817" s="78"/>
      <c r="N817" s="78"/>
      <c r="O817" s="78"/>
      <c r="P817" s="78"/>
      <c r="Q817" s="78"/>
      <c r="R817" s="110"/>
      <c r="S817" s="110"/>
    </row>
    <row r="818" spans="1:19" ht="15" x14ac:dyDescent="0.25">
      <c r="A818" s="109"/>
      <c r="B818" s="109"/>
      <c r="C818" s="111"/>
      <c r="D818" s="111"/>
      <c r="E818" s="111"/>
      <c r="F818" s="111"/>
      <c r="G818" s="112"/>
      <c r="H818" s="114"/>
      <c r="I818" s="111"/>
      <c r="J818" s="111"/>
      <c r="K818" s="111"/>
      <c r="L818" s="112"/>
      <c r="M818" s="111"/>
      <c r="N818" s="111"/>
      <c r="O818" s="111"/>
      <c r="P818" s="111"/>
      <c r="Q818" s="111"/>
      <c r="R818" s="112"/>
      <c r="S818" s="112"/>
    </row>
    <row r="819" spans="1:19" ht="15" x14ac:dyDescent="0.25">
      <c r="A819" s="109"/>
      <c r="B819" s="109"/>
      <c r="C819" s="78"/>
      <c r="D819" s="78"/>
      <c r="E819" s="78"/>
      <c r="F819" s="78"/>
      <c r="G819" s="110"/>
      <c r="H819" s="115"/>
      <c r="I819" s="78"/>
      <c r="J819" s="78"/>
      <c r="K819" s="78"/>
      <c r="L819" s="110"/>
      <c r="M819" s="78"/>
      <c r="N819" s="78"/>
      <c r="O819" s="78"/>
      <c r="P819" s="78"/>
      <c r="Q819" s="78"/>
      <c r="R819" s="110"/>
      <c r="S819" s="110"/>
    </row>
    <row r="820" spans="1:19" ht="15" x14ac:dyDescent="0.25">
      <c r="A820" s="109"/>
      <c r="B820" s="109"/>
      <c r="C820" s="111"/>
      <c r="D820" s="111"/>
      <c r="E820" s="111"/>
      <c r="F820" s="111"/>
      <c r="G820" s="112"/>
      <c r="H820" s="114"/>
      <c r="I820" s="111"/>
      <c r="J820" s="111"/>
      <c r="K820" s="111"/>
      <c r="L820" s="112"/>
      <c r="M820" s="111"/>
      <c r="N820" s="111"/>
      <c r="O820" s="111"/>
      <c r="P820" s="111"/>
      <c r="Q820" s="111"/>
      <c r="R820" s="112"/>
      <c r="S820" s="112"/>
    </row>
    <row r="821" spans="1:19" ht="15" x14ac:dyDescent="0.25">
      <c r="A821" s="109"/>
      <c r="B821" s="109"/>
      <c r="C821" s="78"/>
      <c r="D821" s="78"/>
      <c r="E821" s="78"/>
      <c r="F821" s="78"/>
      <c r="G821" s="110"/>
      <c r="H821" s="115"/>
      <c r="I821" s="78"/>
      <c r="J821" s="78"/>
      <c r="K821" s="78"/>
      <c r="L821" s="110"/>
      <c r="M821" s="78"/>
      <c r="N821" s="78"/>
      <c r="O821" s="78"/>
      <c r="P821" s="78"/>
      <c r="Q821" s="78"/>
      <c r="R821" s="110"/>
      <c r="S821" s="110"/>
    </row>
    <row r="822" spans="1:19" ht="15" x14ac:dyDescent="0.25">
      <c r="A822" s="109"/>
      <c r="B822" s="109"/>
      <c r="C822" s="111"/>
      <c r="D822" s="111"/>
      <c r="E822" s="111"/>
      <c r="F822" s="111"/>
      <c r="G822" s="112"/>
      <c r="H822" s="114"/>
      <c r="I822" s="111"/>
      <c r="J822" s="111"/>
      <c r="K822" s="111"/>
      <c r="L822" s="112"/>
      <c r="M822" s="111"/>
      <c r="N822" s="111"/>
      <c r="O822" s="111"/>
      <c r="P822" s="111"/>
      <c r="Q822" s="111"/>
      <c r="R822" s="112"/>
      <c r="S822" s="112"/>
    </row>
    <row r="823" spans="1:19" ht="15" x14ac:dyDescent="0.25">
      <c r="A823" s="109"/>
      <c r="B823" s="109"/>
      <c r="C823" s="78"/>
      <c r="D823" s="78"/>
      <c r="E823" s="78"/>
      <c r="F823" s="78"/>
      <c r="G823" s="110"/>
      <c r="H823" s="115"/>
      <c r="I823" s="78"/>
      <c r="J823" s="78"/>
      <c r="K823" s="78"/>
      <c r="L823" s="110"/>
      <c r="M823" s="78"/>
      <c r="N823" s="78"/>
      <c r="O823" s="78"/>
      <c r="P823" s="78"/>
      <c r="Q823" s="78"/>
      <c r="R823" s="110"/>
      <c r="S823" s="110"/>
    </row>
    <row r="824" spans="1:19" ht="15" x14ac:dyDescent="0.25">
      <c r="A824" s="109"/>
      <c r="B824" s="109"/>
      <c r="C824" s="111"/>
      <c r="D824" s="111"/>
      <c r="E824" s="111"/>
      <c r="F824" s="111"/>
      <c r="G824" s="112"/>
      <c r="H824" s="114"/>
      <c r="I824" s="111"/>
      <c r="J824" s="111"/>
      <c r="K824" s="111"/>
      <c r="L824" s="112"/>
      <c r="M824" s="111"/>
      <c r="N824" s="111"/>
      <c r="O824" s="111"/>
      <c r="P824" s="111"/>
      <c r="Q824" s="111"/>
      <c r="R824" s="112"/>
      <c r="S824" s="112"/>
    </row>
    <row r="825" spans="1:19" ht="15" x14ac:dyDescent="0.25">
      <c r="A825" s="109"/>
      <c r="B825" s="109"/>
      <c r="C825" s="78"/>
      <c r="D825" s="78"/>
      <c r="E825" s="78"/>
      <c r="F825" s="78"/>
      <c r="G825" s="110"/>
      <c r="H825" s="115"/>
      <c r="I825" s="78"/>
      <c r="J825" s="78"/>
      <c r="K825" s="78"/>
      <c r="L825" s="110"/>
      <c r="M825" s="78"/>
      <c r="N825" s="78"/>
      <c r="O825" s="78"/>
      <c r="P825" s="78"/>
      <c r="Q825" s="78"/>
      <c r="R825" s="110"/>
      <c r="S825" s="110"/>
    </row>
    <row r="826" spans="1:19" ht="15" x14ac:dyDescent="0.25">
      <c r="A826" s="109"/>
      <c r="B826" s="109"/>
      <c r="C826" s="111"/>
      <c r="D826" s="111"/>
      <c r="E826" s="111"/>
      <c r="F826" s="111"/>
      <c r="G826" s="112"/>
      <c r="H826" s="114"/>
      <c r="I826" s="111"/>
      <c r="J826" s="111"/>
      <c r="K826" s="111"/>
      <c r="L826" s="112"/>
      <c r="M826" s="111"/>
      <c r="N826" s="111"/>
      <c r="O826" s="111"/>
      <c r="P826" s="111"/>
      <c r="Q826" s="111"/>
      <c r="R826" s="112"/>
      <c r="S826" s="112"/>
    </row>
    <row r="827" spans="1:19" ht="15" x14ac:dyDescent="0.25">
      <c r="A827" s="109"/>
      <c r="B827" s="109"/>
      <c r="C827" s="78"/>
      <c r="D827" s="78"/>
      <c r="E827" s="78"/>
      <c r="F827" s="78"/>
      <c r="G827" s="110"/>
      <c r="H827" s="115"/>
      <c r="I827" s="78"/>
      <c r="J827" s="78"/>
      <c r="K827" s="78"/>
      <c r="L827" s="110"/>
      <c r="M827" s="78"/>
      <c r="N827" s="78"/>
      <c r="O827" s="78"/>
      <c r="P827" s="78"/>
      <c r="Q827" s="78"/>
      <c r="R827" s="110"/>
      <c r="S827" s="110"/>
    </row>
    <row r="828" spans="1:19" ht="15" x14ac:dyDescent="0.25">
      <c r="A828" s="109"/>
      <c r="B828" s="109"/>
      <c r="C828" s="111"/>
      <c r="D828" s="111"/>
      <c r="E828" s="111"/>
      <c r="F828" s="111"/>
      <c r="G828" s="112"/>
      <c r="H828" s="114"/>
      <c r="I828" s="111"/>
      <c r="J828" s="111"/>
      <c r="K828" s="111"/>
      <c r="L828" s="112"/>
      <c r="M828" s="111"/>
      <c r="N828" s="111"/>
      <c r="O828" s="111"/>
      <c r="P828" s="111"/>
      <c r="Q828" s="111"/>
      <c r="R828" s="112"/>
      <c r="S828" s="112"/>
    </row>
    <row r="829" spans="1:19" ht="15" x14ac:dyDescent="0.25">
      <c r="A829" s="109"/>
      <c r="B829" s="109"/>
      <c r="C829" s="78"/>
      <c r="D829" s="78"/>
      <c r="E829" s="78"/>
      <c r="F829" s="78"/>
      <c r="G829" s="110"/>
      <c r="H829" s="115"/>
      <c r="I829" s="78"/>
      <c r="J829" s="78"/>
      <c r="K829" s="78"/>
      <c r="L829" s="110"/>
      <c r="M829" s="78"/>
      <c r="N829" s="78"/>
      <c r="O829" s="78"/>
      <c r="P829" s="78"/>
      <c r="Q829" s="78"/>
      <c r="R829" s="110"/>
      <c r="S829" s="110"/>
    </row>
    <row r="830" spans="1:19" ht="15" x14ac:dyDescent="0.25">
      <c r="A830" s="109"/>
      <c r="B830" s="109"/>
      <c r="C830" s="111"/>
      <c r="D830" s="111"/>
      <c r="E830" s="111"/>
      <c r="F830" s="111"/>
      <c r="G830" s="112"/>
      <c r="H830" s="114"/>
      <c r="I830" s="111"/>
      <c r="J830" s="111"/>
      <c r="K830" s="111"/>
      <c r="L830" s="112"/>
      <c r="M830" s="111"/>
      <c r="N830" s="111"/>
      <c r="O830" s="111"/>
      <c r="P830" s="111"/>
      <c r="Q830" s="111"/>
      <c r="R830" s="112"/>
      <c r="S830" s="112"/>
    </row>
    <row r="831" spans="1:19" ht="15" x14ac:dyDescent="0.25">
      <c r="A831" s="109"/>
      <c r="B831" s="109"/>
      <c r="C831" s="78"/>
      <c r="D831" s="78"/>
      <c r="E831" s="78"/>
      <c r="F831" s="78"/>
      <c r="G831" s="110"/>
      <c r="H831" s="115"/>
      <c r="I831" s="78"/>
      <c r="J831" s="78"/>
      <c r="K831" s="78"/>
      <c r="L831" s="110"/>
      <c r="M831" s="78"/>
      <c r="N831" s="78"/>
      <c r="O831" s="78"/>
      <c r="P831" s="78"/>
      <c r="Q831" s="78"/>
      <c r="R831" s="110"/>
      <c r="S831" s="110"/>
    </row>
    <row r="832" spans="1:19" ht="15" x14ac:dyDescent="0.25">
      <c r="A832" s="109"/>
      <c r="B832" s="109"/>
      <c r="C832" s="111"/>
      <c r="D832" s="111"/>
      <c r="E832" s="111"/>
      <c r="F832" s="111"/>
      <c r="G832" s="112"/>
      <c r="H832" s="114"/>
      <c r="I832" s="111"/>
      <c r="J832" s="111"/>
      <c r="K832" s="111"/>
      <c r="L832" s="112"/>
      <c r="M832" s="111"/>
      <c r="N832" s="111"/>
      <c r="O832" s="111"/>
      <c r="P832" s="111"/>
      <c r="Q832" s="111"/>
      <c r="R832" s="112"/>
      <c r="S832" s="112"/>
    </row>
    <row r="833" spans="1:19" ht="15" x14ac:dyDescent="0.25">
      <c r="A833" s="109"/>
      <c r="B833" s="109"/>
      <c r="C833" s="78"/>
      <c r="D833" s="78"/>
      <c r="E833" s="78"/>
      <c r="F833" s="78"/>
      <c r="G833" s="110"/>
      <c r="H833" s="115"/>
      <c r="I833" s="78"/>
      <c r="J833" s="78"/>
      <c r="K833" s="78"/>
      <c r="L833" s="110"/>
      <c r="M833" s="78"/>
      <c r="N833" s="78"/>
      <c r="O833" s="78"/>
      <c r="P833" s="78"/>
      <c r="Q833" s="78"/>
      <c r="R833" s="110"/>
      <c r="S833" s="110"/>
    </row>
    <row r="834" spans="1:19" ht="15" x14ac:dyDescent="0.25">
      <c r="A834" s="109"/>
      <c r="B834" s="109"/>
      <c r="C834" s="111"/>
      <c r="D834" s="111"/>
      <c r="E834" s="111"/>
      <c r="F834" s="111"/>
      <c r="G834" s="112"/>
      <c r="H834" s="114"/>
      <c r="I834" s="111"/>
      <c r="J834" s="111"/>
      <c r="K834" s="111"/>
      <c r="L834" s="112"/>
      <c r="M834" s="111"/>
      <c r="N834" s="111"/>
      <c r="O834" s="111"/>
      <c r="P834" s="111"/>
      <c r="Q834" s="111"/>
      <c r="R834" s="112"/>
      <c r="S834" s="112"/>
    </row>
    <row r="835" spans="1:19" ht="15" x14ac:dyDescent="0.25">
      <c r="A835" s="109"/>
      <c r="B835" s="109"/>
      <c r="C835" s="78"/>
      <c r="D835" s="78"/>
      <c r="E835" s="78"/>
      <c r="F835" s="78"/>
      <c r="G835" s="110"/>
      <c r="H835" s="115"/>
      <c r="I835" s="78"/>
      <c r="J835" s="78"/>
      <c r="K835" s="78"/>
      <c r="L835" s="110"/>
      <c r="M835" s="78"/>
      <c r="N835" s="78"/>
      <c r="O835" s="78"/>
      <c r="P835" s="78"/>
      <c r="Q835" s="78"/>
      <c r="R835" s="110"/>
      <c r="S835" s="110"/>
    </row>
    <row r="836" spans="1:19" ht="15" x14ac:dyDescent="0.25">
      <c r="A836" s="109"/>
      <c r="B836" s="109"/>
      <c r="C836" s="111"/>
      <c r="D836" s="111"/>
      <c r="E836" s="111"/>
      <c r="F836" s="111"/>
      <c r="G836" s="112"/>
      <c r="H836" s="114"/>
      <c r="I836" s="111"/>
      <c r="J836" s="111"/>
      <c r="K836" s="111"/>
      <c r="L836" s="112"/>
      <c r="M836" s="111"/>
      <c r="N836" s="111"/>
      <c r="O836" s="111"/>
      <c r="P836" s="111"/>
      <c r="Q836" s="111"/>
      <c r="R836" s="112"/>
      <c r="S836" s="112"/>
    </row>
    <row r="837" spans="1:19" ht="15" x14ac:dyDescent="0.25">
      <c r="A837" s="109"/>
      <c r="B837" s="109"/>
      <c r="C837" s="78"/>
      <c r="D837" s="78"/>
      <c r="E837" s="78"/>
      <c r="F837" s="78"/>
      <c r="G837" s="110"/>
      <c r="H837" s="115"/>
      <c r="I837" s="78"/>
      <c r="J837" s="78"/>
      <c r="K837" s="78"/>
      <c r="L837" s="110"/>
      <c r="M837" s="78"/>
      <c r="N837" s="78"/>
      <c r="O837" s="78"/>
      <c r="P837" s="78"/>
      <c r="Q837" s="78"/>
      <c r="R837" s="110"/>
      <c r="S837" s="110"/>
    </row>
    <row r="838" spans="1:19" ht="15" x14ac:dyDescent="0.25">
      <c r="A838" s="109"/>
      <c r="B838" s="109"/>
      <c r="C838" s="111"/>
      <c r="D838" s="111"/>
      <c r="E838" s="111"/>
      <c r="F838" s="111"/>
      <c r="G838" s="112"/>
      <c r="H838" s="114"/>
      <c r="I838" s="111"/>
      <c r="J838" s="111"/>
      <c r="K838" s="111"/>
      <c r="L838" s="112"/>
      <c r="M838" s="111"/>
      <c r="N838" s="111"/>
      <c r="O838" s="111"/>
      <c r="P838" s="111"/>
      <c r="Q838" s="111"/>
      <c r="R838" s="112"/>
      <c r="S838" s="112"/>
    </row>
    <row r="839" spans="1:19" ht="15" x14ac:dyDescent="0.25">
      <c r="A839" s="109"/>
      <c r="B839" s="109"/>
      <c r="C839" s="78"/>
      <c r="D839" s="78"/>
      <c r="E839" s="78"/>
      <c r="F839" s="78"/>
      <c r="G839" s="110"/>
      <c r="H839" s="115"/>
      <c r="I839" s="78"/>
      <c r="J839" s="78"/>
      <c r="K839" s="78"/>
      <c r="L839" s="110"/>
      <c r="M839" s="78"/>
      <c r="N839" s="78"/>
      <c r="O839" s="78"/>
      <c r="P839" s="78"/>
      <c r="Q839" s="78"/>
      <c r="R839" s="110"/>
      <c r="S839" s="110"/>
    </row>
    <row r="840" spans="1:19" ht="15" x14ac:dyDescent="0.25">
      <c r="A840" s="109"/>
      <c r="B840" s="109"/>
      <c r="C840" s="111"/>
      <c r="D840" s="111"/>
      <c r="E840" s="111"/>
      <c r="F840" s="111"/>
      <c r="G840" s="112"/>
      <c r="H840" s="114"/>
      <c r="I840" s="111"/>
      <c r="J840" s="111"/>
      <c r="K840" s="111"/>
      <c r="L840" s="112"/>
      <c r="M840" s="111"/>
      <c r="N840" s="111"/>
      <c r="O840" s="111"/>
      <c r="P840" s="111"/>
      <c r="Q840" s="111"/>
      <c r="R840" s="112"/>
      <c r="S840" s="112"/>
    </row>
    <row r="841" spans="1:19" ht="15" x14ac:dyDescent="0.25">
      <c r="A841" s="109"/>
      <c r="B841" s="109"/>
      <c r="C841" s="78"/>
      <c r="D841" s="78"/>
      <c r="E841" s="78"/>
      <c r="F841" s="78"/>
      <c r="G841" s="110"/>
      <c r="H841" s="115"/>
      <c r="I841" s="78"/>
      <c r="J841" s="78"/>
      <c r="K841" s="78"/>
      <c r="L841" s="110"/>
      <c r="M841" s="78"/>
      <c r="N841" s="78"/>
      <c r="O841" s="78"/>
      <c r="P841" s="78"/>
      <c r="Q841" s="78"/>
      <c r="R841" s="110"/>
      <c r="S841" s="110"/>
    </row>
    <row r="842" spans="1:19" ht="15" x14ac:dyDescent="0.25">
      <c r="A842" s="109"/>
      <c r="B842" s="109"/>
      <c r="C842" s="111"/>
      <c r="D842" s="111"/>
      <c r="E842" s="111"/>
      <c r="F842" s="111"/>
      <c r="G842" s="112"/>
      <c r="H842" s="114"/>
      <c r="I842" s="111"/>
      <c r="J842" s="111"/>
      <c r="K842" s="111"/>
      <c r="L842" s="112"/>
      <c r="M842" s="111"/>
      <c r="N842" s="111"/>
      <c r="O842" s="111"/>
      <c r="P842" s="111"/>
      <c r="Q842" s="111"/>
      <c r="R842" s="112"/>
      <c r="S842" s="112"/>
    </row>
    <row r="843" spans="1:19" ht="15" x14ac:dyDescent="0.25">
      <c r="A843" s="109"/>
      <c r="B843" s="109"/>
      <c r="C843" s="78"/>
      <c r="D843" s="78"/>
      <c r="E843" s="78"/>
      <c r="F843" s="78"/>
      <c r="G843" s="110"/>
      <c r="H843" s="115"/>
      <c r="I843" s="78"/>
      <c r="J843" s="78"/>
      <c r="K843" s="78"/>
      <c r="L843" s="110"/>
      <c r="M843" s="78"/>
      <c r="N843" s="78"/>
      <c r="O843" s="78"/>
      <c r="P843" s="78"/>
      <c r="Q843" s="78"/>
      <c r="R843" s="110"/>
      <c r="S843" s="110"/>
    </row>
    <row r="844" spans="1:19" ht="15" x14ac:dyDescent="0.25">
      <c r="A844" s="109"/>
      <c r="B844" s="109"/>
      <c r="C844" s="111"/>
      <c r="D844" s="111"/>
      <c r="E844" s="111"/>
      <c r="F844" s="111"/>
      <c r="G844" s="112"/>
      <c r="H844" s="114"/>
      <c r="I844" s="111"/>
      <c r="J844" s="111"/>
      <c r="K844" s="111"/>
      <c r="L844" s="112"/>
      <c r="M844" s="111"/>
      <c r="N844" s="111"/>
      <c r="O844" s="111"/>
      <c r="P844" s="111"/>
      <c r="Q844" s="111"/>
      <c r="R844" s="112"/>
      <c r="S844" s="112"/>
    </row>
    <row r="845" spans="1:19" ht="15" x14ac:dyDescent="0.25">
      <c r="A845" s="109"/>
      <c r="B845" s="109"/>
      <c r="C845" s="78"/>
      <c r="D845" s="78"/>
      <c r="E845" s="78"/>
      <c r="F845" s="78"/>
      <c r="G845" s="110"/>
      <c r="H845" s="115"/>
      <c r="I845" s="78"/>
      <c r="J845" s="78"/>
      <c r="K845" s="78"/>
      <c r="L845" s="110"/>
      <c r="M845" s="78"/>
      <c r="N845" s="78"/>
      <c r="O845" s="78"/>
      <c r="P845" s="78"/>
      <c r="Q845" s="78"/>
      <c r="R845" s="110"/>
      <c r="S845" s="110"/>
    </row>
    <row r="846" spans="1:19" ht="15" x14ac:dyDescent="0.25">
      <c r="A846" s="109"/>
      <c r="B846" s="109"/>
      <c r="C846" s="111"/>
      <c r="D846" s="111"/>
      <c r="E846" s="111"/>
      <c r="F846" s="111"/>
      <c r="G846" s="112"/>
      <c r="H846" s="114"/>
      <c r="I846" s="111"/>
      <c r="J846" s="111"/>
      <c r="K846" s="111"/>
      <c r="L846" s="112"/>
      <c r="M846" s="111"/>
      <c r="N846" s="111"/>
      <c r="O846" s="111"/>
      <c r="P846" s="111"/>
      <c r="Q846" s="111"/>
      <c r="R846" s="112"/>
      <c r="S846" s="112"/>
    </row>
    <row r="847" spans="1:19" ht="15" x14ac:dyDescent="0.25">
      <c r="A847" s="109"/>
      <c r="B847" s="109"/>
      <c r="C847" s="78"/>
      <c r="D847" s="78"/>
      <c r="E847" s="78"/>
      <c r="F847" s="78"/>
      <c r="G847" s="110"/>
      <c r="H847" s="115"/>
      <c r="I847" s="78"/>
      <c r="J847" s="78"/>
      <c r="K847" s="78"/>
      <c r="L847" s="110"/>
      <c r="M847" s="78"/>
      <c r="N847" s="78"/>
      <c r="O847" s="78"/>
      <c r="P847" s="78"/>
      <c r="Q847" s="78"/>
      <c r="R847" s="110"/>
      <c r="S847" s="110"/>
    </row>
    <row r="848" spans="1:19" ht="15" x14ac:dyDescent="0.25">
      <c r="A848" s="109"/>
      <c r="B848" s="109"/>
      <c r="C848" s="111"/>
      <c r="D848" s="111"/>
      <c r="E848" s="111"/>
      <c r="F848" s="111"/>
      <c r="G848" s="112"/>
      <c r="H848" s="114"/>
      <c r="I848" s="111"/>
      <c r="J848" s="111"/>
      <c r="K848" s="111"/>
      <c r="L848" s="112"/>
      <c r="M848" s="111"/>
      <c r="N848" s="111"/>
      <c r="O848" s="111"/>
      <c r="P848" s="111"/>
      <c r="Q848" s="111"/>
      <c r="R848" s="112"/>
      <c r="S848" s="112"/>
    </row>
    <row r="849" spans="1:19" ht="15" x14ac:dyDescent="0.25">
      <c r="A849" s="109"/>
      <c r="B849" s="109"/>
      <c r="C849" s="78"/>
      <c r="D849" s="78"/>
      <c r="E849" s="78"/>
      <c r="F849" s="78"/>
      <c r="G849" s="110"/>
      <c r="H849" s="115"/>
      <c r="I849" s="78"/>
      <c r="J849" s="78"/>
      <c r="K849" s="78"/>
      <c r="L849" s="110"/>
      <c r="M849" s="78"/>
      <c r="N849" s="78"/>
      <c r="O849" s="78"/>
      <c r="P849" s="78"/>
      <c r="Q849" s="78"/>
      <c r="R849" s="110"/>
      <c r="S849" s="110"/>
    </row>
    <row r="850" spans="1:19" ht="15" x14ac:dyDescent="0.25">
      <c r="A850" s="109"/>
      <c r="B850" s="109"/>
      <c r="C850" s="111"/>
      <c r="D850" s="111"/>
      <c r="E850" s="111"/>
      <c r="F850" s="111"/>
      <c r="G850" s="112"/>
      <c r="H850" s="114"/>
      <c r="I850" s="111"/>
      <c r="J850" s="111"/>
      <c r="K850" s="111"/>
      <c r="L850" s="112"/>
      <c r="M850" s="111"/>
      <c r="N850" s="111"/>
      <c r="O850" s="111"/>
      <c r="P850" s="111"/>
      <c r="Q850" s="111"/>
      <c r="R850" s="112"/>
      <c r="S850" s="112"/>
    </row>
    <row r="851" spans="1:19" ht="15" x14ac:dyDescent="0.25">
      <c r="A851" s="109"/>
      <c r="B851" s="109"/>
      <c r="C851" s="78"/>
      <c r="D851" s="78"/>
      <c r="E851" s="78"/>
      <c r="F851" s="78"/>
      <c r="G851" s="110"/>
      <c r="H851" s="115"/>
      <c r="I851" s="78"/>
      <c r="J851" s="78"/>
      <c r="K851" s="78"/>
      <c r="L851" s="110"/>
      <c r="M851" s="78"/>
      <c r="N851" s="78"/>
      <c r="O851" s="78"/>
      <c r="P851" s="78"/>
      <c r="Q851" s="78"/>
      <c r="R851" s="110"/>
      <c r="S851" s="110"/>
    </row>
    <row r="852" spans="1:19" ht="15" x14ac:dyDescent="0.25">
      <c r="A852" s="109"/>
      <c r="B852" s="109"/>
      <c r="C852" s="111"/>
      <c r="D852" s="111"/>
      <c r="E852" s="111"/>
      <c r="F852" s="111"/>
      <c r="G852" s="112"/>
      <c r="H852" s="114"/>
      <c r="I852" s="111"/>
      <c r="J852" s="111"/>
      <c r="K852" s="111"/>
      <c r="L852" s="112"/>
      <c r="M852" s="111"/>
      <c r="N852" s="111"/>
      <c r="O852" s="111"/>
      <c r="P852" s="111"/>
      <c r="Q852" s="111"/>
      <c r="R852" s="112"/>
      <c r="S852" s="112"/>
    </row>
    <row r="853" spans="1:19" ht="15" x14ac:dyDescent="0.25">
      <c r="A853" s="109"/>
      <c r="B853" s="109"/>
      <c r="C853" s="78"/>
      <c r="D853" s="78"/>
      <c r="E853" s="78"/>
      <c r="F853" s="78"/>
      <c r="G853" s="110"/>
      <c r="H853" s="115"/>
      <c r="I853" s="78"/>
      <c r="J853" s="78"/>
      <c r="K853" s="78"/>
      <c r="L853" s="110"/>
      <c r="M853" s="78"/>
      <c r="N853" s="78"/>
      <c r="O853" s="78"/>
      <c r="P853" s="78"/>
      <c r="Q853" s="78"/>
      <c r="R853" s="110"/>
      <c r="S853" s="110"/>
    </row>
    <row r="854" spans="1:19" ht="15" x14ac:dyDescent="0.25">
      <c r="A854" s="109"/>
      <c r="B854" s="109"/>
      <c r="C854" s="111"/>
      <c r="D854" s="111"/>
      <c r="E854" s="111"/>
      <c r="F854" s="111"/>
      <c r="G854" s="112"/>
      <c r="H854" s="114"/>
      <c r="I854" s="111"/>
      <c r="J854" s="111"/>
      <c r="K854" s="111"/>
      <c r="L854" s="112"/>
      <c r="M854" s="111"/>
      <c r="N854" s="111"/>
      <c r="O854" s="111"/>
      <c r="P854" s="111"/>
      <c r="Q854" s="111"/>
      <c r="R854" s="112"/>
      <c r="S854" s="112"/>
    </row>
    <row r="855" spans="1:19" ht="15" x14ac:dyDescent="0.25">
      <c r="A855" s="109"/>
      <c r="B855" s="109"/>
      <c r="C855" s="78"/>
      <c r="D855" s="78"/>
      <c r="E855" s="78"/>
      <c r="F855" s="78"/>
      <c r="G855" s="110"/>
      <c r="H855" s="115"/>
      <c r="I855" s="78"/>
      <c r="J855" s="78"/>
      <c r="K855" s="78"/>
      <c r="L855" s="110"/>
      <c r="M855" s="78"/>
      <c r="N855" s="78"/>
      <c r="O855" s="78"/>
      <c r="P855" s="78"/>
      <c r="Q855" s="78"/>
      <c r="R855" s="110"/>
      <c r="S855" s="110"/>
    </row>
    <row r="856" spans="1:19" ht="15" x14ac:dyDescent="0.25">
      <c r="A856" s="109"/>
      <c r="B856" s="109"/>
      <c r="C856" s="111"/>
      <c r="D856" s="111"/>
      <c r="E856" s="111"/>
      <c r="F856" s="111"/>
      <c r="G856" s="112"/>
      <c r="H856" s="114"/>
      <c r="I856" s="111"/>
      <c r="J856" s="111"/>
      <c r="K856" s="111"/>
      <c r="L856" s="112"/>
      <c r="M856" s="111"/>
      <c r="N856" s="111"/>
      <c r="O856" s="111"/>
      <c r="P856" s="111"/>
      <c r="Q856" s="111"/>
      <c r="R856" s="112"/>
      <c r="S856" s="112"/>
    </row>
    <row r="857" spans="1:19" ht="15" x14ac:dyDescent="0.25">
      <c r="A857" s="109"/>
      <c r="B857" s="109"/>
      <c r="C857" s="78"/>
      <c r="D857" s="78"/>
      <c r="E857" s="78"/>
      <c r="F857" s="78"/>
      <c r="G857" s="110"/>
      <c r="H857" s="115"/>
      <c r="I857" s="78"/>
      <c r="J857" s="78"/>
      <c r="K857" s="78"/>
      <c r="L857" s="110"/>
      <c r="M857" s="78"/>
      <c r="N857" s="78"/>
      <c r="O857" s="78"/>
      <c r="P857" s="78"/>
      <c r="Q857" s="78"/>
      <c r="R857" s="110"/>
      <c r="S857" s="110"/>
    </row>
    <row r="858" spans="1:19" ht="15" x14ac:dyDescent="0.25">
      <c r="A858" s="109"/>
      <c r="B858" s="109"/>
      <c r="C858" s="111"/>
      <c r="D858" s="111"/>
      <c r="E858" s="111"/>
      <c r="F858" s="111"/>
      <c r="G858" s="112"/>
      <c r="H858" s="114"/>
      <c r="I858" s="111"/>
      <c r="J858" s="111"/>
      <c r="K858" s="111"/>
      <c r="L858" s="112"/>
      <c r="M858" s="111"/>
      <c r="N858" s="111"/>
      <c r="O858" s="111"/>
      <c r="P858" s="111"/>
      <c r="Q858" s="111"/>
      <c r="R858" s="112"/>
      <c r="S858" s="112"/>
    </row>
    <row r="859" spans="1:19" ht="15" x14ac:dyDescent="0.25">
      <c r="A859" s="109"/>
      <c r="B859" s="109"/>
      <c r="C859" s="78"/>
      <c r="D859" s="78"/>
      <c r="E859" s="78"/>
      <c r="F859" s="78"/>
      <c r="G859" s="110"/>
      <c r="H859" s="115"/>
      <c r="I859" s="78"/>
      <c r="J859" s="78"/>
      <c r="K859" s="78"/>
      <c r="L859" s="110"/>
      <c r="M859" s="78"/>
      <c r="N859" s="78"/>
      <c r="O859" s="78"/>
      <c r="P859" s="78"/>
      <c r="Q859" s="78"/>
      <c r="R859" s="110"/>
      <c r="S859" s="110"/>
    </row>
    <row r="860" spans="1:19" ht="15" x14ac:dyDescent="0.25">
      <c r="A860" s="109"/>
      <c r="B860" s="109"/>
      <c r="C860" s="111"/>
      <c r="D860" s="111"/>
      <c r="E860" s="111"/>
      <c r="F860" s="111"/>
      <c r="G860" s="112"/>
      <c r="H860" s="114"/>
      <c r="I860" s="111"/>
      <c r="J860" s="111"/>
      <c r="K860" s="111"/>
      <c r="L860" s="112"/>
      <c r="M860" s="111"/>
      <c r="N860" s="111"/>
      <c r="O860" s="111"/>
      <c r="P860" s="111"/>
      <c r="Q860" s="111"/>
      <c r="R860" s="112"/>
      <c r="S860" s="112"/>
    </row>
    <row r="861" spans="1:19" ht="15" x14ac:dyDescent="0.25">
      <c r="A861" s="109"/>
      <c r="B861" s="109"/>
      <c r="C861" s="78"/>
      <c r="D861" s="78"/>
      <c r="E861" s="78"/>
      <c r="F861" s="78"/>
      <c r="G861" s="110"/>
      <c r="H861" s="115"/>
      <c r="I861" s="78"/>
      <c r="J861" s="78"/>
      <c r="K861" s="78"/>
      <c r="L861" s="110"/>
      <c r="M861" s="78"/>
      <c r="N861" s="78"/>
      <c r="O861" s="78"/>
      <c r="P861" s="78"/>
      <c r="Q861" s="78"/>
      <c r="R861" s="110"/>
      <c r="S861" s="110"/>
    </row>
    <row r="862" spans="1:19" ht="15" x14ac:dyDescent="0.25">
      <c r="A862" s="109"/>
      <c r="B862" s="109"/>
      <c r="C862" s="111"/>
      <c r="D862" s="111"/>
      <c r="E862" s="111"/>
      <c r="F862" s="111"/>
      <c r="G862" s="112"/>
      <c r="H862" s="114"/>
      <c r="I862" s="111"/>
      <c r="J862" s="111"/>
      <c r="K862" s="111"/>
      <c r="L862" s="112"/>
      <c r="M862" s="111"/>
      <c r="N862" s="111"/>
      <c r="O862" s="111"/>
      <c r="P862" s="111"/>
      <c r="Q862" s="111"/>
      <c r="R862" s="112"/>
      <c r="S862" s="112"/>
    </row>
    <row r="863" spans="1:19" ht="15" x14ac:dyDescent="0.25">
      <c r="A863" s="109"/>
      <c r="B863" s="109"/>
      <c r="C863" s="78"/>
      <c r="D863" s="78"/>
      <c r="E863" s="78"/>
      <c r="F863" s="78"/>
      <c r="G863" s="110"/>
      <c r="H863" s="115"/>
      <c r="I863" s="78"/>
      <c r="J863" s="78"/>
      <c r="K863" s="78"/>
      <c r="L863" s="110"/>
      <c r="M863" s="78"/>
      <c r="N863" s="78"/>
      <c r="O863" s="78"/>
      <c r="P863" s="78"/>
      <c r="Q863" s="78"/>
      <c r="R863" s="110"/>
      <c r="S863" s="110"/>
    </row>
    <row r="864" spans="1:19" ht="15" x14ac:dyDescent="0.25">
      <c r="A864" s="109"/>
      <c r="B864" s="109"/>
      <c r="C864" s="111"/>
      <c r="D864" s="111"/>
      <c r="E864" s="111"/>
      <c r="F864" s="111"/>
      <c r="G864" s="112"/>
      <c r="H864" s="114"/>
      <c r="I864" s="111"/>
      <c r="J864" s="111"/>
      <c r="K864" s="111"/>
      <c r="L864" s="112"/>
      <c r="M864" s="111"/>
      <c r="N864" s="111"/>
      <c r="O864" s="111"/>
      <c r="P864" s="111"/>
      <c r="Q864" s="111"/>
      <c r="R864" s="112"/>
      <c r="S864" s="112"/>
    </row>
    <row r="865" spans="1:19" ht="15" x14ac:dyDescent="0.25">
      <c r="A865" s="109"/>
      <c r="B865" s="109"/>
      <c r="C865" s="78"/>
      <c r="D865" s="78"/>
      <c r="E865" s="78"/>
      <c r="F865" s="78"/>
      <c r="G865" s="110"/>
      <c r="H865" s="115"/>
      <c r="I865" s="78"/>
      <c r="J865" s="78"/>
      <c r="K865" s="78"/>
      <c r="L865" s="110"/>
      <c r="M865" s="78"/>
      <c r="N865" s="78"/>
      <c r="O865" s="78"/>
      <c r="P865" s="78"/>
      <c r="Q865" s="78"/>
      <c r="R865" s="110"/>
      <c r="S865" s="110"/>
    </row>
    <row r="866" spans="1:19" ht="15" x14ac:dyDescent="0.25">
      <c r="A866" s="109"/>
      <c r="B866" s="109"/>
      <c r="C866" s="111"/>
      <c r="D866" s="111"/>
      <c r="E866" s="111"/>
      <c r="F866" s="111"/>
      <c r="G866" s="112"/>
      <c r="H866" s="114"/>
      <c r="I866" s="111"/>
      <c r="J866" s="111"/>
      <c r="K866" s="111"/>
      <c r="L866" s="112"/>
      <c r="M866" s="111"/>
      <c r="N866" s="111"/>
      <c r="O866" s="111"/>
      <c r="P866" s="111"/>
      <c r="Q866" s="111"/>
      <c r="R866" s="112"/>
      <c r="S866" s="112"/>
    </row>
    <row r="867" spans="1:19" ht="15" x14ac:dyDescent="0.25">
      <c r="A867" s="109"/>
      <c r="B867" s="109"/>
      <c r="C867" s="78"/>
      <c r="D867" s="78"/>
      <c r="E867" s="78"/>
      <c r="F867" s="78"/>
      <c r="G867" s="110"/>
      <c r="H867" s="115"/>
      <c r="I867" s="78"/>
      <c r="J867" s="78"/>
      <c r="K867" s="78"/>
      <c r="L867" s="110"/>
      <c r="M867" s="78"/>
      <c r="N867" s="78"/>
      <c r="O867" s="78"/>
      <c r="P867" s="78"/>
      <c r="Q867" s="78"/>
      <c r="R867" s="110"/>
      <c r="S867" s="110"/>
    </row>
    <row r="868" spans="1:19" ht="15" x14ac:dyDescent="0.25">
      <c r="A868" s="109"/>
      <c r="B868" s="109"/>
      <c r="C868" s="111"/>
      <c r="D868" s="111"/>
      <c r="E868" s="111"/>
      <c r="F868" s="111"/>
      <c r="G868" s="112"/>
      <c r="H868" s="114"/>
      <c r="I868" s="111"/>
      <c r="J868" s="111"/>
      <c r="K868" s="111"/>
      <c r="L868" s="112"/>
      <c r="M868" s="111"/>
      <c r="N868" s="111"/>
      <c r="O868" s="111"/>
      <c r="P868" s="111"/>
      <c r="Q868" s="111"/>
      <c r="R868" s="112"/>
      <c r="S868" s="112"/>
    </row>
    <row r="869" spans="1:19" ht="15" x14ac:dyDescent="0.25">
      <c r="A869" s="109"/>
      <c r="B869" s="109"/>
      <c r="C869" s="78"/>
      <c r="D869" s="78"/>
      <c r="E869" s="78"/>
      <c r="F869" s="78"/>
      <c r="G869" s="110"/>
      <c r="H869" s="115"/>
      <c r="I869" s="78"/>
      <c r="J869" s="78"/>
      <c r="K869" s="78"/>
      <c r="L869" s="110"/>
      <c r="M869" s="78"/>
      <c r="N869" s="78"/>
      <c r="O869" s="78"/>
      <c r="P869" s="78"/>
      <c r="Q869" s="78"/>
      <c r="R869" s="110"/>
      <c r="S869" s="110"/>
    </row>
    <row r="870" spans="1:19" ht="15" x14ac:dyDescent="0.25">
      <c r="A870" s="109"/>
      <c r="B870" s="109"/>
      <c r="C870" s="111"/>
      <c r="D870" s="111"/>
      <c r="E870" s="111"/>
      <c r="F870" s="111"/>
      <c r="G870" s="112"/>
      <c r="H870" s="114"/>
      <c r="I870" s="111"/>
      <c r="J870" s="111"/>
      <c r="K870" s="111"/>
      <c r="L870" s="112"/>
      <c r="M870" s="111"/>
      <c r="N870" s="111"/>
      <c r="O870" s="111"/>
      <c r="P870" s="111"/>
      <c r="Q870" s="111"/>
      <c r="R870" s="112"/>
      <c r="S870" s="112"/>
    </row>
    <row r="871" spans="1:19" ht="15" x14ac:dyDescent="0.25">
      <c r="A871" s="109"/>
      <c r="B871" s="109"/>
      <c r="C871" s="78"/>
      <c r="D871" s="78"/>
      <c r="E871" s="78"/>
      <c r="F871" s="78"/>
      <c r="G871" s="110"/>
      <c r="H871" s="115"/>
      <c r="I871" s="78"/>
      <c r="J871" s="78"/>
      <c r="K871" s="78"/>
      <c r="L871" s="110"/>
      <c r="M871" s="78"/>
      <c r="N871" s="78"/>
      <c r="O871" s="78"/>
      <c r="P871" s="78"/>
      <c r="Q871" s="78"/>
      <c r="R871" s="110"/>
      <c r="S871" s="110"/>
    </row>
    <row r="872" spans="1:19" ht="15" x14ac:dyDescent="0.25">
      <c r="A872" s="109"/>
      <c r="B872" s="109"/>
      <c r="C872" s="111"/>
      <c r="D872" s="111"/>
      <c r="E872" s="111"/>
      <c r="F872" s="111"/>
      <c r="G872" s="112"/>
      <c r="H872" s="114"/>
      <c r="I872" s="111"/>
      <c r="J872" s="111"/>
      <c r="K872" s="111"/>
      <c r="L872" s="112"/>
      <c r="M872" s="111"/>
      <c r="N872" s="111"/>
      <c r="O872" s="111"/>
      <c r="P872" s="111"/>
      <c r="Q872" s="111"/>
      <c r="R872" s="112"/>
      <c r="S872" s="112"/>
    </row>
    <row r="873" spans="1:19" ht="15" x14ac:dyDescent="0.25">
      <c r="A873" s="109"/>
      <c r="B873" s="109"/>
      <c r="C873" s="78"/>
      <c r="D873" s="78"/>
      <c r="E873" s="78"/>
      <c r="F873" s="78"/>
      <c r="G873" s="110"/>
      <c r="H873" s="115"/>
      <c r="I873" s="78"/>
      <c r="J873" s="78"/>
      <c r="K873" s="78"/>
      <c r="L873" s="110"/>
      <c r="M873" s="78"/>
      <c r="N873" s="78"/>
      <c r="O873" s="78"/>
      <c r="P873" s="78"/>
      <c r="Q873" s="78"/>
      <c r="R873" s="110"/>
      <c r="S873" s="110"/>
    </row>
    <row r="874" spans="1:19" ht="15" x14ac:dyDescent="0.25">
      <c r="A874" s="109"/>
      <c r="B874" s="109"/>
      <c r="C874" s="111"/>
      <c r="D874" s="111"/>
      <c r="E874" s="111"/>
      <c r="F874" s="111"/>
      <c r="G874" s="112"/>
      <c r="H874" s="114"/>
      <c r="I874" s="111"/>
      <c r="J874" s="111"/>
      <c r="K874" s="111"/>
      <c r="L874" s="112"/>
      <c r="M874" s="111"/>
      <c r="N874" s="111"/>
      <c r="O874" s="111"/>
      <c r="P874" s="111"/>
      <c r="Q874" s="111"/>
      <c r="R874" s="112"/>
      <c r="S874" s="112"/>
    </row>
    <row r="875" spans="1:19" ht="15" x14ac:dyDescent="0.25">
      <c r="A875" s="109"/>
      <c r="B875" s="109"/>
      <c r="C875" s="78"/>
      <c r="D875" s="78"/>
      <c r="E875" s="78"/>
      <c r="F875" s="78"/>
      <c r="G875" s="110"/>
      <c r="H875" s="115"/>
      <c r="I875" s="78"/>
      <c r="J875" s="78"/>
      <c r="K875" s="78"/>
      <c r="L875" s="110"/>
      <c r="M875" s="78"/>
      <c r="N875" s="78"/>
      <c r="O875" s="78"/>
      <c r="P875" s="78"/>
      <c r="Q875" s="78"/>
      <c r="R875" s="110"/>
      <c r="S875" s="110"/>
    </row>
    <row r="876" spans="1:19" ht="15" x14ac:dyDescent="0.25">
      <c r="A876" s="109"/>
      <c r="B876" s="109"/>
      <c r="C876" s="111"/>
      <c r="D876" s="111"/>
      <c r="E876" s="111"/>
      <c r="F876" s="111"/>
      <c r="G876" s="112"/>
      <c r="H876" s="114"/>
      <c r="I876" s="111"/>
      <c r="J876" s="111"/>
      <c r="K876" s="111"/>
      <c r="L876" s="112"/>
      <c r="M876" s="111"/>
      <c r="N876" s="111"/>
      <c r="O876" s="111"/>
      <c r="P876" s="111"/>
      <c r="Q876" s="111"/>
      <c r="R876" s="112"/>
      <c r="S876" s="112"/>
    </row>
    <row r="877" spans="1:19" ht="15" x14ac:dyDescent="0.25">
      <c r="A877" s="109"/>
      <c r="B877" s="109"/>
      <c r="C877" s="78"/>
      <c r="D877" s="78"/>
      <c r="E877" s="78"/>
      <c r="F877" s="78"/>
      <c r="G877" s="110"/>
      <c r="H877" s="115"/>
      <c r="I877" s="78"/>
      <c r="J877" s="78"/>
      <c r="K877" s="78"/>
      <c r="L877" s="110"/>
      <c r="M877" s="78"/>
      <c r="N877" s="78"/>
      <c r="O877" s="78"/>
      <c r="P877" s="78"/>
      <c r="Q877" s="78"/>
      <c r="R877" s="110"/>
      <c r="S877" s="110"/>
    </row>
    <row r="878" spans="1:19" ht="15" x14ac:dyDescent="0.25">
      <c r="A878" s="109"/>
      <c r="B878" s="109"/>
      <c r="C878" s="111"/>
      <c r="D878" s="111"/>
      <c r="E878" s="111"/>
      <c r="F878" s="111"/>
      <c r="G878" s="112"/>
      <c r="H878" s="114"/>
      <c r="I878" s="111"/>
      <c r="J878" s="111"/>
      <c r="K878" s="111"/>
      <c r="L878" s="112"/>
      <c r="M878" s="111"/>
      <c r="N878" s="111"/>
      <c r="O878" s="111"/>
      <c r="P878" s="111"/>
      <c r="Q878" s="111"/>
      <c r="R878" s="112"/>
      <c r="S878" s="112"/>
    </row>
    <row r="879" spans="1:19" ht="15" x14ac:dyDescent="0.25">
      <c r="A879" s="109"/>
      <c r="B879" s="109"/>
      <c r="C879" s="78"/>
      <c r="D879" s="78"/>
      <c r="E879" s="78"/>
      <c r="F879" s="78"/>
      <c r="G879" s="110"/>
      <c r="H879" s="115"/>
      <c r="I879" s="78"/>
      <c r="J879" s="78"/>
      <c r="K879" s="78"/>
      <c r="L879" s="110"/>
      <c r="M879" s="78"/>
      <c r="N879" s="78"/>
      <c r="O879" s="78"/>
      <c r="P879" s="78"/>
      <c r="Q879" s="78"/>
      <c r="R879" s="110"/>
      <c r="S879" s="110"/>
    </row>
    <row r="880" spans="1:19" ht="15" x14ac:dyDescent="0.25">
      <c r="A880" s="109"/>
      <c r="B880" s="109"/>
      <c r="C880" s="111"/>
      <c r="D880" s="111"/>
      <c r="E880" s="111"/>
      <c r="F880" s="111"/>
      <c r="G880" s="112"/>
      <c r="H880" s="114"/>
      <c r="I880" s="111"/>
      <c r="J880" s="111"/>
      <c r="K880" s="111"/>
      <c r="L880" s="112"/>
      <c r="M880" s="111"/>
      <c r="N880" s="111"/>
      <c r="O880" s="111"/>
      <c r="P880" s="111"/>
      <c r="Q880" s="111"/>
      <c r="R880" s="112"/>
      <c r="S880" s="112"/>
    </row>
    <row r="881" spans="1:19" ht="15" x14ac:dyDescent="0.25">
      <c r="A881" s="109"/>
      <c r="B881" s="109"/>
      <c r="C881" s="78"/>
      <c r="D881" s="78"/>
      <c r="E881" s="78"/>
      <c r="F881" s="78"/>
      <c r="G881" s="110"/>
      <c r="H881" s="115"/>
      <c r="I881" s="78"/>
      <c r="J881" s="78"/>
      <c r="K881" s="78"/>
      <c r="L881" s="110"/>
      <c r="M881" s="78"/>
      <c r="N881" s="78"/>
      <c r="O881" s="78"/>
      <c r="P881" s="78"/>
      <c r="Q881" s="78"/>
      <c r="R881" s="110"/>
      <c r="S881" s="110"/>
    </row>
    <row r="882" spans="1:19" ht="15" x14ac:dyDescent="0.25">
      <c r="A882" s="109"/>
      <c r="B882" s="109"/>
      <c r="C882" s="111"/>
      <c r="D882" s="111"/>
      <c r="E882" s="111"/>
      <c r="F882" s="111"/>
      <c r="G882" s="112"/>
      <c r="H882" s="114"/>
      <c r="I882" s="111"/>
      <c r="J882" s="111"/>
      <c r="K882" s="111"/>
      <c r="L882" s="112"/>
      <c r="M882" s="111"/>
      <c r="N882" s="111"/>
      <c r="O882" s="111"/>
      <c r="P882" s="111"/>
      <c r="Q882" s="111"/>
      <c r="R882" s="112"/>
      <c r="S882" s="112"/>
    </row>
    <row r="883" spans="1:19" ht="15" x14ac:dyDescent="0.25">
      <c r="A883" s="109"/>
      <c r="B883" s="109"/>
      <c r="C883" s="78"/>
      <c r="D883" s="78"/>
      <c r="E883" s="78"/>
      <c r="F883" s="78"/>
      <c r="G883" s="110"/>
      <c r="H883" s="115"/>
      <c r="I883" s="78"/>
      <c r="J883" s="78"/>
      <c r="K883" s="78"/>
      <c r="L883" s="110"/>
      <c r="M883" s="78"/>
      <c r="N883" s="78"/>
      <c r="O883" s="78"/>
      <c r="P883" s="78"/>
      <c r="Q883" s="78"/>
      <c r="R883" s="110"/>
      <c r="S883" s="110"/>
    </row>
    <row r="884" spans="1:19" ht="15" x14ac:dyDescent="0.25">
      <c r="A884" s="109"/>
      <c r="B884" s="109"/>
      <c r="C884" s="111"/>
      <c r="D884" s="111"/>
      <c r="E884" s="111"/>
      <c r="F884" s="111"/>
      <c r="G884" s="112"/>
      <c r="H884" s="114"/>
      <c r="I884" s="111"/>
      <c r="J884" s="111"/>
      <c r="K884" s="111"/>
      <c r="L884" s="112"/>
      <c r="M884" s="111"/>
      <c r="N884" s="111"/>
      <c r="O884" s="111"/>
      <c r="P884" s="111"/>
      <c r="Q884" s="111"/>
      <c r="R884" s="112"/>
      <c r="S884" s="112"/>
    </row>
    <row r="885" spans="1:19" ht="15" x14ac:dyDescent="0.25">
      <c r="A885" s="109"/>
      <c r="B885" s="109"/>
      <c r="C885" s="78"/>
      <c r="D885" s="78"/>
      <c r="E885" s="78"/>
      <c r="F885" s="78"/>
      <c r="G885" s="110"/>
      <c r="H885" s="115"/>
      <c r="I885" s="78"/>
      <c r="J885" s="78"/>
      <c r="K885" s="78"/>
      <c r="L885" s="110"/>
      <c r="M885" s="78"/>
      <c r="N885" s="78"/>
      <c r="O885" s="78"/>
      <c r="P885" s="78"/>
      <c r="Q885" s="78"/>
      <c r="R885" s="110"/>
      <c r="S885" s="110"/>
    </row>
    <row r="886" spans="1:19" ht="15" x14ac:dyDescent="0.25">
      <c r="A886" s="109"/>
      <c r="B886" s="109"/>
      <c r="C886" s="111"/>
      <c r="D886" s="111"/>
      <c r="E886" s="111"/>
      <c r="F886" s="111"/>
      <c r="G886" s="112"/>
      <c r="H886" s="114"/>
      <c r="I886" s="111"/>
      <c r="J886" s="111"/>
      <c r="K886" s="111"/>
      <c r="L886" s="112"/>
      <c r="M886" s="111"/>
      <c r="N886" s="111"/>
      <c r="O886" s="111"/>
      <c r="P886" s="111"/>
      <c r="Q886" s="111"/>
      <c r="R886" s="112"/>
      <c r="S886" s="112"/>
    </row>
    <row r="887" spans="1:19" ht="15" x14ac:dyDescent="0.25">
      <c r="A887" s="109"/>
      <c r="B887" s="109"/>
      <c r="C887" s="78"/>
      <c r="D887" s="78"/>
      <c r="E887" s="78"/>
      <c r="F887" s="78"/>
      <c r="G887" s="110"/>
      <c r="H887" s="115"/>
      <c r="I887" s="78"/>
      <c r="J887" s="78"/>
      <c r="K887" s="78"/>
      <c r="L887" s="110"/>
      <c r="M887" s="78"/>
      <c r="N887" s="78"/>
      <c r="O887" s="78"/>
      <c r="P887" s="78"/>
      <c r="Q887" s="78"/>
      <c r="R887" s="110"/>
      <c r="S887" s="110"/>
    </row>
    <row r="888" spans="1:19" ht="15" x14ac:dyDescent="0.25">
      <c r="A888" s="109"/>
      <c r="B888" s="109"/>
      <c r="C888" s="111"/>
      <c r="D888" s="111"/>
      <c r="E888" s="111"/>
      <c r="F888" s="111"/>
      <c r="G888" s="112"/>
      <c r="H888" s="114"/>
      <c r="I888" s="111"/>
      <c r="J888" s="111"/>
      <c r="K888" s="111"/>
      <c r="L888" s="112"/>
      <c r="M888" s="111"/>
      <c r="N888" s="111"/>
      <c r="O888" s="111"/>
      <c r="P888" s="111"/>
      <c r="Q888" s="111"/>
      <c r="R888" s="112"/>
      <c r="S888" s="112"/>
    </row>
    <row r="889" spans="1:19" ht="15" x14ac:dyDescent="0.25">
      <c r="A889" s="109"/>
      <c r="B889" s="109"/>
      <c r="C889" s="78"/>
      <c r="D889" s="78"/>
      <c r="E889" s="78"/>
      <c r="F889" s="78"/>
      <c r="G889" s="110"/>
      <c r="H889" s="115"/>
      <c r="I889" s="78"/>
      <c r="J889" s="78"/>
      <c r="K889" s="78"/>
      <c r="L889" s="110"/>
      <c r="M889" s="78"/>
      <c r="N889" s="78"/>
      <c r="O889" s="78"/>
      <c r="P889" s="78"/>
      <c r="Q889" s="78"/>
      <c r="R889" s="110"/>
      <c r="S889" s="110"/>
    </row>
    <row r="890" spans="1:19" ht="15" x14ac:dyDescent="0.25">
      <c r="A890" s="109"/>
      <c r="B890" s="109"/>
      <c r="C890" s="111"/>
      <c r="D890" s="111"/>
      <c r="E890" s="111"/>
      <c r="F890" s="111"/>
      <c r="G890" s="112"/>
      <c r="H890" s="114"/>
      <c r="I890" s="111"/>
      <c r="J890" s="111"/>
      <c r="K890" s="111"/>
      <c r="L890" s="112"/>
      <c r="M890" s="111"/>
      <c r="N890" s="111"/>
      <c r="O890" s="111"/>
      <c r="P890" s="111"/>
      <c r="Q890" s="111"/>
      <c r="R890" s="112"/>
      <c r="S890" s="112"/>
    </row>
    <row r="891" spans="1:19" ht="15" x14ac:dyDescent="0.25">
      <c r="A891" s="109"/>
      <c r="B891" s="109"/>
      <c r="C891" s="78"/>
      <c r="D891" s="78"/>
      <c r="E891" s="78"/>
      <c r="F891" s="78"/>
      <c r="G891" s="110"/>
      <c r="H891" s="115"/>
      <c r="I891" s="78"/>
      <c r="J891" s="78"/>
      <c r="K891" s="78"/>
      <c r="L891" s="110"/>
      <c r="M891" s="78"/>
      <c r="N891" s="78"/>
      <c r="O891" s="78"/>
      <c r="P891" s="78"/>
      <c r="Q891" s="78"/>
      <c r="R891" s="110"/>
      <c r="S891" s="110"/>
    </row>
    <row r="892" spans="1:19" ht="15" x14ac:dyDescent="0.25">
      <c r="A892" s="109"/>
      <c r="B892" s="109"/>
      <c r="C892" s="111"/>
      <c r="D892" s="111"/>
      <c r="E892" s="111"/>
      <c r="F892" s="111"/>
      <c r="G892" s="112"/>
      <c r="H892" s="114"/>
      <c r="I892" s="111"/>
      <c r="J892" s="111"/>
      <c r="K892" s="111"/>
      <c r="L892" s="112"/>
      <c r="M892" s="111"/>
      <c r="N892" s="111"/>
      <c r="O892" s="111"/>
      <c r="P892" s="111"/>
      <c r="Q892" s="111"/>
      <c r="R892" s="112"/>
      <c r="S892" s="112"/>
    </row>
    <row r="893" spans="1:19" ht="15" x14ac:dyDescent="0.25">
      <c r="A893" s="109"/>
      <c r="B893" s="109"/>
      <c r="C893" s="78"/>
      <c r="D893" s="78"/>
      <c r="E893" s="78"/>
      <c r="F893" s="78"/>
      <c r="G893" s="110"/>
      <c r="H893" s="115"/>
      <c r="I893" s="78"/>
      <c r="J893" s="78"/>
      <c r="K893" s="78"/>
      <c r="L893" s="110"/>
      <c r="M893" s="78"/>
      <c r="N893" s="78"/>
      <c r="O893" s="78"/>
      <c r="P893" s="78"/>
      <c r="Q893" s="78"/>
      <c r="R893" s="110"/>
      <c r="S893" s="110"/>
    </row>
    <row r="894" spans="1:19" ht="15" x14ac:dyDescent="0.25">
      <c r="A894" s="109"/>
      <c r="B894" s="109"/>
      <c r="C894" s="111"/>
      <c r="D894" s="111"/>
      <c r="E894" s="111"/>
      <c r="F894" s="111"/>
      <c r="G894" s="112"/>
      <c r="H894" s="114"/>
      <c r="I894" s="111"/>
      <c r="J894" s="111"/>
      <c r="K894" s="111"/>
      <c r="L894" s="112"/>
      <c r="M894" s="111"/>
      <c r="N894" s="111"/>
      <c r="O894" s="111"/>
      <c r="P894" s="111"/>
      <c r="Q894" s="111"/>
      <c r="R894" s="112"/>
      <c r="S894" s="112"/>
    </row>
    <row r="895" spans="1:19" ht="15" x14ac:dyDescent="0.25">
      <c r="A895" s="109"/>
      <c r="B895" s="109"/>
      <c r="C895" s="78"/>
      <c r="D895" s="78"/>
      <c r="E895" s="78"/>
      <c r="F895" s="78"/>
      <c r="G895" s="110"/>
      <c r="H895" s="115"/>
      <c r="I895" s="78"/>
      <c r="J895" s="78"/>
      <c r="K895" s="78"/>
      <c r="L895" s="110"/>
      <c r="M895" s="78"/>
      <c r="N895" s="78"/>
      <c r="O895" s="78"/>
      <c r="P895" s="78"/>
      <c r="Q895" s="78"/>
      <c r="R895" s="110"/>
      <c r="S895" s="110"/>
    </row>
    <row r="896" spans="1:19" ht="15" x14ac:dyDescent="0.25">
      <c r="A896" s="109"/>
      <c r="B896" s="109"/>
      <c r="C896" s="111"/>
      <c r="D896" s="111"/>
      <c r="E896" s="111"/>
      <c r="F896" s="111"/>
      <c r="G896" s="112"/>
      <c r="H896" s="114"/>
      <c r="I896" s="111"/>
      <c r="J896" s="111"/>
      <c r="K896" s="111"/>
      <c r="L896" s="112"/>
      <c r="M896" s="111"/>
      <c r="N896" s="111"/>
      <c r="O896" s="111"/>
      <c r="P896" s="111"/>
      <c r="Q896" s="111"/>
      <c r="R896" s="112"/>
      <c r="S896" s="112"/>
    </row>
    <row r="897" spans="1:19" ht="15" x14ac:dyDescent="0.25">
      <c r="A897" s="109"/>
      <c r="B897" s="109"/>
      <c r="C897" s="78"/>
      <c r="D897" s="78"/>
      <c r="E897" s="78"/>
      <c r="F897" s="78"/>
      <c r="G897" s="110"/>
      <c r="H897" s="115"/>
      <c r="I897" s="78"/>
      <c r="J897" s="78"/>
      <c r="K897" s="78"/>
      <c r="L897" s="110"/>
      <c r="M897" s="78"/>
      <c r="N897" s="78"/>
      <c r="O897" s="78"/>
      <c r="P897" s="78"/>
      <c r="Q897" s="78"/>
      <c r="R897" s="110"/>
      <c r="S897" s="110"/>
    </row>
    <row r="898" spans="1:19" ht="15" x14ac:dyDescent="0.25">
      <c r="A898" s="109"/>
      <c r="B898" s="109"/>
      <c r="C898" s="111"/>
      <c r="D898" s="111"/>
      <c r="E898" s="111"/>
      <c r="F898" s="111"/>
      <c r="G898" s="112"/>
      <c r="H898" s="114"/>
      <c r="I898" s="111"/>
      <c r="J898" s="111"/>
      <c r="K898" s="111"/>
      <c r="L898" s="112"/>
      <c r="M898" s="111"/>
      <c r="N898" s="111"/>
      <c r="O898" s="111"/>
      <c r="P898" s="111"/>
      <c r="Q898" s="111"/>
      <c r="R898" s="112"/>
      <c r="S898" s="112"/>
    </row>
    <row r="899" spans="1:19" ht="15" x14ac:dyDescent="0.25">
      <c r="A899" s="109"/>
      <c r="B899" s="109"/>
      <c r="C899" s="78"/>
      <c r="D899" s="78"/>
      <c r="E899" s="78"/>
      <c r="F899" s="78"/>
      <c r="G899" s="110"/>
      <c r="H899" s="115"/>
      <c r="I899" s="78"/>
      <c r="J899" s="78"/>
      <c r="K899" s="78"/>
      <c r="L899" s="110"/>
      <c r="M899" s="78"/>
      <c r="N899" s="78"/>
      <c r="O899" s="78"/>
      <c r="P899" s="78"/>
      <c r="Q899" s="78"/>
      <c r="R899" s="110"/>
      <c r="S899" s="110"/>
    </row>
    <row r="900" spans="1:19" ht="15" x14ac:dyDescent="0.25">
      <c r="A900" s="109"/>
      <c r="B900" s="109"/>
      <c r="C900" s="111"/>
      <c r="D900" s="111"/>
      <c r="E900" s="111"/>
      <c r="F900" s="111"/>
      <c r="G900" s="112"/>
      <c r="H900" s="114"/>
      <c r="I900" s="111"/>
      <c r="J900" s="111"/>
      <c r="K900" s="111"/>
      <c r="L900" s="112"/>
      <c r="M900" s="111"/>
      <c r="N900" s="111"/>
      <c r="O900" s="111"/>
      <c r="P900" s="111"/>
      <c r="Q900" s="111"/>
      <c r="R900" s="112"/>
      <c r="S900" s="112"/>
    </row>
    <row r="901" spans="1:19" ht="15" x14ac:dyDescent="0.25">
      <c r="A901" s="109"/>
      <c r="B901" s="109"/>
      <c r="C901" s="78"/>
      <c r="D901" s="78"/>
      <c r="E901" s="78"/>
      <c r="F901" s="78"/>
      <c r="G901" s="110"/>
      <c r="H901" s="115"/>
      <c r="I901" s="78"/>
      <c r="J901" s="78"/>
      <c r="K901" s="78"/>
      <c r="L901" s="110"/>
      <c r="M901" s="78"/>
      <c r="N901" s="78"/>
      <c r="O901" s="78"/>
      <c r="P901" s="78"/>
      <c r="Q901" s="78"/>
      <c r="R901" s="110"/>
      <c r="S901" s="110"/>
    </row>
    <row r="902" spans="1:19" ht="15" x14ac:dyDescent="0.25">
      <c r="A902" s="109"/>
      <c r="B902" s="109"/>
      <c r="C902" s="111"/>
      <c r="D902" s="111"/>
      <c r="E902" s="111"/>
      <c r="F902" s="111"/>
      <c r="G902" s="112"/>
      <c r="H902" s="114"/>
      <c r="I902" s="111"/>
      <c r="J902" s="111"/>
      <c r="K902" s="111"/>
      <c r="L902" s="112"/>
      <c r="M902" s="111"/>
      <c r="N902" s="111"/>
      <c r="O902" s="111"/>
      <c r="P902" s="111"/>
      <c r="Q902" s="111"/>
      <c r="R902" s="112"/>
      <c r="S902" s="112"/>
    </row>
    <row r="903" spans="1:19" ht="15" x14ac:dyDescent="0.25">
      <c r="A903" s="109"/>
      <c r="B903" s="109"/>
      <c r="C903" s="78"/>
      <c r="D903" s="78"/>
      <c r="E903" s="78"/>
      <c r="F903" s="78"/>
      <c r="G903" s="110"/>
      <c r="H903" s="115"/>
      <c r="I903" s="78"/>
      <c r="J903" s="78"/>
      <c r="K903" s="78"/>
      <c r="L903" s="110"/>
      <c r="M903" s="78"/>
      <c r="N903" s="78"/>
      <c r="O903" s="78"/>
      <c r="P903" s="78"/>
      <c r="Q903" s="78"/>
      <c r="R903" s="110"/>
      <c r="S903" s="110"/>
    </row>
    <row r="904" spans="1:19" ht="15" x14ac:dyDescent="0.25">
      <c r="A904" s="109"/>
      <c r="B904" s="109"/>
      <c r="C904" s="111"/>
      <c r="D904" s="111"/>
      <c r="E904" s="111"/>
      <c r="F904" s="111"/>
      <c r="G904" s="112"/>
      <c r="H904" s="114"/>
      <c r="I904" s="111"/>
      <c r="J904" s="111"/>
      <c r="K904" s="111"/>
      <c r="L904" s="112"/>
      <c r="M904" s="111"/>
      <c r="N904" s="111"/>
      <c r="O904" s="111"/>
      <c r="P904" s="111"/>
      <c r="Q904" s="111"/>
      <c r="R904" s="112"/>
      <c r="S904" s="112"/>
    </row>
    <row r="905" spans="1:19" ht="15" x14ac:dyDescent="0.25">
      <c r="A905" s="109"/>
      <c r="B905" s="109"/>
      <c r="C905" s="78"/>
      <c r="D905" s="78"/>
      <c r="E905" s="78"/>
      <c r="F905" s="78"/>
      <c r="G905" s="110"/>
      <c r="H905" s="115"/>
      <c r="I905" s="78"/>
      <c r="J905" s="78"/>
      <c r="K905" s="78"/>
      <c r="L905" s="110"/>
      <c r="M905" s="78"/>
      <c r="N905" s="78"/>
      <c r="O905" s="78"/>
      <c r="P905" s="78"/>
      <c r="Q905" s="78"/>
      <c r="R905" s="110"/>
      <c r="S905" s="110"/>
    </row>
    <row r="906" spans="1:19" ht="15" x14ac:dyDescent="0.25">
      <c r="A906" s="109"/>
      <c r="B906" s="109"/>
      <c r="C906" s="111"/>
      <c r="D906" s="111"/>
      <c r="E906" s="111"/>
      <c r="F906" s="111"/>
      <c r="G906" s="112"/>
      <c r="H906" s="114"/>
      <c r="I906" s="111"/>
      <c r="J906" s="111"/>
      <c r="K906" s="111"/>
      <c r="L906" s="112"/>
      <c r="M906" s="111"/>
      <c r="N906" s="111"/>
      <c r="O906" s="111"/>
      <c r="P906" s="111"/>
      <c r="Q906" s="111"/>
      <c r="R906" s="112"/>
      <c r="S906" s="112"/>
    </row>
    <row r="907" spans="1:19" ht="15" x14ac:dyDescent="0.25">
      <c r="A907" s="109"/>
      <c r="B907" s="109"/>
      <c r="C907" s="78"/>
      <c r="D907" s="78"/>
      <c r="E907" s="78"/>
      <c r="F907" s="78"/>
      <c r="G907" s="110"/>
      <c r="H907" s="115"/>
      <c r="I907" s="78"/>
      <c r="J907" s="78"/>
      <c r="K907" s="78"/>
      <c r="L907" s="110"/>
      <c r="M907" s="78"/>
      <c r="N907" s="78"/>
      <c r="O907" s="78"/>
      <c r="P907" s="78"/>
      <c r="Q907" s="78"/>
      <c r="R907" s="110"/>
      <c r="S907" s="110"/>
    </row>
    <row r="908" spans="1:19" ht="15" x14ac:dyDescent="0.25">
      <c r="A908" s="109"/>
      <c r="B908" s="109"/>
      <c r="C908" s="111"/>
      <c r="D908" s="111"/>
      <c r="E908" s="111"/>
      <c r="F908" s="111"/>
      <c r="G908" s="112"/>
      <c r="H908" s="114"/>
      <c r="I908" s="111"/>
      <c r="J908" s="111"/>
      <c r="K908" s="111"/>
      <c r="L908" s="112"/>
      <c r="M908" s="111"/>
      <c r="N908" s="111"/>
      <c r="O908" s="111"/>
      <c r="P908" s="111"/>
      <c r="Q908" s="111"/>
      <c r="R908" s="112"/>
      <c r="S908" s="112"/>
    </row>
    <row r="909" spans="1:19" ht="15" x14ac:dyDescent="0.25">
      <c r="A909" s="109"/>
      <c r="B909" s="109"/>
      <c r="C909" s="78"/>
      <c r="D909" s="78"/>
      <c r="E909" s="78"/>
      <c r="F909" s="78"/>
      <c r="G909" s="110"/>
      <c r="H909" s="115"/>
      <c r="I909" s="78"/>
      <c r="J909" s="78"/>
      <c r="K909" s="78"/>
      <c r="L909" s="110"/>
      <c r="M909" s="78"/>
      <c r="N909" s="78"/>
      <c r="O909" s="78"/>
      <c r="P909" s="78"/>
      <c r="Q909" s="78"/>
      <c r="R909" s="110"/>
      <c r="S909" s="110"/>
    </row>
    <row r="910" spans="1:19" ht="15" x14ac:dyDescent="0.25">
      <c r="A910" s="109"/>
      <c r="B910" s="109"/>
      <c r="C910" s="111"/>
      <c r="D910" s="111"/>
      <c r="E910" s="111"/>
      <c r="F910" s="111"/>
      <c r="G910" s="112"/>
      <c r="H910" s="114"/>
      <c r="I910" s="111"/>
      <c r="J910" s="111"/>
      <c r="K910" s="111"/>
      <c r="L910" s="112"/>
      <c r="M910" s="111"/>
      <c r="N910" s="111"/>
      <c r="O910" s="111"/>
      <c r="P910" s="111"/>
      <c r="Q910" s="111"/>
      <c r="R910" s="112"/>
      <c r="S910" s="112"/>
    </row>
    <row r="911" spans="1:19" ht="15" x14ac:dyDescent="0.25">
      <c r="A911" s="109"/>
      <c r="B911" s="109"/>
      <c r="C911" s="78"/>
      <c r="D911" s="78"/>
      <c r="E911" s="78"/>
      <c r="F911" s="78"/>
      <c r="G911" s="110"/>
      <c r="H911" s="115"/>
      <c r="I911" s="78"/>
      <c r="J911" s="78"/>
      <c r="K911" s="78"/>
      <c r="L911" s="110"/>
      <c r="M911" s="78"/>
      <c r="N911" s="78"/>
      <c r="O911" s="78"/>
      <c r="P911" s="78"/>
      <c r="Q911" s="78"/>
      <c r="R911" s="110"/>
      <c r="S911" s="110"/>
    </row>
    <row r="912" spans="1:19" ht="15" x14ac:dyDescent="0.25">
      <c r="A912" s="109"/>
      <c r="B912" s="109"/>
      <c r="C912" s="111"/>
      <c r="D912" s="111"/>
      <c r="E912" s="111"/>
      <c r="F912" s="111"/>
      <c r="G912" s="112"/>
      <c r="H912" s="114"/>
      <c r="I912" s="111"/>
      <c r="J912" s="111"/>
      <c r="K912" s="111"/>
      <c r="L912" s="112"/>
      <c r="M912" s="111"/>
      <c r="N912" s="111"/>
      <c r="O912" s="111"/>
      <c r="P912" s="111"/>
      <c r="Q912" s="111"/>
      <c r="R912" s="112"/>
      <c r="S912" s="112"/>
    </row>
    <row r="913" spans="1:19" ht="15" x14ac:dyDescent="0.25">
      <c r="A913" s="109"/>
      <c r="B913" s="109"/>
      <c r="C913" s="78"/>
      <c r="D913" s="78"/>
      <c r="E913" s="78"/>
      <c r="F913" s="78"/>
      <c r="G913" s="110"/>
      <c r="H913" s="115"/>
      <c r="I913" s="78"/>
      <c r="J913" s="78"/>
      <c r="K913" s="78"/>
      <c r="L913" s="110"/>
      <c r="M913" s="78"/>
      <c r="N913" s="78"/>
      <c r="O913" s="78"/>
      <c r="P913" s="78"/>
      <c r="Q913" s="78"/>
      <c r="R913" s="110"/>
      <c r="S913" s="110"/>
    </row>
    <row r="914" spans="1:19" ht="15" x14ac:dyDescent="0.25">
      <c r="A914" s="109"/>
      <c r="B914" s="109"/>
      <c r="C914" s="111"/>
      <c r="D914" s="111"/>
      <c r="E914" s="111"/>
      <c r="F914" s="111"/>
      <c r="G914" s="112"/>
      <c r="H914" s="114"/>
      <c r="I914" s="111"/>
      <c r="J914" s="111"/>
      <c r="K914" s="111"/>
      <c r="L914" s="112"/>
      <c r="M914" s="111"/>
      <c r="N914" s="111"/>
      <c r="O914" s="111"/>
      <c r="P914" s="111"/>
      <c r="Q914" s="111"/>
      <c r="R914" s="112"/>
      <c r="S914" s="112"/>
    </row>
    <row r="915" spans="1:19" ht="15" x14ac:dyDescent="0.25">
      <c r="A915" s="109"/>
      <c r="B915" s="109"/>
      <c r="C915" s="78"/>
      <c r="D915" s="78"/>
      <c r="E915" s="78"/>
      <c r="F915" s="78"/>
      <c r="G915" s="110"/>
      <c r="H915" s="115"/>
      <c r="I915" s="78"/>
      <c r="J915" s="78"/>
      <c r="K915" s="78"/>
      <c r="L915" s="110"/>
      <c r="M915" s="78"/>
      <c r="N915" s="78"/>
      <c r="O915" s="78"/>
      <c r="P915" s="78"/>
      <c r="Q915" s="78"/>
      <c r="R915" s="110"/>
      <c r="S915" s="110"/>
    </row>
    <row r="916" spans="1:19" ht="15" x14ac:dyDescent="0.25">
      <c r="A916" s="109"/>
      <c r="B916" s="109"/>
      <c r="C916" s="111"/>
      <c r="D916" s="111"/>
      <c r="E916" s="111"/>
      <c r="F916" s="111"/>
      <c r="G916" s="112"/>
      <c r="H916" s="114"/>
      <c r="I916" s="111"/>
      <c r="J916" s="111"/>
      <c r="K916" s="111"/>
      <c r="L916" s="112"/>
      <c r="M916" s="111"/>
      <c r="N916" s="111"/>
      <c r="O916" s="111"/>
      <c r="P916" s="111"/>
      <c r="Q916" s="111"/>
      <c r="R916" s="112"/>
      <c r="S916" s="112"/>
    </row>
    <row r="917" spans="1:19" ht="15" x14ac:dyDescent="0.25">
      <c r="A917" s="109"/>
      <c r="B917" s="109"/>
      <c r="C917" s="78"/>
      <c r="D917" s="78"/>
      <c r="E917" s="78"/>
      <c r="F917" s="78"/>
      <c r="G917" s="110"/>
      <c r="H917" s="115"/>
      <c r="I917" s="78"/>
      <c r="J917" s="78"/>
      <c r="K917" s="78"/>
      <c r="L917" s="110"/>
      <c r="M917" s="78"/>
      <c r="N917" s="78"/>
      <c r="O917" s="78"/>
      <c r="P917" s="78"/>
      <c r="Q917" s="78"/>
      <c r="R917" s="110"/>
      <c r="S917" s="110"/>
    </row>
    <row r="918" spans="1:19" ht="15" x14ac:dyDescent="0.25">
      <c r="A918" s="109"/>
      <c r="B918" s="109"/>
      <c r="C918" s="111"/>
      <c r="D918" s="111"/>
      <c r="E918" s="111"/>
      <c r="F918" s="111"/>
      <c r="G918" s="112"/>
      <c r="H918" s="114"/>
      <c r="I918" s="111"/>
      <c r="J918" s="111"/>
      <c r="K918" s="111"/>
      <c r="L918" s="112"/>
      <c r="M918" s="111"/>
      <c r="N918" s="111"/>
      <c r="O918" s="111"/>
      <c r="P918" s="111"/>
      <c r="Q918" s="111"/>
      <c r="R918" s="112"/>
      <c r="S918" s="112"/>
    </row>
    <row r="919" spans="1:19" ht="15" x14ac:dyDescent="0.25">
      <c r="A919" s="109"/>
      <c r="B919" s="109"/>
      <c r="C919" s="78"/>
      <c r="D919" s="78"/>
      <c r="E919" s="78"/>
      <c r="F919" s="78"/>
      <c r="G919" s="110"/>
      <c r="H919" s="115"/>
      <c r="I919" s="78"/>
      <c r="J919" s="78"/>
      <c r="K919" s="78"/>
      <c r="L919" s="110"/>
      <c r="M919" s="78"/>
      <c r="N919" s="78"/>
      <c r="O919" s="78"/>
      <c r="P919" s="78"/>
      <c r="Q919" s="78"/>
      <c r="R919" s="110"/>
      <c r="S919" s="110"/>
    </row>
    <row r="920" spans="1:19" ht="15" x14ac:dyDescent="0.25">
      <c r="A920" s="109"/>
      <c r="B920" s="109"/>
      <c r="C920" s="111"/>
      <c r="D920" s="111"/>
      <c r="E920" s="111"/>
      <c r="F920" s="111"/>
      <c r="G920" s="112"/>
      <c r="H920" s="114"/>
      <c r="I920" s="111"/>
      <c r="J920" s="111"/>
      <c r="K920" s="111"/>
      <c r="L920" s="112"/>
      <c r="M920" s="111"/>
      <c r="N920" s="111"/>
      <c r="O920" s="111"/>
      <c r="P920" s="111"/>
      <c r="Q920" s="111"/>
      <c r="R920" s="112"/>
      <c r="S920" s="112"/>
    </row>
    <row r="921" spans="1:19" ht="15" x14ac:dyDescent="0.25">
      <c r="A921" s="109"/>
      <c r="B921" s="109"/>
      <c r="C921" s="78"/>
      <c r="D921" s="78"/>
      <c r="E921" s="78"/>
      <c r="F921" s="78"/>
      <c r="G921" s="110"/>
      <c r="H921" s="115"/>
      <c r="I921" s="78"/>
      <c r="J921" s="78"/>
      <c r="K921" s="78"/>
      <c r="L921" s="110"/>
      <c r="M921" s="78"/>
      <c r="N921" s="78"/>
      <c r="O921" s="78"/>
      <c r="P921" s="78"/>
      <c r="Q921" s="78"/>
      <c r="R921" s="110"/>
      <c r="S921" s="110"/>
    </row>
    <row r="922" spans="1:19" ht="15" x14ac:dyDescent="0.25">
      <c r="A922" s="109"/>
      <c r="B922" s="109"/>
      <c r="C922" s="111"/>
      <c r="D922" s="111"/>
      <c r="E922" s="111"/>
      <c r="F922" s="111"/>
      <c r="G922" s="112"/>
      <c r="H922" s="114"/>
      <c r="I922" s="111"/>
      <c r="J922" s="111"/>
      <c r="K922" s="111"/>
      <c r="L922" s="112"/>
      <c r="M922" s="111"/>
      <c r="N922" s="111"/>
      <c r="O922" s="111"/>
      <c r="P922" s="111"/>
      <c r="Q922" s="111"/>
      <c r="R922" s="112"/>
      <c r="S922" s="112"/>
    </row>
    <row r="923" spans="1:19" ht="15" x14ac:dyDescent="0.25">
      <c r="A923" s="109"/>
      <c r="B923" s="109"/>
      <c r="C923" s="78"/>
      <c r="D923" s="78"/>
      <c r="E923" s="78"/>
      <c r="F923" s="78"/>
      <c r="G923" s="110"/>
      <c r="H923" s="115"/>
      <c r="I923" s="78"/>
      <c r="J923" s="78"/>
      <c r="K923" s="78"/>
      <c r="L923" s="110"/>
      <c r="M923" s="78"/>
      <c r="N923" s="78"/>
      <c r="O923" s="78"/>
      <c r="P923" s="78"/>
      <c r="Q923" s="78"/>
      <c r="R923" s="110"/>
      <c r="S923" s="110"/>
    </row>
    <row r="924" spans="1:19" ht="15" x14ac:dyDescent="0.25">
      <c r="A924" s="109"/>
      <c r="B924" s="109"/>
      <c r="C924" s="111"/>
      <c r="D924" s="111"/>
      <c r="E924" s="111"/>
      <c r="F924" s="111"/>
      <c r="G924" s="112"/>
      <c r="H924" s="114"/>
      <c r="I924" s="111"/>
      <c r="J924" s="111"/>
      <c r="K924" s="111"/>
      <c r="L924" s="112"/>
      <c r="M924" s="111"/>
      <c r="N924" s="111"/>
      <c r="O924" s="111"/>
      <c r="P924" s="111"/>
      <c r="Q924" s="111"/>
      <c r="R924" s="112"/>
      <c r="S924" s="112"/>
    </row>
    <row r="925" spans="1:19" ht="15" x14ac:dyDescent="0.25">
      <c r="A925" s="109"/>
      <c r="B925" s="109"/>
      <c r="C925" s="78"/>
      <c r="D925" s="78"/>
      <c r="E925" s="78"/>
      <c r="F925" s="78"/>
      <c r="G925" s="110"/>
      <c r="H925" s="115"/>
      <c r="I925" s="78"/>
      <c r="J925" s="78"/>
      <c r="K925" s="78"/>
      <c r="L925" s="110"/>
      <c r="M925" s="78"/>
      <c r="N925" s="78"/>
      <c r="O925" s="78"/>
      <c r="P925" s="78"/>
      <c r="Q925" s="78"/>
      <c r="R925" s="110"/>
      <c r="S925" s="110"/>
    </row>
    <row r="926" spans="1:19" ht="15" x14ac:dyDescent="0.25">
      <c r="A926" s="109"/>
      <c r="B926" s="109"/>
      <c r="C926" s="111"/>
      <c r="D926" s="111"/>
      <c r="E926" s="111"/>
      <c r="F926" s="111"/>
      <c r="G926" s="112"/>
      <c r="H926" s="114"/>
      <c r="I926" s="111"/>
      <c r="J926" s="111"/>
      <c r="K926" s="111"/>
      <c r="L926" s="112"/>
      <c r="M926" s="111"/>
      <c r="N926" s="111"/>
      <c r="O926" s="111"/>
      <c r="P926" s="111"/>
      <c r="Q926" s="111"/>
      <c r="R926" s="112"/>
      <c r="S926" s="112"/>
    </row>
    <row r="927" spans="1:19" ht="15" x14ac:dyDescent="0.25">
      <c r="A927" s="109"/>
      <c r="B927" s="109"/>
      <c r="C927" s="78"/>
      <c r="D927" s="78"/>
      <c r="E927" s="78"/>
      <c r="F927" s="78"/>
      <c r="G927" s="110"/>
      <c r="H927" s="115"/>
      <c r="I927" s="78"/>
      <c r="J927" s="78"/>
      <c r="K927" s="78"/>
      <c r="L927" s="110"/>
      <c r="M927" s="78"/>
      <c r="N927" s="78"/>
      <c r="O927" s="78"/>
      <c r="P927" s="78"/>
      <c r="Q927" s="78"/>
      <c r="R927" s="110"/>
      <c r="S927" s="110"/>
    </row>
    <row r="928" spans="1:19" ht="15" x14ac:dyDescent="0.25">
      <c r="A928" s="109"/>
      <c r="B928" s="109"/>
      <c r="C928" s="111"/>
      <c r="D928" s="111"/>
      <c r="E928" s="111"/>
      <c r="F928" s="111"/>
      <c r="G928" s="112"/>
      <c r="H928" s="114"/>
      <c r="I928" s="111"/>
      <c r="J928" s="111"/>
      <c r="K928" s="111"/>
      <c r="L928" s="112"/>
      <c r="M928" s="111"/>
      <c r="N928" s="111"/>
      <c r="O928" s="111"/>
      <c r="P928" s="111"/>
      <c r="Q928" s="111"/>
      <c r="R928" s="112"/>
      <c r="S928" s="112"/>
    </row>
    <row r="929" spans="1:19" ht="15" x14ac:dyDescent="0.25">
      <c r="A929" s="109"/>
      <c r="B929" s="109"/>
      <c r="C929" s="78"/>
      <c r="D929" s="78"/>
      <c r="E929" s="78"/>
      <c r="F929" s="78"/>
      <c r="G929" s="110"/>
      <c r="H929" s="115"/>
      <c r="I929" s="78"/>
      <c r="J929" s="78"/>
      <c r="K929" s="78"/>
      <c r="L929" s="110"/>
      <c r="M929" s="78"/>
      <c r="N929" s="78"/>
      <c r="O929" s="78"/>
      <c r="P929" s="78"/>
      <c r="Q929" s="78"/>
      <c r="R929" s="110"/>
      <c r="S929" s="110"/>
    </row>
    <row r="930" spans="1:19" ht="15" x14ac:dyDescent="0.25">
      <c r="A930" s="109"/>
      <c r="B930" s="109"/>
      <c r="C930" s="111"/>
      <c r="D930" s="111"/>
      <c r="E930" s="111"/>
      <c r="F930" s="111"/>
      <c r="G930" s="112"/>
      <c r="H930" s="114"/>
      <c r="I930" s="111"/>
      <c r="J930" s="111"/>
      <c r="K930" s="111"/>
      <c r="L930" s="112"/>
      <c r="M930" s="111"/>
      <c r="N930" s="111"/>
      <c r="O930" s="111"/>
      <c r="P930" s="111"/>
      <c r="Q930" s="111"/>
      <c r="R930" s="112"/>
      <c r="S930" s="112"/>
    </row>
    <row r="931" spans="1:19" ht="15" x14ac:dyDescent="0.25">
      <c r="A931" s="109"/>
      <c r="B931" s="109"/>
      <c r="C931" s="78"/>
      <c r="D931" s="78"/>
      <c r="E931" s="78"/>
      <c r="F931" s="78"/>
      <c r="G931" s="110"/>
      <c r="H931" s="115"/>
      <c r="I931" s="78"/>
      <c r="J931" s="78"/>
      <c r="K931" s="78"/>
      <c r="L931" s="110"/>
      <c r="M931" s="78"/>
      <c r="N931" s="78"/>
      <c r="O931" s="78"/>
      <c r="P931" s="78"/>
      <c r="Q931" s="78"/>
      <c r="R931" s="110"/>
      <c r="S931" s="110"/>
    </row>
    <row r="932" spans="1:19" ht="15" x14ac:dyDescent="0.25">
      <c r="A932" s="109"/>
      <c r="B932" s="109"/>
      <c r="C932" s="111"/>
      <c r="D932" s="111"/>
      <c r="E932" s="111"/>
      <c r="F932" s="111"/>
      <c r="G932" s="112"/>
      <c r="H932" s="114"/>
      <c r="I932" s="111"/>
      <c r="J932" s="111"/>
      <c r="K932" s="111"/>
      <c r="L932" s="112"/>
      <c r="M932" s="111"/>
      <c r="N932" s="111"/>
      <c r="O932" s="111"/>
      <c r="P932" s="111"/>
      <c r="Q932" s="111"/>
      <c r="R932" s="112"/>
      <c r="S932" s="112"/>
    </row>
    <row r="933" spans="1:19" ht="15" x14ac:dyDescent="0.25">
      <c r="A933" s="109"/>
      <c r="B933" s="109"/>
      <c r="C933" s="78"/>
      <c r="D933" s="78"/>
      <c r="E933" s="78"/>
      <c r="F933" s="78"/>
      <c r="G933" s="110"/>
      <c r="H933" s="115"/>
      <c r="I933" s="78"/>
      <c r="J933" s="78"/>
      <c r="K933" s="78"/>
      <c r="L933" s="110"/>
      <c r="M933" s="78"/>
      <c r="N933" s="78"/>
      <c r="O933" s="78"/>
      <c r="P933" s="78"/>
      <c r="Q933" s="78"/>
      <c r="R933" s="110"/>
      <c r="S933" s="110"/>
    </row>
    <row r="934" spans="1:19" ht="15" x14ac:dyDescent="0.25">
      <c r="A934" s="109"/>
      <c r="B934" s="109"/>
      <c r="C934" s="111"/>
      <c r="D934" s="111"/>
      <c r="E934" s="111"/>
      <c r="F934" s="111"/>
      <c r="G934" s="112"/>
      <c r="H934" s="114"/>
      <c r="I934" s="111"/>
      <c r="J934" s="111"/>
      <c r="K934" s="111"/>
      <c r="L934" s="112"/>
      <c r="M934" s="111"/>
      <c r="N934" s="111"/>
      <c r="O934" s="111"/>
      <c r="P934" s="111"/>
      <c r="Q934" s="111"/>
      <c r="R934" s="112"/>
      <c r="S934" s="112"/>
    </row>
    <row r="935" spans="1:19" ht="15" x14ac:dyDescent="0.25">
      <c r="A935" s="109"/>
      <c r="B935" s="109"/>
      <c r="C935" s="78"/>
      <c r="D935" s="78"/>
      <c r="E935" s="78"/>
      <c r="F935" s="78"/>
      <c r="G935" s="110"/>
      <c r="H935" s="115"/>
      <c r="I935" s="78"/>
      <c r="J935" s="78"/>
      <c r="K935" s="78"/>
      <c r="L935" s="110"/>
      <c r="M935" s="78"/>
      <c r="N935" s="78"/>
      <c r="O935" s="78"/>
      <c r="P935" s="78"/>
      <c r="Q935" s="78"/>
      <c r="R935" s="110"/>
      <c r="S935" s="110"/>
    </row>
    <row r="936" spans="1:19" ht="15" x14ac:dyDescent="0.25">
      <c r="A936" s="109"/>
      <c r="B936" s="109"/>
      <c r="C936" s="111"/>
      <c r="D936" s="111"/>
      <c r="E936" s="111"/>
      <c r="F936" s="111"/>
      <c r="G936" s="112"/>
      <c r="H936" s="114"/>
      <c r="I936" s="111"/>
      <c r="J936" s="111"/>
      <c r="K936" s="111"/>
      <c r="L936" s="112"/>
      <c r="M936" s="111"/>
      <c r="N936" s="111"/>
      <c r="O936" s="111"/>
      <c r="P936" s="111"/>
      <c r="Q936" s="111"/>
      <c r="R936" s="112"/>
      <c r="S936" s="112"/>
    </row>
    <row r="937" spans="1:19" ht="15" x14ac:dyDescent="0.25">
      <c r="A937" s="109"/>
      <c r="B937" s="109"/>
      <c r="C937" s="78"/>
      <c r="D937" s="78"/>
      <c r="E937" s="78"/>
      <c r="F937" s="78"/>
      <c r="G937" s="110"/>
      <c r="H937" s="115"/>
      <c r="I937" s="78"/>
      <c r="J937" s="78"/>
      <c r="K937" s="78"/>
      <c r="L937" s="110"/>
      <c r="M937" s="78"/>
      <c r="N937" s="78"/>
      <c r="O937" s="78"/>
      <c r="P937" s="78"/>
      <c r="Q937" s="78"/>
      <c r="R937" s="110"/>
      <c r="S937" s="110"/>
    </row>
    <row r="938" spans="1:19" ht="15" x14ac:dyDescent="0.25">
      <c r="A938" s="109"/>
      <c r="B938" s="109"/>
      <c r="C938" s="111"/>
      <c r="D938" s="111"/>
      <c r="E938" s="111"/>
      <c r="F938" s="111"/>
      <c r="G938" s="112"/>
      <c r="H938" s="114"/>
      <c r="I938" s="111"/>
      <c r="J938" s="111"/>
      <c r="K938" s="111"/>
      <c r="L938" s="112"/>
      <c r="M938" s="111"/>
      <c r="N938" s="111"/>
      <c r="O938" s="111"/>
      <c r="P938" s="111"/>
      <c r="Q938" s="111"/>
      <c r="R938" s="112"/>
      <c r="S938" s="112"/>
    </row>
    <row r="939" spans="1:19" ht="15" x14ac:dyDescent="0.25">
      <c r="A939" s="109"/>
      <c r="B939" s="109"/>
      <c r="C939" s="78"/>
      <c r="D939" s="78"/>
      <c r="E939" s="78"/>
      <c r="F939" s="78"/>
      <c r="G939" s="110"/>
      <c r="H939" s="115"/>
      <c r="I939" s="78"/>
      <c r="J939" s="78"/>
      <c r="K939" s="78"/>
      <c r="L939" s="110"/>
      <c r="M939" s="78"/>
      <c r="N939" s="78"/>
      <c r="O939" s="78"/>
      <c r="P939" s="78"/>
      <c r="Q939" s="78"/>
      <c r="R939" s="110"/>
      <c r="S939" s="110"/>
    </row>
    <row r="940" spans="1:19" ht="15" x14ac:dyDescent="0.25">
      <c r="A940" s="109"/>
      <c r="B940" s="109"/>
      <c r="C940" s="111"/>
      <c r="D940" s="111"/>
      <c r="E940" s="111"/>
      <c r="F940" s="111"/>
      <c r="G940" s="112"/>
      <c r="H940" s="114"/>
      <c r="I940" s="111"/>
      <c r="J940" s="111"/>
      <c r="K940" s="111"/>
      <c r="L940" s="112"/>
      <c r="M940" s="111"/>
      <c r="N940" s="111"/>
      <c r="O940" s="111"/>
      <c r="P940" s="111"/>
      <c r="Q940" s="111"/>
      <c r="R940" s="112"/>
      <c r="S940" s="112"/>
    </row>
    <row r="941" spans="1:19" ht="15" x14ac:dyDescent="0.25">
      <c r="A941" s="109"/>
      <c r="B941" s="109"/>
      <c r="C941" s="78"/>
      <c r="D941" s="78"/>
      <c r="E941" s="78"/>
      <c r="F941" s="78"/>
      <c r="G941" s="110"/>
      <c r="H941" s="115"/>
      <c r="I941" s="78"/>
      <c r="J941" s="78"/>
      <c r="K941" s="78"/>
      <c r="L941" s="110"/>
      <c r="M941" s="78"/>
      <c r="N941" s="78"/>
      <c r="O941" s="78"/>
      <c r="P941" s="78"/>
      <c r="Q941" s="78"/>
      <c r="R941" s="110"/>
      <c r="S941" s="110"/>
    </row>
    <row r="942" spans="1:19" ht="15" x14ac:dyDescent="0.25">
      <c r="A942" s="109"/>
      <c r="B942" s="109"/>
      <c r="C942" s="111"/>
      <c r="D942" s="111"/>
      <c r="E942" s="111"/>
      <c r="F942" s="111"/>
      <c r="G942" s="112"/>
      <c r="H942" s="114"/>
      <c r="I942" s="111"/>
      <c r="J942" s="111"/>
      <c r="K942" s="111"/>
      <c r="L942" s="112"/>
      <c r="M942" s="111"/>
      <c r="N942" s="111"/>
      <c r="O942" s="111"/>
      <c r="P942" s="111"/>
      <c r="Q942" s="111"/>
      <c r="R942" s="112"/>
      <c r="S942" s="112"/>
    </row>
    <row r="943" spans="1:19" ht="15" x14ac:dyDescent="0.25">
      <c r="A943" s="109"/>
      <c r="B943" s="109"/>
      <c r="C943" s="78"/>
      <c r="D943" s="78"/>
      <c r="E943" s="78"/>
      <c r="F943" s="78"/>
      <c r="G943" s="110"/>
      <c r="H943" s="115"/>
      <c r="I943" s="78"/>
      <c r="J943" s="78"/>
      <c r="K943" s="78"/>
      <c r="L943" s="110"/>
      <c r="M943" s="78"/>
      <c r="N943" s="78"/>
      <c r="O943" s="78"/>
      <c r="P943" s="78"/>
      <c r="Q943" s="78"/>
      <c r="R943" s="110"/>
      <c r="S943" s="110"/>
    </row>
    <row r="944" spans="1:19" ht="15" x14ac:dyDescent="0.25">
      <c r="A944" s="109"/>
      <c r="B944" s="109"/>
      <c r="C944" s="111"/>
      <c r="D944" s="111"/>
      <c r="E944" s="111"/>
      <c r="F944" s="111"/>
      <c r="G944" s="112"/>
      <c r="H944" s="114"/>
      <c r="I944" s="111"/>
      <c r="J944" s="111"/>
      <c r="K944" s="111"/>
      <c r="L944" s="112"/>
      <c r="M944" s="111"/>
      <c r="N944" s="111"/>
      <c r="O944" s="111"/>
      <c r="P944" s="111"/>
      <c r="Q944" s="111"/>
      <c r="R944" s="112"/>
      <c r="S944" s="112"/>
    </row>
    <row r="945" spans="1:19" ht="15" x14ac:dyDescent="0.25">
      <c r="A945" s="109"/>
      <c r="B945" s="109"/>
      <c r="C945" s="78"/>
      <c r="D945" s="78"/>
      <c r="E945" s="78"/>
      <c r="F945" s="78"/>
      <c r="G945" s="110"/>
      <c r="H945" s="115"/>
      <c r="I945" s="78"/>
      <c r="J945" s="78"/>
      <c r="K945" s="78"/>
      <c r="L945" s="110"/>
      <c r="M945" s="78"/>
      <c r="N945" s="78"/>
      <c r="O945" s="78"/>
      <c r="P945" s="78"/>
      <c r="Q945" s="78"/>
      <c r="R945" s="110"/>
      <c r="S945" s="110"/>
    </row>
    <row r="946" spans="1:19" ht="15" x14ac:dyDescent="0.25">
      <c r="A946" s="109"/>
      <c r="B946" s="109"/>
      <c r="C946" s="111"/>
      <c r="D946" s="111"/>
      <c r="E946" s="111"/>
      <c r="F946" s="111"/>
      <c r="G946" s="112"/>
      <c r="H946" s="114"/>
      <c r="I946" s="111"/>
      <c r="J946" s="111"/>
      <c r="K946" s="111"/>
      <c r="L946" s="112"/>
      <c r="M946" s="111"/>
      <c r="N946" s="111"/>
      <c r="O946" s="111"/>
      <c r="P946" s="111"/>
      <c r="Q946" s="111"/>
      <c r="R946" s="112"/>
      <c r="S946" s="112"/>
    </row>
    <row r="947" spans="1:19" ht="15" x14ac:dyDescent="0.25">
      <c r="A947" s="109"/>
      <c r="B947" s="109"/>
      <c r="C947" s="78"/>
      <c r="D947" s="78"/>
      <c r="E947" s="78"/>
      <c r="F947" s="78"/>
      <c r="G947" s="110"/>
      <c r="H947" s="115"/>
      <c r="I947" s="78"/>
      <c r="J947" s="78"/>
      <c r="K947" s="78"/>
      <c r="L947" s="110"/>
      <c r="M947" s="78"/>
      <c r="N947" s="78"/>
      <c r="O947" s="78"/>
      <c r="P947" s="78"/>
      <c r="Q947" s="78"/>
      <c r="R947" s="110"/>
      <c r="S947" s="110"/>
    </row>
    <row r="948" spans="1:19" ht="15" x14ac:dyDescent="0.25">
      <c r="A948" s="109"/>
      <c r="B948" s="109"/>
      <c r="C948" s="111"/>
      <c r="D948" s="111"/>
      <c r="E948" s="111"/>
      <c r="F948" s="111"/>
      <c r="G948" s="112"/>
      <c r="H948" s="114"/>
      <c r="I948" s="111"/>
      <c r="J948" s="111"/>
      <c r="K948" s="111"/>
      <c r="L948" s="112"/>
      <c r="M948" s="111"/>
      <c r="N948" s="111"/>
      <c r="O948" s="111"/>
      <c r="P948" s="111"/>
      <c r="Q948" s="111"/>
      <c r="R948" s="112"/>
      <c r="S948" s="112"/>
    </row>
    <row r="949" spans="1:19" ht="15" x14ac:dyDescent="0.25">
      <c r="A949" s="109"/>
      <c r="B949" s="109"/>
      <c r="C949" s="78"/>
      <c r="D949" s="78"/>
      <c r="E949" s="78"/>
      <c r="F949" s="78"/>
      <c r="G949" s="110"/>
      <c r="H949" s="115"/>
      <c r="I949" s="78"/>
      <c r="J949" s="78"/>
      <c r="K949" s="78"/>
      <c r="L949" s="110"/>
      <c r="M949" s="78"/>
      <c r="N949" s="78"/>
      <c r="O949" s="78"/>
      <c r="P949" s="78"/>
      <c r="Q949" s="78"/>
      <c r="R949" s="110"/>
      <c r="S949" s="110"/>
    </row>
    <row r="950" spans="1:19" ht="15" x14ac:dyDescent="0.25">
      <c r="A950" s="109"/>
      <c r="B950" s="109"/>
      <c r="C950" s="111"/>
      <c r="D950" s="111"/>
      <c r="E950" s="111"/>
      <c r="F950" s="111"/>
      <c r="G950" s="112"/>
      <c r="H950" s="114"/>
      <c r="I950" s="111"/>
      <c r="J950" s="111"/>
      <c r="K950" s="111"/>
      <c r="L950" s="112"/>
      <c r="M950" s="111"/>
      <c r="N950" s="111"/>
      <c r="O950" s="111"/>
      <c r="P950" s="111"/>
      <c r="Q950" s="111"/>
      <c r="R950" s="112"/>
      <c r="S950" s="112"/>
    </row>
    <row r="951" spans="1:19" ht="15" x14ac:dyDescent="0.25">
      <c r="A951" s="109"/>
      <c r="B951" s="109"/>
      <c r="C951" s="78"/>
      <c r="D951" s="78"/>
      <c r="E951" s="78"/>
      <c r="F951" s="78"/>
      <c r="G951" s="110"/>
      <c r="H951" s="115"/>
      <c r="I951" s="78"/>
      <c r="J951" s="78"/>
      <c r="K951" s="78"/>
      <c r="L951" s="110"/>
      <c r="M951" s="78"/>
      <c r="N951" s="78"/>
      <c r="O951" s="78"/>
      <c r="P951" s="78"/>
      <c r="Q951" s="78"/>
      <c r="R951" s="110"/>
      <c r="S951" s="110"/>
    </row>
    <row r="952" spans="1:19" ht="15" x14ac:dyDescent="0.25">
      <c r="A952" s="109"/>
      <c r="B952" s="109"/>
      <c r="C952" s="111"/>
      <c r="D952" s="111"/>
      <c r="E952" s="111"/>
      <c r="F952" s="111"/>
      <c r="G952" s="112"/>
      <c r="H952" s="114"/>
      <c r="I952" s="111"/>
      <c r="J952" s="111"/>
      <c r="K952" s="111"/>
      <c r="L952" s="112"/>
      <c r="M952" s="111"/>
      <c r="N952" s="111"/>
      <c r="O952" s="111"/>
      <c r="P952" s="111"/>
      <c r="Q952" s="111"/>
      <c r="R952" s="112"/>
      <c r="S952" s="112"/>
    </row>
    <row r="953" spans="1:19" ht="15" x14ac:dyDescent="0.25">
      <c r="A953" s="109"/>
      <c r="B953" s="109"/>
      <c r="C953" s="78"/>
      <c r="D953" s="78"/>
      <c r="E953" s="78"/>
      <c r="F953" s="78"/>
      <c r="G953" s="110"/>
      <c r="H953" s="115"/>
      <c r="I953" s="78"/>
      <c r="J953" s="78"/>
      <c r="K953" s="78"/>
      <c r="L953" s="110"/>
      <c r="M953" s="78"/>
      <c r="N953" s="78"/>
      <c r="O953" s="78"/>
      <c r="P953" s="78"/>
      <c r="Q953" s="78"/>
      <c r="R953" s="110"/>
      <c r="S953" s="110"/>
    </row>
    <row r="954" spans="1:19" ht="15" x14ac:dyDescent="0.25">
      <c r="A954" s="109"/>
      <c r="B954" s="109"/>
      <c r="C954" s="111"/>
      <c r="D954" s="111"/>
      <c r="E954" s="111"/>
      <c r="F954" s="111"/>
      <c r="G954" s="112"/>
      <c r="H954" s="114"/>
      <c r="I954" s="111"/>
      <c r="J954" s="111"/>
      <c r="K954" s="111"/>
      <c r="L954" s="112"/>
      <c r="M954" s="111"/>
      <c r="N954" s="111"/>
      <c r="O954" s="111"/>
      <c r="P954" s="111"/>
      <c r="Q954" s="111"/>
      <c r="R954" s="112"/>
      <c r="S954" s="112"/>
    </row>
    <row r="955" spans="1:19" ht="15" x14ac:dyDescent="0.25">
      <c r="A955" s="109"/>
      <c r="B955" s="109"/>
      <c r="C955" s="78"/>
      <c r="D955" s="78"/>
      <c r="E955" s="78"/>
      <c r="F955" s="78"/>
      <c r="G955" s="110"/>
      <c r="H955" s="115"/>
      <c r="I955" s="78"/>
      <c r="J955" s="78"/>
      <c r="K955" s="78"/>
      <c r="L955" s="110"/>
      <c r="M955" s="78"/>
      <c r="N955" s="78"/>
      <c r="O955" s="78"/>
      <c r="P955" s="78"/>
      <c r="Q955" s="78"/>
      <c r="R955" s="110"/>
      <c r="S955" s="110"/>
    </row>
    <row r="956" spans="1:19" ht="15" x14ac:dyDescent="0.25">
      <c r="A956" s="109"/>
      <c r="B956" s="109"/>
      <c r="C956" s="111"/>
      <c r="D956" s="111"/>
      <c r="E956" s="111"/>
      <c r="F956" s="111"/>
      <c r="G956" s="112"/>
      <c r="H956" s="114"/>
      <c r="I956" s="111"/>
      <c r="J956" s="111"/>
      <c r="K956" s="111"/>
      <c r="L956" s="112"/>
      <c r="M956" s="111"/>
      <c r="N956" s="111"/>
      <c r="O956" s="111"/>
      <c r="P956" s="111"/>
      <c r="Q956" s="111"/>
      <c r="R956" s="112"/>
      <c r="S956" s="112"/>
    </row>
    <row r="957" spans="1:19" ht="15" x14ac:dyDescent="0.25">
      <c r="A957" s="109"/>
      <c r="B957" s="109"/>
      <c r="C957" s="78"/>
      <c r="D957" s="78"/>
      <c r="E957" s="78"/>
      <c r="F957" s="78"/>
      <c r="G957" s="110"/>
      <c r="H957" s="115"/>
      <c r="I957" s="78"/>
      <c r="J957" s="78"/>
      <c r="K957" s="78"/>
      <c r="L957" s="110"/>
      <c r="M957" s="78"/>
      <c r="N957" s="78"/>
      <c r="O957" s="78"/>
      <c r="P957" s="78"/>
      <c r="Q957" s="78"/>
      <c r="R957" s="110"/>
      <c r="S957" s="110"/>
    </row>
    <row r="958" spans="1:19" ht="15" x14ac:dyDescent="0.25">
      <c r="A958" s="109"/>
      <c r="B958" s="109"/>
      <c r="C958" s="111"/>
      <c r="D958" s="111"/>
      <c r="E958" s="111"/>
      <c r="F958" s="111"/>
      <c r="G958" s="112"/>
      <c r="H958" s="114"/>
      <c r="I958" s="111"/>
      <c r="J958" s="111"/>
      <c r="K958" s="111"/>
      <c r="L958" s="112"/>
      <c r="M958" s="111"/>
      <c r="N958" s="111"/>
      <c r="O958" s="111"/>
      <c r="P958" s="111"/>
      <c r="Q958" s="111"/>
      <c r="R958" s="112"/>
      <c r="S958" s="112"/>
    </row>
    <row r="959" spans="1:19" ht="15" x14ac:dyDescent="0.25">
      <c r="A959" s="109"/>
      <c r="B959" s="109"/>
      <c r="C959" s="78"/>
      <c r="D959" s="78"/>
      <c r="E959" s="78"/>
      <c r="F959" s="78"/>
      <c r="G959" s="110"/>
      <c r="H959" s="115"/>
      <c r="I959" s="78"/>
      <c r="J959" s="78"/>
      <c r="K959" s="78"/>
      <c r="L959" s="110"/>
      <c r="M959" s="78"/>
      <c r="N959" s="78"/>
      <c r="O959" s="78"/>
      <c r="P959" s="78"/>
      <c r="Q959" s="78"/>
      <c r="R959" s="110"/>
      <c r="S959" s="110"/>
    </row>
    <row r="960" spans="1:19" ht="15" x14ac:dyDescent="0.25">
      <c r="A960" s="109"/>
      <c r="B960" s="109"/>
      <c r="C960" s="111"/>
      <c r="D960" s="111"/>
      <c r="E960" s="111"/>
      <c r="F960" s="111"/>
      <c r="G960" s="112"/>
      <c r="H960" s="114"/>
      <c r="I960" s="111"/>
      <c r="J960" s="111"/>
      <c r="K960" s="111"/>
      <c r="L960" s="112"/>
      <c r="M960" s="111"/>
      <c r="N960" s="111"/>
      <c r="O960" s="111"/>
      <c r="P960" s="111"/>
      <c r="Q960" s="111"/>
      <c r="R960" s="112"/>
      <c r="S960" s="112"/>
    </row>
    <row r="961" spans="1:19" ht="15" x14ac:dyDescent="0.25">
      <c r="A961" s="109"/>
      <c r="B961" s="109"/>
      <c r="C961" s="78"/>
      <c r="D961" s="78"/>
      <c r="E961" s="78"/>
      <c r="F961" s="78"/>
      <c r="G961" s="110"/>
      <c r="H961" s="115"/>
      <c r="I961" s="78"/>
      <c r="J961" s="78"/>
      <c r="K961" s="78"/>
      <c r="L961" s="110"/>
      <c r="M961" s="78"/>
      <c r="N961" s="78"/>
      <c r="O961" s="78"/>
      <c r="P961" s="78"/>
      <c r="Q961" s="78"/>
      <c r="R961" s="110"/>
      <c r="S961" s="110"/>
    </row>
    <row r="962" spans="1:19" ht="15" x14ac:dyDescent="0.25">
      <c r="A962" s="109"/>
      <c r="B962" s="109"/>
      <c r="C962" s="111"/>
      <c r="D962" s="111"/>
      <c r="E962" s="111"/>
      <c r="F962" s="111"/>
      <c r="G962" s="112"/>
      <c r="H962" s="114"/>
      <c r="I962" s="111"/>
      <c r="J962" s="111"/>
      <c r="K962" s="111"/>
      <c r="L962" s="112"/>
      <c r="M962" s="111"/>
      <c r="N962" s="111"/>
      <c r="O962" s="111"/>
      <c r="P962" s="111"/>
      <c r="Q962" s="111"/>
      <c r="R962" s="112"/>
      <c r="S962" s="112"/>
    </row>
    <row r="963" spans="1:19" ht="15" x14ac:dyDescent="0.25">
      <c r="A963" s="109"/>
      <c r="B963" s="109"/>
      <c r="C963" s="78"/>
      <c r="D963" s="78"/>
      <c r="E963" s="78"/>
      <c r="F963" s="78"/>
      <c r="G963" s="110"/>
      <c r="H963" s="115"/>
      <c r="I963" s="78"/>
      <c r="J963" s="78"/>
      <c r="K963" s="78"/>
      <c r="L963" s="110"/>
      <c r="M963" s="78"/>
      <c r="N963" s="78"/>
      <c r="O963" s="78"/>
      <c r="P963" s="78"/>
      <c r="Q963" s="78"/>
      <c r="R963" s="110"/>
      <c r="S963" s="110"/>
    </row>
    <row r="964" spans="1:19" ht="15" x14ac:dyDescent="0.25">
      <c r="A964" s="109"/>
      <c r="B964" s="109"/>
      <c r="C964" s="111"/>
      <c r="D964" s="111"/>
      <c r="E964" s="111"/>
      <c r="F964" s="111"/>
      <c r="G964" s="112"/>
      <c r="H964" s="114"/>
      <c r="I964" s="111"/>
      <c r="J964" s="111"/>
      <c r="K964" s="111"/>
      <c r="L964" s="112"/>
      <c r="M964" s="111"/>
      <c r="N964" s="111"/>
      <c r="O964" s="111"/>
      <c r="P964" s="111"/>
      <c r="Q964" s="111"/>
      <c r="R964" s="112"/>
      <c r="S964" s="112"/>
    </row>
    <row r="965" spans="1:19" ht="15" x14ac:dyDescent="0.25">
      <c r="A965" s="109"/>
      <c r="B965" s="109"/>
      <c r="C965" s="78"/>
      <c r="D965" s="78"/>
      <c r="E965" s="78"/>
      <c r="F965" s="78"/>
      <c r="G965" s="110"/>
      <c r="H965" s="115"/>
      <c r="I965" s="78"/>
      <c r="J965" s="78"/>
      <c r="K965" s="78"/>
      <c r="L965" s="110"/>
      <c r="M965" s="78"/>
      <c r="N965" s="78"/>
      <c r="O965" s="78"/>
      <c r="P965" s="78"/>
      <c r="Q965" s="78"/>
      <c r="R965" s="110"/>
      <c r="S965" s="110"/>
    </row>
    <row r="966" spans="1:19" ht="15" x14ac:dyDescent="0.25">
      <c r="A966" s="109"/>
      <c r="B966" s="109"/>
      <c r="C966" s="111"/>
      <c r="D966" s="111"/>
      <c r="E966" s="111"/>
      <c r="F966" s="111"/>
      <c r="G966" s="112"/>
      <c r="H966" s="114"/>
      <c r="I966" s="111"/>
      <c r="J966" s="111"/>
      <c r="K966" s="111"/>
      <c r="L966" s="112"/>
      <c r="M966" s="111"/>
      <c r="N966" s="111"/>
      <c r="O966" s="111"/>
      <c r="P966" s="111"/>
      <c r="Q966" s="111"/>
      <c r="R966" s="112"/>
      <c r="S966" s="112"/>
    </row>
    <row r="967" spans="1:19" ht="15" x14ac:dyDescent="0.25">
      <c r="A967" s="109"/>
      <c r="B967" s="109"/>
      <c r="C967" s="78"/>
      <c r="D967" s="78"/>
      <c r="E967" s="78"/>
      <c r="F967" s="78"/>
      <c r="G967" s="110"/>
      <c r="H967" s="115"/>
      <c r="I967" s="78"/>
      <c r="J967" s="78"/>
      <c r="K967" s="78"/>
      <c r="L967" s="110"/>
      <c r="M967" s="78"/>
      <c r="N967" s="78"/>
      <c r="O967" s="78"/>
      <c r="P967" s="78"/>
      <c r="Q967" s="78"/>
      <c r="R967" s="110"/>
      <c r="S967" s="110"/>
    </row>
    <row r="968" spans="1:19" ht="15" x14ac:dyDescent="0.25">
      <c r="A968" s="109"/>
      <c r="B968" s="109"/>
      <c r="C968" s="111"/>
      <c r="D968" s="111"/>
      <c r="E968" s="111"/>
      <c r="F968" s="111"/>
      <c r="G968" s="112"/>
      <c r="H968" s="114"/>
      <c r="I968" s="111"/>
      <c r="J968" s="111"/>
      <c r="K968" s="111"/>
      <c r="L968" s="112"/>
      <c r="M968" s="111"/>
      <c r="N968" s="111"/>
      <c r="O968" s="111"/>
      <c r="P968" s="111"/>
      <c r="Q968" s="111"/>
      <c r="R968" s="112"/>
      <c r="S968" s="112"/>
    </row>
    <row r="969" spans="1:19" ht="15" x14ac:dyDescent="0.25">
      <c r="A969" s="109"/>
      <c r="B969" s="109"/>
      <c r="C969" s="78"/>
      <c r="D969" s="78"/>
      <c r="E969" s="78"/>
      <c r="F969" s="78"/>
      <c r="G969" s="110"/>
      <c r="H969" s="115"/>
      <c r="I969" s="78"/>
      <c r="J969" s="78"/>
      <c r="K969" s="78"/>
      <c r="L969" s="110"/>
      <c r="M969" s="78"/>
      <c r="N969" s="78"/>
      <c r="O969" s="78"/>
      <c r="P969" s="78"/>
      <c r="Q969" s="78"/>
      <c r="R969" s="110"/>
      <c r="S969" s="110"/>
    </row>
    <row r="970" spans="1:19" ht="15" x14ac:dyDescent="0.25">
      <c r="A970" s="109"/>
      <c r="B970" s="109"/>
      <c r="C970" s="111"/>
      <c r="D970" s="111"/>
      <c r="E970" s="111"/>
      <c r="F970" s="111"/>
      <c r="G970" s="112"/>
      <c r="H970" s="114"/>
      <c r="I970" s="111"/>
      <c r="J970" s="111"/>
      <c r="K970" s="111"/>
      <c r="L970" s="112"/>
      <c r="M970" s="111"/>
      <c r="N970" s="111"/>
      <c r="O970" s="111"/>
      <c r="P970" s="111"/>
      <c r="Q970" s="111"/>
      <c r="R970" s="112"/>
      <c r="S970" s="112"/>
    </row>
    <row r="971" spans="1:19" ht="15" x14ac:dyDescent="0.25">
      <c r="A971" s="109"/>
      <c r="B971" s="109"/>
      <c r="C971" s="78"/>
      <c r="D971" s="78"/>
      <c r="E971" s="78"/>
      <c r="F971" s="78"/>
      <c r="G971" s="110"/>
      <c r="H971" s="115"/>
      <c r="I971" s="78"/>
      <c r="J971" s="78"/>
      <c r="K971" s="78"/>
      <c r="L971" s="110"/>
      <c r="M971" s="78"/>
      <c r="N971" s="78"/>
      <c r="O971" s="78"/>
      <c r="P971" s="78"/>
      <c r="Q971" s="78"/>
      <c r="R971" s="110"/>
      <c r="S971" s="110"/>
    </row>
    <row r="972" spans="1:19" ht="15" x14ac:dyDescent="0.25">
      <c r="A972" s="109"/>
      <c r="B972" s="109"/>
      <c r="C972" s="111"/>
      <c r="D972" s="111"/>
      <c r="E972" s="111"/>
      <c r="F972" s="111"/>
      <c r="G972" s="112"/>
      <c r="H972" s="114"/>
      <c r="I972" s="111"/>
      <c r="J972" s="111"/>
      <c r="K972" s="111"/>
      <c r="L972" s="112"/>
      <c r="M972" s="111"/>
      <c r="N972" s="111"/>
      <c r="O972" s="111"/>
      <c r="P972" s="111"/>
      <c r="Q972" s="111"/>
      <c r="R972" s="112"/>
      <c r="S972" s="112"/>
    </row>
    <row r="973" spans="1:19" ht="15" x14ac:dyDescent="0.25">
      <c r="A973" s="109"/>
      <c r="B973" s="109"/>
      <c r="C973" s="78"/>
      <c r="D973" s="78"/>
      <c r="E973" s="78"/>
      <c r="F973" s="78"/>
      <c r="G973" s="110"/>
      <c r="H973" s="115"/>
      <c r="I973" s="78"/>
      <c r="J973" s="78"/>
      <c r="K973" s="78"/>
      <c r="L973" s="110"/>
      <c r="M973" s="78"/>
      <c r="N973" s="78"/>
      <c r="O973" s="78"/>
      <c r="P973" s="78"/>
      <c r="Q973" s="78"/>
      <c r="R973" s="110"/>
      <c r="S973" s="110"/>
    </row>
    <row r="974" spans="1:19" ht="15" x14ac:dyDescent="0.25">
      <c r="A974" s="109"/>
      <c r="B974" s="109"/>
      <c r="C974" s="111"/>
      <c r="D974" s="111"/>
      <c r="E974" s="111"/>
      <c r="F974" s="111"/>
      <c r="G974" s="112"/>
      <c r="H974" s="114"/>
      <c r="I974" s="111"/>
      <c r="J974" s="111"/>
      <c r="K974" s="111"/>
      <c r="L974" s="112"/>
      <c r="M974" s="111"/>
      <c r="N974" s="111"/>
      <c r="O974" s="111"/>
      <c r="P974" s="111"/>
      <c r="Q974" s="111"/>
      <c r="R974" s="112"/>
      <c r="S974" s="112"/>
    </row>
    <row r="975" spans="1:19" ht="15" x14ac:dyDescent="0.25">
      <c r="A975" s="109"/>
      <c r="B975" s="109"/>
      <c r="C975" s="78"/>
      <c r="D975" s="78"/>
      <c r="E975" s="78"/>
      <c r="F975" s="78"/>
      <c r="G975" s="110"/>
      <c r="H975" s="115"/>
      <c r="I975" s="78"/>
      <c r="J975" s="78"/>
      <c r="K975" s="78"/>
      <c r="L975" s="110"/>
      <c r="M975" s="78"/>
      <c r="N975" s="78"/>
      <c r="O975" s="78"/>
      <c r="P975" s="78"/>
      <c r="Q975" s="78"/>
      <c r="R975" s="110"/>
      <c r="S975" s="110"/>
    </row>
    <row r="976" spans="1:19" ht="15" x14ac:dyDescent="0.25">
      <c r="A976" s="109"/>
      <c r="B976" s="109"/>
      <c r="C976" s="111"/>
      <c r="D976" s="111"/>
      <c r="E976" s="111"/>
      <c r="F976" s="111"/>
      <c r="G976" s="112"/>
      <c r="H976" s="114"/>
      <c r="I976" s="111"/>
      <c r="J976" s="111"/>
      <c r="K976" s="111"/>
      <c r="L976" s="112"/>
      <c r="M976" s="111"/>
      <c r="N976" s="111"/>
      <c r="O976" s="111"/>
      <c r="P976" s="111"/>
      <c r="Q976" s="111"/>
      <c r="R976" s="112"/>
      <c r="S976" s="112"/>
    </row>
    <row r="977" spans="1:19" ht="15" x14ac:dyDescent="0.25">
      <c r="A977" s="109"/>
      <c r="B977" s="109"/>
      <c r="C977" s="78"/>
      <c r="D977" s="78"/>
      <c r="E977" s="78"/>
      <c r="F977" s="78"/>
      <c r="G977" s="110"/>
      <c r="H977" s="115"/>
      <c r="I977" s="78"/>
      <c r="J977" s="78"/>
      <c r="K977" s="78"/>
      <c r="L977" s="110"/>
      <c r="M977" s="78"/>
      <c r="N977" s="78"/>
      <c r="O977" s="78"/>
      <c r="P977" s="78"/>
      <c r="Q977" s="78"/>
      <c r="R977" s="110"/>
      <c r="S977" s="110"/>
    </row>
    <row r="978" spans="1:19" ht="15" x14ac:dyDescent="0.25">
      <c r="A978" s="109"/>
      <c r="B978" s="109"/>
      <c r="C978" s="111"/>
      <c r="D978" s="111"/>
      <c r="E978" s="111"/>
      <c r="F978" s="111"/>
      <c r="G978" s="112"/>
      <c r="H978" s="114"/>
      <c r="I978" s="111"/>
      <c r="J978" s="111"/>
      <c r="K978" s="111"/>
      <c r="L978" s="112"/>
      <c r="M978" s="111"/>
      <c r="N978" s="111"/>
      <c r="O978" s="111"/>
      <c r="P978" s="111"/>
      <c r="Q978" s="111"/>
      <c r="R978" s="112"/>
      <c r="S978" s="112"/>
    </row>
    <row r="979" spans="1:19" ht="15" x14ac:dyDescent="0.25">
      <c r="A979" s="109"/>
      <c r="B979" s="109"/>
      <c r="C979" s="78"/>
      <c r="D979" s="78"/>
      <c r="E979" s="78"/>
      <c r="F979" s="78"/>
      <c r="G979" s="110"/>
      <c r="H979" s="115"/>
      <c r="I979" s="78"/>
      <c r="J979" s="78"/>
      <c r="K979" s="78"/>
      <c r="L979" s="110"/>
      <c r="M979" s="78"/>
      <c r="N979" s="78"/>
      <c r="O979" s="78"/>
      <c r="P979" s="78"/>
      <c r="Q979" s="78"/>
      <c r="R979" s="110"/>
      <c r="S979" s="110"/>
    </row>
    <row r="980" spans="1:19" ht="15" x14ac:dyDescent="0.25">
      <c r="A980" s="109"/>
      <c r="B980" s="109"/>
      <c r="C980" s="111"/>
      <c r="D980" s="111"/>
      <c r="E980" s="111"/>
      <c r="F980" s="111"/>
      <c r="G980" s="112"/>
      <c r="H980" s="114"/>
      <c r="I980" s="111"/>
      <c r="J980" s="111"/>
      <c r="K980" s="111"/>
      <c r="L980" s="112"/>
      <c r="M980" s="111"/>
      <c r="N980" s="111"/>
      <c r="O980" s="111"/>
      <c r="P980" s="111"/>
      <c r="Q980" s="111"/>
      <c r="R980" s="112"/>
      <c r="S980" s="112"/>
    </row>
    <row r="981" spans="1:19" ht="15" x14ac:dyDescent="0.25">
      <c r="A981" s="109"/>
      <c r="B981" s="109"/>
      <c r="C981" s="78"/>
      <c r="D981" s="78"/>
      <c r="E981" s="78"/>
      <c r="F981" s="78"/>
      <c r="G981" s="110"/>
      <c r="H981" s="115"/>
      <c r="I981" s="78"/>
      <c r="J981" s="78"/>
      <c r="K981" s="78"/>
      <c r="L981" s="110"/>
      <c r="M981" s="78"/>
      <c r="N981" s="78"/>
      <c r="O981" s="78"/>
      <c r="P981" s="78"/>
      <c r="Q981" s="78"/>
      <c r="R981" s="110"/>
      <c r="S981" s="110"/>
    </row>
    <row r="982" spans="1:19" ht="15" x14ac:dyDescent="0.25">
      <c r="A982" s="109"/>
      <c r="B982" s="109"/>
      <c r="C982" s="111"/>
      <c r="D982" s="111"/>
      <c r="E982" s="111"/>
      <c r="F982" s="111"/>
      <c r="G982" s="112"/>
      <c r="H982" s="114"/>
      <c r="I982" s="111"/>
      <c r="J982" s="111"/>
      <c r="K982" s="111"/>
      <c r="L982" s="112"/>
      <c r="M982" s="111"/>
      <c r="N982" s="111"/>
      <c r="O982" s="111"/>
      <c r="P982" s="111"/>
      <c r="Q982" s="111"/>
      <c r="R982" s="112"/>
      <c r="S982" s="112"/>
    </row>
    <row r="983" spans="1:19" ht="15" x14ac:dyDescent="0.25">
      <c r="A983" s="109"/>
      <c r="B983" s="109"/>
      <c r="C983" s="78"/>
      <c r="D983" s="78"/>
      <c r="E983" s="78"/>
      <c r="F983" s="78"/>
      <c r="G983" s="110"/>
      <c r="H983" s="115"/>
      <c r="I983" s="78"/>
      <c r="J983" s="78"/>
      <c r="K983" s="78"/>
      <c r="L983" s="110"/>
      <c r="M983" s="78"/>
      <c r="N983" s="78"/>
      <c r="O983" s="78"/>
      <c r="P983" s="78"/>
      <c r="Q983" s="78"/>
      <c r="R983" s="110"/>
      <c r="S983" s="110"/>
    </row>
    <row r="984" spans="1:19" ht="15" x14ac:dyDescent="0.25">
      <c r="A984" s="109"/>
      <c r="B984" s="109"/>
      <c r="C984" s="111"/>
      <c r="D984" s="111"/>
      <c r="E984" s="111"/>
      <c r="F984" s="111"/>
      <c r="G984" s="112"/>
      <c r="H984" s="114"/>
      <c r="I984" s="111"/>
      <c r="J984" s="111"/>
      <c r="K984" s="111"/>
      <c r="L984" s="112"/>
      <c r="M984" s="111"/>
      <c r="N984" s="111"/>
      <c r="O984" s="111"/>
      <c r="P984" s="111"/>
      <c r="Q984" s="111"/>
      <c r="R984" s="112"/>
      <c r="S984" s="112"/>
    </row>
    <row r="985" spans="1:19" ht="15" x14ac:dyDescent="0.25">
      <c r="A985" s="109"/>
      <c r="B985" s="109"/>
      <c r="C985" s="78"/>
      <c r="D985" s="78"/>
      <c r="E985" s="78"/>
      <c r="F985" s="78"/>
      <c r="G985" s="110"/>
      <c r="H985" s="115"/>
      <c r="I985" s="78"/>
      <c r="J985" s="78"/>
      <c r="K985" s="78"/>
      <c r="L985" s="110"/>
      <c r="M985" s="78"/>
      <c r="N985" s="78"/>
      <c r="O985" s="78"/>
      <c r="P985" s="78"/>
      <c r="Q985" s="78"/>
      <c r="R985" s="110"/>
      <c r="S985" s="110"/>
    </row>
    <row r="986" spans="1:19" ht="15" x14ac:dyDescent="0.25">
      <c r="A986" s="109"/>
      <c r="B986" s="109"/>
      <c r="C986" s="111"/>
      <c r="D986" s="111"/>
      <c r="E986" s="111"/>
      <c r="F986" s="111"/>
      <c r="G986" s="112"/>
      <c r="H986" s="114"/>
      <c r="I986" s="111"/>
      <c r="J986" s="111"/>
      <c r="K986" s="111"/>
      <c r="L986" s="112"/>
      <c r="M986" s="111"/>
      <c r="N986" s="111"/>
      <c r="O986" s="111"/>
      <c r="P986" s="111"/>
      <c r="Q986" s="111"/>
      <c r="R986" s="112"/>
      <c r="S986" s="112"/>
    </row>
    <row r="987" spans="1:19" ht="15" x14ac:dyDescent="0.25">
      <c r="A987" s="109"/>
      <c r="B987" s="109"/>
      <c r="C987" s="78"/>
      <c r="D987" s="78"/>
      <c r="E987" s="78"/>
      <c r="F987" s="78"/>
      <c r="G987" s="110"/>
      <c r="H987" s="115"/>
      <c r="I987" s="78"/>
      <c r="J987" s="78"/>
      <c r="K987" s="78"/>
      <c r="L987" s="110"/>
      <c r="M987" s="78"/>
      <c r="N987" s="78"/>
      <c r="O987" s="78"/>
      <c r="P987" s="78"/>
      <c r="Q987" s="78"/>
      <c r="R987" s="110"/>
      <c r="S987" s="110"/>
    </row>
    <row r="988" spans="1:19" ht="15" x14ac:dyDescent="0.25">
      <c r="A988" s="109"/>
      <c r="B988" s="109"/>
      <c r="C988" s="111"/>
      <c r="D988" s="111"/>
      <c r="E988" s="111"/>
      <c r="F988" s="111"/>
      <c r="G988" s="112"/>
      <c r="H988" s="114"/>
      <c r="I988" s="111"/>
      <c r="J988" s="111"/>
      <c r="K988" s="111"/>
      <c r="L988" s="112"/>
      <c r="M988" s="111"/>
      <c r="N988" s="111"/>
      <c r="O988" s="111"/>
      <c r="P988" s="111"/>
      <c r="Q988" s="111"/>
      <c r="R988" s="112"/>
      <c r="S988" s="112"/>
    </row>
    <row r="989" spans="1:19" ht="15" x14ac:dyDescent="0.25">
      <c r="A989" s="109"/>
      <c r="B989" s="109"/>
      <c r="C989" s="78"/>
      <c r="D989" s="78"/>
      <c r="E989" s="78"/>
      <c r="F989" s="78"/>
      <c r="G989" s="110"/>
      <c r="H989" s="115"/>
      <c r="I989" s="78"/>
      <c r="J989" s="78"/>
      <c r="K989" s="78"/>
      <c r="L989" s="110"/>
      <c r="M989" s="78"/>
      <c r="N989" s="78"/>
      <c r="O989" s="78"/>
      <c r="P989" s="78"/>
      <c r="Q989" s="78"/>
      <c r="R989" s="110"/>
      <c r="S989" s="110"/>
    </row>
    <row r="990" spans="1:19" ht="15" x14ac:dyDescent="0.25">
      <c r="A990" s="109"/>
      <c r="B990" s="109"/>
      <c r="C990" s="111"/>
      <c r="D990" s="111"/>
      <c r="E990" s="111"/>
      <c r="F990" s="111"/>
      <c r="G990" s="112"/>
      <c r="H990" s="114"/>
      <c r="I990" s="111"/>
      <c r="J990" s="111"/>
      <c r="K990" s="111"/>
      <c r="L990" s="112"/>
      <c r="M990" s="111"/>
      <c r="N990" s="111"/>
      <c r="O990" s="111"/>
      <c r="P990" s="111"/>
      <c r="Q990" s="111"/>
      <c r="R990" s="112"/>
      <c r="S990" s="112"/>
    </row>
    <row r="991" spans="1:19" ht="15" x14ac:dyDescent="0.25">
      <c r="A991" s="109"/>
      <c r="B991" s="109"/>
      <c r="C991" s="78"/>
      <c r="D991" s="78"/>
      <c r="E991" s="78"/>
      <c r="F991" s="78"/>
      <c r="G991" s="110"/>
      <c r="H991" s="115"/>
      <c r="I991" s="78"/>
      <c r="J991" s="78"/>
      <c r="K991" s="78"/>
      <c r="L991" s="110"/>
      <c r="M991" s="78"/>
      <c r="N991" s="78"/>
      <c r="O991" s="78"/>
      <c r="P991" s="78"/>
      <c r="Q991" s="78"/>
      <c r="R991" s="110"/>
      <c r="S991" s="110"/>
    </row>
    <row r="992" spans="1:19" ht="15" x14ac:dyDescent="0.25">
      <c r="A992" s="109"/>
      <c r="B992" s="109"/>
      <c r="C992" s="111"/>
      <c r="D992" s="111"/>
      <c r="E992" s="111"/>
      <c r="F992" s="111"/>
      <c r="G992" s="112"/>
      <c r="H992" s="114"/>
      <c r="I992" s="111"/>
      <c r="J992" s="111"/>
      <c r="K992" s="111"/>
      <c r="L992" s="112"/>
      <c r="M992" s="111"/>
      <c r="N992" s="111"/>
      <c r="O992" s="111"/>
      <c r="P992" s="111"/>
      <c r="Q992" s="111"/>
      <c r="R992" s="112"/>
      <c r="S992" s="112"/>
    </row>
    <row r="993" spans="1:19" ht="15" x14ac:dyDescent="0.25">
      <c r="A993" s="109"/>
      <c r="B993" s="109"/>
      <c r="C993" s="78"/>
      <c r="D993" s="78"/>
      <c r="E993" s="78"/>
      <c r="F993" s="78"/>
      <c r="G993" s="110"/>
      <c r="H993" s="115"/>
      <c r="I993" s="78"/>
      <c r="J993" s="78"/>
      <c r="K993" s="78"/>
      <c r="L993" s="110"/>
      <c r="M993" s="78"/>
      <c r="N993" s="78"/>
      <c r="O993" s="78"/>
      <c r="P993" s="78"/>
      <c r="Q993" s="78"/>
      <c r="R993" s="110"/>
      <c r="S993" s="110"/>
    </row>
    <row r="994" spans="1:19" ht="15" x14ac:dyDescent="0.25">
      <c r="A994" s="109"/>
      <c r="B994" s="109"/>
      <c r="C994" s="111"/>
      <c r="D994" s="111"/>
      <c r="E994" s="111"/>
      <c r="F994" s="111"/>
      <c r="G994" s="112"/>
      <c r="H994" s="114"/>
      <c r="I994" s="111"/>
      <c r="J994" s="111"/>
      <c r="K994" s="111"/>
      <c r="L994" s="112"/>
      <c r="M994" s="111"/>
      <c r="N994" s="111"/>
      <c r="O994" s="111"/>
      <c r="P994" s="111"/>
      <c r="Q994" s="111"/>
      <c r="R994" s="112"/>
      <c r="S994" s="112"/>
    </row>
    <row r="995" spans="1:19" ht="15" x14ac:dyDescent="0.25">
      <c r="A995" s="109"/>
      <c r="B995" s="109"/>
      <c r="C995" s="78"/>
      <c r="D995" s="78"/>
      <c r="E995" s="78"/>
      <c r="F995" s="78"/>
      <c r="G995" s="110"/>
      <c r="H995" s="115"/>
      <c r="I995" s="78"/>
      <c r="J995" s="78"/>
      <c r="K995" s="78"/>
      <c r="L995" s="110"/>
      <c r="M995" s="78"/>
      <c r="N995" s="78"/>
      <c r="O995" s="78"/>
      <c r="P995" s="78"/>
      <c r="Q995" s="78"/>
      <c r="R995" s="110"/>
      <c r="S995" s="110"/>
    </row>
    <row r="996" spans="1:19" ht="15" x14ac:dyDescent="0.25">
      <c r="A996" s="109"/>
      <c r="B996" s="109"/>
      <c r="C996" s="111"/>
      <c r="D996" s="111"/>
      <c r="E996" s="111"/>
      <c r="F996" s="111"/>
      <c r="G996" s="112"/>
      <c r="H996" s="114"/>
      <c r="I996" s="111"/>
      <c r="J996" s="111"/>
      <c r="K996" s="111"/>
      <c r="L996" s="112"/>
      <c r="M996" s="111"/>
      <c r="N996" s="111"/>
      <c r="O996" s="111"/>
      <c r="P996" s="111"/>
      <c r="Q996" s="111"/>
      <c r="R996" s="112"/>
      <c r="S996" s="112"/>
    </row>
    <row r="997" spans="1:19" ht="15" x14ac:dyDescent="0.25">
      <c r="A997" s="109"/>
      <c r="B997" s="109"/>
      <c r="C997" s="78"/>
      <c r="D997" s="78"/>
      <c r="E997" s="78"/>
      <c r="F997" s="78"/>
      <c r="G997" s="110"/>
      <c r="H997" s="115"/>
      <c r="I997" s="78"/>
      <c r="J997" s="78"/>
      <c r="K997" s="78"/>
      <c r="L997" s="110"/>
      <c r="M997" s="78"/>
      <c r="N997" s="78"/>
      <c r="O997" s="78"/>
      <c r="P997" s="78"/>
      <c r="Q997" s="78"/>
      <c r="R997" s="110"/>
      <c r="S997" s="110"/>
    </row>
    <row r="998" spans="1:19" ht="15" x14ac:dyDescent="0.25">
      <c r="A998" s="109"/>
      <c r="B998" s="109"/>
      <c r="C998" s="111"/>
      <c r="D998" s="111"/>
      <c r="E998" s="111"/>
      <c r="F998" s="111"/>
      <c r="G998" s="112"/>
      <c r="H998" s="114"/>
      <c r="I998" s="111"/>
      <c r="J998" s="111"/>
      <c r="K998" s="111"/>
      <c r="L998" s="112"/>
      <c r="M998" s="111"/>
      <c r="N998" s="111"/>
      <c r="O998" s="111"/>
      <c r="P998" s="111"/>
      <c r="Q998" s="111"/>
      <c r="R998" s="112"/>
      <c r="S998" s="112"/>
    </row>
    <row r="999" spans="1:19" ht="15" x14ac:dyDescent="0.25">
      <c r="A999" s="109"/>
      <c r="B999" s="109"/>
      <c r="C999" s="78"/>
      <c r="D999" s="78"/>
      <c r="E999" s="78"/>
      <c r="F999" s="78"/>
      <c r="G999" s="110"/>
      <c r="H999" s="115"/>
      <c r="I999" s="78"/>
      <c r="J999" s="78"/>
      <c r="K999" s="78"/>
      <c r="L999" s="110"/>
      <c r="M999" s="78"/>
      <c r="N999" s="78"/>
      <c r="O999" s="78"/>
      <c r="P999" s="78"/>
      <c r="Q999" s="78"/>
      <c r="R999" s="110"/>
      <c r="S999" s="110"/>
    </row>
    <row r="1000" spans="1:19" ht="15" x14ac:dyDescent="0.25">
      <c r="A1000" s="109"/>
      <c r="B1000" s="109"/>
      <c r="C1000" s="111"/>
      <c r="D1000" s="111"/>
      <c r="E1000" s="111"/>
      <c r="F1000" s="111"/>
      <c r="G1000" s="112"/>
      <c r="H1000" s="114"/>
      <c r="I1000" s="111"/>
      <c r="J1000" s="111"/>
      <c r="K1000" s="111"/>
      <c r="L1000" s="112"/>
      <c r="M1000" s="111"/>
      <c r="N1000" s="111"/>
      <c r="O1000" s="111"/>
      <c r="P1000" s="111"/>
      <c r="Q1000" s="111"/>
      <c r="R1000" s="112"/>
      <c r="S1000" s="112"/>
    </row>
    <row r="1001" spans="1:19" ht="15" x14ac:dyDescent="0.25">
      <c r="A1001" s="109"/>
      <c r="B1001" s="109"/>
      <c r="C1001" s="78"/>
      <c r="D1001" s="78"/>
      <c r="E1001" s="78"/>
      <c r="F1001" s="78"/>
      <c r="G1001" s="110"/>
      <c r="H1001" s="115"/>
      <c r="I1001" s="78"/>
      <c r="J1001" s="78"/>
      <c r="K1001" s="78"/>
      <c r="L1001" s="110"/>
      <c r="M1001" s="78"/>
      <c r="N1001" s="78"/>
      <c r="O1001" s="78"/>
      <c r="P1001" s="78"/>
      <c r="Q1001" s="78"/>
      <c r="R1001" s="110"/>
      <c r="S1001" s="110"/>
    </row>
    <row r="1002" spans="1:19" ht="15" x14ac:dyDescent="0.25">
      <c r="A1002" s="109"/>
      <c r="B1002" s="109"/>
      <c r="C1002" s="111"/>
      <c r="D1002" s="111"/>
      <c r="E1002" s="111"/>
      <c r="F1002" s="111"/>
      <c r="G1002" s="112"/>
      <c r="H1002" s="114"/>
      <c r="I1002" s="111"/>
      <c r="J1002" s="111"/>
      <c r="K1002" s="111"/>
      <c r="L1002" s="112"/>
      <c r="M1002" s="111"/>
      <c r="N1002" s="111"/>
      <c r="O1002" s="111"/>
      <c r="P1002" s="111"/>
      <c r="Q1002" s="111"/>
      <c r="R1002" s="112"/>
      <c r="S1002" s="112"/>
    </row>
    <row r="1003" spans="1:19" ht="15" x14ac:dyDescent="0.25">
      <c r="A1003" s="109"/>
      <c r="B1003" s="109"/>
      <c r="C1003" s="78"/>
      <c r="D1003" s="78"/>
      <c r="E1003" s="78"/>
      <c r="F1003" s="78"/>
      <c r="G1003" s="110"/>
      <c r="H1003" s="115"/>
      <c r="I1003" s="78"/>
      <c r="J1003" s="78"/>
      <c r="K1003" s="78"/>
      <c r="L1003" s="110"/>
      <c r="M1003" s="78"/>
      <c r="N1003" s="78"/>
      <c r="O1003" s="78"/>
      <c r="P1003" s="78"/>
      <c r="Q1003" s="78"/>
      <c r="R1003" s="110"/>
      <c r="S1003" s="110"/>
    </row>
    <row r="1004" spans="1:19" ht="15" x14ac:dyDescent="0.25">
      <c r="A1004" s="109"/>
      <c r="B1004" s="109"/>
      <c r="C1004" s="111"/>
      <c r="D1004" s="111"/>
      <c r="E1004" s="111"/>
      <c r="F1004" s="111"/>
      <c r="G1004" s="112"/>
      <c r="H1004" s="114"/>
      <c r="I1004" s="111"/>
      <c r="J1004" s="111"/>
      <c r="K1004" s="111"/>
      <c r="L1004" s="112"/>
      <c r="M1004" s="111"/>
      <c r="N1004" s="111"/>
      <c r="O1004" s="111"/>
      <c r="P1004" s="111"/>
      <c r="Q1004" s="111"/>
      <c r="R1004" s="112"/>
      <c r="S1004" s="112"/>
    </row>
    <row r="1005" spans="1:19" ht="15" x14ac:dyDescent="0.25">
      <c r="A1005" s="109"/>
      <c r="B1005" s="109"/>
      <c r="C1005" s="78"/>
      <c r="D1005" s="78"/>
      <c r="E1005" s="78"/>
      <c r="F1005" s="78"/>
      <c r="G1005" s="110"/>
      <c r="H1005" s="115"/>
      <c r="I1005" s="78"/>
      <c r="J1005" s="78"/>
      <c r="K1005" s="78"/>
      <c r="L1005" s="110"/>
      <c r="M1005" s="78"/>
      <c r="N1005" s="78"/>
      <c r="O1005" s="78"/>
      <c r="P1005" s="78"/>
      <c r="Q1005" s="78"/>
      <c r="R1005" s="110"/>
      <c r="S1005" s="110"/>
    </row>
    <row r="1006" spans="1:19" ht="15" x14ac:dyDescent="0.25">
      <c r="A1006" s="109"/>
      <c r="B1006" s="109"/>
      <c r="C1006" s="111"/>
      <c r="D1006" s="111"/>
      <c r="E1006" s="111"/>
      <c r="F1006" s="111"/>
      <c r="G1006" s="112"/>
      <c r="H1006" s="114"/>
      <c r="I1006" s="111"/>
      <c r="J1006" s="111"/>
      <c r="K1006" s="111"/>
      <c r="L1006" s="112"/>
      <c r="M1006" s="111"/>
      <c r="N1006" s="111"/>
      <c r="O1006" s="111"/>
      <c r="P1006" s="111"/>
      <c r="Q1006" s="111"/>
      <c r="R1006" s="112"/>
      <c r="S1006" s="112"/>
    </row>
    <row r="1007" spans="1:19" ht="15" x14ac:dyDescent="0.25">
      <c r="A1007" s="109"/>
      <c r="B1007" s="109"/>
      <c r="C1007" s="78"/>
      <c r="D1007" s="78"/>
      <c r="E1007" s="78"/>
      <c r="F1007" s="78"/>
      <c r="G1007" s="110"/>
      <c r="H1007" s="115"/>
      <c r="I1007" s="78"/>
      <c r="J1007" s="78"/>
      <c r="K1007" s="78"/>
      <c r="L1007" s="110"/>
      <c r="M1007" s="78"/>
      <c r="N1007" s="78"/>
      <c r="O1007" s="78"/>
      <c r="P1007" s="78"/>
      <c r="Q1007" s="78"/>
      <c r="R1007" s="110"/>
      <c r="S1007" s="110"/>
    </row>
    <row r="1008" spans="1:19" ht="15" x14ac:dyDescent="0.25">
      <c r="A1008" s="109"/>
      <c r="B1008" s="109"/>
      <c r="C1008" s="111"/>
      <c r="D1008" s="111"/>
      <c r="E1008" s="111"/>
      <c r="F1008" s="111"/>
      <c r="G1008" s="112"/>
      <c r="H1008" s="114"/>
      <c r="I1008" s="111"/>
      <c r="J1008" s="111"/>
      <c r="K1008" s="111"/>
      <c r="L1008" s="112"/>
      <c r="M1008" s="111"/>
      <c r="N1008" s="111"/>
      <c r="O1008" s="111"/>
      <c r="P1008" s="111"/>
      <c r="Q1008" s="111"/>
      <c r="R1008" s="112"/>
      <c r="S1008" s="112"/>
    </row>
    <row r="1009" spans="1:19" ht="15" x14ac:dyDescent="0.25">
      <c r="A1009" s="109"/>
      <c r="B1009" s="109"/>
      <c r="C1009" s="78"/>
      <c r="D1009" s="78"/>
      <c r="E1009" s="78"/>
      <c r="F1009" s="78"/>
      <c r="G1009" s="110"/>
      <c r="H1009" s="115"/>
      <c r="I1009" s="78"/>
      <c r="J1009" s="78"/>
      <c r="K1009" s="78"/>
      <c r="L1009" s="110"/>
      <c r="M1009" s="78"/>
      <c r="N1009" s="78"/>
      <c r="O1009" s="78"/>
      <c r="P1009" s="78"/>
      <c r="Q1009" s="78"/>
      <c r="R1009" s="110"/>
      <c r="S1009" s="110"/>
    </row>
    <row r="1010" spans="1:19" ht="15" x14ac:dyDescent="0.25">
      <c r="A1010" s="109"/>
      <c r="B1010" s="109"/>
      <c r="C1010" s="111"/>
      <c r="D1010" s="111"/>
      <c r="E1010" s="111"/>
      <c r="F1010" s="111"/>
      <c r="G1010" s="112"/>
      <c r="H1010" s="114"/>
      <c r="I1010" s="111"/>
      <c r="J1010" s="111"/>
      <c r="K1010" s="111"/>
      <c r="L1010" s="112"/>
      <c r="M1010" s="111"/>
      <c r="N1010" s="111"/>
      <c r="O1010" s="111"/>
      <c r="P1010" s="111"/>
      <c r="Q1010" s="111"/>
      <c r="R1010" s="112"/>
      <c r="S1010" s="112"/>
    </row>
    <row r="1011" spans="1:19" ht="15" x14ac:dyDescent="0.25">
      <c r="A1011" s="109"/>
      <c r="B1011" s="109"/>
      <c r="C1011" s="78"/>
      <c r="D1011" s="78"/>
      <c r="E1011" s="78"/>
      <c r="F1011" s="78"/>
      <c r="G1011" s="110"/>
      <c r="H1011" s="115"/>
      <c r="I1011" s="78"/>
      <c r="J1011" s="78"/>
      <c r="K1011" s="78"/>
      <c r="L1011" s="110"/>
      <c r="M1011" s="78"/>
      <c r="N1011" s="78"/>
      <c r="O1011" s="78"/>
      <c r="P1011" s="78"/>
      <c r="Q1011" s="78"/>
      <c r="R1011" s="110"/>
      <c r="S1011" s="110"/>
    </row>
    <row r="1012" spans="1:19" ht="15" x14ac:dyDescent="0.25">
      <c r="A1012" s="109"/>
      <c r="B1012" s="109"/>
      <c r="C1012" s="111"/>
      <c r="D1012" s="111"/>
      <c r="E1012" s="111"/>
      <c r="F1012" s="111"/>
      <c r="G1012" s="112"/>
      <c r="H1012" s="114"/>
      <c r="I1012" s="111"/>
      <c r="J1012" s="111"/>
      <c r="K1012" s="111"/>
      <c r="L1012" s="112"/>
      <c r="M1012" s="111"/>
      <c r="N1012" s="111"/>
      <c r="O1012" s="111"/>
      <c r="P1012" s="111"/>
      <c r="Q1012" s="111"/>
      <c r="R1012" s="112"/>
      <c r="S1012" s="112"/>
    </row>
  </sheetData>
  <mergeCells count="11">
    <mergeCell ref="C1:G1"/>
    <mergeCell ref="H1:L1"/>
    <mergeCell ref="M1:R1"/>
    <mergeCell ref="A3:A7"/>
    <mergeCell ref="A8:A12"/>
    <mergeCell ref="A18:A22"/>
    <mergeCell ref="A23:A27"/>
    <mergeCell ref="A28:A32"/>
    <mergeCell ref="A33:A35"/>
    <mergeCell ref="A1:B2"/>
    <mergeCell ref="A13:A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2"/>
  <sheetViews>
    <sheetView workbookViewId="0">
      <selection activeCell="B2" sqref="B2"/>
    </sheetView>
  </sheetViews>
  <sheetFormatPr defaultColWidth="12.5703125" defaultRowHeight="15.75" customHeight="1" x14ac:dyDescent="0.2"/>
  <sheetData>
    <row r="1" spans="1:27" ht="36.75" customHeight="1" x14ac:dyDescent="0.2">
      <c r="A1" s="153"/>
      <c r="B1" s="153" t="s">
        <v>1</v>
      </c>
      <c r="C1" s="153" t="s">
        <v>4</v>
      </c>
      <c r="D1" s="153" t="s">
        <v>5</v>
      </c>
      <c r="E1" s="153" t="s">
        <v>7</v>
      </c>
      <c r="F1" s="153" t="s">
        <v>216</v>
      </c>
      <c r="G1" s="153" t="s">
        <v>176</v>
      </c>
      <c r="H1" s="153" t="s">
        <v>177</v>
      </c>
      <c r="I1" s="153" t="s">
        <v>174</v>
      </c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11" customHeight="1" x14ac:dyDescent="0.25">
      <c r="A2" s="154" t="s">
        <v>217</v>
      </c>
      <c r="B2" s="155">
        <v>620.74326000000474</v>
      </c>
      <c r="C2" s="156">
        <f>Provinces!C10</f>
        <v>66910375</v>
      </c>
      <c r="D2" s="156">
        <f ca="1">Provinces!D10</f>
        <v>1689588</v>
      </c>
      <c r="E2" s="156">
        <f ca="1">Provinces!E10</f>
        <v>65220787</v>
      </c>
      <c r="F2" s="155">
        <f ca="1">G2-H2</f>
        <v>17365.041803333334</v>
      </c>
      <c r="G2" s="155">
        <f ca="1">Economics!B10</f>
        <v>20782.990083333334</v>
      </c>
      <c r="H2" s="155">
        <f>Economics!C10</f>
        <v>3417.9482800000001</v>
      </c>
      <c r="I2" s="62">
        <f ca="1">B2+F2</f>
        <v>17985.785063333336</v>
      </c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T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defaultColWidth="12.5703125" defaultRowHeight="15.75" customHeight="1" x14ac:dyDescent="0.2"/>
  <cols>
    <col min="19" max="19" width="13" customWidth="1"/>
    <col min="20" max="20" width="14.140625" customWidth="1"/>
  </cols>
  <sheetData>
    <row r="1" spans="1:20" x14ac:dyDescent="0.2">
      <c r="A1" s="98"/>
      <c r="B1" s="3" t="s">
        <v>17</v>
      </c>
      <c r="C1" s="3" t="s">
        <v>176</v>
      </c>
      <c r="D1" s="98" t="s">
        <v>177</v>
      </c>
      <c r="E1" s="3" t="s">
        <v>178</v>
      </c>
      <c r="F1" s="3" t="s">
        <v>179</v>
      </c>
      <c r="G1" s="3" t="s">
        <v>180</v>
      </c>
      <c r="H1" s="3" t="s">
        <v>181</v>
      </c>
      <c r="I1" s="3" t="s">
        <v>218</v>
      </c>
      <c r="J1" s="3" t="s">
        <v>182</v>
      </c>
      <c r="K1" s="3" t="s">
        <v>183</v>
      </c>
      <c r="L1" s="3" t="s">
        <v>184</v>
      </c>
      <c r="M1" s="3" t="s">
        <v>185</v>
      </c>
      <c r="N1" s="3" t="s">
        <v>186</v>
      </c>
      <c r="O1" s="3" t="s">
        <v>219</v>
      </c>
      <c r="P1" s="3"/>
      <c r="Q1" s="3"/>
      <c r="R1" s="3"/>
      <c r="S1" s="3" t="s">
        <v>220</v>
      </c>
      <c r="T1" s="3" t="s">
        <v>221</v>
      </c>
    </row>
    <row r="2" spans="1:20" x14ac:dyDescent="0.2">
      <c r="A2" s="98" t="str">
        <f>'Duchies Summary'!A2</f>
        <v>Swanhall</v>
      </c>
      <c r="B2" s="35" t="s">
        <v>64</v>
      </c>
      <c r="C2" s="23">
        <f t="shared" ref="C2:C45" si="0">E2+J2</f>
        <v>1831.0120714285715</v>
      </c>
      <c r="D2" s="23">
        <f t="shared" ref="D2:D45" si="1">K2+N2</f>
        <v>5922.3132260605671</v>
      </c>
      <c r="E2" s="23">
        <f t="shared" ref="E2:E45" si="2">F2*(1-O2)</f>
        <v>1831.0120714285715</v>
      </c>
      <c r="F2" s="23">
        <f t="shared" ref="F2:F45" si="3">SUM(G2:H2)</f>
        <v>2441.3494285714287</v>
      </c>
      <c r="G2" s="23">
        <f>'New Cities'!B132</f>
        <v>1708.44</v>
      </c>
      <c r="H2" s="23">
        <f>S2*(('Duchies Summary'!I2)*T2)</f>
        <v>732.90942857142863</v>
      </c>
      <c r="I2" s="23">
        <f t="shared" ref="I2:I45" si="4">F2-E2</f>
        <v>610.33735714285717</v>
      </c>
      <c r="J2" s="23">
        <v>0</v>
      </c>
      <c r="K2" s="23">
        <f t="shared" ref="K2:K45" si="5">L2+M2</f>
        <v>5922.3132260605671</v>
      </c>
      <c r="L2" s="35"/>
      <c r="M2" s="23">
        <f>'Duchies Secret Sheet'!C2*2+'Duchies Secret Sheet'!E2*0.008</f>
        <v>5922.3132260605671</v>
      </c>
      <c r="N2" s="35"/>
      <c r="O2" s="35">
        <v>0.25</v>
      </c>
      <c r="P2" s="35"/>
      <c r="Q2" s="35"/>
      <c r="R2" s="35"/>
      <c r="S2" s="35">
        <v>0.15</v>
      </c>
      <c r="T2" s="35">
        <v>0.02</v>
      </c>
    </row>
    <row r="3" spans="1:20" x14ac:dyDescent="0.2">
      <c r="A3" s="98" t="str">
        <f>'Duchies Summary'!A3</f>
        <v>Slutiarm</v>
      </c>
      <c r="B3" s="35" t="s">
        <v>54</v>
      </c>
      <c r="C3" s="23">
        <f t="shared" si="0"/>
        <v>789.72350000000006</v>
      </c>
      <c r="D3" s="23">
        <f t="shared" si="1"/>
        <v>11.92268</v>
      </c>
      <c r="E3" s="23">
        <f t="shared" si="2"/>
        <v>789.72350000000006</v>
      </c>
      <c r="F3" s="23">
        <f t="shared" si="3"/>
        <v>1052.9646666666667</v>
      </c>
      <c r="G3" s="23">
        <f>'New Cities'!B116</f>
        <v>815.88666666666666</v>
      </c>
      <c r="H3" s="23">
        <f>S3*(('Duchies Summary'!I3)*T3)</f>
        <v>237.07799999999997</v>
      </c>
      <c r="I3" s="23">
        <f t="shared" si="4"/>
        <v>263.24116666666669</v>
      </c>
      <c r="J3" s="23">
        <v>0</v>
      </c>
      <c r="K3" s="23">
        <f t="shared" si="5"/>
        <v>11.92268</v>
      </c>
      <c r="L3" s="35"/>
      <c r="M3" s="23">
        <f>'Duchies Secret Sheet'!C3*2+'Duchies Secret Sheet'!E3*0.008</f>
        <v>11.92268</v>
      </c>
      <c r="N3" s="35"/>
      <c r="O3" s="35">
        <v>0.25</v>
      </c>
      <c r="P3" s="35"/>
      <c r="Q3" s="35"/>
      <c r="R3" s="35"/>
      <c r="S3" s="35">
        <v>0.15</v>
      </c>
      <c r="T3" s="35">
        <v>0.02</v>
      </c>
    </row>
    <row r="4" spans="1:20" x14ac:dyDescent="0.2">
      <c r="A4" s="98" t="str">
        <f>'Duchies Summary'!A4</f>
        <v>Dreghold</v>
      </c>
      <c r="B4" s="35" t="s">
        <v>50</v>
      </c>
      <c r="C4" s="23">
        <f t="shared" si="0"/>
        <v>3876.8601785714286</v>
      </c>
      <c r="D4" s="23">
        <f t="shared" si="1"/>
        <v>5398.7936478452648</v>
      </c>
      <c r="E4" s="23">
        <f t="shared" si="2"/>
        <v>3876.8601785714286</v>
      </c>
      <c r="F4" s="23">
        <f t="shared" si="3"/>
        <v>5169.1469047619048</v>
      </c>
      <c r="G4" s="23">
        <f>'New Cities'!B13</f>
        <v>3925.4283333333333</v>
      </c>
      <c r="H4" s="23">
        <f>S4*(('Duchies Summary'!I4)*T4)</f>
        <v>1243.7185714285715</v>
      </c>
      <c r="I4" s="23">
        <f t="shared" si="4"/>
        <v>1292.2867261904762</v>
      </c>
      <c r="J4" s="23"/>
      <c r="K4" s="23">
        <f t="shared" si="5"/>
        <v>5398.7936478452648</v>
      </c>
      <c r="L4" s="35"/>
      <c r="M4" s="23">
        <f>'Duchies Secret Sheet'!C4*2+'Duchies Secret Sheet'!E4*0.008</f>
        <v>5398.7936478452648</v>
      </c>
      <c r="N4" s="35"/>
      <c r="O4" s="35">
        <v>0.25</v>
      </c>
      <c r="P4" s="35"/>
      <c r="Q4" s="35"/>
      <c r="R4" s="35"/>
      <c r="S4" s="35">
        <v>0.15</v>
      </c>
      <c r="T4" s="35">
        <v>0.02</v>
      </c>
    </row>
    <row r="5" spans="1:20" x14ac:dyDescent="0.2">
      <c r="A5" s="98" t="str">
        <f>'Duchies Summary'!A5</f>
        <v>Sirong</v>
      </c>
      <c r="B5" s="35" t="s">
        <v>61</v>
      </c>
      <c r="C5" s="23">
        <f t="shared" si="0"/>
        <v>3086.6722857142859</v>
      </c>
      <c r="D5" s="23">
        <f t="shared" si="1"/>
        <v>20090.483080000002</v>
      </c>
      <c r="E5" s="23">
        <f t="shared" si="2"/>
        <v>3086.6722857142859</v>
      </c>
      <c r="F5" s="23">
        <f t="shared" si="3"/>
        <v>4115.5630476190481</v>
      </c>
      <c r="G5" s="23">
        <f>'New Cities'!B113</f>
        <v>2227.4333333333334</v>
      </c>
      <c r="H5" s="23">
        <f>S5*(('Duchies Summary'!I5)*T5)</f>
        <v>1888.1297142857145</v>
      </c>
      <c r="I5" s="23">
        <f t="shared" si="4"/>
        <v>1028.8907619047623</v>
      </c>
      <c r="J5" s="23"/>
      <c r="K5" s="23">
        <f t="shared" si="5"/>
        <v>20090.483080000002</v>
      </c>
      <c r="L5" s="35"/>
      <c r="M5" s="23">
        <f>'Duchies Secret Sheet'!C5*2+'Duchies Secret Sheet'!E5*0.008</f>
        <v>20090.483080000002</v>
      </c>
      <c r="N5" s="35"/>
      <c r="O5" s="35">
        <v>0.25</v>
      </c>
      <c r="P5" s="35"/>
      <c r="Q5" s="35"/>
      <c r="R5" s="35"/>
      <c r="S5" s="35">
        <v>0.15</v>
      </c>
      <c r="T5" s="35">
        <v>0.02</v>
      </c>
    </row>
    <row r="6" spans="1:20" x14ac:dyDescent="0.2">
      <c r="A6" s="98" t="str">
        <f>'Duchies Summary'!A6</f>
        <v>Brookward</v>
      </c>
      <c r="B6" s="35" t="s">
        <v>58</v>
      </c>
      <c r="C6" s="23">
        <f t="shared" si="0"/>
        <v>3600.0564285714286</v>
      </c>
      <c r="D6" s="23">
        <f t="shared" si="1"/>
        <v>13108.221079999999</v>
      </c>
      <c r="E6" s="23">
        <f t="shared" si="2"/>
        <v>3600.0564285714286</v>
      </c>
      <c r="F6" s="23">
        <f t="shared" si="3"/>
        <v>4800.0752380952381</v>
      </c>
      <c r="G6" s="23">
        <f>'New Cities'!B10</f>
        <v>3750.5166666666664</v>
      </c>
      <c r="H6" s="23">
        <f>S6*(('Duchies Summary'!I6)*T6)</f>
        <v>1049.5585714285714</v>
      </c>
      <c r="I6" s="23">
        <f t="shared" si="4"/>
        <v>1200.0188095238095</v>
      </c>
      <c r="J6" s="23"/>
      <c r="K6" s="23">
        <f t="shared" si="5"/>
        <v>13108.221079999999</v>
      </c>
      <c r="L6" s="35"/>
      <c r="M6" s="23">
        <f>'Duchies Secret Sheet'!C6*2+'Duchies Secret Sheet'!E6*0.008</f>
        <v>13108.221079999999</v>
      </c>
      <c r="N6" s="35"/>
      <c r="O6" s="35">
        <v>0.25</v>
      </c>
      <c r="P6" s="35"/>
      <c r="Q6" s="35"/>
      <c r="R6" s="35"/>
      <c r="S6" s="35">
        <v>0.15</v>
      </c>
      <c r="T6" s="35">
        <v>0.02</v>
      </c>
    </row>
    <row r="7" spans="1:20" x14ac:dyDescent="0.2">
      <c r="A7" s="98" t="str">
        <f>'Duchies Summary'!A7</f>
        <v>Vhalian Marches</v>
      </c>
      <c r="B7" s="35" t="s">
        <v>61</v>
      </c>
      <c r="C7" s="23">
        <f t="shared" si="0"/>
        <v>4717.9266428571427</v>
      </c>
      <c r="D7" s="23">
        <f t="shared" si="1"/>
        <v>40219.636359999997</v>
      </c>
      <c r="E7" s="23">
        <f t="shared" si="2"/>
        <v>4717.9266428571427</v>
      </c>
      <c r="F7" s="23">
        <f t="shared" si="3"/>
        <v>6290.5688571428564</v>
      </c>
      <c r="G7" s="23">
        <f>'New Cities'!B150</f>
        <v>1641.48</v>
      </c>
      <c r="H7" s="23">
        <f>S7*(('Duchies Summary'!I7)*T7)</f>
        <v>4649.0888571428568</v>
      </c>
      <c r="I7" s="23">
        <f t="shared" si="4"/>
        <v>1572.6422142857136</v>
      </c>
      <c r="J7" s="23"/>
      <c r="K7" s="23">
        <f t="shared" si="5"/>
        <v>40219.636359999997</v>
      </c>
      <c r="L7" s="35"/>
      <c r="M7" s="23">
        <f>'Duchies Secret Sheet'!C7*2+'Duchies Secret Sheet'!E7*0.008</f>
        <v>40219.636359999997</v>
      </c>
      <c r="N7" s="35"/>
      <c r="O7" s="35">
        <v>0.25</v>
      </c>
      <c r="P7" s="35"/>
      <c r="Q7" s="35"/>
      <c r="R7" s="35"/>
      <c r="S7" s="35">
        <v>0.15</v>
      </c>
      <c r="T7" s="35">
        <v>0.02</v>
      </c>
    </row>
    <row r="8" spans="1:20" x14ac:dyDescent="0.2">
      <c r="A8" s="98" t="str">
        <f>'Duchies Summary'!A8</f>
        <v>Southern Shores</v>
      </c>
      <c r="B8" s="35" t="s">
        <v>61</v>
      </c>
      <c r="C8" s="23">
        <f t="shared" si="0"/>
        <v>1498.3117500000001</v>
      </c>
      <c r="D8" s="23">
        <f t="shared" si="1"/>
        <v>10048.96668</v>
      </c>
      <c r="E8" s="23">
        <f t="shared" si="2"/>
        <v>1498.3117500000001</v>
      </c>
      <c r="F8" s="23">
        <f t="shared" si="3"/>
        <v>1997.749</v>
      </c>
      <c r="G8" s="23">
        <f>'New Cities'!B118</f>
        <v>976.04499999999996</v>
      </c>
      <c r="H8" s="23">
        <f>S8*(('Duchies Summary'!I8)*T8)</f>
        <v>1021.7040000000001</v>
      </c>
      <c r="I8" s="23">
        <f t="shared" si="4"/>
        <v>499.43724999999995</v>
      </c>
      <c r="J8" s="23"/>
      <c r="K8" s="23">
        <f t="shared" si="5"/>
        <v>10048.96668</v>
      </c>
      <c r="L8" s="35"/>
      <c r="M8" s="23">
        <f>'Duchies Secret Sheet'!C8*2+'Duchies Secret Sheet'!E8*0.008</f>
        <v>10048.96668</v>
      </c>
      <c r="N8" s="35"/>
      <c r="O8" s="35">
        <v>0.25</v>
      </c>
      <c r="P8" s="35"/>
      <c r="Q8" s="35"/>
      <c r="R8" s="35"/>
      <c r="S8" s="35">
        <v>0.15</v>
      </c>
      <c r="T8" s="35">
        <v>0.02</v>
      </c>
    </row>
    <row r="9" spans="1:20" x14ac:dyDescent="0.2">
      <c r="A9" s="98" t="str">
        <f>'Duchies Summary'!A9</f>
        <v>Dregsten Bay</v>
      </c>
      <c r="B9" s="35" t="s">
        <v>61</v>
      </c>
      <c r="C9" s="23">
        <f t="shared" si="0"/>
        <v>3314.2311785714292</v>
      </c>
      <c r="D9" s="23">
        <f t="shared" si="1"/>
        <v>86.88224000000001</v>
      </c>
      <c r="E9" s="23">
        <f t="shared" si="2"/>
        <v>3314.2311785714292</v>
      </c>
      <c r="F9" s="23">
        <f t="shared" si="3"/>
        <v>4418.9749047619052</v>
      </c>
      <c r="G9" s="23">
        <f>'New Cities'!B19</f>
        <v>2613.6683333333335</v>
      </c>
      <c r="H9" s="23">
        <f>S9*(('Duchies Summary'!I9)*T9)</f>
        <v>1805.3065714285715</v>
      </c>
      <c r="I9" s="23">
        <f t="shared" si="4"/>
        <v>1104.7437261904761</v>
      </c>
      <c r="J9" s="23"/>
      <c r="K9" s="23">
        <f t="shared" si="5"/>
        <v>86.88224000000001</v>
      </c>
      <c r="L9" s="35"/>
      <c r="M9" s="23">
        <f>'Duchies Secret Sheet'!C9*2+'Duchies Secret Sheet'!E9*0.008</f>
        <v>86.88224000000001</v>
      </c>
      <c r="N9" s="35"/>
      <c r="O9" s="35">
        <v>0.25</v>
      </c>
      <c r="P9" s="35"/>
      <c r="Q9" s="35"/>
      <c r="R9" s="35"/>
      <c r="S9" s="35">
        <v>0.15</v>
      </c>
      <c r="T9" s="35">
        <v>0.02</v>
      </c>
    </row>
    <row r="10" spans="1:20" x14ac:dyDescent="0.2">
      <c r="A10" s="98" t="str">
        <f>'Duchies Summary'!A10</f>
        <v>Amber Shores</v>
      </c>
      <c r="B10" s="35" t="s">
        <v>61</v>
      </c>
      <c r="C10" s="23">
        <f t="shared" si="0"/>
        <v>849.16474999999991</v>
      </c>
      <c r="D10" s="23">
        <f t="shared" si="1"/>
        <v>35.884</v>
      </c>
      <c r="E10" s="23">
        <f t="shared" si="2"/>
        <v>849.16474999999991</v>
      </c>
      <c r="F10" s="23">
        <f t="shared" si="3"/>
        <v>1132.2196666666666</v>
      </c>
      <c r="G10" s="23">
        <f>'New Cities'!B2</f>
        <v>371.79166666666663</v>
      </c>
      <c r="H10" s="23">
        <f>S10*(('Duchies Summary'!I10)*T10)</f>
        <v>760.428</v>
      </c>
      <c r="I10" s="23">
        <f t="shared" si="4"/>
        <v>283.05491666666671</v>
      </c>
      <c r="J10" s="35"/>
      <c r="K10" s="23">
        <f t="shared" si="5"/>
        <v>35.884</v>
      </c>
      <c r="L10" s="35"/>
      <c r="M10" s="23">
        <f>'Duchies Secret Sheet'!C10*2+'Duchies Secret Sheet'!E10*0.008</f>
        <v>35.884</v>
      </c>
      <c r="N10" s="35"/>
      <c r="O10" s="35">
        <v>0.25</v>
      </c>
      <c r="P10" s="35"/>
      <c r="Q10" s="35"/>
      <c r="R10" s="35"/>
      <c r="S10" s="35">
        <v>0.15</v>
      </c>
      <c r="T10" s="35">
        <v>0.02</v>
      </c>
    </row>
    <row r="11" spans="1:20" x14ac:dyDescent="0.2">
      <c r="A11" s="98" t="str">
        <f>'Duchies Summary'!A11</f>
        <v>Griffin's Bay</v>
      </c>
      <c r="B11" s="23" t="s">
        <v>61</v>
      </c>
      <c r="C11" s="23">
        <f t="shared" si="0"/>
        <v>4080.9626428571428</v>
      </c>
      <c r="D11" s="23">
        <f t="shared" si="1"/>
        <v>4090.04592</v>
      </c>
      <c r="E11" s="23">
        <f t="shared" si="2"/>
        <v>4080.9626428571428</v>
      </c>
      <c r="F11" s="23">
        <f t="shared" si="3"/>
        <v>5441.283523809524</v>
      </c>
      <c r="G11" s="23">
        <f>'New Cities'!B34</f>
        <v>3612.0866666666666</v>
      </c>
      <c r="H11" s="23">
        <f>S11*(('Duchies Summary'!I11)*T11)</f>
        <v>1829.1968571428572</v>
      </c>
      <c r="I11" s="23">
        <f t="shared" si="4"/>
        <v>1360.3208809523812</v>
      </c>
      <c r="J11" s="23"/>
      <c r="K11" s="23">
        <f t="shared" si="5"/>
        <v>4090.04592</v>
      </c>
      <c r="L11" s="35">
        <f>'Retinue Breakdown'!R21</f>
        <v>0</v>
      </c>
      <c r="M11" s="23">
        <f>'Duchies Secret Sheet'!C11*2+'Duchies Secret Sheet'!E11*0.008</f>
        <v>4090.04592</v>
      </c>
      <c r="N11" s="23"/>
      <c r="O11" s="35">
        <v>0.25</v>
      </c>
      <c r="P11" s="23"/>
      <c r="Q11" s="23"/>
      <c r="R11" s="23"/>
      <c r="S11" s="35">
        <v>0.15</v>
      </c>
      <c r="T11" s="35">
        <v>0.02</v>
      </c>
    </row>
    <row r="12" spans="1:20" x14ac:dyDescent="0.2">
      <c r="A12" s="98" t="str">
        <f>'Duchies Summary'!A12</f>
        <v>Lesserlands</v>
      </c>
      <c r="B12" s="23" t="s">
        <v>61</v>
      </c>
      <c r="C12" s="23">
        <f t="shared" si="0"/>
        <v>1776.1784642857142</v>
      </c>
      <c r="D12" s="23">
        <f t="shared" si="1"/>
        <v>8067.1249600000001</v>
      </c>
      <c r="E12" s="23">
        <f t="shared" si="2"/>
        <v>1776.1784642857142</v>
      </c>
      <c r="F12" s="23">
        <f t="shared" si="3"/>
        <v>2368.2379523809523</v>
      </c>
      <c r="G12" s="23">
        <f>'New Cities'!B46</f>
        <v>955.3416666666667</v>
      </c>
      <c r="H12" s="23">
        <f>S12*(('Duchies Summary'!I12)*T12)</f>
        <v>1412.8962857142858</v>
      </c>
      <c r="I12" s="23">
        <f t="shared" si="4"/>
        <v>592.05948809523807</v>
      </c>
      <c r="J12" s="23"/>
      <c r="K12" s="23">
        <f t="shared" si="5"/>
        <v>8067.1249600000001</v>
      </c>
      <c r="L12" s="35">
        <f>'Retinue Breakdown'!R22</f>
        <v>0</v>
      </c>
      <c r="M12" s="23">
        <f>'Duchies Secret Sheet'!C12*2+'Duchies Secret Sheet'!E12*0.008</f>
        <v>8067.1249600000001</v>
      </c>
      <c r="N12" s="23"/>
      <c r="O12" s="35">
        <v>0.25</v>
      </c>
      <c r="P12" s="23"/>
      <c r="Q12" s="23"/>
      <c r="R12" s="23"/>
      <c r="S12" s="35">
        <v>0.15</v>
      </c>
      <c r="T12" s="35">
        <v>0.02</v>
      </c>
    </row>
    <row r="13" spans="1:20" x14ac:dyDescent="0.2">
      <c r="A13" s="98" t="str">
        <f>'Duchies Summary'!A13</f>
        <v>ShadowWood</v>
      </c>
      <c r="B13" s="23" t="s">
        <v>58</v>
      </c>
      <c r="C13" s="23">
        <f t="shared" si="0"/>
        <v>1391.0372142857143</v>
      </c>
      <c r="D13" s="23">
        <f t="shared" si="1"/>
        <v>2481.60212</v>
      </c>
      <c r="E13" s="23">
        <f t="shared" si="2"/>
        <v>1391.0372142857143</v>
      </c>
      <c r="F13" s="23">
        <f t="shared" si="3"/>
        <v>1854.7162857142857</v>
      </c>
      <c r="G13" s="23">
        <f>'New Cities'!B109</f>
        <v>107.95000000000002</v>
      </c>
      <c r="H13" s="23">
        <f>S13*(('Duchies Summary'!I13)*T13)</f>
        <v>1746.7662857142857</v>
      </c>
      <c r="I13" s="23">
        <f t="shared" si="4"/>
        <v>463.67907142857143</v>
      </c>
      <c r="J13" s="23"/>
      <c r="K13" s="23">
        <f t="shared" si="5"/>
        <v>2481.60212</v>
      </c>
      <c r="L13" s="23"/>
      <c r="M13" s="23">
        <f>'Duchies Secret Sheet'!C13*2+'Duchies Secret Sheet'!E13*0.008</f>
        <v>2481.60212</v>
      </c>
      <c r="N13" s="23"/>
      <c r="O13" s="35">
        <v>0.25</v>
      </c>
      <c r="P13" s="23"/>
      <c r="Q13" s="23"/>
      <c r="R13" s="23"/>
      <c r="S13" s="35">
        <v>0.15</v>
      </c>
      <c r="T13" s="35">
        <v>0.02</v>
      </c>
    </row>
    <row r="14" spans="1:20" x14ac:dyDescent="0.2">
      <c r="A14" s="98" t="str">
        <f>'Duchies Summary'!A14</f>
        <v>Mondwatch</v>
      </c>
      <c r="B14" s="23" t="s">
        <v>58</v>
      </c>
      <c r="C14" s="23">
        <f t="shared" si="0"/>
        <v>2388.380714285714</v>
      </c>
      <c r="D14" s="23">
        <f t="shared" si="1"/>
        <v>6894.1537200000002</v>
      </c>
      <c r="E14" s="23">
        <f t="shared" si="2"/>
        <v>2388.380714285714</v>
      </c>
      <c r="F14" s="23">
        <f t="shared" si="3"/>
        <v>3184.5076190476188</v>
      </c>
      <c r="G14" s="23">
        <f>'New Cities'!B75</f>
        <v>1413.7533333333333</v>
      </c>
      <c r="H14" s="23">
        <f>S14*(('Duchies Summary'!I14)*T14)</f>
        <v>1770.7542857142855</v>
      </c>
      <c r="I14" s="23">
        <f t="shared" si="4"/>
        <v>796.12690476190483</v>
      </c>
      <c r="J14" s="23"/>
      <c r="K14" s="23">
        <f t="shared" si="5"/>
        <v>6894.1537200000002</v>
      </c>
      <c r="L14" s="23"/>
      <c r="M14" s="23">
        <f>'Duchies Secret Sheet'!C14*2+'Duchies Secret Sheet'!E14*0.008</f>
        <v>6894.1537200000002</v>
      </c>
      <c r="N14" s="23"/>
      <c r="O14" s="35">
        <v>0.25</v>
      </c>
      <c r="P14" s="23"/>
      <c r="Q14" s="23"/>
      <c r="R14" s="23"/>
      <c r="S14" s="35">
        <v>0.15</v>
      </c>
      <c r="T14" s="35">
        <v>0.02</v>
      </c>
    </row>
    <row r="15" spans="1:20" x14ac:dyDescent="0.2">
      <c r="A15" s="98" t="str">
        <f>'Duchies Summary'!A15</f>
        <v>Ratermarch</v>
      </c>
      <c r="B15" s="23" t="s">
        <v>58</v>
      </c>
      <c r="C15" s="23">
        <f t="shared" si="0"/>
        <v>1921.6182142857142</v>
      </c>
      <c r="D15" s="23">
        <f t="shared" si="1"/>
        <v>9486.5433599999997</v>
      </c>
      <c r="E15" s="23">
        <f t="shared" si="2"/>
        <v>1921.6182142857142</v>
      </c>
      <c r="F15" s="23">
        <f t="shared" si="3"/>
        <v>2562.1576190476189</v>
      </c>
      <c r="G15" s="23">
        <f>'New Cities'!B94</f>
        <v>726.33333333333337</v>
      </c>
      <c r="H15" s="23">
        <f>S15*(('Duchies Summary'!I15)*T15)</f>
        <v>1835.8242857142855</v>
      </c>
      <c r="I15" s="23">
        <f t="shared" si="4"/>
        <v>640.53940476190473</v>
      </c>
      <c r="J15" s="23"/>
      <c r="K15" s="23">
        <f t="shared" si="5"/>
        <v>9486.5433599999997</v>
      </c>
      <c r="L15" s="23"/>
      <c r="M15" s="23">
        <f>'Duchies Secret Sheet'!C15*2+'Duchies Secret Sheet'!E15*0.008</f>
        <v>9486.5433599999997</v>
      </c>
      <c r="N15" s="23"/>
      <c r="O15" s="35">
        <v>0.25</v>
      </c>
      <c r="P15" s="23"/>
      <c r="Q15" s="23"/>
      <c r="R15" s="23"/>
      <c r="S15" s="35">
        <v>0.15</v>
      </c>
      <c r="T15" s="35">
        <v>0.02</v>
      </c>
    </row>
    <row r="16" spans="1:20" x14ac:dyDescent="0.2">
      <c r="A16" s="98" t="str">
        <f>'Duchies Summary'!A16</f>
        <v>Vinh</v>
      </c>
      <c r="B16" s="23" t="s">
        <v>44</v>
      </c>
      <c r="C16" s="23">
        <f t="shared" si="0"/>
        <v>1381.6846071428572</v>
      </c>
      <c r="D16" s="23">
        <f t="shared" si="1"/>
        <v>12037.96248</v>
      </c>
      <c r="E16" s="23">
        <f t="shared" si="2"/>
        <v>1381.6846071428572</v>
      </c>
      <c r="F16" s="23">
        <f t="shared" si="3"/>
        <v>1842.2461428571428</v>
      </c>
      <c r="G16" s="23">
        <f>'New Cities'!B157</f>
        <v>835.25499999999988</v>
      </c>
      <c r="H16" s="23">
        <f>S16*(('Duchies Summary'!I16)*T16)</f>
        <v>1006.9911428571428</v>
      </c>
      <c r="I16" s="23">
        <f t="shared" si="4"/>
        <v>460.56153571428558</v>
      </c>
      <c r="J16" s="23"/>
      <c r="K16" s="23">
        <f t="shared" si="5"/>
        <v>12037.96248</v>
      </c>
      <c r="L16" s="23"/>
      <c r="M16" s="23">
        <f>'Duchies Secret Sheet'!C16*2+'Duchies Secret Sheet'!E16*0.008</f>
        <v>12037.96248</v>
      </c>
      <c r="N16" s="23"/>
      <c r="O16" s="35">
        <v>0.25</v>
      </c>
      <c r="P16" s="23"/>
      <c r="Q16" s="23"/>
      <c r="R16" s="23"/>
      <c r="S16" s="35">
        <v>0.15</v>
      </c>
      <c r="T16" s="35">
        <v>0.02</v>
      </c>
    </row>
    <row r="17" spans="1:20" x14ac:dyDescent="0.2">
      <c r="A17" s="98" t="str">
        <f>'Duchies Summary'!A17</f>
        <v>Drelme</v>
      </c>
      <c r="B17" s="23" t="s">
        <v>44</v>
      </c>
      <c r="C17" s="23">
        <f t="shared" si="0"/>
        <v>1545.1212857142859</v>
      </c>
      <c r="D17" s="23">
        <f t="shared" si="1"/>
        <v>10823.11824</v>
      </c>
      <c r="E17" s="23">
        <f t="shared" si="2"/>
        <v>1545.1212857142859</v>
      </c>
      <c r="F17" s="23">
        <f t="shared" si="3"/>
        <v>2060.1617142857144</v>
      </c>
      <c r="G17" s="23">
        <f>'New Cities'!B25</f>
        <v>1165.53</v>
      </c>
      <c r="H17" s="23">
        <f>S17*(('Duchies Summary'!I17)*T17)</f>
        <v>894.63171428571434</v>
      </c>
      <c r="I17" s="23">
        <f t="shared" si="4"/>
        <v>515.04042857142849</v>
      </c>
      <c r="J17" s="23"/>
      <c r="K17" s="23">
        <f t="shared" si="5"/>
        <v>10823.11824</v>
      </c>
      <c r="L17" s="23"/>
      <c r="M17" s="23">
        <f>'Duchies Secret Sheet'!C17*2+'Duchies Secret Sheet'!E17*0.008</f>
        <v>10823.11824</v>
      </c>
      <c r="N17" s="23"/>
      <c r="O17" s="35">
        <v>0.25</v>
      </c>
      <c r="P17" s="23"/>
      <c r="Q17" s="23"/>
      <c r="R17" s="23"/>
      <c r="S17" s="35">
        <v>0.15</v>
      </c>
      <c r="T17" s="35">
        <v>0.02</v>
      </c>
    </row>
    <row r="18" spans="1:20" x14ac:dyDescent="0.2">
      <c r="A18" s="98" t="str">
        <f>'Duchies Summary'!A18</f>
        <v>Oal's Reach</v>
      </c>
      <c r="B18" s="23" t="s">
        <v>44</v>
      </c>
      <c r="C18" s="23">
        <f t="shared" si="0"/>
        <v>1111.9879999999998</v>
      </c>
      <c r="D18" s="23">
        <f t="shared" si="1"/>
        <v>12170.48532</v>
      </c>
      <c r="E18" s="23">
        <f t="shared" si="2"/>
        <v>1111.9879999999998</v>
      </c>
      <c r="F18" s="23">
        <f t="shared" si="3"/>
        <v>1482.6506666666664</v>
      </c>
      <c r="G18" s="23">
        <f>'New Cities'!B79</f>
        <v>465.20666666666659</v>
      </c>
      <c r="H18" s="23">
        <f>S18*(('Duchies Summary'!I18)*T18)</f>
        <v>1017.444</v>
      </c>
      <c r="I18" s="23">
        <f t="shared" si="4"/>
        <v>370.66266666666661</v>
      </c>
      <c r="J18" s="23"/>
      <c r="K18" s="23">
        <f t="shared" si="5"/>
        <v>12170.48532</v>
      </c>
      <c r="L18" s="23"/>
      <c r="M18" s="23">
        <f>'Duchies Secret Sheet'!C18*2+'Duchies Secret Sheet'!E18*0.008</f>
        <v>12170.48532</v>
      </c>
      <c r="N18" s="23"/>
      <c r="O18" s="35">
        <v>0.25</v>
      </c>
      <c r="P18" s="23"/>
      <c r="Q18" s="23"/>
      <c r="R18" s="23"/>
      <c r="S18" s="35">
        <v>0.15</v>
      </c>
      <c r="T18" s="35">
        <v>0.02</v>
      </c>
    </row>
    <row r="19" spans="1:20" x14ac:dyDescent="0.2">
      <c r="A19" s="98" t="str">
        <f>'Duchies Summary'!A19</f>
        <v>Swiftme</v>
      </c>
      <c r="B19" s="23" t="s">
        <v>44</v>
      </c>
      <c r="C19" s="23">
        <f t="shared" si="0"/>
        <v>2468.9778214285711</v>
      </c>
      <c r="D19" s="23">
        <f t="shared" si="1"/>
        <v>15099.63184</v>
      </c>
      <c r="E19" s="23">
        <f t="shared" si="2"/>
        <v>2468.9778214285711</v>
      </c>
      <c r="F19" s="23">
        <f t="shared" si="3"/>
        <v>3291.9704285714283</v>
      </c>
      <c r="G19" s="23">
        <f>'New Cities'!B136</f>
        <v>1188.7750000000001</v>
      </c>
      <c r="H19" s="23">
        <f>S19*(('Duchies Summary'!I19)*T19)</f>
        <v>2103.1954285714282</v>
      </c>
      <c r="I19" s="23">
        <f t="shared" si="4"/>
        <v>822.9926071428572</v>
      </c>
      <c r="J19" s="23"/>
      <c r="K19" s="23">
        <f t="shared" si="5"/>
        <v>15099.63184</v>
      </c>
      <c r="L19" s="23"/>
      <c r="M19" s="23">
        <f>'Duchies Secret Sheet'!C19*2+'Duchies Secret Sheet'!E19*0.008</f>
        <v>15099.63184</v>
      </c>
      <c r="N19" s="23"/>
      <c r="O19" s="35">
        <v>0.25</v>
      </c>
      <c r="P19" s="23"/>
      <c r="Q19" s="23"/>
      <c r="R19" s="23"/>
      <c r="S19" s="35">
        <v>0.15</v>
      </c>
      <c r="T19" s="35">
        <v>0.02</v>
      </c>
    </row>
    <row r="20" spans="1:20" x14ac:dyDescent="0.2">
      <c r="A20" s="98" t="str">
        <f>'Duchies Summary'!A20</f>
        <v>Heartwell</v>
      </c>
      <c r="B20" s="23" t="s">
        <v>44</v>
      </c>
      <c r="C20" s="23">
        <f t="shared" si="0"/>
        <v>3798.4257499999994</v>
      </c>
      <c r="D20" s="23">
        <f t="shared" si="1"/>
        <v>2014.54944</v>
      </c>
      <c r="E20" s="23">
        <f t="shared" si="2"/>
        <v>3798.4257499999994</v>
      </c>
      <c r="F20" s="23">
        <f t="shared" si="3"/>
        <v>5064.5676666666659</v>
      </c>
      <c r="G20" s="23">
        <f>'New Cities'!B45</f>
        <v>4838.6016666666656</v>
      </c>
      <c r="H20" s="23">
        <f>S20*(('Duchies Summary'!I20)*T20)</f>
        <v>225.96600000000001</v>
      </c>
      <c r="I20" s="23">
        <f t="shared" si="4"/>
        <v>1266.1419166666665</v>
      </c>
      <c r="J20" s="23"/>
      <c r="K20" s="23">
        <f t="shared" si="5"/>
        <v>2014.54944</v>
      </c>
      <c r="L20" s="23"/>
      <c r="M20" s="23">
        <f>'Duchies Secret Sheet'!C20*2+'Duchies Secret Sheet'!E20*0.008</f>
        <v>2014.54944</v>
      </c>
      <c r="N20" s="23"/>
      <c r="O20" s="35">
        <v>0.25</v>
      </c>
      <c r="P20" s="23"/>
      <c r="Q20" s="23"/>
      <c r="R20" s="23"/>
      <c r="S20" s="35">
        <v>0.15</v>
      </c>
      <c r="T20" s="35">
        <v>0.02</v>
      </c>
    </row>
    <row r="21" spans="1:20" x14ac:dyDescent="0.2">
      <c r="A21" s="98" t="str">
        <f>'Duchies Summary'!A21</f>
        <v>Pearlpass</v>
      </c>
      <c r="B21" s="23" t="s">
        <v>50</v>
      </c>
      <c r="C21" s="23">
        <f t="shared" si="0"/>
        <v>2782.4113214285717</v>
      </c>
      <c r="D21" s="23">
        <f t="shared" si="1"/>
        <v>47.870556864720641</v>
      </c>
      <c r="E21" s="23">
        <f t="shared" si="2"/>
        <v>2782.4113214285717</v>
      </c>
      <c r="F21" s="23">
        <f t="shared" si="3"/>
        <v>3709.8817619047622</v>
      </c>
      <c r="G21" s="23">
        <f>'New Cities'!B82</f>
        <v>987.70833333333337</v>
      </c>
      <c r="H21" s="23">
        <f>S21*(('Duchies Summary'!I21)*T21)</f>
        <v>2722.1734285714288</v>
      </c>
      <c r="I21" s="23">
        <f t="shared" si="4"/>
        <v>927.47044047619056</v>
      </c>
      <c r="J21" s="23"/>
      <c r="K21" s="23">
        <f t="shared" si="5"/>
        <v>47.870556864720641</v>
      </c>
      <c r="L21" s="23"/>
      <c r="M21" s="23">
        <f>'Duchies Secret Sheet'!C21*2+'Duchies Secret Sheet'!E21*0.008</f>
        <v>47.870556864720641</v>
      </c>
      <c r="N21" s="23"/>
      <c r="O21" s="35">
        <v>0.25</v>
      </c>
      <c r="P21" s="23"/>
      <c r="Q21" s="23"/>
      <c r="R21" s="23"/>
      <c r="S21" s="35">
        <v>0.15</v>
      </c>
      <c r="T21" s="35">
        <v>0.02</v>
      </c>
    </row>
    <row r="22" spans="1:20" x14ac:dyDescent="0.2">
      <c r="A22" s="98" t="str">
        <f>'Duchies Summary'!A22</f>
        <v>Prince's Boot</v>
      </c>
      <c r="B22" s="23" t="s">
        <v>50</v>
      </c>
      <c r="C22" s="23">
        <f t="shared" si="0"/>
        <v>1060.8134285714286</v>
      </c>
      <c r="D22" s="23">
        <f t="shared" si="1"/>
        <v>60.290760000000006</v>
      </c>
      <c r="E22" s="23">
        <f t="shared" si="2"/>
        <v>1060.8134285714286</v>
      </c>
      <c r="F22" s="23">
        <f t="shared" si="3"/>
        <v>1414.4179047619048</v>
      </c>
      <c r="G22" s="23">
        <f>'New Cities'!B87</f>
        <v>125.27333333333333</v>
      </c>
      <c r="H22" s="23">
        <f>S22*(('Duchies Summary'!I22)*T22)</f>
        <v>1289.1445714285715</v>
      </c>
      <c r="I22" s="23">
        <f t="shared" si="4"/>
        <v>353.60447619047613</v>
      </c>
      <c r="J22" s="23"/>
      <c r="K22" s="23">
        <f t="shared" si="5"/>
        <v>60.290760000000006</v>
      </c>
      <c r="L22" s="23"/>
      <c r="M22" s="23">
        <f>'Duchies Secret Sheet'!C22*2+'Duchies Secret Sheet'!E22*0.008</f>
        <v>60.290760000000006</v>
      </c>
      <c r="N22" s="23"/>
      <c r="O22" s="35">
        <v>0.25</v>
      </c>
      <c r="P22" s="23"/>
      <c r="Q22" s="23"/>
      <c r="R22" s="23"/>
      <c r="S22" s="35">
        <v>0.15</v>
      </c>
      <c r="T22" s="35">
        <v>0.02</v>
      </c>
    </row>
    <row r="23" spans="1:20" x14ac:dyDescent="0.2">
      <c r="A23" s="98" t="str">
        <f>'Duchies Summary'!A23</f>
        <v>Swan's Reach</v>
      </c>
      <c r="B23" s="23" t="s">
        <v>50</v>
      </c>
      <c r="C23" s="23">
        <f t="shared" si="0"/>
        <v>2473.2899642857142</v>
      </c>
      <c r="D23" s="23">
        <f t="shared" si="1"/>
        <v>8707.4423600000009</v>
      </c>
      <c r="E23" s="23">
        <f t="shared" si="2"/>
        <v>2473.2899642857142</v>
      </c>
      <c r="F23" s="23">
        <f t="shared" si="3"/>
        <v>3297.7199523809522</v>
      </c>
      <c r="G23" s="23">
        <f>'New Cities'!B124</f>
        <v>899.55166666666673</v>
      </c>
      <c r="H23" s="23">
        <f>S23*(('Duchies Summary'!I23)*T23)</f>
        <v>2398.1682857142855</v>
      </c>
      <c r="I23" s="23">
        <f t="shared" si="4"/>
        <v>824.42998809523806</v>
      </c>
      <c r="J23" s="23"/>
      <c r="K23" s="23">
        <f t="shared" si="5"/>
        <v>8707.4423600000009</v>
      </c>
      <c r="L23" s="23"/>
      <c r="M23" s="23">
        <f>'Duchies Secret Sheet'!C23*2+'Duchies Secret Sheet'!E23*0.008</f>
        <v>8707.4423600000009</v>
      </c>
      <c r="N23" s="23"/>
      <c r="O23" s="35">
        <v>0.25</v>
      </c>
      <c r="P23" s="23"/>
      <c r="Q23" s="23"/>
      <c r="R23" s="23"/>
      <c r="S23" s="35">
        <v>0.15</v>
      </c>
      <c r="T23" s="35">
        <v>0.02</v>
      </c>
    </row>
    <row r="24" spans="1:20" x14ac:dyDescent="0.2">
      <c r="A24" s="98" t="str">
        <f>'Duchies Summary'!A24</f>
        <v>Malhold</v>
      </c>
      <c r="B24" s="23" t="s">
        <v>50</v>
      </c>
      <c r="C24" s="23">
        <f t="shared" si="0"/>
        <v>2427.4078571428563</v>
      </c>
      <c r="D24" s="23">
        <f t="shared" si="1"/>
        <v>14003.795599999999</v>
      </c>
      <c r="E24" s="23">
        <f t="shared" si="2"/>
        <v>2427.4078571428563</v>
      </c>
      <c r="F24" s="23">
        <f t="shared" si="3"/>
        <v>3236.5438095238087</v>
      </c>
      <c r="G24" s="23">
        <f>'New Cities'!B51</f>
        <v>2118.2166666666662</v>
      </c>
      <c r="H24" s="23">
        <f>S24*(('Duchies Summary'!I24)*T24)</f>
        <v>1118.3271428571427</v>
      </c>
      <c r="I24" s="23">
        <f t="shared" si="4"/>
        <v>809.1359523809524</v>
      </c>
      <c r="J24" s="23"/>
      <c r="K24" s="23">
        <f t="shared" si="5"/>
        <v>14003.795599999999</v>
      </c>
      <c r="L24" s="23"/>
      <c r="M24" s="23">
        <f>'Duchies Secret Sheet'!C24*2+'Duchies Secret Sheet'!E24*0.008</f>
        <v>14003.795599999999</v>
      </c>
      <c r="N24" s="23"/>
      <c r="O24" s="35">
        <v>0.25</v>
      </c>
      <c r="P24" s="23"/>
      <c r="Q24" s="23"/>
      <c r="R24" s="23"/>
      <c r="S24" s="35">
        <v>0.15</v>
      </c>
      <c r="T24" s="35">
        <v>0.02</v>
      </c>
    </row>
    <row r="25" spans="1:20" x14ac:dyDescent="0.2">
      <c r="A25" s="98" t="str">
        <f>'Duchies Summary'!A25</f>
        <v>Westleden</v>
      </c>
      <c r="B25" s="23" t="s">
        <v>50</v>
      </c>
      <c r="C25" s="23">
        <f t="shared" si="0"/>
        <v>1142.052107142857</v>
      </c>
      <c r="D25" s="23">
        <f t="shared" si="1"/>
        <v>13252.931119999999</v>
      </c>
      <c r="E25" s="23">
        <f t="shared" si="2"/>
        <v>1142.052107142857</v>
      </c>
      <c r="F25" s="23">
        <f t="shared" si="3"/>
        <v>1522.7361428571426</v>
      </c>
      <c r="G25" s="23">
        <f>'New Cities'!B159</f>
        <v>405.79499999999996</v>
      </c>
      <c r="H25" s="23">
        <f>S25*(('Duchies Summary'!I25)*T25)</f>
        <v>1116.9411428571427</v>
      </c>
      <c r="I25" s="23">
        <f t="shared" si="4"/>
        <v>380.68403571428553</v>
      </c>
      <c r="J25" s="23"/>
      <c r="K25" s="23">
        <f t="shared" si="5"/>
        <v>13252.931119999999</v>
      </c>
      <c r="L25" s="23"/>
      <c r="M25" s="23">
        <f>'Duchies Secret Sheet'!C25*2+'Duchies Secret Sheet'!E25*0.008</f>
        <v>13252.931119999999</v>
      </c>
      <c r="N25" s="23"/>
      <c r="O25" s="35">
        <v>0.25</v>
      </c>
      <c r="P25" s="23"/>
      <c r="Q25" s="23"/>
      <c r="R25" s="23"/>
      <c r="S25" s="35">
        <v>0.15</v>
      </c>
      <c r="T25" s="35">
        <v>0.02</v>
      </c>
    </row>
    <row r="26" spans="1:20" x14ac:dyDescent="0.2">
      <c r="A26" s="98" t="str">
        <f>'Duchies Summary'!A26</f>
        <v>Shurestar</v>
      </c>
      <c r="B26" s="23" t="s">
        <v>50</v>
      </c>
      <c r="C26" s="23">
        <f t="shared" si="0"/>
        <v>1544.0493571428569</v>
      </c>
      <c r="D26" s="23">
        <f t="shared" si="1"/>
        <v>12031.93348</v>
      </c>
      <c r="E26" s="23">
        <f t="shared" si="2"/>
        <v>1544.0493571428569</v>
      </c>
      <c r="F26" s="23">
        <f t="shared" si="3"/>
        <v>2058.7324761904761</v>
      </c>
      <c r="G26" s="23">
        <f>'New Cities'!B110</f>
        <v>1070.0833333333335</v>
      </c>
      <c r="H26" s="23">
        <f>S26*(('Duchies Summary'!I26)*T26)</f>
        <v>988.64914285714269</v>
      </c>
      <c r="I26" s="23">
        <f t="shared" si="4"/>
        <v>514.68311904761913</v>
      </c>
      <c r="J26" s="23"/>
      <c r="K26" s="23">
        <f t="shared" si="5"/>
        <v>12031.93348</v>
      </c>
      <c r="L26" s="23"/>
      <c r="M26" s="23">
        <f>'Duchies Secret Sheet'!C26*2+'Duchies Secret Sheet'!E26*0.008</f>
        <v>12031.93348</v>
      </c>
      <c r="N26" s="23"/>
      <c r="O26" s="35">
        <v>0.25</v>
      </c>
      <c r="P26" s="23"/>
      <c r="Q26" s="23"/>
      <c r="R26" s="23"/>
      <c r="S26" s="35">
        <v>0.15</v>
      </c>
      <c r="T26" s="35">
        <v>0.02</v>
      </c>
    </row>
    <row r="27" spans="1:20" x14ac:dyDescent="0.2">
      <c r="A27" s="98" t="str">
        <f>'Duchies Summary'!A27</f>
        <v>Raven's Reach</v>
      </c>
      <c r="B27" s="23" t="s">
        <v>64</v>
      </c>
      <c r="C27" s="23">
        <f t="shared" si="0"/>
        <v>2495.4513571428574</v>
      </c>
      <c r="D27" s="23">
        <f t="shared" si="1"/>
        <v>75.531360000000006</v>
      </c>
      <c r="E27" s="23">
        <f t="shared" si="2"/>
        <v>2495.4513571428574</v>
      </c>
      <c r="F27" s="23">
        <f t="shared" si="3"/>
        <v>3327.2684761904766</v>
      </c>
      <c r="G27" s="23">
        <f>'New Cities'!B98</f>
        <v>1744.5233333333335</v>
      </c>
      <c r="H27" s="23">
        <f>S27*(('Duchies Summary'!I27)*T27)</f>
        <v>1582.7451428571428</v>
      </c>
      <c r="I27" s="23">
        <f t="shared" si="4"/>
        <v>831.81711904761914</v>
      </c>
      <c r="J27" s="23"/>
      <c r="K27" s="23">
        <f t="shared" si="5"/>
        <v>75.531360000000006</v>
      </c>
      <c r="L27" s="23"/>
      <c r="M27" s="23">
        <f>'Duchies Secret Sheet'!C27*2+'Duchies Secret Sheet'!E27*0.008</f>
        <v>75.531360000000006</v>
      </c>
      <c r="N27" s="23"/>
      <c r="O27" s="35">
        <v>0.25</v>
      </c>
      <c r="P27" s="23"/>
      <c r="Q27" s="23"/>
      <c r="R27" s="23"/>
      <c r="S27" s="35">
        <v>0.15</v>
      </c>
      <c r="T27" s="35">
        <v>0.02</v>
      </c>
    </row>
    <row r="28" spans="1:20" x14ac:dyDescent="0.2">
      <c r="A28" s="98" t="str">
        <f>'Duchies Summary'!A28</f>
        <v>Northfold</v>
      </c>
      <c r="B28" s="23" t="s">
        <v>64</v>
      </c>
      <c r="C28" s="23">
        <f t="shared" si="0"/>
        <v>800.35007142857148</v>
      </c>
      <c r="D28" s="23">
        <f t="shared" si="1"/>
        <v>17.934720000000002</v>
      </c>
      <c r="E28" s="23">
        <f t="shared" si="2"/>
        <v>800.35007142857148</v>
      </c>
      <c r="F28" s="23">
        <f t="shared" si="3"/>
        <v>1067.1334285714286</v>
      </c>
      <c r="G28" s="23">
        <f>'New Cities'!B78</f>
        <v>702.9</v>
      </c>
      <c r="H28" s="23">
        <f>S28*(('Duchies Summary'!I28)*T28)</f>
        <v>364.23342857142859</v>
      </c>
      <c r="I28" s="23">
        <f t="shared" si="4"/>
        <v>266.78335714285708</v>
      </c>
      <c r="J28" s="23"/>
      <c r="K28" s="23">
        <f t="shared" si="5"/>
        <v>17.934720000000002</v>
      </c>
      <c r="L28" s="23"/>
      <c r="M28" s="23">
        <f>'Duchies Secret Sheet'!C28*2+'Duchies Secret Sheet'!E28*0.008</f>
        <v>17.934720000000002</v>
      </c>
      <c r="N28" s="23"/>
      <c r="O28" s="35">
        <v>0.25</v>
      </c>
      <c r="P28" s="23"/>
      <c r="Q28" s="23"/>
      <c r="R28" s="23"/>
      <c r="S28" s="35">
        <v>0.15</v>
      </c>
      <c r="T28" s="35">
        <v>0.02</v>
      </c>
    </row>
    <row r="29" spans="1:20" x14ac:dyDescent="0.2">
      <c r="A29" s="98" t="str">
        <f>'Duchies Summary'!A29</f>
        <v>Blackstone</v>
      </c>
      <c r="B29" s="23" t="s">
        <v>64</v>
      </c>
      <c r="C29" s="23">
        <f t="shared" si="0"/>
        <v>3069.8677500000003</v>
      </c>
      <c r="D29" s="23">
        <f t="shared" si="1"/>
        <v>84.292720000000003</v>
      </c>
      <c r="E29" s="23">
        <f t="shared" si="2"/>
        <v>3069.8677500000003</v>
      </c>
      <c r="F29" s="23">
        <f t="shared" si="3"/>
        <v>4093.1570000000002</v>
      </c>
      <c r="G29" s="23">
        <f>'New Cities'!B6</f>
        <v>2335.2950000000001</v>
      </c>
      <c r="H29" s="23">
        <f>S29*(('Duchies Summary'!I29)*T29)</f>
        <v>1757.8619999999999</v>
      </c>
      <c r="I29" s="23">
        <f t="shared" si="4"/>
        <v>1023.2892499999998</v>
      </c>
      <c r="J29" s="23"/>
      <c r="K29" s="23">
        <f t="shared" si="5"/>
        <v>84.292720000000003</v>
      </c>
      <c r="L29" s="23"/>
      <c r="M29" s="23">
        <f>'Duchies Secret Sheet'!C29*2+'Duchies Secret Sheet'!E29*0.008</f>
        <v>84.292720000000003</v>
      </c>
      <c r="N29" s="23"/>
      <c r="O29" s="35">
        <v>0.25</v>
      </c>
      <c r="P29" s="23"/>
      <c r="Q29" s="23"/>
      <c r="R29" s="23"/>
      <c r="S29" s="35">
        <v>0.15</v>
      </c>
      <c r="T29" s="35">
        <v>0.02</v>
      </c>
    </row>
    <row r="30" spans="1:20" x14ac:dyDescent="0.2">
      <c r="A30" s="98" t="str">
        <f>'Duchies Summary'!A30</f>
        <v>Ravenmark</v>
      </c>
      <c r="B30" s="23" t="s">
        <v>64</v>
      </c>
      <c r="C30" s="23">
        <f t="shared" si="0"/>
        <v>1114.7415000000001</v>
      </c>
      <c r="D30" s="23">
        <f t="shared" si="1"/>
        <v>32.579440000000005</v>
      </c>
      <c r="E30" s="23">
        <f t="shared" si="2"/>
        <v>1114.7415000000001</v>
      </c>
      <c r="F30" s="23">
        <f t="shared" si="3"/>
        <v>1486.3220000000001</v>
      </c>
      <c r="G30" s="23">
        <f>'New Cities'!B103</f>
        <v>809.59999999999991</v>
      </c>
      <c r="H30" s="23">
        <f>S30*(('Duchies Summary'!I30)*T30)</f>
        <v>676.72200000000009</v>
      </c>
      <c r="I30" s="23">
        <f t="shared" si="4"/>
        <v>371.58050000000003</v>
      </c>
      <c r="J30" s="23"/>
      <c r="K30" s="23">
        <f t="shared" si="5"/>
        <v>32.579440000000005</v>
      </c>
      <c r="L30" s="23"/>
      <c r="M30" s="23">
        <f>'Duchies Secret Sheet'!C30*2+'Duchies Secret Sheet'!E30*0.008</f>
        <v>32.579440000000005</v>
      </c>
      <c r="N30" s="23"/>
      <c r="O30" s="35">
        <v>0.25</v>
      </c>
      <c r="P30" s="23"/>
      <c r="Q30" s="23"/>
      <c r="R30" s="23"/>
      <c r="S30" s="35">
        <v>0.15</v>
      </c>
      <c r="T30" s="35">
        <v>0.02</v>
      </c>
    </row>
    <row r="31" spans="1:20" x14ac:dyDescent="0.2">
      <c r="A31" s="98" t="str">
        <f>'Duchies Summary'!A31</f>
        <v>Wet Shoor</v>
      </c>
      <c r="B31" s="23" t="s">
        <v>64</v>
      </c>
      <c r="C31" s="23">
        <f t="shared" si="0"/>
        <v>763.73250000000007</v>
      </c>
      <c r="D31" s="23">
        <f t="shared" si="1"/>
        <v>45.063639999999999</v>
      </c>
      <c r="E31" s="23">
        <f t="shared" si="2"/>
        <v>763.73250000000007</v>
      </c>
      <c r="F31" s="23">
        <f t="shared" si="3"/>
        <v>1018.3100000000001</v>
      </c>
      <c r="G31" s="23">
        <f>'New Cities'!C166</f>
        <v>65.600000000000009</v>
      </c>
      <c r="H31" s="23">
        <f>S31*(('Duchies Summary'!I31)*T31)</f>
        <v>952.71</v>
      </c>
      <c r="I31" s="23">
        <f t="shared" si="4"/>
        <v>254.57749999999999</v>
      </c>
      <c r="J31" s="23"/>
      <c r="K31" s="23">
        <f t="shared" si="5"/>
        <v>45.063639999999999</v>
      </c>
      <c r="L31" s="23"/>
      <c r="M31" s="23">
        <f>'Duchies Secret Sheet'!C31*2+'Duchies Secret Sheet'!E31*0.008</f>
        <v>45.063639999999999</v>
      </c>
      <c r="N31" s="23"/>
      <c r="O31" s="35">
        <v>0.25</v>
      </c>
      <c r="P31" s="23"/>
      <c r="Q31" s="23"/>
      <c r="R31" s="23"/>
      <c r="S31" s="35">
        <v>0.15</v>
      </c>
      <c r="T31" s="35">
        <v>0.02</v>
      </c>
    </row>
    <row r="32" spans="1:20" x14ac:dyDescent="0.2">
      <c r="A32" s="98" t="str">
        <f>'Duchies Summary'!A32</f>
        <v>Quickwatch</v>
      </c>
      <c r="B32" s="23" t="s">
        <v>64</v>
      </c>
      <c r="C32" s="23">
        <f t="shared" si="0"/>
        <v>2223.581892857143</v>
      </c>
      <c r="D32" s="23">
        <f t="shared" si="1"/>
        <v>84.663119999999992</v>
      </c>
      <c r="E32" s="23">
        <f t="shared" si="2"/>
        <v>2223.581892857143</v>
      </c>
      <c r="F32" s="23">
        <f t="shared" si="3"/>
        <v>2964.7758571428571</v>
      </c>
      <c r="G32" s="23">
        <f>'New Cities'!B88</f>
        <v>1190.365</v>
      </c>
      <c r="H32" s="23">
        <f>S32*(('Duchies Summary'!I32)*T32)</f>
        <v>1774.4108571428571</v>
      </c>
      <c r="I32" s="23">
        <f t="shared" si="4"/>
        <v>741.19396428571417</v>
      </c>
      <c r="J32" s="23"/>
      <c r="K32" s="23">
        <f t="shared" si="5"/>
        <v>84.663119999999992</v>
      </c>
      <c r="L32" s="23"/>
      <c r="M32" s="23">
        <f>'Duchies Secret Sheet'!C32*2+'Duchies Secret Sheet'!E32*0.008</f>
        <v>84.663119999999992</v>
      </c>
      <c r="N32" s="23"/>
      <c r="O32" s="35">
        <v>0.25</v>
      </c>
      <c r="P32" s="23"/>
      <c r="Q32" s="23"/>
      <c r="R32" s="23"/>
      <c r="S32" s="35">
        <v>0.15</v>
      </c>
      <c r="T32" s="35">
        <v>0.02</v>
      </c>
    </row>
    <row r="33" spans="1:20" x14ac:dyDescent="0.2">
      <c r="A33" s="98" t="str">
        <f>'Duchies Summary'!A33</f>
        <v>The Deepwood</v>
      </c>
      <c r="B33" s="23" t="s">
        <v>64</v>
      </c>
      <c r="C33" s="23">
        <f t="shared" si="0"/>
        <v>1636.2110357142858</v>
      </c>
      <c r="D33" s="23">
        <f t="shared" si="1"/>
        <v>34.337120000000006</v>
      </c>
      <c r="E33" s="23">
        <f t="shared" si="2"/>
        <v>1636.2110357142858</v>
      </c>
      <c r="F33" s="23">
        <f t="shared" si="3"/>
        <v>2181.6147142857144</v>
      </c>
      <c r="G33" s="23">
        <f>'New Cities'!B139</f>
        <v>1476.9250000000002</v>
      </c>
      <c r="H33" s="23">
        <f>S33*(('Duchies Summary'!I33)*T33)</f>
        <v>704.68971428571422</v>
      </c>
      <c r="I33" s="23">
        <f t="shared" si="4"/>
        <v>545.4036785714286</v>
      </c>
      <c r="J33" s="23"/>
      <c r="K33" s="23">
        <f t="shared" si="5"/>
        <v>34.337120000000006</v>
      </c>
      <c r="L33" s="23"/>
      <c r="M33" s="23">
        <f>'Duchies Secret Sheet'!C33*2+'Duchies Secret Sheet'!E33*0.008</f>
        <v>34.337120000000006</v>
      </c>
      <c r="N33" s="23"/>
      <c r="O33" s="35">
        <v>0.25</v>
      </c>
      <c r="P33" s="23"/>
      <c r="Q33" s="23"/>
      <c r="R33" s="23"/>
      <c r="S33" s="35">
        <v>0.15</v>
      </c>
      <c r="T33" s="35">
        <v>0.02</v>
      </c>
    </row>
    <row r="34" spans="1:20" x14ac:dyDescent="0.2">
      <c r="A34" s="98" t="str">
        <f>'Duchies Summary'!A34</f>
        <v>Swan's Shoor</v>
      </c>
      <c r="B34" s="23" t="s">
        <v>64</v>
      </c>
      <c r="C34" s="23">
        <f t="shared" si="0"/>
        <v>2369.7690357142856</v>
      </c>
      <c r="D34" s="23">
        <f t="shared" si="1"/>
        <v>10040.6818</v>
      </c>
      <c r="E34" s="23">
        <f t="shared" si="2"/>
        <v>2369.7690357142856</v>
      </c>
      <c r="F34" s="23">
        <f t="shared" si="3"/>
        <v>3159.6920476190471</v>
      </c>
      <c r="G34" s="23">
        <f>'New Cities'!B126</f>
        <v>2349.228333333333</v>
      </c>
      <c r="H34" s="23">
        <f>S34*(('Duchies Summary'!I34)*T34)</f>
        <v>810.46371428571433</v>
      </c>
      <c r="I34" s="23">
        <f t="shared" si="4"/>
        <v>789.92301190476155</v>
      </c>
      <c r="J34" s="23"/>
      <c r="K34" s="23">
        <f t="shared" si="5"/>
        <v>10040.6818</v>
      </c>
      <c r="L34" s="23"/>
      <c r="M34" s="23">
        <f>'Duchies Secret Sheet'!C34*2+'Duchies Secret Sheet'!E34*0.008</f>
        <v>10040.6818</v>
      </c>
      <c r="N34" s="23"/>
      <c r="O34" s="35">
        <v>0.25</v>
      </c>
      <c r="P34" s="23"/>
      <c r="Q34" s="23"/>
      <c r="R34" s="23"/>
      <c r="S34" s="35">
        <v>0.15</v>
      </c>
      <c r="T34" s="35">
        <v>0.02</v>
      </c>
    </row>
    <row r="35" spans="1:20" x14ac:dyDescent="0.2">
      <c r="A35" s="98" t="str">
        <f>'Duchies Summary'!A35</f>
        <v>The Shield</v>
      </c>
      <c r="B35" s="23" t="s">
        <v>64</v>
      </c>
      <c r="C35" s="23">
        <f t="shared" si="0"/>
        <v>1786.6013571428571</v>
      </c>
      <c r="D35" s="23">
        <f t="shared" si="1"/>
        <v>51.520040000000002</v>
      </c>
      <c r="E35" s="23">
        <f t="shared" si="2"/>
        <v>1786.6013571428571</v>
      </c>
      <c r="F35" s="23">
        <f t="shared" si="3"/>
        <v>2382.1351428571429</v>
      </c>
      <c r="G35" s="23">
        <f>'New Cities'!B146</f>
        <v>1307.6500000000001</v>
      </c>
      <c r="H35" s="23">
        <f>S35*(('Duchies Summary'!I35)*T35)</f>
        <v>1074.4851428571428</v>
      </c>
      <c r="I35" s="23">
        <f t="shared" si="4"/>
        <v>595.53378571428584</v>
      </c>
      <c r="J35" s="23"/>
      <c r="K35" s="23">
        <f t="shared" si="5"/>
        <v>51.520040000000002</v>
      </c>
      <c r="L35" s="23"/>
      <c r="M35" s="23">
        <f>'Duchies Secret Sheet'!C35*2+'Duchies Secret Sheet'!E35*0.008</f>
        <v>51.520040000000002</v>
      </c>
      <c r="N35" s="23"/>
      <c r="O35" s="35">
        <v>0.25</v>
      </c>
      <c r="P35" s="23"/>
      <c r="Q35" s="23"/>
      <c r="R35" s="23"/>
      <c r="S35" s="35">
        <v>0.15</v>
      </c>
      <c r="T35" s="35">
        <v>0.02</v>
      </c>
    </row>
    <row r="36" spans="1:20" x14ac:dyDescent="0.2">
      <c r="A36" s="98" t="str">
        <f>'Duchies Summary'!A36</f>
        <v>Elreach</v>
      </c>
      <c r="B36" s="23" t="s">
        <v>64</v>
      </c>
      <c r="C36" s="23">
        <f t="shared" si="0"/>
        <v>1738.968785714286</v>
      </c>
      <c r="D36" s="23">
        <f t="shared" si="1"/>
        <v>60.383600000000001</v>
      </c>
      <c r="E36" s="23">
        <f t="shared" si="2"/>
        <v>1738.968785714286</v>
      </c>
      <c r="F36" s="23">
        <f t="shared" si="3"/>
        <v>2318.625047619048</v>
      </c>
      <c r="G36" s="23">
        <f>'New Cities'!B31</f>
        <v>1061.2033333333334</v>
      </c>
      <c r="H36" s="23">
        <f>S36*(('Duchies Summary'!I36)*T36)</f>
        <v>1257.4217142857144</v>
      </c>
      <c r="I36" s="23">
        <f t="shared" si="4"/>
        <v>579.656261904762</v>
      </c>
      <c r="J36" s="23"/>
      <c r="K36" s="23">
        <f t="shared" si="5"/>
        <v>60.383600000000001</v>
      </c>
      <c r="L36" s="23"/>
      <c r="M36" s="23">
        <f>'Duchies Secret Sheet'!C36*2+'Duchies Secret Sheet'!E36*0.008</f>
        <v>60.383600000000001</v>
      </c>
      <c r="N36" s="23"/>
      <c r="O36" s="35">
        <v>0.25</v>
      </c>
      <c r="P36" s="23"/>
      <c r="Q36" s="23"/>
      <c r="R36" s="23"/>
      <c r="S36" s="35">
        <v>0.15</v>
      </c>
      <c r="T36" s="35">
        <v>0.02</v>
      </c>
    </row>
    <row r="37" spans="1:20" x14ac:dyDescent="0.2">
      <c r="A37" s="98" t="str">
        <f>'Duchies Summary'!A37</f>
        <v>Mightkeep</v>
      </c>
      <c r="B37" s="23" t="s">
        <v>64</v>
      </c>
      <c r="C37" s="23">
        <f t="shared" si="0"/>
        <v>2802.0225357142858</v>
      </c>
      <c r="D37" s="23">
        <f t="shared" si="1"/>
        <v>11044.72328</v>
      </c>
      <c r="E37" s="23">
        <f t="shared" si="2"/>
        <v>2802.0225357142858</v>
      </c>
      <c r="F37" s="23">
        <f t="shared" si="3"/>
        <v>3736.0300476190478</v>
      </c>
      <c r="G37" s="23">
        <f>'New Cities'!B65</f>
        <v>2855.2283333333335</v>
      </c>
      <c r="H37" s="23">
        <f>S37*(('Duchies Summary'!I37)*T37)</f>
        <v>880.8017142857143</v>
      </c>
      <c r="I37" s="23">
        <f t="shared" si="4"/>
        <v>934.00751190476194</v>
      </c>
      <c r="J37" s="23"/>
      <c r="K37" s="23">
        <f t="shared" si="5"/>
        <v>11044.72328</v>
      </c>
      <c r="L37" s="23"/>
      <c r="M37" s="23">
        <f>'Duchies Secret Sheet'!C37*2+'Duchies Secret Sheet'!E37*0.008</f>
        <v>11044.72328</v>
      </c>
      <c r="N37" s="23"/>
      <c r="O37" s="35">
        <v>0.25</v>
      </c>
      <c r="P37" s="23"/>
      <c r="Q37" s="23"/>
      <c r="R37" s="23"/>
      <c r="S37" s="35">
        <v>0.15</v>
      </c>
      <c r="T37" s="35">
        <v>0.02</v>
      </c>
    </row>
    <row r="38" spans="1:20" x14ac:dyDescent="0.2">
      <c r="A38" s="98" t="str">
        <f>'Duchies Summary'!A38</f>
        <v>Mightfall</v>
      </c>
      <c r="B38" s="23" t="s">
        <v>64</v>
      </c>
      <c r="C38" s="23">
        <f t="shared" si="0"/>
        <v>1443.6026428571427</v>
      </c>
      <c r="D38" s="23">
        <f t="shared" si="1"/>
        <v>10042.8354</v>
      </c>
      <c r="E38" s="23">
        <f t="shared" si="2"/>
        <v>1443.6026428571427</v>
      </c>
      <c r="F38" s="23">
        <f t="shared" si="3"/>
        <v>1924.8035238095235</v>
      </c>
      <c r="G38" s="23">
        <f>'New Cities'!B60</f>
        <v>1040.6666666666665</v>
      </c>
      <c r="H38" s="23">
        <f>S38*(('Duchies Summary'!I38)*T38)</f>
        <v>884.13685714285714</v>
      </c>
      <c r="I38" s="23">
        <f t="shared" si="4"/>
        <v>481.20088095238088</v>
      </c>
      <c r="J38" s="23"/>
      <c r="K38" s="23">
        <f t="shared" si="5"/>
        <v>10042.8354</v>
      </c>
      <c r="L38" s="23"/>
      <c r="M38" s="23">
        <f>'Duchies Secret Sheet'!C38*2+'Duchies Secret Sheet'!E38*0.008</f>
        <v>10042.8354</v>
      </c>
      <c r="N38" s="23"/>
      <c r="O38" s="35">
        <v>0.25</v>
      </c>
      <c r="P38" s="23"/>
      <c r="Q38" s="23"/>
      <c r="R38" s="23"/>
      <c r="S38" s="35">
        <v>0.15</v>
      </c>
      <c r="T38" s="35">
        <v>0.02</v>
      </c>
    </row>
    <row r="39" spans="1:20" x14ac:dyDescent="0.2">
      <c r="A39" s="98" t="str">
        <f>'Duchies Summary'!A39</f>
        <v>Eguard</v>
      </c>
      <c r="B39" s="23" t="s">
        <v>64</v>
      </c>
      <c r="C39" s="23">
        <f t="shared" si="0"/>
        <v>1664.9420357142858</v>
      </c>
      <c r="D39" s="23">
        <f t="shared" si="1"/>
        <v>6827.9630800000004</v>
      </c>
      <c r="E39" s="23">
        <f t="shared" si="2"/>
        <v>1664.9420357142858</v>
      </c>
      <c r="F39" s="23">
        <f t="shared" si="3"/>
        <v>2219.9227142857144</v>
      </c>
      <c r="G39" s="23">
        <f>'New Cities'!B29</f>
        <v>1651.1750000000002</v>
      </c>
      <c r="H39" s="23">
        <f>S39*(('Duchies Summary'!I39)*T39)</f>
        <v>568.74771428571421</v>
      </c>
      <c r="I39" s="23">
        <f t="shared" si="4"/>
        <v>554.9806785714286</v>
      </c>
      <c r="J39" s="23"/>
      <c r="K39" s="23">
        <f t="shared" si="5"/>
        <v>6827.9630800000004</v>
      </c>
      <c r="L39" s="23"/>
      <c r="M39" s="23">
        <f>'Duchies Secret Sheet'!C39*2+'Duchies Secret Sheet'!E39*0.008</f>
        <v>6827.9630800000004</v>
      </c>
      <c r="N39" s="23"/>
      <c r="O39" s="35">
        <v>0.25</v>
      </c>
      <c r="P39" s="23"/>
      <c r="Q39" s="23"/>
      <c r="R39" s="23"/>
      <c r="S39" s="35">
        <v>0.15</v>
      </c>
      <c r="T39" s="35">
        <v>0.02</v>
      </c>
    </row>
    <row r="40" spans="1:20" x14ac:dyDescent="0.2">
      <c r="A40" s="98" t="str">
        <f>'Duchies Summary'!A40</f>
        <v>Lonely Light</v>
      </c>
      <c r="B40" s="23" t="s">
        <v>64</v>
      </c>
      <c r="C40" s="23">
        <f t="shared" si="0"/>
        <v>249.34514285714289</v>
      </c>
      <c r="D40" s="23">
        <f t="shared" si="1"/>
        <v>2.3961600000000001</v>
      </c>
      <c r="E40" s="23">
        <f t="shared" si="2"/>
        <v>249.34514285714289</v>
      </c>
      <c r="F40" s="23">
        <f t="shared" si="3"/>
        <v>332.46019047619052</v>
      </c>
      <c r="G40" s="23">
        <f>'New Cities'!B50</f>
        <v>288.53333333333336</v>
      </c>
      <c r="H40" s="23">
        <f>S40*(('Duchies Summary'!I40)*T40)</f>
        <v>43.926857142857138</v>
      </c>
      <c r="I40" s="23">
        <f t="shared" si="4"/>
        <v>83.11504761904763</v>
      </c>
      <c r="J40" s="23"/>
      <c r="K40" s="23">
        <f t="shared" si="5"/>
        <v>2.3961600000000001</v>
      </c>
      <c r="L40" s="23"/>
      <c r="M40" s="23">
        <f>'Duchies Secret Sheet'!C40*2+'Duchies Secret Sheet'!E40*0.008</f>
        <v>2.3961600000000001</v>
      </c>
      <c r="N40" s="23"/>
      <c r="O40" s="35">
        <v>0.25</v>
      </c>
      <c r="P40" s="23"/>
      <c r="Q40" s="23"/>
      <c r="R40" s="23"/>
      <c r="S40" s="35">
        <v>0.15</v>
      </c>
      <c r="T40" s="35">
        <v>0.02</v>
      </c>
    </row>
    <row r="41" spans="1:20" x14ac:dyDescent="0.2">
      <c r="A41" s="98" t="str">
        <f>'Duchies Summary'!A41</f>
        <v>The Valley</v>
      </c>
      <c r="B41" s="23" t="s">
        <v>54</v>
      </c>
      <c r="C41" s="23">
        <f t="shared" si="0"/>
        <v>685.25860714285704</v>
      </c>
      <c r="D41" s="23">
        <f t="shared" si="1"/>
        <v>41.382080000000002</v>
      </c>
      <c r="E41" s="23">
        <f t="shared" si="2"/>
        <v>685.25860714285704</v>
      </c>
      <c r="F41" s="23">
        <f t="shared" si="3"/>
        <v>913.6781428571428</v>
      </c>
      <c r="G41" s="23">
        <f>'New Cities'!B149</f>
        <v>27.875</v>
      </c>
      <c r="H41" s="23">
        <f>S41*(('Duchies Summary'!I41)*T41)</f>
        <v>885.8031428571428</v>
      </c>
      <c r="I41" s="23">
        <f t="shared" si="4"/>
        <v>228.41953571428576</v>
      </c>
      <c r="J41" s="23"/>
      <c r="K41" s="23">
        <f t="shared" si="5"/>
        <v>41.382080000000002</v>
      </c>
      <c r="L41" s="23"/>
      <c r="M41" s="23">
        <f>'Duchies Secret Sheet'!C41*2+'Duchies Secret Sheet'!E41*0.008</f>
        <v>41.382080000000002</v>
      </c>
      <c r="N41" s="23"/>
      <c r="O41" s="35">
        <v>0.25</v>
      </c>
      <c r="P41" s="23"/>
      <c r="Q41" s="23"/>
      <c r="R41" s="23"/>
      <c r="S41" s="35">
        <v>0.15</v>
      </c>
      <c r="T41" s="35">
        <v>0.02</v>
      </c>
    </row>
    <row r="42" spans="1:20" x14ac:dyDescent="0.2">
      <c r="A42" s="98" t="str">
        <f>'Duchies Summary'!A42</f>
        <v>The Knolls</v>
      </c>
      <c r="B42" s="23" t="s">
        <v>54</v>
      </c>
      <c r="C42" s="23">
        <f t="shared" si="0"/>
        <v>978.17771428571427</v>
      </c>
      <c r="D42" s="23">
        <f t="shared" si="1"/>
        <v>46.492919999999998</v>
      </c>
      <c r="E42" s="23">
        <f t="shared" si="2"/>
        <v>978.17771428571427</v>
      </c>
      <c r="F42" s="23">
        <f t="shared" si="3"/>
        <v>1304.2369523809523</v>
      </c>
      <c r="G42" s="23">
        <f>'New Cities'!B143</f>
        <v>316.38666666666666</v>
      </c>
      <c r="H42" s="23">
        <f>S42*(('Duchies Summary'!I42)*T42)</f>
        <v>987.85028571428563</v>
      </c>
      <c r="I42" s="23">
        <f t="shared" si="4"/>
        <v>326.05923809523802</v>
      </c>
      <c r="J42" s="23"/>
      <c r="K42" s="23">
        <f t="shared" si="5"/>
        <v>46.492919999999998</v>
      </c>
      <c r="L42" s="23"/>
      <c r="M42" s="23">
        <f>'Duchies Secret Sheet'!C42*2+'Duchies Secret Sheet'!E42*0.008</f>
        <v>46.492919999999998</v>
      </c>
      <c r="N42" s="23"/>
      <c r="O42" s="35">
        <v>0.25</v>
      </c>
      <c r="P42" s="23"/>
      <c r="Q42" s="23"/>
      <c r="R42" s="23"/>
      <c r="S42" s="35">
        <v>0.15</v>
      </c>
      <c r="T42" s="35">
        <v>0.02</v>
      </c>
    </row>
    <row r="43" spans="1:20" x14ac:dyDescent="0.2">
      <c r="A43" s="98" t="str">
        <f>'Duchies Summary'!A43</f>
        <v>Persterton Pass</v>
      </c>
      <c r="B43" s="23" t="s">
        <v>54</v>
      </c>
      <c r="C43" s="23">
        <f t="shared" si="0"/>
        <v>343.0615357142857</v>
      </c>
      <c r="D43" s="23">
        <f t="shared" si="1"/>
        <v>12.407200000000001</v>
      </c>
      <c r="E43" s="23">
        <f t="shared" si="2"/>
        <v>343.0615357142857</v>
      </c>
      <c r="F43" s="23">
        <f t="shared" si="3"/>
        <v>457.41538095238093</v>
      </c>
      <c r="G43" s="23">
        <f>'New Cities'!B83</f>
        <v>197.96166666666667</v>
      </c>
      <c r="H43" s="23">
        <f>S43*(('Duchies Summary'!I43)*T43)</f>
        <v>259.45371428571428</v>
      </c>
      <c r="I43" s="23">
        <f t="shared" si="4"/>
        <v>114.35384523809523</v>
      </c>
      <c r="J43" s="23"/>
      <c r="K43" s="23">
        <f t="shared" si="5"/>
        <v>12.407200000000001</v>
      </c>
      <c r="L43" s="23"/>
      <c r="M43" s="23">
        <f>'Duchies Secret Sheet'!C43*2+'Duchies Secret Sheet'!E43*0.008</f>
        <v>12.407200000000001</v>
      </c>
      <c r="N43" s="23"/>
      <c r="O43" s="35">
        <v>0.25</v>
      </c>
      <c r="P43" s="23"/>
      <c r="Q43" s="23"/>
      <c r="R43" s="23"/>
      <c r="S43" s="35">
        <v>0.15</v>
      </c>
      <c r="T43" s="35">
        <v>0.02</v>
      </c>
    </row>
    <row r="44" spans="1:20" x14ac:dyDescent="0.2">
      <c r="A44" s="98" t="str">
        <f>'Duchies Summary'!A44</f>
        <v>Rordgoz</v>
      </c>
      <c r="B44" s="23" t="s">
        <v>54</v>
      </c>
      <c r="C44" s="23">
        <f t="shared" si="0"/>
        <v>387.31346428571425</v>
      </c>
      <c r="D44" s="23">
        <f t="shared" si="1"/>
        <v>22.303920000000002</v>
      </c>
      <c r="E44" s="23">
        <f t="shared" si="2"/>
        <v>387.31346428571425</v>
      </c>
      <c r="F44" s="23">
        <f t="shared" si="3"/>
        <v>516.41795238095233</v>
      </c>
      <c r="G44" s="23">
        <f>'New Cities'!B108</f>
        <v>40.061666666666667</v>
      </c>
      <c r="H44" s="23">
        <f>S44*(('Duchies Summary'!I44)*T44)</f>
        <v>476.35628571428572</v>
      </c>
      <c r="I44" s="23">
        <f t="shared" si="4"/>
        <v>129.10448809523808</v>
      </c>
      <c r="J44" s="23"/>
      <c r="K44" s="23">
        <f t="shared" si="5"/>
        <v>22.303920000000002</v>
      </c>
      <c r="L44" s="23"/>
      <c r="M44" s="23">
        <f>'Duchies Secret Sheet'!C44*2+'Duchies Secret Sheet'!E44*0.008</f>
        <v>22.303920000000002</v>
      </c>
      <c r="N44" s="23"/>
      <c r="O44" s="35">
        <v>0.25</v>
      </c>
      <c r="P44" s="23"/>
      <c r="Q44" s="23"/>
      <c r="R44" s="23"/>
      <c r="S44" s="35">
        <v>0.15</v>
      </c>
      <c r="T44" s="35">
        <v>0.02</v>
      </c>
    </row>
    <row r="45" spans="1:20" x14ac:dyDescent="0.2">
      <c r="A45" s="98" t="str">
        <f>'Duchies Summary'!A45</f>
        <v>Briduan</v>
      </c>
      <c r="B45" s="23" t="s">
        <v>54</v>
      </c>
      <c r="C45" s="23">
        <f t="shared" si="0"/>
        <v>280.88046428571431</v>
      </c>
      <c r="D45" s="23">
        <f t="shared" si="1"/>
        <v>15.373480000000001</v>
      </c>
      <c r="E45" s="23">
        <f t="shared" si="2"/>
        <v>280.88046428571431</v>
      </c>
      <c r="F45" s="23">
        <f t="shared" si="3"/>
        <v>374.50728571428573</v>
      </c>
      <c r="G45" s="23">
        <f>'New Cities'!B9</f>
        <v>46.675000000000004</v>
      </c>
      <c r="H45" s="23">
        <f>S45*(('Duchies Summary'!I45)*T45)</f>
        <v>327.83228571428572</v>
      </c>
      <c r="I45" s="23">
        <f t="shared" si="4"/>
        <v>93.626821428571418</v>
      </c>
      <c r="J45" s="23"/>
      <c r="K45" s="23">
        <f t="shared" si="5"/>
        <v>15.373480000000001</v>
      </c>
      <c r="L45" s="23"/>
      <c r="M45" s="23">
        <f>'Duchies Secret Sheet'!C45*2+'Duchies Secret Sheet'!E45*0.008</f>
        <v>15.373480000000001</v>
      </c>
      <c r="N45" s="23"/>
      <c r="O45" s="35">
        <v>0.25</v>
      </c>
      <c r="P45" s="23"/>
      <c r="Q45" s="23"/>
      <c r="R45" s="23"/>
      <c r="S45" s="35">
        <v>0.15</v>
      </c>
      <c r="T45" s="35">
        <v>0.02</v>
      </c>
    </row>
    <row r="46" spans="1:20" x14ac:dyDescent="0.2">
      <c r="A46" s="100" t="s">
        <v>226</v>
      </c>
      <c r="B46" s="101"/>
      <c r="C46" s="101">
        <f t="shared" ref="C46:M46" si="6">SUM(C2:C45)</f>
        <v>83692.236964285708</v>
      </c>
      <c r="D46" s="101">
        <f t="shared" si="6"/>
        <v>264775.44935077062</v>
      </c>
      <c r="E46" s="101">
        <f t="shared" si="6"/>
        <v>83692.236964285708</v>
      </c>
      <c r="F46" s="101">
        <f t="shared" si="6"/>
        <v>111589.64928571426</v>
      </c>
      <c r="G46" s="101">
        <f t="shared" si="6"/>
        <v>58454.004999999997</v>
      </c>
      <c r="H46" s="101">
        <f t="shared" si="6"/>
        <v>53135.644285714297</v>
      </c>
      <c r="I46" s="101">
        <f t="shared" si="6"/>
        <v>27897.412321428568</v>
      </c>
      <c r="J46" s="101">
        <f t="shared" si="6"/>
        <v>0</v>
      </c>
      <c r="K46" s="101">
        <f t="shared" si="6"/>
        <v>264775.44935077062</v>
      </c>
      <c r="L46" s="101">
        <f t="shared" si="6"/>
        <v>0</v>
      </c>
      <c r="M46" s="101">
        <f t="shared" si="6"/>
        <v>264775.44935077062</v>
      </c>
      <c r="N46" s="101"/>
      <c r="O46" s="101"/>
      <c r="P46" s="101"/>
      <c r="Q46" s="101"/>
      <c r="R46" s="101"/>
      <c r="S46" s="101"/>
      <c r="T46" s="101"/>
    </row>
    <row r="47" spans="1:20" x14ac:dyDescent="0.2">
      <c r="A47" s="98" t="s">
        <v>81</v>
      </c>
      <c r="B47" s="23"/>
      <c r="C47" s="23">
        <f t="shared" ref="C47:K47" si="7">AVERAGE(C2:C45)</f>
        <v>1902.0962946428569</v>
      </c>
      <c r="D47" s="23">
        <f t="shared" si="7"/>
        <v>6017.6238488811505</v>
      </c>
      <c r="E47" s="23">
        <f t="shared" si="7"/>
        <v>1902.0962946428569</v>
      </c>
      <c r="F47" s="23">
        <f t="shared" si="7"/>
        <v>2536.1283928571424</v>
      </c>
      <c r="G47" s="23">
        <f t="shared" si="7"/>
        <v>1328.5001136363635</v>
      </c>
      <c r="H47" s="23">
        <f t="shared" si="7"/>
        <v>1207.6282792207794</v>
      </c>
      <c r="I47" s="23">
        <f t="shared" si="7"/>
        <v>634.03209821428561</v>
      </c>
      <c r="J47" s="23">
        <f t="shared" si="7"/>
        <v>0</v>
      </c>
      <c r="K47" s="23">
        <f t="shared" si="7"/>
        <v>6017.6238488811505</v>
      </c>
      <c r="L47" s="23"/>
      <c r="M47" s="23">
        <f>AVERAGE(M2:M45)</f>
        <v>6017.6238488811505</v>
      </c>
      <c r="N47" s="23"/>
      <c r="O47" s="23"/>
      <c r="P47" s="23"/>
      <c r="Q47" s="23"/>
      <c r="R47" s="23"/>
      <c r="S47" s="23"/>
      <c r="T47" s="23"/>
    </row>
    <row r="48" spans="1:20" x14ac:dyDescent="0.2">
      <c r="A48" s="98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spans="1:20" x14ac:dyDescent="0.2">
      <c r="A49" s="98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spans="1:20" x14ac:dyDescent="0.2">
      <c r="A50" s="98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 x14ac:dyDescent="0.2">
      <c r="A51" s="98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spans="1:20" x14ac:dyDescent="0.2">
      <c r="A52" s="98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spans="1:20" x14ac:dyDescent="0.2">
      <c r="A53" s="98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spans="1:20" x14ac:dyDescent="0.2">
      <c r="A54" s="98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spans="1:20" x14ac:dyDescent="0.2">
      <c r="A55" s="105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spans="1:20" x14ac:dyDescent="0.2">
      <c r="A56" s="105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20" x14ac:dyDescent="0.2">
      <c r="A57" s="105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spans="1:20" x14ac:dyDescent="0.2">
      <c r="A58" s="105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1:20" x14ac:dyDescent="0.2">
      <c r="A59" s="105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spans="1:20" x14ac:dyDescent="0.2">
      <c r="A60" s="105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spans="1:20" x14ac:dyDescent="0.2">
      <c r="A61" s="105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spans="1:20" x14ac:dyDescent="0.2">
      <c r="A62" s="105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</sheetData>
  <dataValidations count="1">
    <dataValidation type="list" allowBlank="1" showErrorMessage="1" sqref="B2:B47" xr:uid="{00000000-0002-0000-0E00-000000000000}">
      <formula1>"Swanhall,Madinglia,Dreghold,Sirong,Ralim,Crownlands"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2" max="2" width="16.5703125" customWidth="1"/>
    <col min="3" max="4" width="15.28515625" customWidth="1"/>
    <col min="5" max="5" width="15" customWidth="1"/>
    <col min="6" max="6" width="17" customWidth="1"/>
    <col min="7" max="7" width="15.5703125" customWidth="1"/>
    <col min="9" max="9" width="14.140625" customWidth="1"/>
  </cols>
  <sheetData>
    <row r="1" spans="1:27" ht="29.25" customHeight="1" x14ac:dyDescent="0.2">
      <c r="A1" s="1"/>
      <c r="B1" s="3" t="s">
        <v>1</v>
      </c>
      <c r="C1" s="3" t="s">
        <v>4</v>
      </c>
      <c r="D1" s="3" t="s">
        <v>5</v>
      </c>
      <c r="E1" s="3" t="s">
        <v>7</v>
      </c>
      <c r="F1" s="3" t="s">
        <v>9</v>
      </c>
      <c r="G1" s="3" t="s">
        <v>10</v>
      </c>
      <c r="H1" s="3" t="s">
        <v>13</v>
      </c>
      <c r="I1" s="3" t="s">
        <v>15</v>
      </c>
      <c r="J1" s="3" t="s">
        <v>174</v>
      </c>
      <c r="K1" s="3" t="s">
        <v>16</v>
      </c>
      <c r="L1" s="3" t="s">
        <v>18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9.25" customHeight="1" x14ac:dyDescent="0.2">
      <c r="A2" s="1" t="s">
        <v>35</v>
      </c>
      <c r="B2" s="157" t="s">
        <v>222</v>
      </c>
      <c r="C2" s="26">
        <f>'Province Import (Ignore)'!I5</f>
        <v>6198707</v>
      </c>
      <c r="D2" s="26">
        <f ca="1">SUM(Cities!E2:E13)</f>
        <v>211771</v>
      </c>
      <c r="E2" s="26">
        <f t="shared" ref="E2:E8" ca="1" si="0">C2-D2</f>
        <v>5986936</v>
      </c>
      <c r="F2" s="157" t="s">
        <v>222</v>
      </c>
      <c r="G2" s="30">
        <f>'Retinue Breakdown'!R3</f>
        <v>113</v>
      </c>
      <c r="H2" s="39">
        <f>'Secret Sheet'!D1</f>
        <v>0</v>
      </c>
      <c r="I2" s="36" t="str">
        <f ca="1">IFERROR(__xludf.DUMMYFUNCTION("TO_TEXT(round(RANDBETWEEN(1000,10000)+(C2*0.005)))&amp;TO_TEXT(round(RANDBETWEEN(1000,10000)-(C2*0.005)))"),"40114-23824")</f>
        <v>40114-23824</v>
      </c>
      <c r="J2" s="157" t="s">
        <v>222</v>
      </c>
      <c r="K2" s="38">
        <f t="shared" ref="K2:K8" ca="1" si="1">D2/C2</f>
        <v>3.4163737695619423E-2</v>
      </c>
      <c r="L2" s="38">
        <f t="shared" ref="L2:L8" ca="1" si="2">E2/C2</f>
        <v>0.96583626230438058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ht="29.25" customHeight="1" x14ac:dyDescent="0.2">
      <c r="A3" s="1" t="s">
        <v>50</v>
      </c>
      <c r="B3" s="39">
        <v>-301469.79134999996</v>
      </c>
      <c r="C3" s="26">
        <f>'Province Import (Ignore)'!I4</f>
        <v>13047830</v>
      </c>
      <c r="D3" s="26">
        <f ca="1">SUM(Cities!E14:E38)</f>
        <v>210019</v>
      </c>
      <c r="E3" s="26">
        <f t="shared" ca="1" si="0"/>
        <v>12837811</v>
      </c>
      <c r="F3" s="39">
        <f ca="1">Economics!B3-Economics!C3</f>
        <v>-84280.87</v>
      </c>
      <c r="G3" s="30">
        <f>'Retinue Breakdown'!R4</f>
        <v>50</v>
      </c>
      <c r="H3" s="39">
        <f>'Secret Sheet'!D2</f>
        <v>45561</v>
      </c>
      <c r="I3" s="36" t="str">
        <f ca="1">IFERROR(__xludf.DUMMYFUNCTION("TO_TEXT(round(RANDBETWEEN(1000,10000)+(C3*0.005)))&amp;TO_TEXT(round(RANDBETWEEN(1000,10000)-(C3*0.005)))"),"69002-57386")</f>
        <v>69002-57386</v>
      </c>
      <c r="J3" s="39">
        <f t="shared" ref="J3:J8" ca="1" si="3">B3+F3</f>
        <v>-385750.66134999995</v>
      </c>
      <c r="K3" s="38">
        <f t="shared" ca="1" si="1"/>
        <v>1.6096086475682163E-2</v>
      </c>
      <c r="L3" s="38">
        <f t="shared" ca="1" si="2"/>
        <v>0.98390391352431783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ht="29.25" customHeight="1" x14ac:dyDescent="0.2">
      <c r="A4" s="1" t="s">
        <v>54</v>
      </c>
      <c r="B4" s="39">
        <v>7582.7840450000022</v>
      </c>
      <c r="C4" s="26">
        <f>'Province Import (Ignore)'!I3</f>
        <v>3739211</v>
      </c>
      <c r="D4" s="26">
        <f ca="1">SUM(Cities!E39:E50)</f>
        <v>72536</v>
      </c>
      <c r="E4" s="26">
        <f t="shared" ca="1" si="0"/>
        <v>3666675</v>
      </c>
      <c r="F4" s="39">
        <f ca="1">Economics!B4-Economics!C4</f>
        <v>-31409.241773333335</v>
      </c>
      <c r="G4" s="30">
        <f>'Retinue Breakdown'!R5</f>
        <v>250</v>
      </c>
      <c r="H4" s="39">
        <f>'Secret Sheet'!D3</f>
        <v>18000</v>
      </c>
      <c r="I4" s="36" t="str">
        <f ca="1">IFERROR(__xludf.DUMMYFUNCTION("TO_TEXT(round(RANDBETWEEN(1000,10000)+(C4*0.005)))&amp;TO_TEXT(round(RANDBETWEEN(1000,10000)-(C4*0.005)))"),"24354-9266")</f>
        <v>24354-9266</v>
      </c>
      <c r="J4" s="39">
        <f t="shared" ca="1" si="3"/>
        <v>-23826.457728333335</v>
      </c>
      <c r="K4" s="38">
        <f t="shared" ca="1" si="1"/>
        <v>1.9398744815416941E-2</v>
      </c>
      <c r="L4" s="38">
        <f t="shared" ca="1" si="2"/>
        <v>0.98060125518458308</v>
      </c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29.25" customHeight="1" x14ac:dyDescent="0.2">
      <c r="A5" s="1" t="s">
        <v>162</v>
      </c>
      <c r="B5" s="39">
        <v>6105.5957200000003</v>
      </c>
      <c r="C5" s="26">
        <f>'Province Import (Ignore)'!I8</f>
        <v>3182524</v>
      </c>
      <c r="D5" s="28">
        <v>22576</v>
      </c>
      <c r="E5" s="26">
        <f t="shared" si="0"/>
        <v>3159948</v>
      </c>
      <c r="F5" s="39">
        <f ca="1">Economics!B5-Economics!C5</f>
        <v>3057.4531400000001</v>
      </c>
      <c r="G5" s="30">
        <f>'Retinue Breakdown'!R6</f>
        <v>50</v>
      </c>
      <c r="H5" s="39">
        <f>'Secret Sheet'!D4</f>
        <v>0</v>
      </c>
      <c r="I5" s="36" t="str">
        <f ca="1">IFERROR(__xludf.DUMMYFUNCTION("TO_TEXT(round(RANDBETWEEN(1000,10000)+(C5*0.005)))&amp;TO_TEXT(round(RANDBETWEEN(1000,10000)-(C5*0.005)))"),"21599-7125")</f>
        <v>21599-7125</v>
      </c>
      <c r="J5" s="39">
        <f t="shared" ca="1" si="3"/>
        <v>9163.0488600000008</v>
      </c>
      <c r="K5" s="38">
        <f t="shared" si="1"/>
        <v>7.0937406913506385E-3</v>
      </c>
      <c r="L5" s="38">
        <f t="shared" si="2"/>
        <v>0.9929062593086494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29.25" customHeight="1" x14ac:dyDescent="0.2">
      <c r="A6" s="1" t="s">
        <v>58</v>
      </c>
      <c r="B6" s="39">
        <v>2105</v>
      </c>
      <c r="C6" s="26">
        <f>'Province Import (Ignore)'!I7</f>
        <v>7694131</v>
      </c>
      <c r="D6" s="26">
        <f ca="1">SUM(Cities!E52:E63)</f>
        <v>132591</v>
      </c>
      <c r="E6" s="26">
        <f t="shared" ca="1" si="0"/>
        <v>7561540</v>
      </c>
      <c r="F6" s="39">
        <f ca="1">Economics!B6-Economics!C6</f>
        <v>4809.9852600000004</v>
      </c>
      <c r="G6" s="30">
        <f>'Retinue Breakdown'!R7</f>
        <v>50</v>
      </c>
      <c r="H6" s="39">
        <f>'Secret Sheet'!D5</f>
        <v>0</v>
      </c>
      <c r="I6" s="36" t="str">
        <f ca="1">IFERROR(__xludf.DUMMYFUNCTION("TO_TEXT(round(RANDBETWEEN(1000,10000)+(C6*0.005)))&amp;TO_TEXT(round(RANDBETWEEN(1000,10000)-(C6*0.005)))"),"46300-32713")</f>
        <v>46300-32713</v>
      </c>
      <c r="J6" s="39">
        <f t="shared" ca="1" si="3"/>
        <v>6914.9852600000004</v>
      </c>
      <c r="K6" s="38">
        <f t="shared" ca="1" si="1"/>
        <v>1.7232745322376238E-2</v>
      </c>
      <c r="L6" s="38">
        <f t="shared" ca="1" si="2"/>
        <v>0.98276725467762371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29.25" customHeight="1" x14ac:dyDescent="0.2">
      <c r="A7" s="1" t="s">
        <v>61</v>
      </c>
      <c r="B7" s="39">
        <v>-135014.52980999998</v>
      </c>
      <c r="C7" s="26">
        <f>'Province Import (Ignore)'!I6</f>
        <v>16040936</v>
      </c>
      <c r="D7" s="26">
        <f ca="1">SUM(Cities!E65:E104)</f>
        <v>460501</v>
      </c>
      <c r="E7" s="26">
        <f t="shared" ca="1" si="0"/>
        <v>15580435</v>
      </c>
      <c r="F7" s="39">
        <f ca="1">Economics!B7-Economics!C7</f>
        <v>-24849.709190000001</v>
      </c>
      <c r="G7" s="30">
        <f>'Retinue Breakdown'!R8</f>
        <v>70</v>
      </c>
      <c r="H7" s="39">
        <f>'Secret Sheet'!D6</f>
        <v>16275</v>
      </c>
      <c r="I7" s="36" t="str">
        <f ca="1">IFERROR(__xludf.DUMMYFUNCTION("TO_TEXT(round(RANDBETWEEN(1000,10000)+(C7*0.005)))&amp;TO_TEXT(round(RANDBETWEEN(1000,10000)-(C7*0.005)))"),"87808-77387")</f>
        <v>87808-77387</v>
      </c>
      <c r="J7" s="39">
        <f t="shared" ca="1" si="3"/>
        <v>-159864.23899999997</v>
      </c>
      <c r="K7" s="38">
        <f t="shared" ca="1" si="1"/>
        <v>2.8707863431410737E-2</v>
      </c>
      <c r="L7" s="38">
        <f t="shared" ca="1" si="2"/>
        <v>0.97129213656858926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29.25" customHeight="1" x14ac:dyDescent="0.2">
      <c r="A8" s="1" t="s">
        <v>64</v>
      </c>
      <c r="B8" s="39">
        <v>29622.821534999995</v>
      </c>
      <c r="C8" s="26">
        <f>'Province Import (Ignore)'!I2</f>
        <v>17007036</v>
      </c>
      <c r="D8" s="26">
        <f ca="1">SUM(Cities!E105:E166)</f>
        <v>579594</v>
      </c>
      <c r="E8" s="26">
        <f t="shared" ca="1" si="0"/>
        <v>16427442</v>
      </c>
      <c r="F8" s="39">
        <f ca="1">Economics!B8-Economics!C8</f>
        <v>6312.0869599999987</v>
      </c>
      <c r="G8" s="30">
        <f>'Retinue Breakdown'!R9</f>
        <v>50</v>
      </c>
      <c r="H8" s="39">
        <f>'Secret Sheet'!D7</f>
        <v>1111</v>
      </c>
      <c r="I8" s="36" t="str">
        <f ca="1">IFERROR(__xludf.DUMMYFUNCTION("TO_TEXT(round(RANDBETWEEN(1000,10000)+(C8*0.005)))&amp;TO_TEXT(round(RANDBETWEEN(1000,10000)-(C8*0.005)))"),"87415-79183")</f>
        <v>87415-79183</v>
      </c>
      <c r="J8" s="39">
        <f t="shared" ca="1" si="3"/>
        <v>35934.908494999996</v>
      </c>
      <c r="K8" s="38">
        <f t="shared" ca="1" si="1"/>
        <v>3.4079659736123334E-2</v>
      </c>
      <c r="L8" s="38">
        <f t="shared" ca="1" si="2"/>
        <v>0.96592034026387663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29.25" customHeight="1" x14ac:dyDescent="0.2">
      <c r="A9" s="94" t="s">
        <v>81</v>
      </c>
      <c r="B9" s="95">
        <v>-20320.068911999995</v>
      </c>
      <c r="C9" s="49">
        <f t="shared" ref="C9:G9" si="4">AVERAGE(C2:C8)</f>
        <v>9558625</v>
      </c>
      <c r="D9" s="49">
        <f t="shared" ca="1" si="4"/>
        <v>241369.71428571429</v>
      </c>
      <c r="E9" s="49">
        <f t="shared" ca="1" si="4"/>
        <v>9317255.2857142854</v>
      </c>
      <c r="F9" s="95">
        <f t="shared" ca="1" si="4"/>
        <v>-21060.049267222224</v>
      </c>
      <c r="G9" s="95">
        <f t="shared" si="4"/>
        <v>90.428571428571431</v>
      </c>
      <c r="H9" s="96"/>
      <c r="I9" s="49">
        <f>AVERAGE('Secret Sheet'!E1:E7)</f>
        <v>44714.125</v>
      </c>
      <c r="J9" s="95">
        <f t="shared" ref="J9:L9" ca="1" si="5">AVERAGE(J2:J8)</f>
        <v>-86238.06924388888</v>
      </c>
      <c r="K9" s="50">
        <f t="shared" ca="1" si="5"/>
        <v>2.2396082595425641E-2</v>
      </c>
      <c r="L9" s="50">
        <f t="shared" ca="1" si="5"/>
        <v>0.9776039174045742</v>
      </c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</row>
    <row r="10" spans="1:27" ht="29.25" customHeight="1" x14ac:dyDescent="0.2">
      <c r="A10" s="1" t="s">
        <v>75</v>
      </c>
      <c r="B10" s="39">
        <f t="shared" ref="B10:G10" si="6">SUM(B2:B8)</f>
        <v>-391068.11985999998</v>
      </c>
      <c r="C10" s="26">
        <f t="shared" si="6"/>
        <v>66910375</v>
      </c>
      <c r="D10" s="26">
        <f t="shared" ca="1" si="6"/>
        <v>1689588</v>
      </c>
      <c r="E10" s="26">
        <f t="shared" ca="1" si="6"/>
        <v>65220787</v>
      </c>
      <c r="F10" s="39">
        <f t="shared" ca="1" si="6"/>
        <v>-126360.29560333335</v>
      </c>
      <c r="G10" s="30">
        <f t="shared" si="6"/>
        <v>633</v>
      </c>
      <c r="H10" s="30"/>
      <c r="I10" s="26">
        <f>SUM('Secret Sheet'!E1:E7)</f>
        <v>312998.875</v>
      </c>
      <c r="J10" s="39">
        <f ca="1">SUM(J2:J8)</f>
        <v>-517428.41546333325</v>
      </c>
      <c r="K10" s="38"/>
      <c r="L10" s="3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ht="29.25" customHeight="1" x14ac:dyDescent="0.2">
      <c r="A11" s="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29.25" customHeight="1" x14ac:dyDescent="0.2">
      <c r="A12" s="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ht="29.25" customHeight="1" x14ac:dyDescent="0.2">
      <c r="A13" s="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29.25" customHeight="1" x14ac:dyDescent="0.2">
      <c r="A14" s="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29.25" customHeight="1" x14ac:dyDescent="0.2">
      <c r="A15" s="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ht="29.25" customHeight="1" x14ac:dyDescent="0.2">
      <c r="A16" s="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ht="29.25" customHeight="1" x14ac:dyDescent="0.2">
      <c r="A17" s="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ht="29.25" customHeight="1" x14ac:dyDescent="0.2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29.25" customHeight="1" x14ac:dyDescent="0.2">
      <c r="A19" s="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ht="29.25" customHeight="1" x14ac:dyDescent="0.2">
      <c r="A20" s="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29.25" customHeight="1" x14ac:dyDescent="0.2">
      <c r="A21" s="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ht="29.25" customHeight="1" x14ac:dyDescent="0.2">
      <c r="A22" s="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ht="29.25" customHeight="1" x14ac:dyDescent="0.2">
      <c r="A23" s="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29.25" customHeight="1" x14ac:dyDescent="0.2">
      <c r="A24" s="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29.25" customHeight="1" x14ac:dyDescent="0.2">
      <c r="A25" s="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29.25" customHeight="1" x14ac:dyDescent="0.2">
      <c r="A26" s="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ht="29.25" customHeight="1" x14ac:dyDescent="0.2">
      <c r="A27" s="1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ht="29.25" customHeight="1" x14ac:dyDescent="0.2">
      <c r="A28" s="1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</sheetData>
  <conditionalFormatting sqref="A1">
    <cfRule type="notContainsBlanks" dxfId="0" priority="1">
      <formula>LEN(TRIM(A1))&gt;0</formula>
    </cfRule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B1001"/>
  <sheetViews>
    <sheetView workbookViewId="0">
      <pane ySplit="1" topLeftCell="A2" activePane="bottomLeft" state="frozen"/>
      <selection pane="bottomLeft" activeCell="M11" sqref="M11"/>
    </sheetView>
  </sheetViews>
  <sheetFormatPr defaultColWidth="12.5703125" defaultRowHeight="15.75" customHeight="1" x14ac:dyDescent="0.2"/>
  <cols>
    <col min="1" max="4" width="15.28515625" customWidth="1"/>
    <col min="5" max="6" width="16.42578125" customWidth="1"/>
    <col min="7" max="14" width="15.28515625" customWidth="1"/>
    <col min="15" max="15" width="20.28515625" customWidth="1"/>
    <col min="16" max="28" width="15.28515625" customWidth="1"/>
  </cols>
  <sheetData>
    <row r="1" spans="1:28" ht="15.75" customHeight="1" x14ac:dyDescent="0.25">
      <c r="A1" s="55" t="s">
        <v>0</v>
      </c>
      <c r="B1" s="55" t="s">
        <v>17</v>
      </c>
      <c r="C1" s="55" t="s">
        <v>164</v>
      </c>
      <c r="D1" s="55" t="s">
        <v>25</v>
      </c>
      <c r="E1" s="55" t="s">
        <v>165</v>
      </c>
      <c r="F1" s="55" t="s">
        <v>28</v>
      </c>
      <c r="G1" s="55" t="s">
        <v>166</v>
      </c>
      <c r="H1" s="55" t="s">
        <v>167</v>
      </c>
      <c r="I1" s="55" t="s">
        <v>49</v>
      </c>
      <c r="J1" s="65" t="s">
        <v>168</v>
      </c>
      <c r="K1" s="55" t="s">
        <v>169</v>
      </c>
      <c r="L1" s="55" t="s">
        <v>170</v>
      </c>
      <c r="M1" s="63" t="s">
        <v>223</v>
      </c>
      <c r="N1" s="55" t="s">
        <v>224</v>
      </c>
      <c r="O1" s="55" t="s">
        <v>225</v>
      </c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15.75" customHeight="1" x14ac:dyDescent="0.25">
      <c r="A2" s="55" t="str">
        <f>'Duchies Summary'!A2</f>
        <v>Swanhall</v>
      </c>
      <c r="B2" s="55" t="str">
        <f>'Ducal Economics'!B2</f>
        <v>Swanhall</v>
      </c>
      <c r="C2" s="65">
        <f t="shared" ref="C2:C45" si="0">IF(D2&gt;0,D2-G2,0)</f>
        <v>2949.3598536158202</v>
      </c>
      <c r="D2" s="65">
        <v>4490</v>
      </c>
      <c r="E2" s="65">
        <f>('Duchies Summary'!J2*0.005)-G2</f>
        <v>2949.1898536158201</v>
      </c>
      <c r="F2" s="158">
        <f>('Duchies Summary'!J2*0.005)</f>
        <v>4489.83</v>
      </c>
      <c r="G2" s="65">
        <f t="shared" ref="G2:G45" si="1">SUM(H2:J2)</f>
        <v>1540.6401463841798</v>
      </c>
      <c r="H2" s="65">
        <v>686.64014638417973</v>
      </c>
      <c r="I2" s="55">
        <v>854</v>
      </c>
      <c r="J2" s="65">
        <f t="shared" ref="J2:J45" si="2">(D2*0.02)*K2</f>
        <v>0</v>
      </c>
      <c r="K2" s="55">
        <v>0</v>
      </c>
      <c r="L2" s="55">
        <f>IF(AND('Duchies Summary'!E2&lt;=0,E2&gt;0),1,0)</f>
        <v>0</v>
      </c>
      <c r="M2" s="159">
        <f t="shared" ref="M2:M45" si="3">H2*0.05</f>
        <v>34.332007319208991</v>
      </c>
      <c r="N2" s="65">
        <f t="shared" ref="N2:N45" si="4">H2-M2</f>
        <v>652.30813906497076</v>
      </c>
      <c r="O2" s="55" cm="1">
        <f t="array" ref="O2">K2+IF(L2=1,1,_xlfn.IFS(K2&gt;0,-1,K2=0,0))</f>
        <v>0</v>
      </c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spans="1:28" ht="15.75" customHeight="1" x14ac:dyDescent="0.25">
      <c r="A3" s="55" t="str">
        <f>'Duchies Summary'!A3</f>
        <v>Slutiarm</v>
      </c>
      <c r="B3" s="55" t="str">
        <f>'Ducal Economics'!B3</f>
        <v>Madinglia</v>
      </c>
      <c r="C3" s="65">
        <f t="shared" si="0"/>
        <v>0</v>
      </c>
      <c r="D3" s="65">
        <v>0</v>
      </c>
      <c r="E3" s="65">
        <f>('Duchies Summary'!J3*0.005)-G3</f>
        <v>1490.335</v>
      </c>
      <c r="F3" s="158">
        <f>('Duchies Summary'!J3*0.005)</f>
        <v>1490.335</v>
      </c>
      <c r="G3" s="65">
        <f t="shared" si="1"/>
        <v>0</v>
      </c>
      <c r="H3" s="65">
        <v>0</v>
      </c>
      <c r="I3" s="55"/>
      <c r="J3" s="65">
        <f t="shared" si="2"/>
        <v>0</v>
      </c>
      <c r="K3" s="55">
        <v>0</v>
      </c>
      <c r="L3" s="55">
        <f>IF(AND('Duchies Summary'!E3&lt;=0,E3&gt;0),1,0)</f>
        <v>0</v>
      </c>
      <c r="M3" s="159">
        <f t="shared" si="3"/>
        <v>0</v>
      </c>
      <c r="N3" s="65">
        <f t="shared" si="4"/>
        <v>0</v>
      </c>
      <c r="O3" s="55" cm="1">
        <f t="array" ref="O3">K3+IF(L3=1,1,_xlfn.IFS(K3&gt;0,-1,K3=0,0))</f>
        <v>0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1:28" ht="15.75" customHeight="1" x14ac:dyDescent="0.25">
      <c r="A4" s="55" t="str">
        <f>'Duchies Summary'!A4</f>
        <v>Dreghold</v>
      </c>
      <c r="B4" s="55" t="str">
        <f>'Ducal Economics'!B4</f>
        <v>Dreghold</v>
      </c>
      <c r="C4" s="65">
        <f t="shared" si="0"/>
        <v>2688.6408405603906</v>
      </c>
      <c r="D4" s="65">
        <v>7758</v>
      </c>
      <c r="E4" s="65">
        <f>('Duchies Summary'!J4*0.005)-G4</f>
        <v>2688.9958405603911</v>
      </c>
      <c r="F4" s="158">
        <f>('Duchies Summary'!J4*0.005)</f>
        <v>7758.3550000000005</v>
      </c>
      <c r="G4" s="65">
        <f t="shared" si="1"/>
        <v>5069.3591594396094</v>
      </c>
      <c r="H4" s="65">
        <v>2583.3591594396094</v>
      </c>
      <c r="I4" s="55">
        <v>2486</v>
      </c>
      <c r="J4" s="65">
        <f t="shared" si="2"/>
        <v>0</v>
      </c>
      <c r="K4" s="55">
        <v>0</v>
      </c>
      <c r="L4" s="55">
        <f>IF(AND('Duchies Summary'!E4&lt;=0,E4&gt;0),1,0)</f>
        <v>0</v>
      </c>
      <c r="M4" s="159">
        <f t="shared" si="3"/>
        <v>129.16795797198048</v>
      </c>
      <c r="N4" s="65">
        <f t="shared" si="4"/>
        <v>2454.1912014676291</v>
      </c>
      <c r="O4" s="55" cm="1">
        <f t="array" ref="O4">K4+IF(L4=1,1,_xlfn.IFS(K4&gt;0,-1,K4=0,0))</f>
        <v>0</v>
      </c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28" ht="15.75" customHeight="1" x14ac:dyDescent="0.25">
      <c r="A5" s="55" t="str">
        <f>'Duchies Summary'!A5</f>
        <v>Sirong</v>
      </c>
      <c r="B5" s="55" t="str">
        <f>'Ducal Economics'!B5</f>
        <v>Sirong</v>
      </c>
      <c r="C5" s="65">
        <f t="shared" si="0"/>
        <v>10000</v>
      </c>
      <c r="D5" s="65">
        <v>10000</v>
      </c>
      <c r="E5" s="65">
        <f>('Duchies Summary'!J5*0.005)-G5</f>
        <v>11310.385</v>
      </c>
      <c r="F5" s="158">
        <f>('Duchies Summary'!J5*0.005)</f>
        <v>11310.385</v>
      </c>
      <c r="G5" s="65">
        <f t="shared" si="1"/>
        <v>0</v>
      </c>
      <c r="H5" s="65">
        <v>0</v>
      </c>
      <c r="I5" s="55"/>
      <c r="J5" s="65">
        <f t="shared" si="2"/>
        <v>0</v>
      </c>
      <c r="K5" s="55">
        <v>0</v>
      </c>
      <c r="L5" s="55">
        <f>IF(AND('Duchies Summary'!E5&lt;=0,E5&gt;0),1,0)</f>
        <v>1</v>
      </c>
      <c r="M5" s="159">
        <f t="shared" si="3"/>
        <v>0</v>
      </c>
      <c r="N5" s="65">
        <f t="shared" si="4"/>
        <v>0</v>
      </c>
      <c r="O5" s="55" cm="1">
        <f t="array" ref="O5">K5+IF(L5=1,1,_xlfn.IFS(K5&gt;0,-1,K5=0,0))</f>
        <v>1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1:28" ht="15.75" customHeight="1" x14ac:dyDescent="0.25">
      <c r="A6" s="55" t="str">
        <f>'Duchies Summary'!A6</f>
        <v>Brookward</v>
      </c>
      <c r="B6" s="55" t="str">
        <f>'Ducal Economics'!B6</f>
        <v>Ralim</v>
      </c>
      <c r="C6" s="65">
        <f t="shared" si="0"/>
        <v>6528</v>
      </c>
      <c r="D6" s="65">
        <v>6528</v>
      </c>
      <c r="E6" s="65">
        <f>('Duchies Summary'!J6*0.005)-G6</f>
        <v>6527.6350000000002</v>
      </c>
      <c r="F6" s="158">
        <f>('Duchies Summary'!J6*0.005)</f>
        <v>6527.6350000000002</v>
      </c>
      <c r="G6" s="65">
        <f t="shared" si="1"/>
        <v>0</v>
      </c>
      <c r="H6" s="65">
        <v>0</v>
      </c>
      <c r="I6" s="55"/>
      <c r="J6" s="65">
        <f t="shared" si="2"/>
        <v>0</v>
      </c>
      <c r="K6" s="55">
        <v>0</v>
      </c>
      <c r="L6" s="55">
        <f>IF(AND('Duchies Summary'!E6&lt;=0,E6&gt;0),1,0)</f>
        <v>0</v>
      </c>
      <c r="M6" s="159">
        <f t="shared" si="3"/>
        <v>0</v>
      </c>
      <c r="N6" s="65">
        <f t="shared" si="4"/>
        <v>0</v>
      </c>
      <c r="O6" s="55" cm="1">
        <f t="array" ref="O6">K6+IF(L6=1,1,_xlfn.IFS(K6&gt;0,-1,K6=0,0))</f>
        <v>0</v>
      </c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 spans="1:28" ht="15.75" customHeight="1" x14ac:dyDescent="0.25">
      <c r="A7" s="55" t="str">
        <f>'Duchies Summary'!A7</f>
        <v>Vhalian Marches</v>
      </c>
      <c r="B7" s="55" t="str">
        <f>'Ducal Economics'!B7</f>
        <v>Sirong</v>
      </c>
      <c r="C7" s="65">
        <f t="shared" si="0"/>
        <v>20000</v>
      </c>
      <c r="D7" s="65">
        <v>20000</v>
      </c>
      <c r="E7" s="65">
        <f>('Duchies Summary'!J7*0.005)-G7</f>
        <v>27454.545000000002</v>
      </c>
      <c r="F7" s="158">
        <f>('Duchies Summary'!J7*0.005)</f>
        <v>27454.545000000002</v>
      </c>
      <c r="G7" s="65">
        <f t="shared" si="1"/>
        <v>0</v>
      </c>
      <c r="H7" s="65">
        <v>0</v>
      </c>
      <c r="I7" s="55"/>
      <c r="J7" s="65">
        <f t="shared" si="2"/>
        <v>0</v>
      </c>
      <c r="K7" s="55">
        <v>0</v>
      </c>
      <c r="L7" s="55">
        <f>IF(AND('Duchies Summary'!E7&lt;=0,E7&gt;0),1,0)</f>
        <v>0</v>
      </c>
      <c r="M7" s="159">
        <f t="shared" si="3"/>
        <v>0</v>
      </c>
      <c r="N7" s="65">
        <f t="shared" si="4"/>
        <v>0</v>
      </c>
      <c r="O7" s="55" cm="1">
        <f t="array" ref="O7">K7+IF(L7=1,1,_xlfn.IFS(K7&gt;0,-1,K7=0,0))</f>
        <v>0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 spans="1:28" ht="15.75" customHeight="1" x14ac:dyDescent="0.25">
      <c r="A8" s="55" t="str">
        <f>'Duchies Summary'!A8</f>
        <v>Southern Shores</v>
      </c>
      <c r="B8" s="55" t="str">
        <f>'Ducal Economics'!B8</f>
        <v>Sirong</v>
      </c>
      <c r="C8" s="65">
        <f t="shared" si="0"/>
        <v>5000</v>
      </c>
      <c r="D8" s="65">
        <v>5000</v>
      </c>
      <c r="E8" s="65">
        <f>('Duchies Summary'!J8*0.005)-G8</f>
        <v>6120.835</v>
      </c>
      <c r="F8" s="158">
        <f>('Duchies Summary'!J8*0.005)</f>
        <v>6120.835</v>
      </c>
      <c r="G8" s="65">
        <f t="shared" si="1"/>
        <v>0</v>
      </c>
      <c r="H8" s="65">
        <v>0</v>
      </c>
      <c r="I8" s="55"/>
      <c r="J8" s="65">
        <f t="shared" si="2"/>
        <v>0</v>
      </c>
      <c r="K8" s="55">
        <v>0</v>
      </c>
      <c r="L8" s="55">
        <f>IF(AND('Duchies Summary'!E8&lt;=0,E8&gt;0),1,0)</f>
        <v>1</v>
      </c>
      <c r="M8" s="159">
        <f t="shared" si="3"/>
        <v>0</v>
      </c>
      <c r="N8" s="65">
        <f t="shared" si="4"/>
        <v>0</v>
      </c>
      <c r="O8" s="55" cm="1">
        <f t="array" ref="O8">K8+IF(L8=1,1,_xlfn.IFS(K8&gt;0,-1,K8=0,0))</f>
        <v>1</v>
      </c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 spans="1:28" ht="15.75" customHeight="1" x14ac:dyDescent="0.25">
      <c r="A9" s="55" t="str">
        <f>'Duchies Summary'!A9</f>
        <v>Dregsten Bay</v>
      </c>
      <c r="B9" s="55" t="str">
        <f>'Ducal Economics'!B9</f>
        <v>Sirong</v>
      </c>
      <c r="C9" s="65">
        <f t="shared" si="0"/>
        <v>0</v>
      </c>
      <c r="D9" s="65">
        <v>0</v>
      </c>
      <c r="E9" s="65">
        <f>('Duchies Summary'!J9*0.005)-G9</f>
        <v>10860.28</v>
      </c>
      <c r="F9" s="158">
        <f>('Duchies Summary'!J9*0.005)</f>
        <v>10860.28</v>
      </c>
      <c r="G9" s="65">
        <f t="shared" si="1"/>
        <v>0</v>
      </c>
      <c r="H9" s="160">
        <v>0</v>
      </c>
      <c r="J9" s="65">
        <f t="shared" si="2"/>
        <v>0</v>
      </c>
      <c r="K9" s="55">
        <v>0</v>
      </c>
      <c r="L9" s="55">
        <f>IF(AND('Duchies Summary'!E9&lt;=0,E9&gt;0),1,0)</f>
        <v>0</v>
      </c>
      <c r="M9" s="159">
        <f t="shared" si="3"/>
        <v>0</v>
      </c>
      <c r="N9" s="65">
        <f t="shared" si="4"/>
        <v>0</v>
      </c>
      <c r="O9" s="55" cm="1">
        <f t="array" ref="O9">K9+IF(L9=1,1,_xlfn.IFS(K9&gt;0,-1,K9=0,0))</f>
        <v>0</v>
      </c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 spans="1:28" ht="15.75" customHeight="1" x14ac:dyDescent="0.25">
      <c r="A10" s="55" t="str">
        <f>'Duchies Summary'!A10</f>
        <v>Amber Shores</v>
      </c>
      <c r="B10" s="55" t="str">
        <f>'Ducal Economics'!B10</f>
        <v>Sirong</v>
      </c>
      <c r="C10" s="65">
        <f t="shared" si="0"/>
        <v>0</v>
      </c>
      <c r="D10" s="65">
        <v>0</v>
      </c>
      <c r="E10" s="65">
        <f>('Duchies Summary'!J10*0.005)-G10</f>
        <v>4485.5</v>
      </c>
      <c r="F10" s="158">
        <f>('Duchies Summary'!J10*0.005)</f>
        <v>4485.5</v>
      </c>
      <c r="G10" s="65">
        <f t="shared" si="1"/>
        <v>0</v>
      </c>
      <c r="H10" s="65">
        <v>0</v>
      </c>
      <c r="I10" s="55"/>
      <c r="J10" s="65">
        <f t="shared" si="2"/>
        <v>0</v>
      </c>
      <c r="K10" s="55">
        <v>0</v>
      </c>
      <c r="L10" s="55">
        <f>IF(AND('Duchies Summary'!E10&lt;=0,E10&gt;0),1,0)</f>
        <v>0</v>
      </c>
      <c r="M10" s="159">
        <f t="shared" si="3"/>
        <v>0</v>
      </c>
      <c r="N10" s="65">
        <f t="shared" si="4"/>
        <v>0</v>
      </c>
      <c r="O10" s="55" cm="1">
        <f t="array" ref="O10">K10+IF(L10=1,1,_xlfn.IFS(K10&gt;0,-1,K10=0,0))</f>
        <v>0</v>
      </c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</row>
    <row r="11" spans="1:28" ht="15.75" customHeight="1" x14ac:dyDescent="0.25">
      <c r="A11" s="55" t="str">
        <f>'Duchies Summary'!A11</f>
        <v>Griffin's Bay</v>
      </c>
      <c r="B11" s="65" t="str">
        <f>'Ducal Economics'!B11</f>
        <v>Sirong</v>
      </c>
      <c r="C11" s="65">
        <f t="shared" si="0"/>
        <v>2000</v>
      </c>
      <c r="D11" s="65">
        <v>2000</v>
      </c>
      <c r="E11" s="65">
        <f>('Duchies Summary'!J11*0.005)-G11</f>
        <v>11255.74</v>
      </c>
      <c r="F11" s="158">
        <f>('Duchies Summary'!J11*0.005)</f>
        <v>11255.74</v>
      </c>
      <c r="G11" s="65">
        <f t="shared" si="1"/>
        <v>0</v>
      </c>
      <c r="H11" s="65">
        <v>0</v>
      </c>
      <c r="I11" s="55"/>
      <c r="J11" s="65">
        <f t="shared" si="2"/>
        <v>0</v>
      </c>
      <c r="K11" s="55">
        <v>0</v>
      </c>
      <c r="L11" s="55">
        <f>IF(AND('Duchies Summary'!E11&lt;=0,E11&gt;0),1,0)</f>
        <v>0</v>
      </c>
      <c r="M11" s="159">
        <f t="shared" si="3"/>
        <v>0</v>
      </c>
      <c r="N11" s="65">
        <f t="shared" si="4"/>
        <v>0</v>
      </c>
      <c r="O11" s="55" cm="1">
        <f t="array" ref="O11">K11+IF(L11=1,1,_xlfn.IFS(K11&gt;0,-1,K11=0,0))</f>
        <v>0</v>
      </c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</row>
    <row r="12" spans="1:28" ht="15.75" customHeight="1" x14ac:dyDescent="0.25">
      <c r="A12" s="55" t="str">
        <f>'Duchies Summary'!A12</f>
        <v>Lesserlands</v>
      </c>
      <c r="B12" s="65" t="str">
        <f>'Ducal Economics'!B12</f>
        <v>Sirong</v>
      </c>
      <c r="C12" s="65">
        <f t="shared" si="0"/>
        <v>4000</v>
      </c>
      <c r="D12" s="65">
        <v>4000</v>
      </c>
      <c r="E12" s="65">
        <f>('Duchies Summary'!J12*0.005)-G12</f>
        <v>8390.6200000000008</v>
      </c>
      <c r="F12" s="158">
        <f>('Duchies Summary'!J12*0.005)</f>
        <v>8390.6200000000008</v>
      </c>
      <c r="G12" s="65">
        <f t="shared" si="1"/>
        <v>0</v>
      </c>
      <c r="H12" s="65">
        <v>0</v>
      </c>
      <c r="I12" s="55"/>
      <c r="J12" s="65">
        <f t="shared" si="2"/>
        <v>0</v>
      </c>
      <c r="K12" s="55">
        <v>0</v>
      </c>
      <c r="L12" s="55">
        <f>IF(AND('Duchies Summary'!E12&lt;=0,E12&gt;0),1,0)</f>
        <v>0</v>
      </c>
      <c r="M12" s="159">
        <f t="shared" si="3"/>
        <v>0</v>
      </c>
      <c r="N12" s="65">
        <f t="shared" si="4"/>
        <v>0</v>
      </c>
      <c r="O12" s="55" cm="1">
        <f t="array" ref="O12">K12+IF(L12=1,1,_xlfn.IFS(K12&gt;0,-1,K12=0,0))</f>
        <v>0</v>
      </c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</row>
    <row r="13" spans="1:28" ht="15.75" customHeight="1" x14ac:dyDescent="0.25">
      <c r="A13" s="55" t="str">
        <f>'Duchies Summary'!A13</f>
        <v>ShadowWood</v>
      </c>
      <c r="B13" s="65" t="str">
        <f>'Ducal Economics'!B13</f>
        <v>Ralim</v>
      </c>
      <c r="C13" s="65">
        <f t="shared" si="0"/>
        <v>1200</v>
      </c>
      <c r="D13" s="65">
        <v>1200</v>
      </c>
      <c r="E13" s="65">
        <f>('Duchies Summary'!J13*0.005)-G13</f>
        <v>10200.264999999999</v>
      </c>
      <c r="F13" s="158">
        <f>('Duchies Summary'!J13*0.005)</f>
        <v>10200.264999999999</v>
      </c>
      <c r="G13" s="65">
        <f t="shared" si="1"/>
        <v>0</v>
      </c>
      <c r="H13" s="65">
        <v>0</v>
      </c>
      <c r="I13" s="55"/>
      <c r="J13" s="65">
        <f t="shared" si="2"/>
        <v>0</v>
      </c>
      <c r="K13" s="55">
        <v>0</v>
      </c>
      <c r="L13" s="55">
        <f>IF(AND('Duchies Summary'!E13&lt;=0,E13&gt;0),1,0)</f>
        <v>0</v>
      </c>
      <c r="M13" s="159">
        <f t="shared" si="3"/>
        <v>0</v>
      </c>
      <c r="N13" s="65">
        <f t="shared" si="4"/>
        <v>0</v>
      </c>
      <c r="O13" s="55" cm="1">
        <f t="array" ref="O13">K13+IF(L13=1,1,_xlfn.IFS(K13&gt;0,-1,K13=0,0))</f>
        <v>0</v>
      </c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</row>
    <row r="14" spans="1:28" ht="15.75" customHeight="1" x14ac:dyDescent="0.25">
      <c r="A14" s="55" t="str">
        <f>'Duchies Summary'!A14</f>
        <v>Mondwatch</v>
      </c>
      <c r="B14" s="65" t="str">
        <f>'Ducal Economics'!B14</f>
        <v>Ralim</v>
      </c>
      <c r="C14" s="65">
        <f t="shared" si="0"/>
        <v>3405</v>
      </c>
      <c r="D14" s="65">
        <v>3405</v>
      </c>
      <c r="E14" s="65">
        <f>('Duchies Summary'!J14*0.005)-G14</f>
        <v>10519.215</v>
      </c>
      <c r="F14" s="158">
        <f>('Duchies Summary'!J14*0.005)</f>
        <v>10519.215</v>
      </c>
      <c r="G14" s="65">
        <f t="shared" si="1"/>
        <v>0</v>
      </c>
      <c r="H14" s="65">
        <v>0</v>
      </c>
      <c r="I14" s="55"/>
      <c r="J14" s="65">
        <f t="shared" si="2"/>
        <v>0</v>
      </c>
      <c r="K14" s="55">
        <v>0</v>
      </c>
      <c r="L14" s="55">
        <f>IF(AND('Duchies Summary'!E14&lt;=0,E14&gt;0),1,0)</f>
        <v>0</v>
      </c>
      <c r="M14" s="159">
        <f t="shared" si="3"/>
        <v>0</v>
      </c>
      <c r="N14" s="65">
        <f t="shared" si="4"/>
        <v>0</v>
      </c>
      <c r="O14" s="55" cm="1">
        <f t="array" ref="O14">K14+IF(L14=1,1,_xlfn.IFS(K14&gt;0,-1,K14=0,0))</f>
        <v>0</v>
      </c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 spans="1:28" ht="15.75" customHeight="1" x14ac:dyDescent="0.25">
      <c r="A15" s="55" t="str">
        <f>'Duchies Summary'!A15</f>
        <v>Ratermarch</v>
      </c>
      <c r="B15" s="65" t="str">
        <f>'Ducal Economics'!B15</f>
        <v>Ralim</v>
      </c>
      <c r="C15" s="65">
        <f t="shared" si="0"/>
        <v>4700</v>
      </c>
      <c r="D15" s="65">
        <v>4700</v>
      </c>
      <c r="E15" s="65">
        <f>('Duchies Summary'!J15*0.005)-G15</f>
        <v>10817.92</v>
      </c>
      <c r="F15" s="158">
        <f>('Duchies Summary'!J15*0.005)</f>
        <v>10817.92</v>
      </c>
      <c r="G15" s="65">
        <f t="shared" si="1"/>
        <v>0</v>
      </c>
      <c r="H15" s="65">
        <v>0</v>
      </c>
      <c r="I15" s="55"/>
      <c r="J15" s="65">
        <f t="shared" si="2"/>
        <v>0</v>
      </c>
      <c r="K15" s="55">
        <v>0</v>
      </c>
      <c r="L15" s="55">
        <f>IF(AND('Duchies Summary'!E15&lt;=0,E15&gt;0),1,0)</f>
        <v>0</v>
      </c>
      <c r="M15" s="159">
        <f t="shared" si="3"/>
        <v>0</v>
      </c>
      <c r="N15" s="65">
        <f t="shared" si="4"/>
        <v>0</v>
      </c>
      <c r="O15" s="55" cm="1">
        <f t="array" ref="O15">K15+IF(L15=1,1,_xlfn.IFS(K15&gt;0,-1,K15=0,0))</f>
        <v>0</v>
      </c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 spans="1:28" ht="15.75" customHeight="1" x14ac:dyDescent="0.25">
      <c r="A16" s="55" t="str">
        <f>'Duchies Summary'!A16</f>
        <v>Vinh</v>
      </c>
      <c r="B16" s="65" t="str">
        <f>'Ducal Economics'!B16</f>
        <v>Crownlands</v>
      </c>
      <c r="C16" s="65">
        <f t="shared" si="0"/>
        <v>5995</v>
      </c>
      <c r="D16" s="65">
        <v>5995</v>
      </c>
      <c r="E16" s="65">
        <f>('Duchies Summary'!J16*0.005)-G16</f>
        <v>5995.31</v>
      </c>
      <c r="F16" s="158">
        <f>('Duchies Summary'!J16*0.005)</f>
        <v>5995.31</v>
      </c>
      <c r="G16" s="65">
        <f t="shared" si="1"/>
        <v>0</v>
      </c>
      <c r="H16" s="65">
        <v>0</v>
      </c>
      <c r="I16" s="55"/>
      <c r="J16" s="65">
        <f t="shared" si="2"/>
        <v>0</v>
      </c>
      <c r="K16" s="55">
        <v>0</v>
      </c>
      <c r="L16" s="55">
        <f>IF(AND('Duchies Summary'!E16&lt;=0,E16&gt;0),1,0)</f>
        <v>1</v>
      </c>
      <c r="M16" s="159">
        <f t="shared" si="3"/>
        <v>0</v>
      </c>
      <c r="N16" s="65">
        <f t="shared" si="4"/>
        <v>0</v>
      </c>
      <c r="O16" s="55" cm="1">
        <f t="array" ref="O16">K16+IF(L16=1,1,_xlfn.IFS(K16&gt;0,-1,K16=0,0))</f>
        <v>1</v>
      </c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 spans="1:28" ht="15.75" customHeight="1" x14ac:dyDescent="0.25">
      <c r="A17" s="55" t="str">
        <f>'Duchies Summary'!A17</f>
        <v>Drelme</v>
      </c>
      <c r="B17" s="65" t="str">
        <f>'Ducal Economics'!B17</f>
        <v>Crownlands</v>
      </c>
      <c r="C17" s="65">
        <f t="shared" si="0"/>
        <v>5390</v>
      </c>
      <c r="D17" s="65">
        <v>5390</v>
      </c>
      <c r="E17" s="65">
        <f>('Duchies Summary'!J17*0.005)-G17</f>
        <v>5389.78</v>
      </c>
      <c r="F17" s="158">
        <f>('Duchies Summary'!J17*0.005)</f>
        <v>5389.78</v>
      </c>
      <c r="G17" s="65">
        <f t="shared" si="1"/>
        <v>0</v>
      </c>
      <c r="H17" s="65">
        <v>0</v>
      </c>
      <c r="I17" s="55"/>
      <c r="J17" s="65">
        <f t="shared" si="2"/>
        <v>0</v>
      </c>
      <c r="K17" s="55">
        <v>0</v>
      </c>
      <c r="L17" s="55">
        <f>IF(AND('Duchies Summary'!E17&lt;=0,E17&gt;0),1,0)</f>
        <v>1</v>
      </c>
      <c r="M17" s="159">
        <f t="shared" si="3"/>
        <v>0</v>
      </c>
      <c r="N17" s="65">
        <f t="shared" si="4"/>
        <v>0</v>
      </c>
      <c r="O17" s="55" cm="1">
        <f t="array" ref="O17">K17+IF(L17=1,1,_xlfn.IFS(K17&gt;0,-1,K17=0,0))</f>
        <v>1</v>
      </c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 spans="1:28" ht="15.75" customHeight="1" x14ac:dyDescent="0.25">
      <c r="A18" s="55" t="str">
        <f>'Duchies Summary'!A18</f>
        <v>Oal's Reach</v>
      </c>
      <c r="B18" s="65" t="str">
        <f>'Ducal Economics'!B18</f>
        <v>Crownlands</v>
      </c>
      <c r="C18" s="65">
        <f t="shared" si="0"/>
        <v>6061</v>
      </c>
      <c r="D18" s="65">
        <v>6061</v>
      </c>
      <c r="E18" s="65">
        <f>('Duchies Summary'!J18*0.005)-G18</f>
        <v>6060.665</v>
      </c>
      <c r="F18" s="158">
        <f>('Duchies Summary'!J18*0.005)</f>
        <v>6060.665</v>
      </c>
      <c r="G18" s="65">
        <f t="shared" si="1"/>
        <v>0</v>
      </c>
      <c r="H18" s="65">
        <v>0</v>
      </c>
      <c r="I18" s="55"/>
      <c r="J18" s="65">
        <f t="shared" si="2"/>
        <v>0</v>
      </c>
      <c r="K18" s="55">
        <v>0</v>
      </c>
      <c r="L18" s="55">
        <f>IF(AND('Duchies Summary'!E18&lt;=0,E18&gt;0),1,0)</f>
        <v>1</v>
      </c>
      <c r="M18" s="159">
        <f t="shared" si="3"/>
        <v>0</v>
      </c>
      <c r="N18" s="65">
        <f t="shared" si="4"/>
        <v>0</v>
      </c>
      <c r="O18" s="55" cm="1">
        <f t="array" ref="O18">K18+IF(L18=1,1,_xlfn.IFS(K18&gt;0,-1,K18=0,0))</f>
        <v>1</v>
      </c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 spans="1:28" ht="15.75" customHeight="1" x14ac:dyDescent="0.25">
      <c r="A19" s="55" t="str">
        <f>'Duchies Summary'!A19</f>
        <v>Swiftme</v>
      </c>
      <c r="B19" s="65" t="str">
        <f>'Ducal Economics'!B19</f>
        <v>Crownlands</v>
      </c>
      <c r="C19" s="65">
        <f t="shared" si="0"/>
        <v>7500</v>
      </c>
      <c r="D19" s="65">
        <v>7500</v>
      </c>
      <c r="E19" s="65">
        <f>('Duchies Summary'!J19*0.005)-G19</f>
        <v>12453.98</v>
      </c>
      <c r="F19" s="158">
        <f>('Duchies Summary'!J19*0.005)</f>
        <v>12453.98</v>
      </c>
      <c r="G19" s="65">
        <f t="shared" si="1"/>
        <v>0</v>
      </c>
      <c r="H19" s="65">
        <v>0</v>
      </c>
      <c r="I19" s="55"/>
      <c r="J19" s="65">
        <f t="shared" si="2"/>
        <v>0</v>
      </c>
      <c r="K19" s="55">
        <v>0</v>
      </c>
      <c r="L19" s="55">
        <f>IF(AND('Duchies Summary'!E19&lt;=0,E19&gt;0),1,0)</f>
        <v>1</v>
      </c>
      <c r="M19" s="159">
        <f t="shared" si="3"/>
        <v>0</v>
      </c>
      <c r="N19" s="65">
        <f t="shared" si="4"/>
        <v>0</v>
      </c>
      <c r="O19" s="55" cm="1">
        <f t="array" ref="O19">K19+IF(L19=1,1,_xlfn.IFS(K19&gt;0,-1,K19=0,0))</f>
        <v>1</v>
      </c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 spans="1:28" ht="15.75" customHeight="1" x14ac:dyDescent="0.25">
      <c r="A20" s="55" t="str">
        <f>'Duchies Summary'!A20</f>
        <v>Heartwell</v>
      </c>
      <c r="B20" s="65" t="str">
        <f>'Ducal Economics'!B20</f>
        <v>Crownlands</v>
      </c>
      <c r="C20" s="65">
        <f t="shared" si="0"/>
        <v>1000</v>
      </c>
      <c r="D20" s="65">
        <v>1000</v>
      </c>
      <c r="E20" s="65">
        <f>('Duchies Summary'!J20*0.005)-G20</f>
        <v>1818.68</v>
      </c>
      <c r="F20" s="158">
        <f>('Duchies Summary'!J20*0.005)</f>
        <v>1818.68</v>
      </c>
      <c r="G20" s="65">
        <f t="shared" si="1"/>
        <v>0</v>
      </c>
      <c r="H20" s="65">
        <v>0</v>
      </c>
      <c r="I20" s="55"/>
      <c r="J20" s="65">
        <f t="shared" si="2"/>
        <v>0</v>
      </c>
      <c r="K20" s="55">
        <v>0</v>
      </c>
      <c r="L20" s="55">
        <f>IF(AND('Duchies Summary'!E20&lt;=0,E20&gt;0),1,0)</f>
        <v>0</v>
      </c>
      <c r="M20" s="159">
        <f t="shared" si="3"/>
        <v>0</v>
      </c>
      <c r="N20" s="65">
        <f t="shared" si="4"/>
        <v>0</v>
      </c>
      <c r="O20" s="55" cm="1">
        <f t="array" ref="O20">K20+IF(L20=1,1,_xlfn.IFS(K20&gt;0,-1,K20=0,0))</f>
        <v>0</v>
      </c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 spans="1:28" ht="15.75" customHeight="1" x14ac:dyDescent="0.25">
      <c r="A21" s="55" t="str">
        <f>'Duchies Summary'!A21</f>
        <v>Pearlpass</v>
      </c>
      <c r="B21" s="65" t="str">
        <f>'Ducal Economics'!B21</f>
        <v>Dreghold</v>
      </c>
      <c r="C21" s="65">
        <f t="shared" si="0"/>
        <v>0</v>
      </c>
      <c r="D21" s="65">
        <v>0</v>
      </c>
      <c r="E21" s="65">
        <f>('Duchies Summary'!J21*0.005)-G21</f>
        <v>5983.8196080900798</v>
      </c>
      <c r="F21" s="158">
        <f>('Duchies Summary'!J21*0.005)</f>
        <v>15997.87</v>
      </c>
      <c r="G21" s="65">
        <f t="shared" si="1"/>
        <v>10014.050391909921</v>
      </c>
      <c r="H21" s="65">
        <v>6325.0503919099219</v>
      </c>
      <c r="I21" s="55">
        <v>3689</v>
      </c>
      <c r="J21" s="65">
        <f t="shared" si="2"/>
        <v>0</v>
      </c>
      <c r="K21" s="55">
        <v>0</v>
      </c>
      <c r="L21" s="55">
        <f>IF(AND('Duchies Summary'!E21&lt;=0,E21&gt;0),1,0)</f>
        <v>0</v>
      </c>
      <c r="M21" s="159">
        <f t="shared" si="3"/>
        <v>316.2525195954961</v>
      </c>
      <c r="N21" s="65">
        <f t="shared" si="4"/>
        <v>6008.7978723144261</v>
      </c>
      <c r="O21" s="55" cm="1">
        <f t="array" ref="O21">K21+IF(L21=1,1,_xlfn.IFS(K21&gt;0,-1,K21=0,0))</f>
        <v>0</v>
      </c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 spans="1:28" ht="15.75" customHeight="1" x14ac:dyDescent="0.25">
      <c r="A22" s="55" t="str">
        <f>'Duchies Summary'!A22</f>
        <v>Prince's Boot</v>
      </c>
      <c r="B22" s="65" t="str">
        <f>'Ducal Economics'!B22</f>
        <v>Dreghold</v>
      </c>
      <c r="C22" s="65">
        <f t="shared" si="0"/>
        <v>0</v>
      </c>
      <c r="D22" s="65">
        <v>0</v>
      </c>
      <c r="E22" s="65">
        <f>('Duchies Summary'!J22*0.005)-G22</f>
        <v>7536.3450000000003</v>
      </c>
      <c r="F22" s="158">
        <f>('Duchies Summary'!J22*0.005)</f>
        <v>7536.3450000000003</v>
      </c>
      <c r="G22" s="65">
        <f t="shared" si="1"/>
        <v>0</v>
      </c>
      <c r="H22" s="65">
        <v>0</v>
      </c>
      <c r="I22" s="55"/>
      <c r="J22" s="65">
        <f t="shared" si="2"/>
        <v>0</v>
      </c>
      <c r="K22" s="55">
        <v>5</v>
      </c>
      <c r="L22" s="55">
        <f>IF(AND('Duchies Summary'!E22&lt;=0,E22&gt;0),1,0)</f>
        <v>0</v>
      </c>
      <c r="M22" s="159">
        <f t="shared" si="3"/>
        <v>0</v>
      </c>
      <c r="N22" s="65">
        <f t="shared" si="4"/>
        <v>0</v>
      </c>
      <c r="O22" s="55" cm="1">
        <f t="array" ref="O22">K22+IF(L22=1,1,_xlfn.IFS(K22&gt;0,-1,K22=0,0))</f>
        <v>4</v>
      </c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 spans="1:28" ht="15.75" customHeight="1" x14ac:dyDescent="0.25">
      <c r="A23" s="55" t="str">
        <f>'Duchies Summary'!A23</f>
        <v>Swan's Reach</v>
      </c>
      <c r="B23" s="65" t="str">
        <f>'Ducal Economics'!B23</f>
        <v>Dreghold</v>
      </c>
      <c r="C23" s="65">
        <f t="shared" si="0"/>
        <v>4300</v>
      </c>
      <c r="D23" s="65">
        <v>5000</v>
      </c>
      <c r="E23" s="65">
        <f>('Duchies Summary'!J23*0.005)-G23</f>
        <v>13430.295</v>
      </c>
      <c r="F23" s="158">
        <f>('Duchies Summary'!J23*0.005)</f>
        <v>14130.295</v>
      </c>
      <c r="G23" s="65">
        <f t="shared" si="1"/>
        <v>700</v>
      </c>
      <c r="H23" s="65">
        <v>0</v>
      </c>
      <c r="I23" s="55"/>
      <c r="J23" s="65">
        <f t="shared" si="2"/>
        <v>700</v>
      </c>
      <c r="K23" s="55">
        <v>7</v>
      </c>
      <c r="L23" s="55">
        <f>IF(AND('Duchies Summary'!E23&lt;=0,E23&gt;0),1,0)</f>
        <v>1</v>
      </c>
      <c r="M23" s="159">
        <f t="shared" si="3"/>
        <v>0</v>
      </c>
      <c r="N23" s="65">
        <f t="shared" si="4"/>
        <v>0</v>
      </c>
      <c r="O23" s="55" cm="1">
        <f t="array" ref="O23">K23+IF(L23=1,1,_xlfn.IFS(K23&gt;0,-1,K23=0,0))</f>
        <v>8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 spans="1:28" ht="15.75" customHeight="1" x14ac:dyDescent="0.25">
      <c r="A24" s="55" t="str">
        <f>'Duchies Summary'!A24</f>
        <v>Malhold</v>
      </c>
      <c r="B24" s="65" t="str">
        <f>'Ducal Economics'!B24</f>
        <v>Dreghold</v>
      </c>
      <c r="C24" s="65">
        <f t="shared" si="0"/>
        <v>6974</v>
      </c>
      <c r="D24" s="65">
        <v>6974</v>
      </c>
      <c r="E24" s="65">
        <f>('Duchies Summary'!J24*0.005)-G24</f>
        <v>6974.45</v>
      </c>
      <c r="F24" s="158">
        <f>('Duchies Summary'!J24*0.005)</f>
        <v>6974.45</v>
      </c>
      <c r="G24" s="65">
        <f t="shared" si="1"/>
        <v>0</v>
      </c>
      <c r="H24" s="65">
        <v>0</v>
      </c>
      <c r="I24" s="55"/>
      <c r="J24" s="65">
        <f t="shared" si="2"/>
        <v>0</v>
      </c>
      <c r="K24" s="55">
        <v>0</v>
      </c>
      <c r="L24" s="55">
        <f>IF(AND('Duchies Summary'!E24&lt;=0,E24&gt;0),1,0)</f>
        <v>0</v>
      </c>
      <c r="M24" s="159">
        <f t="shared" si="3"/>
        <v>0</v>
      </c>
      <c r="N24" s="65">
        <f t="shared" si="4"/>
        <v>0</v>
      </c>
      <c r="O24" s="55" cm="1">
        <f t="array" ref="O24">K24+IF(L24=1,1,_xlfn.IFS(K24&gt;0,-1,K24=0,0))</f>
        <v>0</v>
      </c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 spans="1:28" ht="15.75" customHeight="1" x14ac:dyDescent="0.25">
      <c r="A25" s="55" t="str">
        <f>'Duchies Summary'!A25</f>
        <v>Westleden</v>
      </c>
      <c r="B25" s="65" t="str">
        <f>'Ducal Economics'!B25</f>
        <v>Dreghold</v>
      </c>
      <c r="C25" s="65">
        <f t="shared" si="0"/>
        <v>6600</v>
      </c>
      <c r="D25" s="65">
        <v>6600</v>
      </c>
      <c r="E25" s="65">
        <f>('Duchies Summary'!J25*0.005)-G25</f>
        <v>6616.39</v>
      </c>
      <c r="F25" s="158">
        <f>('Duchies Summary'!J25*0.005)</f>
        <v>6616.39</v>
      </c>
      <c r="G25" s="65">
        <f t="shared" si="1"/>
        <v>0</v>
      </c>
      <c r="H25" s="65">
        <v>0</v>
      </c>
      <c r="I25" s="55"/>
      <c r="J25" s="65">
        <f t="shared" si="2"/>
        <v>0</v>
      </c>
      <c r="K25" s="55">
        <v>0</v>
      </c>
      <c r="L25" s="55">
        <f>IF(AND('Duchies Summary'!E25&lt;=0,E25&gt;0),1,0)</f>
        <v>1</v>
      </c>
      <c r="M25" s="159">
        <f t="shared" si="3"/>
        <v>0</v>
      </c>
      <c r="N25" s="65">
        <f t="shared" si="4"/>
        <v>0</v>
      </c>
      <c r="O25" s="55" cm="1">
        <f t="array" ref="O25">K25+IF(L25=1,1,_xlfn.IFS(K25&gt;0,-1,K25=0,0))</f>
        <v>1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 spans="1:28" ht="15.75" customHeight="1" x14ac:dyDescent="0.25">
      <c r="A26" s="55" t="str">
        <f>'Duchies Summary'!A26</f>
        <v>Shurestar</v>
      </c>
      <c r="B26" s="65" t="str">
        <f>'Ducal Economics'!B26</f>
        <v>Dreghold</v>
      </c>
      <c r="C26" s="65">
        <f t="shared" si="0"/>
        <v>5992</v>
      </c>
      <c r="D26" s="65">
        <v>5992</v>
      </c>
      <c r="E26" s="65">
        <f>('Duchies Summary'!J26*0.005)-G26</f>
        <v>5991.6850000000004</v>
      </c>
      <c r="F26" s="158">
        <f>('Duchies Summary'!J26*0.005)</f>
        <v>5991.6850000000004</v>
      </c>
      <c r="G26" s="65">
        <f t="shared" si="1"/>
        <v>0</v>
      </c>
      <c r="H26" s="65">
        <v>0</v>
      </c>
      <c r="I26" s="55"/>
      <c r="J26" s="65">
        <f t="shared" si="2"/>
        <v>0</v>
      </c>
      <c r="K26" s="55">
        <v>0</v>
      </c>
      <c r="L26" s="55">
        <f>IF(AND('Duchies Summary'!E26&lt;=0,E26&gt;0),1,0)</f>
        <v>1</v>
      </c>
      <c r="M26" s="159">
        <f t="shared" si="3"/>
        <v>0</v>
      </c>
      <c r="N26" s="65">
        <f t="shared" si="4"/>
        <v>0</v>
      </c>
      <c r="O26" s="55" cm="1">
        <f t="array" ref="O26">K26+IF(L26=1,1,_xlfn.IFS(K26&gt;0,-1,K26=0,0))</f>
        <v>1</v>
      </c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spans="1:28" ht="15.75" customHeight="1" x14ac:dyDescent="0.25">
      <c r="A27" s="55" t="str">
        <f>'Duchies Summary'!A27</f>
        <v>Raven's Reach</v>
      </c>
      <c r="B27" s="65" t="str">
        <f>'Ducal Economics'!B27</f>
        <v>Swanhall</v>
      </c>
      <c r="C27" s="65">
        <f t="shared" si="0"/>
        <v>0</v>
      </c>
      <c r="D27" s="65">
        <v>0</v>
      </c>
      <c r="E27" s="65">
        <f>('Duchies Summary'!J27*0.005)-G27</f>
        <v>9441.42</v>
      </c>
      <c r="F27" s="158">
        <f>('Duchies Summary'!J27*0.005)</f>
        <v>9441.42</v>
      </c>
      <c r="G27" s="65">
        <f t="shared" si="1"/>
        <v>0</v>
      </c>
      <c r="H27" s="65">
        <v>0</v>
      </c>
      <c r="I27" s="55"/>
      <c r="J27" s="65">
        <f t="shared" si="2"/>
        <v>0</v>
      </c>
      <c r="K27" s="55">
        <v>0</v>
      </c>
      <c r="L27" s="55">
        <f>IF(AND('Duchies Summary'!E27&lt;=0,E27&gt;0),1,0)</f>
        <v>0</v>
      </c>
      <c r="M27" s="159">
        <f t="shared" si="3"/>
        <v>0</v>
      </c>
      <c r="N27" s="65">
        <f t="shared" si="4"/>
        <v>0</v>
      </c>
      <c r="O27" s="55" cm="1">
        <f t="array" ref="O27">K27+IF(L27=1,1,_xlfn.IFS(K27&gt;0,-1,K27=0,0))</f>
        <v>0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pans="1:28" ht="15.75" customHeight="1" x14ac:dyDescent="0.25">
      <c r="A28" s="55" t="str">
        <f>'Duchies Summary'!A28</f>
        <v>Northfold</v>
      </c>
      <c r="B28" s="65" t="str">
        <f>'Ducal Economics'!B28</f>
        <v>Swanhall</v>
      </c>
      <c r="C28" s="65">
        <f t="shared" si="0"/>
        <v>0</v>
      </c>
      <c r="D28" s="65">
        <v>0</v>
      </c>
      <c r="E28" s="65">
        <f>('Duchies Summary'!J28*0.005)-G28</f>
        <v>2241.84</v>
      </c>
      <c r="F28" s="158">
        <f>('Duchies Summary'!J28*0.005)</f>
        <v>2241.84</v>
      </c>
      <c r="G28" s="65">
        <f t="shared" si="1"/>
        <v>0</v>
      </c>
      <c r="H28" s="65">
        <v>0</v>
      </c>
      <c r="I28" s="55"/>
      <c r="J28" s="65">
        <f t="shared" si="2"/>
        <v>0</v>
      </c>
      <c r="K28" s="55">
        <v>0</v>
      </c>
      <c r="L28" s="55">
        <f>IF(AND('Duchies Summary'!E28&lt;=0,E28&gt;0),1,0)</f>
        <v>0</v>
      </c>
      <c r="M28" s="159">
        <f t="shared" si="3"/>
        <v>0</v>
      </c>
      <c r="N28" s="65">
        <f t="shared" si="4"/>
        <v>0</v>
      </c>
      <c r="O28" s="55" cm="1">
        <f t="array" ref="O28">K28+IF(L28=1,1,_xlfn.IFS(K28&gt;0,-1,K28=0,0))</f>
        <v>0</v>
      </c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pans="1:28" ht="15.75" customHeight="1" x14ac:dyDescent="0.25">
      <c r="A29" s="55" t="str">
        <f>'Duchies Summary'!A29</f>
        <v>Blackstone</v>
      </c>
      <c r="B29" s="65" t="str">
        <f>'Ducal Economics'!B29</f>
        <v>Swanhall</v>
      </c>
      <c r="C29" s="65">
        <f t="shared" si="0"/>
        <v>0</v>
      </c>
      <c r="D29" s="65">
        <v>0</v>
      </c>
      <c r="E29" s="65">
        <f>('Duchies Summary'!J29*0.005)-G29</f>
        <v>10536.59</v>
      </c>
      <c r="F29" s="158">
        <f>('Duchies Summary'!J29*0.005)</f>
        <v>10536.59</v>
      </c>
      <c r="G29" s="65">
        <f t="shared" si="1"/>
        <v>0</v>
      </c>
      <c r="H29" s="65">
        <v>0</v>
      </c>
      <c r="I29" s="55"/>
      <c r="J29" s="65">
        <f t="shared" si="2"/>
        <v>0</v>
      </c>
      <c r="K29" s="55">
        <v>0</v>
      </c>
      <c r="L29" s="55">
        <f>IF(AND('Duchies Summary'!E29&lt;=0,E29&gt;0),1,0)</f>
        <v>0</v>
      </c>
      <c r="M29" s="159">
        <f t="shared" si="3"/>
        <v>0</v>
      </c>
      <c r="N29" s="65">
        <f t="shared" si="4"/>
        <v>0</v>
      </c>
      <c r="O29" s="55" cm="1">
        <f t="array" ref="O29">K29+IF(L29=1,1,_xlfn.IFS(K29&gt;0,-1,K29=0,0))</f>
        <v>0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pans="1:28" ht="15.75" customHeight="1" x14ac:dyDescent="0.25">
      <c r="A30" s="55" t="str">
        <f>'Duchies Summary'!A30</f>
        <v>Ravenmark</v>
      </c>
      <c r="B30" s="65" t="str">
        <f>'Ducal Economics'!B30</f>
        <v>Swanhall</v>
      </c>
      <c r="C30" s="65">
        <f t="shared" si="0"/>
        <v>0</v>
      </c>
      <c r="D30" s="65">
        <v>0</v>
      </c>
      <c r="E30" s="65">
        <f>('Duchies Summary'!J30*0.005)-G30</f>
        <v>4072.4300000000003</v>
      </c>
      <c r="F30" s="158">
        <f>('Duchies Summary'!J30*0.005)</f>
        <v>4072.4300000000003</v>
      </c>
      <c r="G30" s="65">
        <f t="shared" si="1"/>
        <v>0</v>
      </c>
      <c r="H30" s="65">
        <v>0</v>
      </c>
      <c r="I30" s="55"/>
      <c r="J30" s="65">
        <f t="shared" si="2"/>
        <v>0</v>
      </c>
      <c r="K30" s="55">
        <v>0</v>
      </c>
      <c r="L30" s="55">
        <f>IF(AND('Duchies Summary'!E30&lt;=0,E30&gt;0),1,0)</f>
        <v>0</v>
      </c>
      <c r="M30" s="159">
        <f t="shared" si="3"/>
        <v>0</v>
      </c>
      <c r="N30" s="65">
        <f t="shared" si="4"/>
        <v>0</v>
      </c>
      <c r="O30" s="55" cm="1">
        <f t="array" ref="O30">K30+IF(L30=1,1,_xlfn.IFS(K30&gt;0,-1,K30=0,0))</f>
        <v>0</v>
      </c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pans="1:28" ht="15.75" customHeight="1" x14ac:dyDescent="0.25">
      <c r="A31" s="55" t="str">
        <f>'Duchies Summary'!A31</f>
        <v>Wet Shoor</v>
      </c>
      <c r="B31" s="65" t="str">
        <f>'Ducal Economics'!B31</f>
        <v>Swanhall</v>
      </c>
      <c r="C31" s="65">
        <f t="shared" si="0"/>
        <v>0</v>
      </c>
      <c r="D31" s="65">
        <v>0</v>
      </c>
      <c r="E31" s="65">
        <f>('Duchies Summary'!J31*0.005)-G31</f>
        <v>5632.9549999999999</v>
      </c>
      <c r="F31" s="158">
        <f>('Duchies Summary'!J31*0.005)</f>
        <v>5632.9549999999999</v>
      </c>
      <c r="G31" s="65">
        <f t="shared" si="1"/>
        <v>0</v>
      </c>
      <c r="H31" s="65">
        <v>0</v>
      </c>
      <c r="I31" s="55"/>
      <c r="J31" s="65">
        <f t="shared" si="2"/>
        <v>0</v>
      </c>
      <c r="K31" s="55">
        <v>0</v>
      </c>
      <c r="L31" s="55">
        <f>IF(AND('Duchies Summary'!E31&lt;=0,E31&gt;0),1,0)</f>
        <v>0</v>
      </c>
      <c r="M31" s="159">
        <f t="shared" si="3"/>
        <v>0</v>
      </c>
      <c r="N31" s="65">
        <f t="shared" si="4"/>
        <v>0</v>
      </c>
      <c r="O31" s="55" cm="1">
        <f t="array" ref="O31">K31+IF(L31=1,1,_xlfn.IFS(K31&gt;0,-1,K31=0,0))</f>
        <v>0</v>
      </c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pans="1:28" ht="15.75" customHeight="1" x14ac:dyDescent="0.25">
      <c r="A32" s="55" t="str">
        <f>'Duchies Summary'!A32</f>
        <v>Quickwatch</v>
      </c>
      <c r="B32" s="65" t="str">
        <f>'Ducal Economics'!B32</f>
        <v>Swanhall</v>
      </c>
      <c r="C32" s="65">
        <f t="shared" si="0"/>
        <v>0</v>
      </c>
      <c r="D32" s="65">
        <v>0</v>
      </c>
      <c r="E32" s="65">
        <f>('Duchies Summary'!J32*0.005)-G32</f>
        <v>10582.89</v>
      </c>
      <c r="F32" s="158">
        <f>('Duchies Summary'!J32*0.005)</f>
        <v>10582.89</v>
      </c>
      <c r="G32" s="65">
        <f t="shared" si="1"/>
        <v>0</v>
      </c>
      <c r="H32" s="65">
        <v>0</v>
      </c>
      <c r="I32" s="55"/>
      <c r="J32" s="65">
        <f t="shared" si="2"/>
        <v>0</v>
      </c>
      <c r="K32" s="55">
        <v>0</v>
      </c>
      <c r="L32" s="55">
        <f>IF(AND('Duchies Summary'!E32&lt;=0,E32&gt;0),1,0)</f>
        <v>0</v>
      </c>
      <c r="M32" s="159">
        <f t="shared" si="3"/>
        <v>0</v>
      </c>
      <c r="N32" s="65">
        <f t="shared" si="4"/>
        <v>0</v>
      </c>
      <c r="O32" s="55" cm="1">
        <f t="array" ref="O32">K32+IF(L32=1,1,_xlfn.IFS(K32&gt;0,-1,K32=0,0))</f>
        <v>0</v>
      </c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pans="1:28" ht="15.75" customHeight="1" x14ac:dyDescent="0.25">
      <c r="A33" s="55" t="str">
        <f>'Duchies Summary'!A33</f>
        <v>The Deepwood</v>
      </c>
      <c r="B33" s="65" t="str">
        <f>'Ducal Economics'!B33</f>
        <v>Swanhall</v>
      </c>
      <c r="C33" s="65">
        <f t="shared" si="0"/>
        <v>0</v>
      </c>
      <c r="D33" s="65">
        <v>0</v>
      </c>
      <c r="E33" s="65">
        <f>('Duchies Summary'!J33*0.005)-G33</f>
        <v>4292.1400000000003</v>
      </c>
      <c r="F33" s="158">
        <f>('Duchies Summary'!J33*0.005)</f>
        <v>4292.1400000000003</v>
      </c>
      <c r="G33" s="65">
        <f t="shared" si="1"/>
        <v>0</v>
      </c>
      <c r="H33" s="65">
        <v>0</v>
      </c>
      <c r="I33" s="55"/>
      <c r="J33" s="65">
        <f t="shared" si="2"/>
        <v>0</v>
      </c>
      <c r="K33" s="55">
        <v>0</v>
      </c>
      <c r="L33" s="55">
        <f>IF(AND('Duchies Summary'!E33&lt;=0,E33&gt;0),1,0)</f>
        <v>0</v>
      </c>
      <c r="M33" s="159">
        <f t="shared" si="3"/>
        <v>0</v>
      </c>
      <c r="N33" s="65">
        <f t="shared" si="4"/>
        <v>0</v>
      </c>
      <c r="O33" s="55" cm="1">
        <f t="array" ref="O33">K33+IF(L33=1,1,_xlfn.IFS(K33&gt;0,-1,K33=0,0))</f>
        <v>0</v>
      </c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pans="1:28" ht="15.75" customHeight="1" x14ac:dyDescent="0.25">
      <c r="A34" s="55" t="str">
        <f>'Duchies Summary'!A34</f>
        <v>Swan's Shoor</v>
      </c>
      <c r="B34" s="65" t="str">
        <f>'Ducal Economics'!B34</f>
        <v>Swanhall</v>
      </c>
      <c r="C34" s="65">
        <f t="shared" si="0"/>
        <v>5000</v>
      </c>
      <c r="D34" s="65">
        <v>5000</v>
      </c>
      <c r="E34" s="65">
        <f>('Duchies Summary'!J34*0.005)-G34</f>
        <v>5085.2250000000004</v>
      </c>
      <c r="F34" s="158">
        <f>('Duchies Summary'!J34*0.005)</f>
        <v>5085.2250000000004</v>
      </c>
      <c r="G34" s="65">
        <f t="shared" si="1"/>
        <v>0</v>
      </c>
      <c r="H34" s="65">
        <v>0</v>
      </c>
      <c r="I34" s="55"/>
      <c r="J34" s="65">
        <f t="shared" si="2"/>
        <v>0</v>
      </c>
      <c r="K34" s="55">
        <v>0</v>
      </c>
      <c r="L34" s="55">
        <f>IF(AND('Duchies Summary'!E34&lt;=0,E34&gt;0),1,0)</f>
        <v>0</v>
      </c>
      <c r="M34" s="159">
        <f t="shared" si="3"/>
        <v>0</v>
      </c>
      <c r="N34" s="65">
        <f t="shared" si="4"/>
        <v>0</v>
      </c>
      <c r="O34" s="55" cm="1">
        <f t="array" ref="O34">K34+IF(L34=1,1,_xlfn.IFS(K34&gt;0,-1,K34=0,0))</f>
        <v>0</v>
      </c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pans="1:28" ht="15.75" customHeight="1" x14ac:dyDescent="0.25">
      <c r="A35" s="55" t="str">
        <f>'Duchies Summary'!A35</f>
        <v>The Shield</v>
      </c>
      <c r="B35" s="65" t="str">
        <f>'Ducal Economics'!B35</f>
        <v>Swanhall</v>
      </c>
      <c r="C35" s="65">
        <f t="shared" si="0"/>
        <v>0</v>
      </c>
      <c r="D35" s="65">
        <v>0</v>
      </c>
      <c r="E35" s="65">
        <f>('Duchies Summary'!J35*0.005)-G35</f>
        <v>6440.0050000000001</v>
      </c>
      <c r="F35" s="158">
        <f>('Duchies Summary'!J35*0.005)</f>
        <v>6440.0050000000001</v>
      </c>
      <c r="G35" s="65">
        <f t="shared" si="1"/>
        <v>0</v>
      </c>
      <c r="H35" s="65">
        <v>0</v>
      </c>
      <c r="I35" s="55"/>
      <c r="J35" s="65">
        <f t="shared" si="2"/>
        <v>0</v>
      </c>
      <c r="K35" s="55">
        <v>0</v>
      </c>
      <c r="L35" s="55">
        <f>IF(AND('Duchies Summary'!E35&lt;=0,E35&gt;0),1,0)</f>
        <v>0</v>
      </c>
      <c r="M35" s="159">
        <f t="shared" si="3"/>
        <v>0</v>
      </c>
      <c r="N35" s="65">
        <f t="shared" si="4"/>
        <v>0</v>
      </c>
      <c r="O35" s="55" cm="1">
        <f t="array" ref="O35">K35+IF(L35=1,1,_xlfn.IFS(K35&gt;0,-1,K35=0,0))</f>
        <v>0</v>
      </c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pans="1:28" ht="15.75" customHeight="1" x14ac:dyDescent="0.25">
      <c r="A36" s="55" t="str">
        <f>'Duchies Summary'!A36</f>
        <v>Elreach</v>
      </c>
      <c r="B36" s="65" t="str">
        <f>'Ducal Economics'!B36</f>
        <v>Swanhall</v>
      </c>
      <c r="C36" s="65">
        <f t="shared" si="0"/>
        <v>0</v>
      </c>
      <c r="D36" s="65">
        <v>0</v>
      </c>
      <c r="E36" s="65">
        <f>('Duchies Summary'!J36*0.005)-G36</f>
        <v>7547.95</v>
      </c>
      <c r="F36" s="158">
        <f>('Duchies Summary'!J36*0.005)</f>
        <v>7547.95</v>
      </c>
      <c r="G36" s="65">
        <f t="shared" si="1"/>
        <v>0</v>
      </c>
      <c r="H36" s="65">
        <v>0</v>
      </c>
      <c r="I36" s="55"/>
      <c r="J36" s="65">
        <f t="shared" si="2"/>
        <v>0</v>
      </c>
      <c r="K36" s="55">
        <v>0</v>
      </c>
      <c r="L36" s="55">
        <f>IF(AND('Duchies Summary'!E36&lt;=0,E36&gt;0),1,0)</f>
        <v>0</v>
      </c>
      <c r="M36" s="159">
        <f t="shared" si="3"/>
        <v>0</v>
      </c>
      <c r="N36" s="65">
        <f t="shared" si="4"/>
        <v>0</v>
      </c>
      <c r="O36" s="55" cm="1">
        <f t="array" ref="O36">K36+IF(L36=1,1,_xlfn.IFS(K36&gt;0,-1,K36=0,0))</f>
        <v>0</v>
      </c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pans="1:28" ht="15.75" customHeight="1" x14ac:dyDescent="0.25">
      <c r="A37" s="55" t="str">
        <f>'Duchies Summary'!A37</f>
        <v>Mightkeep</v>
      </c>
      <c r="B37" s="65" t="str">
        <f>'Ducal Economics'!B37</f>
        <v>Swanhall</v>
      </c>
      <c r="C37" s="65">
        <f t="shared" si="0"/>
        <v>5500</v>
      </c>
      <c r="D37" s="65">
        <v>5500</v>
      </c>
      <c r="E37" s="65">
        <f>('Duchies Summary'!J37*0.005)-G37</f>
        <v>5590.41</v>
      </c>
      <c r="F37" s="158">
        <f>('Duchies Summary'!J37*0.005)</f>
        <v>5590.41</v>
      </c>
      <c r="G37" s="65">
        <f t="shared" si="1"/>
        <v>0</v>
      </c>
      <c r="H37" s="65">
        <v>0</v>
      </c>
      <c r="I37" s="55"/>
      <c r="J37" s="65">
        <f t="shared" si="2"/>
        <v>0</v>
      </c>
      <c r="K37" s="55">
        <v>0</v>
      </c>
      <c r="L37" s="55">
        <f>IF(AND('Duchies Summary'!E37&lt;=0,E37&gt;0),1,0)</f>
        <v>0</v>
      </c>
      <c r="M37" s="159">
        <f t="shared" si="3"/>
        <v>0</v>
      </c>
      <c r="N37" s="65">
        <f t="shared" si="4"/>
        <v>0</v>
      </c>
      <c r="O37" s="55" cm="1">
        <f t="array" ref="O37">K37+IF(L37=1,1,_xlfn.IFS(K37&gt;0,-1,K37=0,0))</f>
        <v>0</v>
      </c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pans="1:28" ht="15" x14ac:dyDescent="0.25">
      <c r="A38" s="55" t="str">
        <f>'Duchies Summary'!A38</f>
        <v>Mightfall</v>
      </c>
      <c r="B38" s="65" t="str">
        <f>'Ducal Economics'!B38</f>
        <v>Swanhall</v>
      </c>
      <c r="C38" s="65">
        <f t="shared" si="0"/>
        <v>5000</v>
      </c>
      <c r="D38" s="65">
        <v>5000</v>
      </c>
      <c r="E38" s="65">
        <f>('Duchies Summary'!J38*0.005)-G38</f>
        <v>5354.4250000000002</v>
      </c>
      <c r="F38" s="158">
        <f>('Duchies Summary'!J38*0.005)</f>
        <v>5354.4250000000002</v>
      </c>
      <c r="G38" s="65">
        <f t="shared" si="1"/>
        <v>0</v>
      </c>
      <c r="H38" s="65">
        <v>0</v>
      </c>
      <c r="I38" s="55"/>
      <c r="J38" s="65">
        <f t="shared" si="2"/>
        <v>0</v>
      </c>
      <c r="K38" s="55">
        <v>0</v>
      </c>
      <c r="L38" s="55">
        <f>IF(AND('Duchies Summary'!E38&lt;=0,E38&gt;0),1,0)</f>
        <v>0</v>
      </c>
      <c r="M38" s="159">
        <f t="shared" si="3"/>
        <v>0</v>
      </c>
      <c r="N38" s="65">
        <f t="shared" si="4"/>
        <v>0</v>
      </c>
      <c r="O38" s="55" cm="1">
        <f t="array" ref="O38">K38+IF(L38=1,1,_xlfn.IFS(K38&gt;0,-1,K38=0,0))</f>
        <v>0</v>
      </c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pans="1:28" ht="15" x14ac:dyDescent="0.25">
      <c r="A39" s="55" t="str">
        <f>'Duchies Summary'!A39</f>
        <v>Eguard</v>
      </c>
      <c r="B39" s="65" t="str">
        <f>'Ducal Economics'!B39</f>
        <v>Swanhall</v>
      </c>
      <c r="C39" s="65">
        <f t="shared" si="0"/>
        <v>3400</v>
      </c>
      <c r="D39" s="65">
        <v>3400</v>
      </c>
      <c r="E39" s="65">
        <f>('Duchies Summary'!J39*0.005)-G39</f>
        <v>3495.3850000000002</v>
      </c>
      <c r="F39" s="158">
        <f>('Duchies Summary'!J39*0.005)</f>
        <v>3495.3850000000002</v>
      </c>
      <c r="G39" s="65">
        <f t="shared" si="1"/>
        <v>0</v>
      </c>
      <c r="H39" s="65">
        <v>0</v>
      </c>
      <c r="I39" s="55"/>
      <c r="J39" s="65">
        <f t="shared" si="2"/>
        <v>0</v>
      </c>
      <c r="K39" s="55">
        <v>0</v>
      </c>
      <c r="L39" s="55">
        <f>IF(AND('Duchies Summary'!E39&lt;=0,E39&gt;0),1,0)</f>
        <v>0</v>
      </c>
      <c r="M39" s="159">
        <f t="shared" si="3"/>
        <v>0</v>
      </c>
      <c r="N39" s="65">
        <f t="shared" si="4"/>
        <v>0</v>
      </c>
      <c r="O39" s="55" cm="1">
        <f t="array" ref="O39">K39+IF(L39=1,1,_xlfn.IFS(K39&gt;0,-1,K39=0,0))</f>
        <v>0</v>
      </c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pans="1:28" ht="15" x14ac:dyDescent="0.25">
      <c r="A40" s="55" t="str">
        <f>'Duchies Summary'!A40</f>
        <v>Lonely Light</v>
      </c>
      <c r="B40" s="65" t="str">
        <f>'Ducal Economics'!B40</f>
        <v>Swanhall</v>
      </c>
      <c r="C40" s="65">
        <f t="shared" si="0"/>
        <v>0</v>
      </c>
      <c r="D40" s="65">
        <v>0</v>
      </c>
      <c r="E40" s="65">
        <f>('Duchies Summary'!J40*0.005)-G40</f>
        <v>299.52</v>
      </c>
      <c r="F40" s="158">
        <f>('Duchies Summary'!J40*0.005)</f>
        <v>299.52</v>
      </c>
      <c r="G40" s="65">
        <f t="shared" si="1"/>
        <v>0</v>
      </c>
      <c r="H40" s="65">
        <v>0</v>
      </c>
      <c r="I40" s="55"/>
      <c r="J40" s="65">
        <f t="shared" si="2"/>
        <v>0</v>
      </c>
      <c r="K40" s="55">
        <v>0</v>
      </c>
      <c r="L40" s="55">
        <f>IF(AND('Duchies Summary'!E40&lt;=0,E40&gt;0),1,0)</f>
        <v>0</v>
      </c>
      <c r="M40" s="159">
        <f t="shared" si="3"/>
        <v>0</v>
      </c>
      <c r="N40" s="65">
        <f t="shared" si="4"/>
        <v>0</v>
      </c>
      <c r="O40" s="55" cm="1">
        <f t="array" ref="O40">K40+IF(L40=1,1,_xlfn.IFS(K40&gt;0,-1,K40=0,0))</f>
        <v>0</v>
      </c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pans="1:28" ht="15" x14ac:dyDescent="0.25">
      <c r="A41" s="55" t="str">
        <f>'Duchies Summary'!A41</f>
        <v>The Valley</v>
      </c>
      <c r="B41" s="65" t="str">
        <f>'Ducal Economics'!B41</f>
        <v>Madinglia</v>
      </c>
      <c r="C41" s="65">
        <f t="shared" si="0"/>
        <v>0</v>
      </c>
      <c r="D41" s="65">
        <v>0</v>
      </c>
      <c r="E41" s="65">
        <f>('Duchies Summary'!J41*0.005)-G41</f>
        <v>5172.76</v>
      </c>
      <c r="F41" s="158">
        <f>('Duchies Summary'!J41*0.005)</f>
        <v>5172.76</v>
      </c>
      <c r="G41" s="65">
        <f t="shared" si="1"/>
        <v>0</v>
      </c>
      <c r="H41" s="65">
        <v>0</v>
      </c>
      <c r="I41" s="55"/>
      <c r="J41" s="65">
        <f t="shared" si="2"/>
        <v>0</v>
      </c>
      <c r="K41" s="55">
        <v>0</v>
      </c>
      <c r="L41" s="55">
        <f>IF(AND('Duchies Summary'!E41&lt;=0,E41&gt;0),1,0)</f>
        <v>0</v>
      </c>
      <c r="M41" s="159">
        <f t="shared" si="3"/>
        <v>0</v>
      </c>
      <c r="N41" s="65">
        <f t="shared" si="4"/>
        <v>0</v>
      </c>
      <c r="O41" s="55" cm="1">
        <f t="array" ref="O41">K41+IF(L41=1,1,_xlfn.IFS(K41&gt;0,-1,K41=0,0))</f>
        <v>0</v>
      </c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pans="1:28" ht="15" x14ac:dyDescent="0.25">
      <c r="A42" s="55" t="str">
        <f>'Duchies Summary'!A42</f>
        <v>The Knolls</v>
      </c>
      <c r="B42" s="65" t="str">
        <f>'Ducal Economics'!B42</f>
        <v>Madinglia</v>
      </c>
      <c r="C42" s="65">
        <f t="shared" si="0"/>
        <v>0</v>
      </c>
      <c r="D42" s="65">
        <v>0</v>
      </c>
      <c r="E42" s="65">
        <f>('Duchies Summary'!J42*0.005)-G42</f>
        <v>5811.6149999999998</v>
      </c>
      <c r="F42" s="158">
        <f>('Duchies Summary'!J42*0.005)</f>
        <v>5811.6149999999998</v>
      </c>
      <c r="G42" s="65">
        <f t="shared" si="1"/>
        <v>0</v>
      </c>
      <c r="H42" s="65">
        <v>0</v>
      </c>
      <c r="I42" s="55"/>
      <c r="J42" s="65">
        <f t="shared" si="2"/>
        <v>0</v>
      </c>
      <c r="K42" s="55">
        <v>0</v>
      </c>
      <c r="L42" s="55">
        <f>IF(AND('Duchies Summary'!E42&lt;=0,E42&gt;0),1,0)</f>
        <v>0</v>
      </c>
      <c r="M42" s="159">
        <f t="shared" si="3"/>
        <v>0</v>
      </c>
      <c r="N42" s="65">
        <f t="shared" si="4"/>
        <v>0</v>
      </c>
      <c r="O42" s="55" cm="1">
        <f t="array" ref="O42">K42+IF(L42=1,1,_xlfn.IFS(K42&gt;0,-1,K42=0,0))</f>
        <v>0</v>
      </c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pans="1:28" ht="15" x14ac:dyDescent="0.25">
      <c r="A43" s="55" t="str">
        <f>'Duchies Summary'!A43</f>
        <v>Persterton Pass</v>
      </c>
      <c r="B43" s="65" t="str">
        <f>'Ducal Economics'!B43</f>
        <v>Madinglia</v>
      </c>
      <c r="C43" s="65">
        <f t="shared" si="0"/>
        <v>0</v>
      </c>
      <c r="D43" s="65">
        <v>0</v>
      </c>
      <c r="E43" s="65">
        <f>('Duchies Summary'!J43*0.005)-G43</f>
        <v>1550.9</v>
      </c>
      <c r="F43" s="158">
        <f>('Duchies Summary'!J43*0.005)</f>
        <v>1550.9</v>
      </c>
      <c r="G43" s="65">
        <f t="shared" si="1"/>
        <v>0</v>
      </c>
      <c r="H43" s="65">
        <v>0</v>
      </c>
      <c r="I43" s="55"/>
      <c r="J43" s="65">
        <f t="shared" si="2"/>
        <v>0</v>
      </c>
      <c r="K43" s="55">
        <v>0</v>
      </c>
      <c r="L43" s="55">
        <f>IF(AND('Duchies Summary'!E43&lt;=0,E43&gt;0),1,0)</f>
        <v>0</v>
      </c>
      <c r="M43" s="159">
        <f t="shared" si="3"/>
        <v>0</v>
      </c>
      <c r="N43" s="65">
        <f t="shared" si="4"/>
        <v>0</v>
      </c>
      <c r="O43" s="55" cm="1">
        <f t="array" ref="O43">K43+IF(L43=1,1,_xlfn.IFS(K43&gt;0,-1,K43=0,0))</f>
        <v>0</v>
      </c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pans="1:28" ht="15" x14ac:dyDescent="0.25">
      <c r="A44" s="55" t="str">
        <f>'Duchies Summary'!A44</f>
        <v>Rordgoz</v>
      </c>
      <c r="B44" s="65" t="str">
        <f>'Ducal Economics'!B44</f>
        <v>Madinglia</v>
      </c>
      <c r="C44" s="65">
        <f t="shared" si="0"/>
        <v>0</v>
      </c>
      <c r="D44" s="65">
        <v>0</v>
      </c>
      <c r="E44" s="65">
        <f>('Duchies Summary'!J44*0.005)-G44</f>
        <v>2787.9900000000002</v>
      </c>
      <c r="F44" s="158">
        <f>('Duchies Summary'!J44*0.005)</f>
        <v>2787.9900000000002</v>
      </c>
      <c r="G44" s="65">
        <f t="shared" si="1"/>
        <v>0</v>
      </c>
      <c r="H44" s="65">
        <v>0</v>
      </c>
      <c r="I44" s="55"/>
      <c r="J44" s="65">
        <f t="shared" si="2"/>
        <v>0</v>
      </c>
      <c r="K44" s="55">
        <v>0</v>
      </c>
      <c r="L44" s="55">
        <f>IF(AND('Duchies Summary'!E44&lt;=0,E44&gt;0),1,0)</f>
        <v>0</v>
      </c>
      <c r="M44" s="159">
        <f t="shared" si="3"/>
        <v>0</v>
      </c>
      <c r="N44" s="65">
        <f t="shared" si="4"/>
        <v>0</v>
      </c>
      <c r="O44" s="55" cm="1">
        <f t="array" ref="O44">K44+IF(L44=1,1,_xlfn.IFS(K44&gt;0,-1,K44=0,0))</f>
        <v>0</v>
      </c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pans="1:28" ht="15" x14ac:dyDescent="0.25">
      <c r="A45" s="55" t="str">
        <f>'Duchies Summary'!A45</f>
        <v>Briduan</v>
      </c>
      <c r="B45" s="65" t="str">
        <f>'Ducal Economics'!B45</f>
        <v>Madinglia</v>
      </c>
      <c r="C45" s="65">
        <f t="shared" si="0"/>
        <v>0</v>
      </c>
      <c r="D45" s="65">
        <v>0</v>
      </c>
      <c r="E45" s="65">
        <f>('Duchies Summary'!J45*0.005)-G45</f>
        <v>1921.6849999999999</v>
      </c>
      <c r="F45" s="158">
        <f>('Duchies Summary'!J45*0.005)</f>
        <v>1921.6849999999999</v>
      </c>
      <c r="G45" s="65">
        <f t="shared" si="1"/>
        <v>0</v>
      </c>
      <c r="H45" s="65">
        <v>0</v>
      </c>
      <c r="I45" s="55"/>
      <c r="J45" s="65">
        <f t="shared" si="2"/>
        <v>0</v>
      </c>
      <c r="K45" s="55">
        <v>0</v>
      </c>
      <c r="L45" s="55">
        <f>IF(AND('Duchies Summary'!E45&lt;=0,E45&gt;0),1,0)</f>
        <v>0</v>
      </c>
      <c r="M45" s="159">
        <f t="shared" si="3"/>
        <v>0</v>
      </c>
      <c r="N45" s="65">
        <f t="shared" si="4"/>
        <v>0</v>
      </c>
      <c r="O45" s="55" cm="1">
        <f t="array" ref="O45">K45+IF(L45=1,1,_xlfn.IFS(K45&gt;0,-1,K45=0,0))</f>
        <v>0</v>
      </c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pans="1:28" ht="15" x14ac:dyDescent="0.25">
      <c r="A46" s="55"/>
      <c r="B46" s="55"/>
      <c r="C46" s="55"/>
      <c r="D46" s="55"/>
      <c r="E46" s="55"/>
      <c r="F46" s="186"/>
      <c r="G46" s="55"/>
      <c r="H46" s="55"/>
      <c r="I46" s="55"/>
      <c r="J46" s="65"/>
      <c r="K46" s="55"/>
      <c r="L46" s="55"/>
      <c r="M46" s="63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pans="1:28" ht="15" x14ac:dyDescent="0.25">
      <c r="A47" s="55"/>
      <c r="B47" s="55"/>
      <c r="C47" s="55"/>
      <c r="D47" s="55"/>
      <c r="E47" s="55"/>
      <c r="F47" s="186"/>
      <c r="G47" s="55"/>
      <c r="H47" s="55"/>
      <c r="I47" s="55"/>
      <c r="J47" s="65"/>
      <c r="K47" s="55"/>
      <c r="L47" s="55"/>
      <c r="M47" s="63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pans="1:28" ht="15" x14ac:dyDescent="0.25">
      <c r="A48" s="55"/>
      <c r="B48" s="55"/>
      <c r="C48" s="55"/>
      <c r="D48" s="55"/>
      <c r="E48" s="55"/>
      <c r="F48" s="186"/>
      <c r="G48" s="55"/>
      <c r="H48" s="55"/>
      <c r="I48" s="55"/>
      <c r="J48" s="65"/>
      <c r="K48" s="55"/>
      <c r="L48" s="55"/>
      <c r="M48" s="63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pans="1:28" ht="15" x14ac:dyDescent="0.25">
      <c r="A49" s="55"/>
      <c r="B49" s="55"/>
      <c r="C49" s="55"/>
      <c r="D49" s="55"/>
      <c r="E49" s="55"/>
      <c r="F49" s="186"/>
      <c r="G49" s="55"/>
      <c r="H49" s="55"/>
      <c r="I49" s="55"/>
      <c r="J49" s="65"/>
      <c r="K49" s="55"/>
      <c r="L49" s="55"/>
      <c r="M49" s="63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pans="1:28" ht="15" x14ac:dyDescent="0.25">
      <c r="A50" s="55"/>
      <c r="B50" s="55"/>
      <c r="C50" s="55"/>
      <c r="D50" s="55"/>
      <c r="E50" s="55"/>
      <c r="F50" s="186"/>
      <c r="G50" s="55"/>
      <c r="H50" s="55"/>
      <c r="I50" s="55"/>
      <c r="J50" s="65"/>
      <c r="K50" s="55"/>
      <c r="L50" s="55"/>
      <c r="M50" s="63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pans="1:28" ht="15" x14ac:dyDescent="0.25">
      <c r="A51" s="55"/>
      <c r="B51" s="55"/>
      <c r="C51" s="55"/>
      <c r="D51" s="55"/>
      <c r="E51" s="55"/>
      <c r="F51" s="186"/>
      <c r="G51" s="55"/>
      <c r="H51" s="55"/>
      <c r="I51" s="55"/>
      <c r="J51" s="65"/>
      <c r="K51" s="55"/>
      <c r="L51" s="55"/>
      <c r="M51" s="63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pans="1:28" ht="15" x14ac:dyDescent="0.25">
      <c r="A52" s="55"/>
      <c r="B52" s="55"/>
      <c r="C52" s="55"/>
      <c r="D52" s="55"/>
      <c r="E52" s="55"/>
      <c r="F52" s="186"/>
      <c r="G52" s="55"/>
      <c r="H52" s="55"/>
      <c r="I52" s="55"/>
      <c r="J52" s="65"/>
      <c r="K52" s="55"/>
      <c r="L52" s="55"/>
      <c r="M52" s="63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pans="1:28" ht="15" x14ac:dyDescent="0.25">
      <c r="A53" s="55"/>
      <c r="B53" s="55"/>
      <c r="C53" s="55"/>
      <c r="D53" s="55"/>
      <c r="E53" s="55"/>
      <c r="F53" s="186"/>
      <c r="G53" s="55"/>
      <c r="H53" s="55"/>
      <c r="I53" s="55"/>
      <c r="J53" s="65"/>
      <c r="K53" s="55"/>
      <c r="L53" s="55"/>
      <c r="M53" s="63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pans="1:28" ht="15" x14ac:dyDescent="0.25">
      <c r="A54" s="55"/>
      <c r="B54" s="55"/>
      <c r="C54" s="55"/>
      <c r="D54" s="55"/>
      <c r="E54" s="55"/>
      <c r="F54" s="186"/>
      <c r="G54" s="55"/>
      <c r="H54" s="55"/>
      <c r="I54" s="55"/>
      <c r="J54" s="65"/>
      <c r="K54" s="55"/>
      <c r="L54" s="55"/>
      <c r="M54" s="63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pans="1:28" ht="15" x14ac:dyDescent="0.25">
      <c r="A55" s="55"/>
      <c r="B55" s="55"/>
      <c r="C55" s="55"/>
      <c r="D55" s="55"/>
      <c r="E55" s="55"/>
      <c r="F55" s="186"/>
      <c r="G55" s="55"/>
      <c r="H55" s="55"/>
      <c r="I55" s="55"/>
      <c r="J55" s="65"/>
      <c r="K55" s="55"/>
      <c r="L55" s="55"/>
      <c r="M55" s="63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pans="1:28" ht="15" x14ac:dyDescent="0.25">
      <c r="A56" s="55"/>
      <c r="B56" s="55"/>
      <c r="C56" s="55"/>
      <c r="D56" s="55"/>
      <c r="E56" s="55"/>
      <c r="F56" s="186"/>
      <c r="G56" s="55"/>
      <c r="H56" s="55"/>
      <c r="I56" s="55"/>
      <c r="J56" s="65"/>
      <c r="K56" s="55"/>
      <c r="L56" s="55"/>
      <c r="M56" s="63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pans="1:28" ht="15" x14ac:dyDescent="0.25">
      <c r="A57" s="55"/>
      <c r="B57" s="55"/>
      <c r="C57" s="55"/>
      <c r="D57" s="55"/>
      <c r="E57" s="55"/>
      <c r="F57" s="186"/>
      <c r="G57" s="55"/>
      <c r="H57" s="55"/>
      <c r="I57" s="55"/>
      <c r="J57" s="65"/>
      <c r="K57" s="55"/>
      <c r="L57" s="55"/>
      <c r="M57" s="63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pans="1:28" ht="15" x14ac:dyDescent="0.25">
      <c r="A58" s="55"/>
      <c r="B58" s="55"/>
      <c r="C58" s="55"/>
      <c r="D58" s="55"/>
      <c r="E58" s="55"/>
      <c r="F58" s="186"/>
      <c r="G58" s="55"/>
      <c r="H58" s="55"/>
      <c r="I58" s="55"/>
      <c r="J58" s="65"/>
      <c r="K58" s="55"/>
      <c r="L58" s="55"/>
      <c r="M58" s="63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pans="1:28" ht="15" x14ac:dyDescent="0.25">
      <c r="A59" s="55"/>
      <c r="B59" s="55"/>
      <c r="C59" s="55"/>
      <c r="D59" s="55"/>
      <c r="E59" s="55"/>
      <c r="F59" s="186"/>
      <c r="G59" s="55"/>
      <c r="H59" s="55"/>
      <c r="I59" s="55"/>
      <c r="J59" s="65"/>
      <c r="K59" s="55"/>
      <c r="L59" s="55"/>
      <c r="M59" s="63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pans="1:28" ht="15" x14ac:dyDescent="0.25">
      <c r="A60" s="55"/>
      <c r="B60" s="55"/>
      <c r="C60" s="55"/>
      <c r="D60" s="55"/>
      <c r="E60" s="55"/>
      <c r="F60" s="186"/>
      <c r="G60" s="55"/>
      <c r="H60" s="55"/>
      <c r="I60" s="55"/>
      <c r="J60" s="65"/>
      <c r="K60" s="55"/>
      <c r="L60" s="55"/>
      <c r="M60" s="63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pans="1:28" ht="15" x14ac:dyDescent="0.25">
      <c r="A61" s="55"/>
      <c r="B61" s="55"/>
      <c r="C61" s="55"/>
      <c r="D61" s="55"/>
      <c r="E61" s="55"/>
      <c r="F61" s="186"/>
      <c r="G61" s="55"/>
      <c r="H61" s="55"/>
      <c r="I61" s="55"/>
      <c r="J61" s="65"/>
      <c r="K61" s="55"/>
      <c r="L61" s="55"/>
      <c r="M61" s="63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pans="1:28" ht="15" x14ac:dyDescent="0.25">
      <c r="A62" s="55"/>
      <c r="B62" s="55"/>
      <c r="C62" s="55"/>
      <c r="D62" s="55"/>
      <c r="E62" s="55"/>
      <c r="F62" s="186"/>
      <c r="G62" s="55"/>
      <c r="H62" s="55"/>
      <c r="I62" s="55"/>
      <c r="J62" s="65"/>
      <c r="K62" s="55"/>
      <c r="L62" s="55"/>
      <c r="M62" s="63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pans="1:28" ht="15" x14ac:dyDescent="0.25">
      <c r="A63" s="55"/>
      <c r="B63" s="55"/>
      <c r="C63" s="55"/>
      <c r="D63" s="55"/>
      <c r="E63" s="55"/>
      <c r="F63" s="186"/>
      <c r="G63" s="55"/>
      <c r="H63" s="55"/>
      <c r="I63" s="55"/>
      <c r="J63" s="65"/>
      <c r="K63" s="55"/>
      <c r="L63" s="55"/>
      <c r="M63" s="63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pans="1:28" ht="15" x14ac:dyDescent="0.25">
      <c r="A64" s="55"/>
      <c r="B64" s="55"/>
      <c r="C64" s="55"/>
      <c r="D64" s="55"/>
      <c r="E64" s="55"/>
      <c r="F64" s="186"/>
      <c r="G64" s="55"/>
      <c r="H64" s="55"/>
      <c r="I64" s="55"/>
      <c r="J64" s="65"/>
      <c r="K64" s="55"/>
      <c r="L64" s="55"/>
      <c r="M64" s="63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pans="1:28" ht="15" x14ac:dyDescent="0.25">
      <c r="A65" s="55"/>
      <c r="B65" s="55"/>
      <c r="C65" s="55"/>
      <c r="D65" s="55"/>
      <c r="E65" s="55"/>
      <c r="F65" s="186"/>
      <c r="G65" s="55"/>
      <c r="H65" s="55"/>
      <c r="I65" s="55"/>
      <c r="J65" s="65"/>
      <c r="K65" s="55"/>
      <c r="L65" s="55"/>
      <c r="M65" s="63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pans="1:28" ht="15" x14ac:dyDescent="0.25">
      <c r="A66" s="55"/>
      <c r="B66" s="55"/>
      <c r="C66" s="55"/>
      <c r="D66" s="55"/>
      <c r="E66" s="55"/>
      <c r="F66" s="186"/>
      <c r="G66" s="55"/>
      <c r="H66" s="55"/>
      <c r="I66" s="55"/>
      <c r="J66" s="65"/>
      <c r="K66" s="55"/>
      <c r="L66" s="55"/>
      <c r="M66" s="63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pans="1:28" ht="15" x14ac:dyDescent="0.25">
      <c r="A67" s="55"/>
      <c r="B67" s="55"/>
      <c r="C67" s="55"/>
      <c r="D67" s="55"/>
      <c r="E67" s="55"/>
      <c r="F67" s="186"/>
      <c r="G67" s="55"/>
      <c r="H67" s="55"/>
      <c r="I67" s="55"/>
      <c r="J67" s="65"/>
      <c r="K67" s="55"/>
      <c r="L67" s="55"/>
      <c r="M67" s="63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pans="1:28" ht="15" x14ac:dyDescent="0.25">
      <c r="A68" s="55"/>
      <c r="B68" s="55"/>
      <c r="C68" s="55"/>
      <c r="D68" s="55"/>
      <c r="E68" s="55"/>
      <c r="F68" s="186"/>
      <c r="G68" s="55"/>
      <c r="H68" s="55"/>
      <c r="I68" s="55"/>
      <c r="J68" s="65"/>
      <c r="K68" s="55"/>
      <c r="L68" s="55"/>
      <c r="M68" s="63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pans="1:28" ht="15" x14ac:dyDescent="0.25">
      <c r="A69" s="55"/>
      <c r="B69" s="55"/>
      <c r="C69" s="55"/>
      <c r="D69" s="55"/>
      <c r="E69" s="55"/>
      <c r="F69" s="186"/>
      <c r="G69" s="55"/>
      <c r="H69" s="55"/>
      <c r="I69" s="55"/>
      <c r="J69" s="65"/>
      <c r="K69" s="55"/>
      <c r="L69" s="55"/>
      <c r="M69" s="63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pans="1:28" ht="15" x14ac:dyDescent="0.25">
      <c r="A70" s="55"/>
      <c r="B70" s="55"/>
      <c r="C70" s="55"/>
      <c r="D70" s="55"/>
      <c r="E70" s="55"/>
      <c r="F70" s="186"/>
      <c r="G70" s="55"/>
      <c r="H70" s="55"/>
      <c r="I70" s="55"/>
      <c r="J70" s="65"/>
      <c r="K70" s="55"/>
      <c r="L70" s="55"/>
      <c r="M70" s="63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pans="1:28" ht="15" x14ac:dyDescent="0.25">
      <c r="A71" s="55"/>
      <c r="B71" s="55"/>
      <c r="C71" s="55"/>
      <c r="D71" s="55"/>
      <c r="E71" s="55"/>
      <c r="F71" s="186"/>
      <c r="G71" s="55"/>
      <c r="H71" s="55"/>
      <c r="I71" s="55"/>
      <c r="J71" s="65"/>
      <c r="K71" s="55"/>
      <c r="L71" s="55"/>
      <c r="M71" s="63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pans="1:28" ht="15" x14ac:dyDescent="0.25">
      <c r="A72" s="55"/>
      <c r="B72" s="55"/>
      <c r="C72" s="55"/>
      <c r="D72" s="55"/>
      <c r="E72" s="55"/>
      <c r="F72" s="186"/>
      <c r="G72" s="55"/>
      <c r="H72" s="55"/>
      <c r="I72" s="55"/>
      <c r="J72" s="65"/>
      <c r="K72" s="55"/>
      <c r="L72" s="55"/>
      <c r="M72" s="63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pans="1:28" ht="15" x14ac:dyDescent="0.25">
      <c r="A73" s="55"/>
      <c r="B73" s="55"/>
      <c r="C73" s="55"/>
      <c r="D73" s="55"/>
      <c r="E73" s="55"/>
      <c r="F73" s="186"/>
      <c r="G73" s="55"/>
      <c r="H73" s="55"/>
      <c r="I73" s="55"/>
      <c r="J73" s="65"/>
      <c r="K73" s="55"/>
      <c r="L73" s="55"/>
      <c r="M73" s="63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pans="1:28" ht="15" x14ac:dyDescent="0.25">
      <c r="A74" s="55"/>
      <c r="B74" s="55"/>
      <c r="C74" s="55"/>
      <c r="D74" s="55"/>
      <c r="E74" s="55"/>
      <c r="F74" s="186"/>
      <c r="G74" s="55"/>
      <c r="H74" s="55"/>
      <c r="I74" s="55"/>
      <c r="J74" s="65"/>
      <c r="K74" s="55"/>
      <c r="L74" s="55"/>
      <c r="M74" s="63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pans="1:28" ht="15" x14ac:dyDescent="0.25">
      <c r="A75" s="55"/>
      <c r="B75" s="55"/>
      <c r="C75" s="55"/>
      <c r="D75" s="55"/>
      <c r="E75" s="55"/>
      <c r="F75" s="186"/>
      <c r="G75" s="55"/>
      <c r="H75" s="55"/>
      <c r="I75" s="55"/>
      <c r="J75" s="65"/>
      <c r="K75" s="55"/>
      <c r="L75" s="55"/>
      <c r="M75" s="63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pans="1:28" ht="15" x14ac:dyDescent="0.25">
      <c r="A76" s="55"/>
      <c r="B76" s="55"/>
      <c r="C76" s="55"/>
      <c r="D76" s="55"/>
      <c r="E76" s="55"/>
      <c r="F76" s="186"/>
      <c r="G76" s="55"/>
      <c r="H76" s="55"/>
      <c r="I76" s="55"/>
      <c r="J76" s="65"/>
      <c r="K76" s="55"/>
      <c r="L76" s="55"/>
      <c r="M76" s="63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pans="1:28" ht="15" x14ac:dyDescent="0.25">
      <c r="A77" s="55"/>
      <c r="B77" s="55"/>
      <c r="C77" s="55"/>
      <c r="D77" s="55"/>
      <c r="E77" s="55"/>
      <c r="F77" s="186"/>
      <c r="G77" s="55"/>
      <c r="H77" s="55"/>
      <c r="I77" s="55"/>
      <c r="J77" s="65"/>
      <c r="K77" s="55"/>
      <c r="L77" s="55"/>
      <c r="M77" s="63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pans="1:28" ht="15" x14ac:dyDescent="0.25">
      <c r="A78" s="55"/>
      <c r="B78" s="55"/>
      <c r="C78" s="55"/>
      <c r="D78" s="55"/>
      <c r="E78" s="55"/>
      <c r="F78" s="186"/>
      <c r="G78" s="55"/>
      <c r="H78" s="55"/>
      <c r="I78" s="55"/>
      <c r="J78" s="65"/>
      <c r="K78" s="55"/>
      <c r="L78" s="55"/>
      <c r="M78" s="63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pans="1:28" ht="15" x14ac:dyDescent="0.25">
      <c r="A79" s="55"/>
      <c r="B79" s="55"/>
      <c r="C79" s="55"/>
      <c r="D79" s="55"/>
      <c r="E79" s="55"/>
      <c r="F79" s="186"/>
      <c r="G79" s="55"/>
      <c r="H79" s="55"/>
      <c r="I79" s="55"/>
      <c r="J79" s="65"/>
      <c r="K79" s="55"/>
      <c r="L79" s="55"/>
      <c r="M79" s="63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pans="1:28" ht="15" x14ac:dyDescent="0.25">
      <c r="A80" s="55"/>
      <c r="B80" s="55"/>
      <c r="C80" s="55"/>
      <c r="D80" s="55"/>
      <c r="E80" s="55"/>
      <c r="F80" s="186"/>
      <c r="G80" s="55"/>
      <c r="H80" s="55"/>
      <c r="I80" s="55"/>
      <c r="J80" s="65"/>
      <c r="K80" s="55"/>
      <c r="L80" s="55"/>
      <c r="M80" s="63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pans="1:28" ht="15" x14ac:dyDescent="0.25">
      <c r="A81" s="55"/>
      <c r="B81" s="55"/>
      <c r="C81" s="55"/>
      <c r="D81" s="55"/>
      <c r="E81" s="55"/>
      <c r="F81" s="186"/>
      <c r="G81" s="55"/>
      <c r="H81" s="55"/>
      <c r="I81" s="55"/>
      <c r="J81" s="65"/>
      <c r="K81" s="55"/>
      <c r="L81" s="55"/>
      <c r="M81" s="63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pans="1:28" ht="15" x14ac:dyDescent="0.25">
      <c r="A82" s="55"/>
      <c r="B82" s="55"/>
      <c r="C82" s="55"/>
      <c r="D82" s="55"/>
      <c r="E82" s="55"/>
      <c r="F82" s="186"/>
      <c r="G82" s="55"/>
      <c r="H82" s="55"/>
      <c r="I82" s="55"/>
      <c r="J82" s="65"/>
      <c r="K82" s="55"/>
      <c r="L82" s="55"/>
      <c r="M82" s="63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pans="1:28" ht="15" x14ac:dyDescent="0.25">
      <c r="A83" s="55"/>
      <c r="B83" s="55"/>
      <c r="C83" s="55"/>
      <c r="D83" s="55"/>
      <c r="E83" s="55"/>
      <c r="F83" s="186"/>
      <c r="G83" s="55"/>
      <c r="H83" s="55"/>
      <c r="I83" s="55"/>
      <c r="J83" s="65"/>
      <c r="K83" s="55"/>
      <c r="L83" s="55"/>
      <c r="M83" s="63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pans="1:28" ht="15" x14ac:dyDescent="0.25">
      <c r="A84" s="55"/>
      <c r="B84" s="55"/>
      <c r="C84" s="55"/>
      <c r="D84" s="55"/>
      <c r="E84" s="55"/>
      <c r="F84" s="186"/>
      <c r="G84" s="55"/>
      <c r="H84" s="55"/>
      <c r="I84" s="55"/>
      <c r="J84" s="65"/>
      <c r="K84" s="55"/>
      <c r="L84" s="55"/>
      <c r="M84" s="63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pans="1:28" ht="15" x14ac:dyDescent="0.25">
      <c r="A85" s="55"/>
      <c r="B85" s="55"/>
      <c r="C85" s="55"/>
      <c r="D85" s="55"/>
      <c r="E85" s="55"/>
      <c r="F85" s="186"/>
      <c r="G85" s="55"/>
      <c r="H85" s="55"/>
      <c r="I85" s="55"/>
      <c r="J85" s="65"/>
      <c r="K85" s="55"/>
      <c r="L85" s="55"/>
      <c r="M85" s="63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pans="1:28" ht="15" x14ac:dyDescent="0.25">
      <c r="A86" s="55"/>
      <c r="B86" s="55"/>
      <c r="C86" s="55"/>
      <c r="D86" s="55"/>
      <c r="E86" s="55"/>
      <c r="F86" s="186"/>
      <c r="G86" s="55"/>
      <c r="H86" s="55"/>
      <c r="I86" s="55"/>
      <c r="J86" s="65"/>
      <c r="K86" s="55"/>
      <c r="L86" s="55"/>
      <c r="M86" s="63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spans="1:28" ht="15" x14ac:dyDescent="0.25">
      <c r="A87" s="55"/>
      <c r="B87" s="55"/>
      <c r="C87" s="55"/>
      <c r="D87" s="55"/>
      <c r="E87" s="55"/>
      <c r="F87" s="186"/>
      <c r="G87" s="55"/>
      <c r="H87" s="55"/>
      <c r="I87" s="55"/>
      <c r="J87" s="65"/>
      <c r="K87" s="55"/>
      <c r="L87" s="55"/>
      <c r="M87" s="63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 spans="1:28" ht="15" x14ac:dyDescent="0.25">
      <c r="A88" s="55"/>
      <c r="B88" s="55"/>
      <c r="C88" s="55"/>
      <c r="D88" s="55"/>
      <c r="E88" s="55"/>
      <c r="F88" s="186"/>
      <c r="G88" s="55"/>
      <c r="H88" s="55"/>
      <c r="I88" s="55"/>
      <c r="J88" s="65"/>
      <c r="K88" s="55"/>
      <c r="L88" s="55"/>
      <c r="M88" s="63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 spans="1:28" ht="15" x14ac:dyDescent="0.25">
      <c r="A89" s="55"/>
      <c r="B89" s="55"/>
      <c r="C89" s="55"/>
      <c r="D89" s="55"/>
      <c r="E89" s="55"/>
      <c r="F89" s="186"/>
      <c r="G89" s="55"/>
      <c r="H89" s="55"/>
      <c r="I89" s="55"/>
      <c r="J89" s="65"/>
      <c r="K89" s="55"/>
      <c r="L89" s="55"/>
      <c r="M89" s="63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 spans="1:28" ht="15" x14ac:dyDescent="0.25">
      <c r="A90" s="55"/>
      <c r="B90" s="55"/>
      <c r="C90" s="55"/>
      <c r="D90" s="55"/>
      <c r="E90" s="55"/>
      <c r="F90" s="186"/>
      <c r="G90" s="55"/>
      <c r="H90" s="55"/>
      <c r="I90" s="55"/>
      <c r="J90" s="65"/>
      <c r="K90" s="55"/>
      <c r="L90" s="55"/>
      <c r="M90" s="63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 spans="1:28" ht="15" x14ac:dyDescent="0.25">
      <c r="A91" s="55"/>
      <c r="B91" s="55"/>
      <c r="C91" s="55"/>
      <c r="D91" s="55"/>
      <c r="E91" s="55"/>
      <c r="F91" s="186"/>
      <c r="G91" s="55"/>
      <c r="H91" s="55"/>
      <c r="I91" s="55"/>
      <c r="J91" s="65"/>
      <c r="K91" s="55"/>
      <c r="L91" s="55"/>
      <c r="M91" s="63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 spans="1:28" ht="15" x14ac:dyDescent="0.25">
      <c r="A92" s="55"/>
      <c r="B92" s="55"/>
      <c r="C92" s="55"/>
      <c r="D92" s="55"/>
      <c r="E92" s="55"/>
      <c r="F92" s="186"/>
      <c r="G92" s="55"/>
      <c r="H92" s="55"/>
      <c r="I92" s="55"/>
      <c r="J92" s="65"/>
      <c r="K92" s="55"/>
      <c r="L92" s="55"/>
      <c r="M92" s="63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 spans="1:28" ht="15" x14ac:dyDescent="0.25">
      <c r="A93" s="55"/>
      <c r="B93" s="55"/>
      <c r="C93" s="55"/>
      <c r="D93" s="55"/>
      <c r="E93" s="55"/>
      <c r="F93" s="186"/>
      <c r="G93" s="55"/>
      <c r="H93" s="55"/>
      <c r="I93" s="55"/>
      <c r="J93" s="65"/>
      <c r="K93" s="55"/>
      <c r="L93" s="55"/>
      <c r="M93" s="63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 spans="1:28" ht="15" x14ac:dyDescent="0.25">
      <c r="A94" s="55"/>
      <c r="B94" s="55"/>
      <c r="C94" s="55"/>
      <c r="D94" s="55"/>
      <c r="E94" s="55"/>
      <c r="F94" s="186"/>
      <c r="G94" s="55"/>
      <c r="H94" s="55"/>
      <c r="I94" s="55"/>
      <c r="J94" s="65"/>
      <c r="K94" s="55"/>
      <c r="L94" s="55"/>
      <c r="M94" s="63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</row>
    <row r="95" spans="1:28" ht="15" x14ac:dyDescent="0.25">
      <c r="A95" s="55"/>
      <c r="B95" s="55"/>
      <c r="C95" s="55"/>
      <c r="D95" s="55"/>
      <c r="E95" s="55"/>
      <c r="F95" s="186"/>
      <c r="G95" s="55"/>
      <c r="H95" s="55"/>
      <c r="I95" s="55"/>
      <c r="J95" s="65"/>
      <c r="K95" s="55"/>
      <c r="L95" s="55"/>
      <c r="M95" s="63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</row>
    <row r="96" spans="1:28" ht="15" x14ac:dyDescent="0.25">
      <c r="A96" s="55"/>
      <c r="B96" s="55"/>
      <c r="C96" s="55"/>
      <c r="D96" s="55"/>
      <c r="E96" s="55"/>
      <c r="F96" s="186"/>
      <c r="G96" s="55"/>
      <c r="H96" s="55"/>
      <c r="I96" s="55"/>
      <c r="J96" s="65"/>
      <c r="K96" s="55"/>
      <c r="L96" s="55"/>
      <c r="M96" s="63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</row>
    <row r="97" spans="1:28" ht="15" x14ac:dyDescent="0.25">
      <c r="A97" s="55"/>
      <c r="B97" s="55"/>
      <c r="C97" s="55"/>
      <c r="D97" s="55"/>
      <c r="E97" s="55"/>
      <c r="F97" s="186"/>
      <c r="G97" s="55"/>
      <c r="H97" s="55"/>
      <c r="I97" s="55"/>
      <c r="J97" s="65"/>
      <c r="K97" s="55"/>
      <c r="L97" s="55"/>
      <c r="M97" s="63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</row>
    <row r="98" spans="1:28" ht="15" x14ac:dyDescent="0.25">
      <c r="A98" s="55"/>
      <c r="B98" s="55"/>
      <c r="C98" s="55"/>
      <c r="D98" s="55"/>
      <c r="E98" s="55"/>
      <c r="F98" s="186"/>
      <c r="G98" s="55"/>
      <c r="H98" s="55"/>
      <c r="I98" s="55"/>
      <c r="J98" s="65"/>
      <c r="K98" s="55"/>
      <c r="L98" s="55"/>
      <c r="M98" s="63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</row>
    <row r="99" spans="1:28" ht="15" x14ac:dyDescent="0.25">
      <c r="A99" s="55"/>
      <c r="B99" s="55"/>
      <c r="C99" s="55"/>
      <c r="D99" s="55"/>
      <c r="E99" s="55"/>
      <c r="F99" s="186"/>
      <c r="G99" s="55"/>
      <c r="H99" s="55"/>
      <c r="I99" s="55"/>
      <c r="J99" s="65"/>
      <c r="K99" s="55"/>
      <c r="L99" s="55"/>
      <c r="M99" s="63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</row>
    <row r="100" spans="1:28" ht="15" x14ac:dyDescent="0.25">
      <c r="A100" s="55"/>
      <c r="B100" s="55"/>
      <c r="C100" s="55"/>
      <c r="D100" s="55"/>
      <c r="E100" s="55"/>
      <c r="F100" s="186"/>
      <c r="G100" s="55"/>
      <c r="H100" s="55"/>
      <c r="I100" s="55"/>
      <c r="J100" s="65"/>
      <c r="K100" s="55"/>
      <c r="L100" s="55"/>
      <c r="M100" s="63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</row>
    <row r="101" spans="1:28" ht="15" x14ac:dyDescent="0.25">
      <c r="A101" s="55"/>
      <c r="B101" s="55"/>
      <c r="C101" s="55"/>
      <c r="D101" s="55"/>
      <c r="E101" s="55"/>
      <c r="F101" s="186"/>
      <c r="G101" s="55"/>
      <c r="H101" s="55"/>
      <c r="I101" s="55"/>
      <c r="J101" s="65"/>
      <c r="K101" s="55"/>
      <c r="L101" s="55"/>
      <c r="M101" s="63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</row>
    <row r="102" spans="1:28" ht="15" x14ac:dyDescent="0.25">
      <c r="A102" s="55"/>
      <c r="B102" s="55"/>
      <c r="C102" s="55"/>
      <c r="D102" s="55"/>
      <c r="E102" s="55"/>
      <c r="F102" s="186"/>
      <c r="G102" s="55"/>
      <c r="H102" s="55"/>
      <c r="I102" s="55"/>
      <c r="J102" s="65"/>
      <c r="K102" s="55"/>
      <c r="L102" s="55"/>
      <c r="M102" s="63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</row>
    <row r="103" spans="1:28" ht="15" x14ac:dyDescent="0.25">
      <c r="A103" s="55"/>
      <c r="B103" s="55"/>
      <c r="C103" s="55"/>
      <c r="D103" s="55"/>
      <c r="E103" s="55"/>
      <c r="F103" s="186"/>
      <c r="G103" s="55"/>
      <c r="H103" s="55"/>
      <c r="I103" s="55"/>
      <c r="J103" s="65"/>
      <c r="K103" s="55"/>
      <c r="L103" s="55"/>
      <c r="M103" s="63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</row>
    <row r="104" spans="1:28" ht="15" x14ac:dyDescent="0.25">
      <c r="A104" s="55"/>
      <c r="B104" s="55"/>
      <c r="C104" s="55"/>
      <c r="D104" s="55"/>
      <c r="E104" s="55"/>
      <c r="F104" s="186"/>
      <c r="G104" s="55"/>
      <c r="H104" s="55"/>
      <c r="I104" s="55"/>
      <c r="J104" s="65"/>
      <c r="K104" s="55"/>
      <c r="L104" s="55"/>
      <c r="M104" s="63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</row>
    <row r="105" spans="1:28" ht="15" x14ac:dyDescent="0.25">
      <c r="A105" s="55"/>
      <c r="B105" s="55"/>
      <c r="C105" s="55"/>
      <c r="D105" s="55"/>
      <c r="E105" s="55"/>
      <c r="F105" s="186"/>
      <c r="G105" s="55"/>
      <c r="H105" s="55"/>
      <c r="I105" s="55"/>
      <c r="J105" s="65"/>
      <c r="K105" s="55"/>
      <c r="L105" s="55"/>
      <c r="M105" s="63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</row>
    <row r="106" spans="1:28" ht="15" x14ac:dyDescent="0.25">
      <c r="A106" s="55"/>
      <c r="B106" s="55"/>
      <c r="C106" s="55"/>
      <c r="D106" s="55"/>
      <c r="E106" s="55"/>
      <c r="F106" s="186"/>
      <c r="G106" s="55"/>
      <c r="H106" s="55"/>
      <c r="I106" s="55"/>
      <c r="J106" s="65"/>
      <c r="K106" s="55"/>
      <c r="L106" s="55"/>
      <c r="M106" s="63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</row>
    <row r="107" spans="1:28" ht="15" x14ac:dyDescent="0.25">
      <c r="A107" s="55"/>
      <c r="B107" s="55"/>
      <c r="C107" s="55"/>
      <c r="D107" s="55"/>
      <c r="E107" s="55"/>
      <c r="F107" s="186"/>
      <c r="G107" s="55"/>
      <c r="H107" s="55"/>
      <c r="I107" s="55"/>
      <c r="J107" s="65"/>
      <c r="K107" s="55"/>
      <c r="L107" s="55"/>
      <c r="M107" s="63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</row>
    <row r="108" spans="1:28" ht="15" x14ac:dyDescent="0.25">
      <c r="A108" s="55"/>
      <c r="B108" s="55"/>
      <c r="C108" s="55"/>
      <c r="D108" s="55"/>
      <c r="E108" s="55"/>
      <c r="F108" s="186"/>
      <c r="G108" s="55"/>
      <c r="H108" s="55"/>
      <c r="I108" s="55"/>
      <c r="J108" s="65"/>
      <c r="K108" s="55"/>
      <c r="L108" s="55"/>
      <c r="M108" s="63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</row>
    <row r="109" spans="1:28" ht="15" x14ac:dyDescent="0.25">
      <c r="A109" s="55"/>
      <c r="B109" s="55"/>
      <c r="C109" s="55"/>
      <c r="D109" s="55"/>
      <c r="E109" s="55"/>
      <c r="F109" s="186"/>
      <c r="G109" s="55"/>
      <c r="H109" s="55"/>
      <c r="I109" s="55"/>
      <c r="J109" s="65"/>
      <c r="K109" s="55"/>
      <c r="L109" s="55"/>
      <c r="M109" s="63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</row>
    <row r="110" spans="1:28" ht="15" x14ac:dyDescent="0.25">
      <c r="A110" s="55"/>
      <c r="B110" s="55"/>
      <c r="C110" s="55"/>
      <c r="D110" s="55"/>
      <c r="E110" s="55"/>
      <c r="F110" s="186"/>
      <c r="G110" s="55"/>
      <c r="H110" s="55"/>
      <c r="I110" s="55"/>
      <c r="J110" s="65"/>
      <c r="K110" s="55"/>
      <c r="L110" s="55"/>
      <c r="M110" s="63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</row>
    <row r="111" spans="1:28" ht="15" x14ac:dyDescent="0.25">
      <c r="A111" s="55"/>
      <c r="B111" s="55"/>
      <c r="C111" s="55"/>
      <c r="D111" s="55"/>
      <c r="E111" s="55"/>
      <c r="F111" s="186"/>
      <c r="G111" s="55"/>
      <c r="H111" s="55"/>
      <c r="I111" s="55"/>
      <c r="J111" s="65"/>
      <c r="K111" s="55"/>
      <c r="L111" s="55"/>
      <c r="M111" s="63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</row>
    <row r="112" spans="1:28" ht="15" x14ac:dyDescent="0.25">
      <c r="A112" s="55"/>
      <c r="B112" s="55"/>
      <c r="C112" s="55"/>
      <c r="D112" s="55"/>
      <c r="E112" s="55"/>
      <c r="F112" s="186"/>
      <c r="G112" s="55"/>
      <c r="H112" s="55"/>
      <c r="I112" s="55"/>
      <c r="J112" s="65"/>
      <c r="K112" s="55"/>
      <c r="L112" s="55"/>
      <c r="M112" s="63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</row>
    <row r="113" spans="1:28" ht="15" x14ac:dyDescent="0.25">
      <c r="A113" s="55"/>
      <c r="B113" s="55"/>
      <c r="C113" s="55"/>
      <c r="D113" s="55"/>
      <c r="E113" s="55"/>
      <c r="F113" s="186"/>
      <c r="G113" s="55"/>
      <c r="H113" s="55"/>
      <c r="I113" s="55"/>
      <c r="J113" s="65"/>
      <c r="K113" s="55"/>
      <c r="L113" s="55"/>
      <c r="M113" s="63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</row>
    <row r="114" spans="1:28" ht="15" x14ac:dyDescent="0.25">
      <c r="A114" s="55"/>
      <c r="B114" s="55"/>
      <c r="C114" s="55"/>
      <c r="D114" s="55"/>
      <c r="E114" s="55"/>
      <c r="F114" s="186"/>
      <c r="G114" s="55"/>
      <c r="H114" s="55"/>
      <c r="I114" s="55"/>
      <c r="J114" s="65"/>
      <c r="K114" s="55"/>
      <c r="L114" s="55"/>
      <c r="M114" s="63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</row>
    <row r="115" spans="1:28" ht="15" x14ac:dyDescent="0.25">
      <c r="A115" s="55"/>
      <c r="B115" s="55"/>
      <c r="C115" s="55"/>
      <c r="D115" s="55"/>
      <c r="E115" s="55"/>
      <c r="F115" s="186"/>
      <c r="G115" s="55"/>
      <c r="H115" s="55"/>
      <c r="I115" s="55"/>
      <c r="J115" s="65"/>
      <c r="K115" s="55"/>
      <c r="L115" s="55"/>
      <c r="M115" s="63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</row>
    <row r="116" spans="1:28" ht="15" x14ac:dyDescent="0.25">
      <c r="A116" s="55"/>
      <c r="B116" s="55"/>
      <c r="C116" s="55"/>
      <c r="D116" s="55"/>
      <c r="E116" s="55"/>
      <c r="F116" s="186"/>
      <c r="G116" s="55"/>
      <c r="H116" s="55"/>
      <c r="I116" s="55"/>
      <c r="J116" s="65"/>
      <c r="K116" s="55"/>
      <c r="L116" s="55"/>
      <c r="M116" s="63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</row>
    <row r="117" spans="1:28" ht="15" x14ac:dyDescent="0.25">
      <c r="A117" s="55"/>
      <c r="B117" s="55"/>
      <c r="C117" s="55"/>
      <c r="D117" s="55"/>
      <c r="E117" s="55"/>
      <c r="F117" s="186"/>
      <c r="G117" s="55"/>
      <c r="H117" s="55"/>
      <c r="I117" s="55"/>
      <c r="J117" s="65"/>
      <c r="K117" s="55"/>
      <c r="L117" s="55"/>
      <c r="M117" s="63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</row>
    <row r="118" spans="1:28" ht="15" x14ac:dyDescent="0.25">
      <c r="A118" s="55"/>
      <c r="B118" s="55"/>
      <c r="C118" s="55"/>
      <c r="D118" s="55"/>
      <c r="E118" s="55"/>
      <c r="F118" s="186"/>
      <c r="G118" s="55"/>
      <c r="H118" s="55"/>
      <c r="I118" s="55"/>
      <c r="J118" s="65"/>
      <c r="K118" s="55"/>
      <c r="L118" s="55"/>
      <c r="M118" s="63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</row>
    <row r="119" spans="1:28" ht="15" x14ac:dyDescent="0.25">
      <c r="A119" s="55"/>
      <c r="B119" s="55"/>
      <c r="C119" s="55"/>
      <c r="D119" s="55"/>
      <c r="E119" s="55"/>
      <c r="F119" s="186"/>
      <c r="G119" s="55"/>
      <c r="H119" s="55"/>
      <c r="I119" s="55"/>
      <c r="J119" s="65"/>
      <c r="K119" s="55"/>
      <c r="L119" s="55"/>
      <c r="M119" s="63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</row>
    <row r="120" spans="1:28" ht="15" x14ac:dyDescent="0.25">
      <c r="A120" s="55"/>
      <c r="B120" s="55"/>
      <c r="C120" s="55"/>
      <c r="D120" s="55"/>
      <c r="E120" s="55"/>
      <c r="F120" s="186"/>
      <c r="G120" s="55"/>
      <c r="H120" s="55"/>
      <c r="I120" s="55"/>
      <c r="J120" s="65"/>
      <c r="K120" s="55"/>
      <c r="L120" s="55"/>
      <c r="M120" s="63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</row>
    <row r="121" spans="1:28" ht="15" x14ac:dyDescent="0.25">
      <c r="A121" s="55"/>
      <c r="B121" s="55"/>
      <c r="C121" s="55"/>
      <c r="D121" s="55"/>
      <c r="E121" s="55"/>
      <c r="F121" s="186"/>
      <c r="G121" s="55"/>
      <c r="H121" s="55"/>
      <c r="I121" s="55"/>
      <c r="J121" s="65"/>
      <c r="K121" s="55"/>
      <c r="L121" s="55"/>
      <c r="M121" s="63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</row>
    <row r="122" spans="1:28" ht="15" x14ac:dyDescent="0.25">
      <c r="A122" s="55"/>
      <c r="B122" s="55"/>
      <c r="C122" s="55"/>
      <c r="D122" s="55"/>
      <c r="E122" s="55"/>
      <c r="F122" s="186"/>
      <c r="G122" s="55"/>
      <c r="H122" s="55"/>
      <c r="I122" s="55"/>
      <c r="J122" s="65"/>
      <c r="K122" s="55"/>
      <c r="L122" s="55"/>
      <c r="M122" s="63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</row>
    <row r="123" spans="1:28" ht="15" x14ac:dyDescent="0.25">
      <c r="A123" s="55"/>
      <c r="B123" s="55"/>
      <c r="C123" s="55"/>
      <c r="D123" s="55"/>
      <c r="E123" s="55"/>
      <c r="F123" s="186"/>
      <c r="G123" s="55"/>
      <c r="H123" s="55"/>
      <c r="I123" s="55"/>
      <c r="J123" s="65"/>
      <c r="K123" s="55"/>
      <c r="L123" s="55"/>
      <c r="M123" s="63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</row>
    <row r="124" spans="1:28" ht="15" x14ac:dyDescent="0.25">
      <c r="A124" s="55"/>
      <c r="B124" s="55"/>
      <c r="C124" s="55"/>
      <c r="D124" s="55"/>
      <c r="E124" s="55"/>
      <c r="F124" s="186"/>
      <c r="G124" s="55"/>
      <c r="H124" s="55"/>
      <c r="I124" s="55"/>
      <c r="J124" s="65"/>
      <c r="K124" s="55"/>
      <c r="L124" s="55"/>
      <c r="M124" s="63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</row>
    <row r="125" spans="1:28" ht="15" x14ac:dyDescent="0.25">
      <c r="A125" s="55"/>
      <c r="B125" s="55"/>
      <c r="C125" s="55"/>
      <c r="D125" s="55"/>
      <c r="E125" s="55"/>
      <c r="F125" s="186"/>
      <c r="G125" s="55"/>
      <c r="H125" s="55"/>
      <c r="I125" s="55"/>
      <c r="J125" s="65"/>
      <c r="K125" s="55"/>
      <c r="L125" s="55"/>
      <c r="M125" s="63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</row>
    <row r="126" spans="1:28" ht="15" x14ac:dyDescent="0.25">
      <c r="A126" s="55"/>
      <c r="B126" s="55"/>
      <c r="C126" s="55"/>
      <c r="D126" s="55"/>
      <c r="E126" s="55"/>
      <c r="F126" s="186"/>
      <c r="G126" s="55"/>
      <c r="H126" s="55"/>
      <c r="I126" s="55"/>
      <c r="J126" s="65"/>
      <c r="K126" s="55"/>
      <c r="L126" s="55"/>
      <c r="M126" s="63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</row>
    <row r="127" spans="1:28" ht="15" x14ac:dyDescent="0.25">
      <c r="A127" s="55"/>
      <c r="B127" s="55"/>
      <c r="C127" s="55"/>
      <c r="D127" s="55"/>
      <c r="E127" s="55"/>
      <c r="F127" s="186"/>
      <c r="G127" s="55"/>
      <c r="H127" s="55"/>
      <c r="I127" s="55"/>
      <c r="J127" s="65"/>
      <c r="K127" s="55"/>
      <c r="L127" s="55"/>
      <c r="M127" s="63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</row>
    <row r="128" spans="1:28" ht="15" x14ac:dyDescent="0.25">
      <c r="A128" s="55"/>
      <c r="B128" s="55"/>
      <c r="C128" s="55"/>
      <c r="D128" s="55"/>
      <c r="E128" s="55"/>
      <c r="F128" s="186"/>
      <c r="G128" s="55"/>
      <c r="H128" s="55"/>
      <c r="I128" s="55"/>
      <c r="J128" s="65"/>
      <c r="K128" s="55"/>
      <c r="L128" s="55"/>
      <c r="M128" s="63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</row>
    <row r="129" spans="1:28" ht="15" x14ac:dyDescent="0.25">
      <c r="A129" s="55"/>
      <c r="B129" s="55"/>
      <c r="C129" s="55"/>
      <c r="D129" s="55"/>
      <c r="E129" s="55"/>
      <c r="F129" s="186"/>
      <c r="G129" s="55"/>
      <c r="H129" s="55"/>
      <c r="I129" s="55"/>
      <c r="J129" s="65"/>
      <c r="K129" s="55"/>
      <c r="L129" s="55"/>
      <c r="M129" s="63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</row>
    <row r="130" spans="1:28" ht="15" x14ac:dyDescent="0.25">
      <c r="A130" s="55"/>
      <c r="B130" s="55"/>
      <c r="C130" s="55"/>
      <c r="D130" s="55"/>
      <c r="E130" s="55"/>
      <c r="F130" s="186"/>
      <c r="G130" s="55"/>
      <c r="H130" s="55"/>
      <c r="I130" s="55"/>
      <c r="J130" s="65"/>
      <c r="K130" s="55"/>
      <c r="L130" s="55"/>
      <c r="M130" s="63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</row>
    <row r="131" spans="1:28" ht="15" x14ac:dyDescent="0.25">
      <c r="A131" s="55"/>
      <c r="B131" s="55"/>
      <c r="C131" s="55"/>
      <c r="D131" s="55"/>
      <c r="E131" s="55"/>
      <c r="F131" s="186"/>
      <c r="G131" s="55"/>
      <c r="H131" s="55"/>
      <c r="I131" s="55"/>
      <c r="J131" s="65"/>
      <c r="K131" s="55"/>
      <c r="L131" s="55"/>
      <c r="M131" s="63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</row>
    <row r="132" spans="1:28" ht="15" x14ac:dyDescent="0.25">
      <c r="A132" s="55"/>
      <c r="B132" s="55"/>
      <c r="C132" s="55"/>
      <c r="D132" s="55"/>
      <c r="E132" s="55"/>
      <c r="F132" s="186"/>
      <c r="G132" s="55"/>
      <c r="H132" s="55"/>
      <c r="I132" s="55"/>
      <c r="J132" s="65"/>
      <c r="K132" s="55"/>
      <c r="L132" s="55"/>
      <c r="M132" s="63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</row>
    <row r="133" spans="1:28" ht="15" x14ac:dyDescent="0.25">
      <c r="A133" s="55"/>
      <c r="B133" s="55"/>
      <c r="C133" s="55"/>
      <c r="D133" s="55"/>
      <c r="E133" s="55"/>
      <c r="F133" s="186"/>
      <c r="G133" s="55"/>
      <c r="H133" s="55"/>
      <c r="I133" s="55"/>
      <c r="J133" s="65"/>
      <c r="K133" s="55"/>
      <c r="L133" s="55"/>
      <c r="M133" s="63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</row>
    <row r="134" spans="1:28" ht="15" x14ac:dyDescent="0.25">
      <c r="A134" s="55"/>
      <c r="B134" s="55"/>
      <c r="C134" s="55"/>
      <c r="D134" s="55"/>
      <c r="E134" s="55"/>
      <c r="F134" s="186"/>
      <c r="G134" s="55"/>
      <c r="H134" s="55"/>
      <c r="I134" s="55"/>
      <c r="J134" s="65"/>
      <c r="K134" s="55"/>
      <c r="L134" s="55"/>
      <c r="M134" s="63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</row>
    <row r="135" spans="1:28" ht="15" x14ac:dyDescent="0.25">
      <c r="A135" s="55"/>
      <c r="B135" s="55"/>
      <c r="C135" s="55"/>
      <c r="D135" s="55"/>
      <c r="E135" s="55"/>
      <c r="F135" s="186"/>
      <c r="G135" s="55"/>
      <c r="H135" s="55"/>
      <c r="I135" s="55"/>
      <c r="J135" s="65"/>
      <c r="K135" s="55"/>
      <c r="L135" s="55"/>
      <c r="M135" s="63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</row>
    <row r="136" spans="1:28" ht="15" x14ac:dyDescent="0.25">
      <c r="A136" s="55"/>
      <c r="B136" s="55"/>
      <c r="C136" s="55"/>
      <c r="D136" s="55"/>
      <c r="E136" s="55"/>
      <c r="F136" s="186"/>
      <c r="G136" s="55"/>
      <c r="H136" s="55"/>
      <c r="I136" s="55"/>
      <c r="J136" s="65"/>
      <c r="K136" s="55"/>
      <c r="L136" s="55"/>
      <c r="M136" s="63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</row>
    <row r="137" spans="1:28" ht="15" x14ac:dyDescent="0.25">
      <c r="A137" s="55"/>
      <c r="B137" s="55"/>
      <c r="C137" s="55"/>
      <c r="D137" s="55"/>
      <c r="E137" s="55"/>
      <c r="F137" s="186"/>
      <c r="G137" s="55"/>
      <c r="H137" s="55"/>
      <c r="I137" s="55"/>
      <c r="J137" s="65"/>
      <c r="K137" s="55"/>
      <c r="L137" s="55"/>
      <c r="M137" s="63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</row>
    <row r="138" spans="1:28" ht="15" x14ac:dyDescent="0.25">
      <c r="A138" s="55"/>
      <c r="B138" s="55"/>
      <c r="C138" s="55"/>
      <c r="D138" s="55"/>
      <c r="E138" s="55"/>
      <c r="F138" s="186"/>
      <c r="G138" s="55"/>
      <c r="H138" s="55"/>
      <c r="I138" s="55"/>
      <c r="J138" s="65"/>
      <c r="K138" s="55"/>
      <c r="L138" s="55"/>
      <c r="M138" s="63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</row>
    <row r="139" spans="1:28" ht="15" x14ac:dyDescent="0.25">
      <c r="A139" s="55"/>
      <c r="B139" s="55"/>
      <c r="C139" s="55"/>
      <c r="D139" s="55"/>
      <c r="E139" s="55"/>
      <c r="F139" s="186"/>
      <c r="G139" s="55"/>
      <c r="H139" s="55"/>
      <c r="I139" s="55"/>
      <c r="J139" s="65"/>
      <c r="K139" s="55"/>
      <c r="L139" s="55"/>
      <c r="M139" s="63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</row>
    <row r="140" spans="1:28" ht="15" x14ac:dyDescent="0.25">
      <c r="A140" s="55"/>
      <c r="B140" s="55"/>
      <c r="C140" s="55"/>
      <c r="D140" s="55"/>
      <c r="E140" s="55"/>
      <c r="F140" s="186"/>
      <c r="G140" s="55"/>
      <c r="H140" s="55"/>
      <c r="I140" s="55"/>
      <c r="J140" s="65"/>
      <c r="K140" s="55"/>
      <c r="L140" s="55"/>
      <c r="M140" s="63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</row>
    <row r="141" spans="1:28" ht="15" x14ac:dyDescent="0.25">
      <c r="A141" s="55"/>
      <c r="B141" s="55"/>
      <c r="C141" s="55"/>
      <c r="D141" s="55"/>
      <c r="E141" s="55"/>
      <c r="F141" s="186"/>
      <c r="G141" s="55"/>
      <c r="H141" s="55"/>
      <c r="I141" s="55"/>
      <c r="J141" s="65"/>
      <c r="K141" s="55"/>
      <c r="L141" s="55"/>
      <c r="M141" s="63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</row>
    <row r="142" spans="1:28" ht="15" x14ac:dyDescent="0.25">
      <c r="A142" s="55"/>
      <c r="B142" s="55"/>
      <c r="C142" s="55"/>
      <c r="D142" s="55"/>
      <c r="E142" s="55"/>
      <c r="F142" s="186"/>
      <c r="G142" s="55"/>
      <c r="H142" s="55"/>
      <c r="I142" s="55"/>
      <c r="J142" s="65"/>
      <c r="K142" s="55"/>
      <c r="L142" s="55"/>
      <c r="M142" s="63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</row>
    <row r="143" spans="1:28" ht="15" x14ac:dyDescent="0.25">
      <c r="A143" s="55"/>
      <c r="B143" s="55"/>
      <c r="C143" s="55"/>
      <c r="D143" s="55"/>
      <c r="E143" s="55"/>
      <c r="F143" s="186"/>
      <c r="G143" s="55"/>
      <c r="H143" s="55"/>
      <c r="I143" s="55"/>
      <c r="J143" s="65"/>
      <c r="K143" s="55"/>
      <c r="L143" s="55"/>
      <c r="M143" s="63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</row>
    <row r="144" spans="1:28" ht="15" x14ac:dyDescent="0.25">
      <c r="A144" s="55"/>
      <c r="B144" s="55"/>
      <c r="C144" s="55"/>
      <c r="D144" s="55"/>
      <c r="E144" s="55"/>
      <c r="F144" s="186"/>
      <c r="G144" s="55"/>
      <c r="H144" s="55"/>
      <c r="I144" s="55"/>
      <c r="J144" s="65"/>
      <c r="K144" s="55"/>
      <c r="L144" s="55"/>
      <c r="M144" s="63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</row>
    <row r="145" spans="1:28" ht="15" x14ac:dyDescent="0.25">
      <c r="A145" s="55"/>
      <c r="B145" s="55"/>
      <c r="C145" s="55"/>
      <c r="D145" s="55"/>
      <c r="E145" s="55"/>
      <c r="F145" s="186"/>
      <c r="G145" s="55"/>
      <c r="H145" s="55"/>
      <c r="I145" s="55"/>
      <c r="J145" s="65"/>
      <c r="K145" s="55"/>
      <c r="L145" s="55"/>
      <c r="M145" s="63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</row>
    <row r="146" spans="1:28" ht="15" x14ac:dyDescent="0.25">
      <c r="A146" s="55"/>
      <c r="B146" s="55"/>
      <c r="C146" s="55"/>
      <c r="D146" s="55"/>
      <c r="E146" s="55"/>
      <c r="F146" s="186"/>
      <c r="G146" s="55"/>
      <c r="H146" s="55"/>
      <c r="I146" s="55"/>
      <c r="J146" s="65"/>
      <c r="K146" s="55"/>
      <c r="L146" s="55"/>
      <c r="M146" s="63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</row>
    <row r="147" spans="1:28" ht="15" x14ac:dyDescent="0.25">
      <c r="A147" s="55"/>
      <c r="B147" s="55"/>
      <c r="C147" s="55"/>
      <c r="D147" s="55"/>
      <c r="E147" s="55"/>
      <c r="F147" s="186"/>
      <c r="G147" s="55"/>
      <c r="H147" s="55"/>
      <c r="I147" s="55"/>
      <c r="J147" s="65"/>
      <c r="K147" s="55"/>
      <c r="L147" s="55"/>
      <c r="M147" s="63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</row>
    <row r="148" spans="1:28" ht="15" x14ac:dyDescent="0.25">
      <c r="A148" s="55"/>
      <c r="B148" s="55"/>
      <c r="C148" s="55"/>
      <c r="D148" s="55"/>
      <c r="E148" s="55"/>
      <c r="F148" s="186"/>
      <c r="G148" s="55"/>
      <c r="H148" s="55"/>
      <c r="I148" s="55"/>
      <c r="J148" s="65"/>
      <c r="K148" s="55"/>
      <c r="L148" s="55"/>
      <c r="M148" s="63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</row>
    <row r="149" spans="1:28" ht="15" x14ac:dyDescent="0.25">
      <c r="A149" s="55"/>
      <c r="B149" s="55"/>
      <c r="C149" s="55"/>
      <c r="D149" s="55"/>
      <c r="E149" s="55"/>
      <c r="F149" s="186"/>
      <c r="G149" s="55"/>
      <c r="H149" s="55"/>
      <c r="I149" s="55"/>
      <c r="J149" s="65"/>
      <c r="K149" s="55"/>
      <c r="L149" s="55"/>
      <c r="M149" s="63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</row>
    <row r="150" spans="1:28" ht="15" x14ac:dyDescent="0.25">
      <c r="A150" s="55"/>
      <c r="B150" s="55"/>
      <c r="C150" s="55"/>
      <c r="D150" s="55"/>
      <c r="E150" s="55"/>
      <c r="F150" s="186"/>
      <c r="G150" s="55"/>
      <c r="H150" s="55"/>
      <c r="I150" s="55"/>
      <c r="J150" s="65"/>
      <c r="K150" s="55"/>
      <c r="L150" s="55"/>
      <c r="M150" s="63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</row>
    <row r="151" spans="1:28" ht="15" x14ac:dyDescent="0.25">
      <c r="A151" s="55"/>
      <c r="B151" s="55"/>
      <c r="C151" s="55"/>
      <c r="D151" s="55"/>
      <c r="E151" s="55"/>
      <c r="F151" s="186"/>
      <c r="G151" s="55"/>
      <c r="H151" s="55"/>
      <c r="I151" s="55"/>
      <c r="J151" s="65"/>
      <c r="K151" s="55"/>
      <c r="L151" s="55"/>
      <c r="M151" s="63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</row>
    <row r="152" spans="1:28" ht="15" x14ac:dyDescent="0.25">
      <c r="A152" s="55"/>
      <c r="B152" s="55"/>
      <c r="C152" s="55"/>
      <c r="D152" s="55"/>
      <c r="E152" s="55"/>
      <c r="F152" s="186"/>
      <c r="G152" s="55"/>
      <c r="H152" s="55"/>
      <c r="I152" s="55"/>
      <c r="J152" s="65"/>
      <c r="K152" s="55"/>
      <c r="L152" s="55"/>
      <c r="M152" s="63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</row>
    <row r="153" spans="1:28" ht="15" x14ac:dyDescent="0.25">
      <c r="A153" s="55"/>
      <c r="B153" s="55"/>
      <c r="C153" s="55"/>
      <c r="D153" s="55"/>
      <c r="E153" s="55"/>
      <c r="F153" s="186"/>
      <c r="G153" s="55"/>
      <c r="H153" s="55"/>
      <c r="I153" s="55"/>
      <c r="J153" s="65"/>
      <c r="K153" s="55"/>
      <c r="L153" s="55"/>
      <c r="M153" s="63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</row>
    <row r="154" spans="1:28" ht="15" x14ac:dyDescent="0.25">
      <c r="A154" s="55"/>
      <c r="B154" s="55"/>
      <c r="C154" s="55"/>
      <c r="D154" s="55"/>
      <c r="E154" s="55"/>
      <c r="F154" s="186"/>
      <c r="G154" s="55"/>
      <c r="H154" s="55"/>
      <c r="I154" s="55"/>
      <c r="J154" s="65"/>
      <c r="K154" s="55"/>
      <c r="L154" s="55"/>
      <c r="M154" s="63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</row>
    <row r="155" spans="1:28" ht="15" x14ac:dyDescent="0.25">
      <c r="A155" s="55"/>
      <c r="B155" s="55"/>
      <c r="C155" s="55"/>
      <c r="D155" s="55"/>
      <c r="E155" s="55"/>
      <c r="F155" s="186"/>
      <c r="G155" s="55"/>
      <c r="H155" s="55"/>
      <c r="I155" s="55"/>
      <c r="J155" s="65"/>
      <c r="K155" s="55"/>
      <c r="L155" s="55"/>
      <c r="M155" s="63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</row>
    <row r="156" spans="1:28" ht="15" x14ac:dyDescent="0.25">
      <c r="A156" s="55"/>
      <c r="B156" s="55"/>
      <c r="C156" s="55"/>
      <c r="D156" s="55"/>
      <c r="E156" s="55"/>
      <c r="F156" s="186"/>
      <c r="G156" s="55"/>
      <c r="H156" s="55"/>
      <c r="I156" s="55"/>
      <c r="J156" s="65"/>
      <c r="K156" s="55"/>
      <c r="L156" s="55"/>
      <c r="M156" s="63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</row>
    <row r="157" spans="1:28" ht="15" x14ac:dyDescent="0.25">
      <c r="A157" s="55"/>
      <c r="B157" s="55"/>
      <c r="C157" s="55"/>
      <c r="D157" s="55"/>
      <c r="E157" s="55"/>
      <c r="F157" s="186"/>
      <c r="G157" s="55"/>
      <c r="H157" s="55"/>
      <c r="I157" s="55"/>
      <c r="J157" s="65"/>
      <c r="K157" s="55"/>
      <c r="L157" s="55"/>
      <c r="M157" s="63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</row>
    <row r="158" spans="1:28" ht="15" x14ac:dyDescent="0.25">
      <c r="A158" s="55"/>
      <c r="B158" s="55"/>
      <c r="C158" s="55"/>
      <c r="D158" s="55"/>
      <c r="E158" s="55"/>
      <c r="F158" s="186"/>
      <c r="G158" s="55"/>
      <c r="H158" s="55"/>
      <c r="I158" s="55"/>
      <c r="J158" s="65"/>
      <c r="K158" s="55"/>
      <c r="L158" s="55"/>
      <c r="M158" s="63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</row>
    <row r="159" spans="1:28" ht="15" x14ac:dyDescent="0.25">
      <c r="A159" s="55"/>
      <c r="B159" s="55"/>
      <c r="C159" s="55"/>
      <c r="D159" s="55"/>
      <c r="E159" s="55"/>
      <c r="F159" s="186"/>
      <c r="G159" s="55"/>
      <c r="H159" s="55"/>
      <c r="I159" s="55"/>
      <c r="J159" s="65"/>
      <c r="K159" s="55"/>
      <c r="L159" s="55"/>
      <c r="M159" s="63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</row>
    <row r="160" spans="1:28" ht="15" x14ac:dyDescent="0.25">
      <c r="A160" s="55"/>
      <c r="B160" s="55"/>
      <c r="C160" s="55"/>
      <c r="D160" s="55"/>
      <c r="E160" s="55"/>
      <c r="F160" s="186"/>
      <c r="G160" s="55"/>
      <c r="H160" s="55"/>
      <c r="I160" s="55"/>
      <c r="J160" s="65"/>
      <c r="K160" s="55"/>
      <c r="L160" s="55"/>
      <c r="M160" s="63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</row>
    <row r="161" spans="1:28" ht="15" x14ac:dyDescent="0.25">
      <c r="A161" s="55"/>
      <c r="B161" s="55"/>
      <c r="C161" s="55"/>
      <c r="D161" s="55"/>
      <c r="E161" s="55"/>
      <c r="F161" s="186"/>
      <c r="G161" s="55"/>
      <c r="H161" s="55"/>
      <c r="I161" s="55"/>
      <c r="J161" s="65"/>
      <c r="K161" s="55"/>
      <c r="L161" s="55"/>
      <c r="M161" s="63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</row>
    <row r="162" spans="1:28" ht="15" x14ac:dyDescent="0.25">
      <c r="A162" s="55"/>
      <c r="B162" s="55"/>
      <c r="C162" s="55"/>
      <c r="D162" s="55"/>
      <c r="E162" s="55"/>
      <c r="F162" s="186"/>
      <c r="G162" s="55"/>
      <c r="H162" s="55"/>
      <c r="I162" s="55"/>
      <c r="J162" s="65"/>
      <c r="K162" s="55"/>
      <c r="L162" s="55"/>
      <c r="M162" s="63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</row>
    <row r="163" spans="1:28" ht="15" x14ac:dyDescent="0.25">
      <c r="A163" s="55"/>
      <c r="B163" s="55"/>
      <c r="C163" s="55"/>
      <c r="D163" s="55"/>
      <c r="E163" s="55"/>
      <c r="F163" s="186"/>
      <c r="G163" s="55"/>
      <c r="H163" s="55"/>
      <c r="I163" s="55"/>
      <c r="J163" s="65"/>
      <c r="K163" s="55"/>
      <c r="L163" s="55"/>
      <c r="M163" s="63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</row>
    <row r="164" spans="1:28" ht="15" x14ac:dyDescent="0.25">
      <c r="A164" s="55"/>
      <c r="B164" s="55"/>
      <c r="C164" s="55"/>
      <c r="D164" s="55"/>
      <c r="E164" s="55"/>
      <c r="F164" s="186"/>
      <c r="G164" s="55"/>
      <c r="H164" s="55"/>
      <c r="I164" s="55"/>
      <c r="J164" s="65"/>
      <c r="K164" s="55"/>
      <c r="L164" s="55"/>
      <c r="M164" s="63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</row>
    <row r="165" spans="1:28" ht="15" x14ac:dyDescent="0.25">
      <c r="A165" s="55"/>
      <c r="B165" s="55"/>
      <c r="C165" s="55"/>
      <c r="D165" s="55"/>
      <c r="E165" s="55"/>
      <c r="F165" s="186"/>
      <c r="G165" s="55"/>
      <c r="H165" s="55"/>
      <c r="I165" s="55"/>
      <c r="J165" s="65"/>
      <c r="K165" s="55"/>
      <c r="L165" s="55"/>
      <c r="M165" s="63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</row>
    <row r="166" spans="1:28" ht="15" x14ac:dyDescent="0.25">
      <c r="A166" s="55"/>
      <c r="B166" s="55"/>
      <c r="C166" s="55"/>
      <c r="D166" s="55"/>
      <c r="E166" s="55"/>
      <c r="F166" s="186"/>
      <c r="G166" s="55"/>
      <c r="H166" s="55"/>
      <c r="I166" s="55"/>
      <c r="J166" s="65"/>
      <c r="K166" s="55"/>
      <c r="L166" s="55"/>
      <c r="M166" s="63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</row>
    <row r="167" spans="1:28" ht="15" x14ac:dyDescent="0.25">
      <c r="A167" s="55"/>
      <c r="B167" s="55"/>
      <c r="C167" s="55"/>
      <c r="D167" s="55"/>
      <c r="E167" s="55"/>
      <c r="F167" s="186"/>
      <c r="G167" s="55"/>
      <c r="H167" s="55"/>
      <c r="I167" s="55"/>
      <c r="J167" s="65"/>
      <c r="K167" s="55"/>
      <c r="L167" s="55"/>
      <c r="M167" s="63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</row>
    <row r="168" spans="1:28" ht="15" x14ac:dyDescent="0.25">
      <c r="A168" s="55"/>
      <c r="B168" s="55"/>
      <c r="C168" s="55"/>
      <c r="D168" s="55"/>
      <c r="E168" s="55"/>
      <c r="F168" s="186"/>
      <c r="G168" s="55"/>
      <c r="H168" s="55"/>
      <c r="I168" s="55"/>
      <c r="J168" s="65"/>
      <c r="K168" s="55"/>
      <c r="L168" s="55"/>
      <c r="M168" s="63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</row>
    <row r="169" spans="1:28" ht="15" x14ac:dyDescent="0.25">
      <c r="A169" s="55"/>
      <c r="B169" s="55"/>
      <c r="C169" s="55"/>
      <c r="D169" s="55"/>
      <c r="E169" s="55"/>
      <c r="F169" s="186"/>
      <c r="G169" s="55"/>
      <c r="H169" s="55"/>
      <c r="I169" s="55"/>
      <c r="J169" s="65"/>
      <c r="K169" s="55"/>
      <c r="L169" s="55"/>
      <c r="M169" s="63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</row>
    <row r="170" spans="1:28" ht="15" x14ac:dyDescent="0.25">
      <c r="A170" s="55"/>
      <c r="B170" s="55"/>
      <c r="C170" s="55"/>
      <c r="D170" s="55"/>
      <c r="E170" s="55"/>
      <c r="F170" s="186"/>
      <c r="G170" s="55"/>
      <c r="H170" s="55"/>
      <c r="I170" s="55"/>
      <c r="J170" s="65"/>
      <c r="K170" s="55"/>
      <c r="L170" s="55"/>
      <c r="M170" s="63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</row>
    <row r="171" spans="1:28" ht="15" x14ac:dyDescent="0.25">
      <c r="A171" s="55"/>
      <c r="B171" s="55"/>
      <c r="C171" s="55"/>
      <c r="D171" s="55"/>
      <c r="E171" s="55"/>
      <c r="F171" s="186"/>
      <c r="G171" s="55"/>
      <c r="H171" s="55"/>
      <c r="I171" s="55"/>
      <c r="J171" s="65"/>
      <c r="K171" s="55"/>
      <c r="L171" s="55"/>
      <c r="M171" s="63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</row>
    <row r="172" spans="1:28" ht="15" x14ac:dyDescent="0.25">
      <c r="A172" s="55"/>
      <c r="B172" s="55"/>
      <c r="C172" s="55"/>
      <c r="D172" s="55"/>
      <c r="E172" s="55"/>
      <c r="F172" s="186"/>
      <c r="G172" s="55"/>
      <c r="H172" s="55"/>
      <c r="I172" s="55"/>
      <c r="J172" s="65"/>
      <c r="K172" s="55"/>
      <c r="L172" s="55"/>
      <c r="M172" s="63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</row>
    <row r="173" spans="1:28" ht="15" x14ac:dyDescent="0.25">
      <c r="A173" s="55"/>
      <c r="B173" s="55"/>
      <c r="C173" s="55"/>
      <c r="D173" s="55"/>
      <c r="E173" s="55"/>
      <c r="F173" s="186"/>
      <c r="G173" s="55"/>
      <c r="H173" s="55"/>
      <c r="I173" s="55"/>
      <c r="J173" s="65"/>
      <c r="K173" s="55"/>
      <c r="L173" s="55"/>
      <c r="M173" s="63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</row>
    <row r="174" spans="1:28" ht="15" x14ac:dyDescent="0.25">
      <c r="A174" s="55"/>
      <c r="B174" s="55"/>
      <c r="C174" s="55"/>
      <c r="D174" s="55"/>
      <c r="E174" s="55"/>
      <c r="F174" s="186"/>
      <c r="G174" s="55"/>
      <c r="H174" s="55"/>
      <c r="I174" s="55"/>
      <c r="J174" s="65"/>
      <c r="K174" s="55"/>
      <c r="L174" s="55"/>
      <c r="M174" s="63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</row>
    <row r="175" spans="1:28" ht="15" x14ac:dyDescent="0.25">
      <c r="A175" s="55"/>
      <c r="B175" s="55"/>
      <c r="C175" s="55"/>
      <c r="D175" s="55"/>
      <c r="E175" s="55"/>
      <c r="F175" s="186"/>
      <c r="G175" s="55"/>
      <c r="H175" s="55"/>
      <c r="I175" s="55"/>
      <c r="J175" s="65"/>
      <c r="K175" s="55"/>
      <c r="L175" s="55"/>
      <c r="M175" s="63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</row>
    <row r="176" spans="1:28" ht="15" x14ac:dyDescent="0.25">
      <c r="A176" s="55"/>
      <c r="B176" s="55"/>
      <c r="C176" s="55"/>
      <c r="D176" s="55"/>
      <c r="E176" s="55"/>
      <c r="F176" s="186"/>
      <c r="G176" s="55"/>
      <c r="H176" s="55"/>
      <c r="I176" s="55"/>
      <c r="J176" s="65"/>
      <c r="K176" s="55"/>
      <c r="L176" s="55"/>
      <c r="M176" s="63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</row>
    <row r="177" spans="1:28" ht="15" x14ac:dyDescent="0.25">
      <c r="A177" s="55"/>
      <c r="B177" s="55"/>
      <c r="C177" s="55"/>
      <c r="D177" s="55"/>
      <c r="E177" s="55"/>
      <c r="F177" s="186"/>
      <c r="G177" s="55"/>
      <c r="H177" s="55"/>
      <c r="I177" s="55"/>
      <c r="J177" s="65"/>
      <c r="K177" s="55"/>
      <c r="L177" s="55"/>
      <c r="M177" s="63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</row>
    <row r="178" spans="1:28" ht="15" x14ac:dyDescent="0.25">
      <c r="A178" s="55"/>
      <c r="B178" s="55"/>
      <c r="C178" s="55"/>
      <c r="D178" s="55"/>
      <c r="E178" s="55"/>
      <c r="F178" s="186"/>
      <c r="G178" s="55"/>
      <c r="H178" s="55"/>
      <c r="I178" s="55"/>
      <c r="J178" s="65"/>
      <c r="K178" s="55"/>
      <c r="L178" s="55"/>
      <c r="M178" s="63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</row>
    <row r="179" spans="1:28" ht="15" x14ac:dyDescent="0.25">
      <c r="A179" s="55"/>
      <c r="B179" s="55"/>
      <c r="C179" s="55"/>
      <c r="D179" s="55"/>
      <c r="E179" s="55"/>
      <c r="F179" s="186"/>
      <c r="G179" s="55"/>
      <c r="H179" s="55"/>
      <c r="I179" s="55"/>
      <c r="J179" s="65"/>
      <c r="K179" s="55"/>
      <c r="L179" s="55"/>
      <c r="M179" s="63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</row>
    <row r="180" spans="1:28" ht="15" x14ac:dyDescent="0.25">
      <c r="A180" s="55"/>
      <c r="B180" s="55"/>
      <c r="C180" s="55"/>
      <c r="D180" s="55"/>
      <c r="E180" s="55"/>
      <c r="F180" s="186"/>
      <c r="G180" s="55"/>
      <c r="H180" s="55"/>
      <c r="I180" s="55"/>
      <c r="J180" s="65"/>
      <c r="K180" s="55"/>
      <c r="L180" s="55"/>
      <c r="M180" s="63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</row>
    <row r="181" spans="1:28" ht="15" x14ac:dyDescent="0.25">
      <c r="A181" s="55"/>
      <c r="B181" s="55"/>
      <c r="C181" s="55"/>
      <c r="D181" s="55"/>
      <c r="E181" s="55"/>
      <c r="F181" s="186"/>
      <c r="G181" s="55"/>
      <c r="H181" s="55"/>
      <c r="I181" s="55"/>
      <c r="J181" s="65"/>
      <c r="K181" s="55"/>
      <c r="L181" s="55"/>
      <c r="M181" s="63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</row>
    <row r="182" spans="1:28" ht="15" x14ac:dyDescent="0.25">
      <c r="A182" s="55"/>
      <c r="B182" s="55"/>
      <c r="C182" s="55"/>
      <c r="D182" s="55"/>
      <c r="E182" s="55"/>
      <c r="F182" s="186"/>
      <c r="G182" s="55"/>
      <c r="H182" s="55"/>
      <c r="I182" s="55"/>
      <c r="J182" s="65"/>
      <c r="K182" s="55"/>
      <c r="L182" s="55"/>
      <c r="M182" s="63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</row>
    <row r="183" spans="1:28" ht="15" x14ac:dyDescent="0.25">
      <c r="A183" s="55"/>
      <c r="B183" s="55"/>
      <c r="C183" s="55"/>
      <c r="D183" s="55"/>
      <c r="E183" s="55"/>
      <c r="F183" s="186"/>
      <c r="G183" s="55"/>
      <c r="H183" s="55"/>
      <c r="I183" s="55"/>
      <c r="J183" s="65"/>
      <c r="K183" s="55"/>
      <c r="L183" s="55"/>
      <c r="M183" s="63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</row>
    <row r="184" spans="1:28" ht="15" x14ac:dyDescent="0.25">
      <c r="A184" s="55"/>
      <c r="B184" s="55"/>
      <c r="C184" s="55"/>
      <c r="D184" s="55"/>
      <c r="E184" s="55"/>
      <c r="F184" s="186"/>
      <c r="G184" s="55"/>
      <c r="H184" s="55"/>
      <c r="I184" s="55"/>
      <c r="J184" s="65"/>
      <c r="K184" s="55"/>
      <c r="L184" s="55"/>
      <c r="M184" s="63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</row>
    <row r="185" spans="1:28" ht="15" x14ac:dyDescent="0.25">
      <c r="A185" s="55"/>
      <c r="B185" s="55"/>
      <c r="C185" s="55"/>
      <c r="D185" s="55"/>
      <c r="E185" s="55"/>
      <c r="F185" s="186"/>
      <c r="G185" s="55"/>
      <c r="H185" s="55"/>
      <c r="I185" s="55"/>
      <c r="J185" s="65"/>
      <c r="K185" s="55"/>
      <c r="L185" s="55"/>
      <c r="M185" s="63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</row>
    <row r="186" spans="1:28" ht="15" x14ac:dyDescent="0.25">
      <c r="A186" s="55"/>
      <c r="B186" s="55"/>
      <c r="C186" s="55"/>
      <c r="D186" s="55"/>
      <c r="E186" s="55"/>
      <c r="F186" s="186"/>
      <c r="G186" s="55"/>
      <c r="H186" s="55"/>
      <c r="I186" s="55"/>
      <c r="J186" s="65"/>
      <c r="K186" s="55"/>
      <c r="L186" s="55"/>
      <c r="M186" s="63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</row>
    <row r="187" spans="1:28" ht="15" x14ac:dyDescent="0.25">
      <c r="A187" s="55"/>
      <c r="B187" s="55"/>
      <c r="C187" s="55"/>
      <c r="D187" s="55"/>
      <c r="E187" s="55"/>
      <c r="F187" s="186"/>
      <c r="G187" s="55"/>
      <c r="H187" s="55"/>
      <c r="I187" s="55"/>
      <c r="J187" s="65"/>
      <c r="K187" s="55"/>
      <c r="L187" s="55"/>
      <c r="M187" s="63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</row>
    <row r="188" spans="1:28" ht="15" x14ac:dyDescent="0.25">
      <c r="A188" s="55"/>
      <c r="B188" s="55"/>
      <c r="C188" s="55"/>
      <c r="D188" s="55"/>
      <c r="E188" s="55"/>
      <c r="F188" s="186"/>
      <c r="G188" s="55"/>
      <c r="H188" s="55"/>
      <c r="I188" s="55"/>
      <c r="J188" s="65"/>
      <c r="K188" s="55"/>
      <c r="L188" s="55"/>
      <c r="M188" s="63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</row>
    <row r="189" spans="1:28" ht="15" x14ac:dyDescent="0.25">
      <c r="A189" s="55"/>
      <c r="B189" s="55"/>
      <c r="C189" s="55"/>
      <c r="D189" s="55"/>
      <c r="E189" s="55"/>
      <c r="F189" s="186"/>
      <c r="G189" s="55"/>
      <c r="H189" s="55"/>
      <c r="I189" s="55"/>
      <c r="J189" s="65"/>
      <c r="K189" s="55"/>
      <c r="L189" s="55"/>
      <c r="M189" s="63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</row>
    <row r="190" spans="1:28" ht="15" x14ac:dyDescent="0.25">
      <c r="A190" s="55"/>
      <c r="B190" s="55"/>
      <c r="C190" s="55"/>
      <c r="D190" s="55"/>
      <c r="E190" s="55"/>
      <c r="F190" s="186"/>
      <c r="G190" s="55"/>
      <c r="H190" s="55"/>
      <c r="I190" s="55"/>
      <c r="J190" s="65"/>
      <c r="K190" s="55"/>
      <c r="L190" s="55"/>
      <c r="M190" s="63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</row>
    <row r="191" spans="1:28" ht="15" x14ac:dyDescent="0.25">
      <c r="A191" s="55"/>
      <c r="B191" s="55"/>
      <c r="C191" s="55"/>
      <c r="D191" s="55"/>
      <c r="E191" s="55"/>
      <c r="F191" s="186"/>
      <c r="G191" s="55"/>
      <c r="H191" s="55"/>
      <c r="I191" s="55"/>
      <c r="J191" s="65"/>
      <c r="K191" s="55"/>
      <c r="L191" s="55"/>
      <c r="M191" s="63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</row>
    <row r="192" spans="1:28" ht="15" x14ac:dyDescent="0.25">
      <c r="A192" s="55"/>
      <c r="B192" s="55"/>
      <c r="C192" s="55"/>
      <c r="D192" s="55"/>
      <c r="E192" s="55"/>
      <c r="F192" s="186"/>
      <c r="G192" s="55"/>
      <c r="H192" s="55"/>
      <c r="I192" s="55"/>
      <c r="J192" s="65"/>
      <c r="K192" s="55"/>
      <c r="L192" s="55"/>
      <c r="M192" s="63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</row>
    <row r="193" spans="1:28" ht="15" x14ac:dyDescent="0.25">
      <c r="A193" s="55"/>
      <c r="B193" s="55"/>
      <c r="C193" s="55"/>
      <c r="D193" s="55"/>
      <c r="E193" s="55"/>
      <c r="F193" s="186"/>
      <c r="G193" s="55"/>
      <c r="H193" s="55"/>
      <c r="I193" s="55"/>
      <c r="J193" s="65"/>
      <c r="K193" s="55"/>
      <c r="L193" s="55"/>
      <c r="M193" s="63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</row>
    <row r="194" spans="1:28" ht="15" x14ac:dyDescent="0.25">
      <c r="A194" s="55"/>
      <c r="B194" s="55"/>
      <c r="C194" s="55"/>
      <c r="D194" s="55"/>
      <c r="E194" s="55"/>
      <c r="F194" s="186"/>
      <c r="G194" s="55"/>
      <c r="H194" s="55"/>
      <c r="I194" s="55"/>
      <c r="J194" s="65"/>
      <c r="K194" s="55"/>
      <c r="L194" s="55"/>
      <c r="M194" s="63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</row>
    <row r="195" spans="1:28" ht="15" x14ac:dyDescent="0.25">
      <c r="A195" s="55"/>
      <c r="B195" s="55"/>
      <c r="C195" s="55"/>
      <c r="D195" s="55"/>
      <c r="E195" s="55"/>
      <c r="F195" s="186"/>
      <c r="G195" s="55"/>
      <c r="H195" s="55"/>
      <c r="I195" s="55"/>
      <c r="J195" s="65"/>
      <c r="K195" s="55"/>
      <c r="L195" s="55"/>
      <c r="M195" s="63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</row>
    <row r="196" spans="1:28" ht="15" x14ac:dyDescent="0.25">
      <c r="A196" s="55"/>
      <c r="B196" s="55"/>
      <c r="C196" s="55"/>
      <c r="D196" s="55"/>
      <c r="E196" s="55"/>
      <c r="F196" s="186"/>
      <c r="G196" s="55"/>
      <c r="H196" s="55"/>
      <c r="I196" s="55"/>
      <c r="J196" s="65"/>
      <c r="K196" s="55"/>
      <c r="L196" s="55"/>
      <c r="M196" s="63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</row>
    <row r="197" spans="1:28" ht="15" x14ac:dyDescent="0.25">
      <c r="A197" s="55"/>
      <c r="B197" s="55"/>
      <c r="C197" s="55"/>
      <c r="D197" s="55"/>
      <c r="E197" s="55"/>
      <c r="F197" s="186"/>
      <c r="G197" s="55"/>
      <c r="H197" s="55"/>
      <c r="I197" s="55"/>
      <c r="J197" s="65"/>
      <c r="K197" s="55"/>
      <c r="L197" s="55"/>
      <c r="M197" s="63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</row>
    <row r="198" spans="1:28" ht="15" x14ac:dyDescent="0.25">
      <c r="A198" s="55"/>
      <c r="B198" s="55"/>
      <c r="C198" s="55"/>
      <c r="D198" s="55"/>
      <c r="E198" s="55"/>
      <c r="F198" s="186"/>
      <c r="G198" s="55"/>
      <c r="H198" s="55"/>
      <c r="I198" s="55"/>
      <c r="J198" s="65"/>
      <c r="K198" s="55"/>
      <c r="L198" s="55"/>
      <c r="M198" s="63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</row>
    <row r="199" spans="1:28" ht="15" x14ac:dyDescent="0.25">
      <c r="A199" s="55"/>
      <c r="B199" s="55"/>
      <c r="C199" s="55"/>
      <c r="D199" s="55"/>
      <c r="E199" s="55"/>
      <c r="F199" s="186"/>
      <c r="G199" s="55"/>
      <c r="H199" s="55"/>
      <c r="I199" s="55"/>
      <c r="J199" s="65"/>
      <c r="K199" s="55"/>
      <c r="L199" s="55"/>
      <c r="M199" s="63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</row>
    <row r="200" spans="1:28" ht="15" x14ac:dyDescent="0.25">
      <c r="A200" s="55"/>
      <c r="B200" s="55"/>
      <c r="C200" s="55"/>
      <c r="D200" s="55"/>
      <c r="E200" s="55"/>
      <c r="F200" s="186"/>
      <c r="G200" s="55"/>
      <c r="H200" s="55"/>
      <c r="I200" s="55"/>
      <c r="J200" s="65"/>
      <c r="K200" s="55"/>
      <c r="L200" s="55"/>
      <c r="M200" s="63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</row>
    <row r="201" spans="1:28" ht="15" x14ac:dyDescent="0.25">
      <c r="A201" s="55"/>
      <c r="B201" s="55"/>
      <c r="C201" s="55"/>
      <c r="D201" s="55"/>
      <c r="E201" s="55"/>
      <c r="F201" s="186"/>
      <c r="G201" s="55"/>
      <c r="H201" s="55"/>
      <c r="I201" s="55"/>
      <c r="J201" s="65"/>
      <c r="K201" s="55"/>
      <c r="L201" s="55"/>
      <c r="M201" s="63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</row>
    <row r="202" spans="1:28" ht="15" x14ac:dyDescent="0.25">
      <c r="A202" s="55"/>
      <c r="B202" s="55"/>
      <c r="C202" s="55"/>
      <c r="D202" s="55"/>
      <c r="E202" s="55"/>
      <c r="F202" s="186"/>
      <c r="G202" s="55"/>
      <c r="H202" s="55"/>
      <c r="I202" s="55"/>
      <c r="J202" s="65"/>
      <c r="K202" s="55"/>
      <c r="L202" s="55"/>
      <c r="M202" s="63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</row>
    <row r="203" spans="1:28" ht="15" x14ac:dyDescent="0.25">
      <c r="A203" s="55"/>
      <c r="B203" s="55"/>
      <c r="C203" s="55"/>
      <c r="D203" s="55"/>
      <c r="E203" s="55"/>
      <c r="F203" s="186"/>
      <c r="G203" s="55"/>
      <c r="H203" s="55"/>
      <c r="I203" s="55"/>
      <c r="J203" s="65"/>
      <c r="K203" s="55"/>
      <c r="L203" s="55"/>
      <c r="M203" s="63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</row>
    <row r="204" spans="1:28" ht="15" x14ac:dyDescent="0.25">
      <c r="A204" s="55"/>
      <c r="B204" s="55"/>
      <c r="C204" s="55"/>
      <c r="D204" s="55"/>
      <c r="E204" s="55"/>
      <c r="F204" s="186"/>
      <c r="G204" s="55"/>
      <c r="H204" s="55"/>
      <c r="I204" s="55"/>
      <c r="J204" s="65"/>
      <c r="K204" s="55"/>
      <c r="L204" s="55"/>
      <c r="M204" s="63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</row>
    <row r="205" spans="1:28" ht="15" x14ac:dyDescent="0.25">
      <c r="A205" s="55"/>
      <c r="B205" s="55"/>
      <c r="C205" s="55"/>
      <c r="D205" s="55"/>
      <c r="E205" s="55"/>
      <c r="F205" s="186"/>
      <c r="G205" s="55"/>
      <c r="H205" s="55"/>
      <c r="I205" s="55"/>
      <c r="J205" s="65"/>
      <c r="K205" s="55"/>
      <c r="L205" s="55"/>
      <c r="M205" s="63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</row>
    <row r="206" spans="1:28" ht="15" x14ac:dyDescent="0.25">
      <c r="A206" s="55"/>
      <c r="B206" s="55"/>
      <c r="C206" s="55"/>
      <c r="D206" s="55"/>
      <c r="E206" s="55"/>
      <c r="F206" s="186"/>
      <c r="G206" s="55"/>
      <c r="H206" s="55"/>
      <c r="I206" s="55"/>
      <c r="J206" s="65"/>
      <c r="K206" s="55"/>
      <c r="L206" s="55"/>
      <c r="M206" s="63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</row>
    <row r="207" spans="1:28" ht="15" x14ac:dyDescent="0.25">
      <c r="A207" s="55"/>
      <c r="B207" s="55"/>
      <c r="C207" s="55"/>
      <c r="D207" s="55"/>
      <c r="E207" s="55"/>
      <c r="F207" s="186"/>
      <c r="G207" s="55"/>
      <c r="H207" s="55"/>
      <c r="I207" s="55"/>
      <c r="J207" s="65"/>
      <c r="K207" s="55"/>
      <c r="L207" s="55"/>
      <c r="M207" s="63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</row>
    <row r="208" spans="1:28" ht="15" x14ac:dyDescent="0.25">
      <c r="A208" s="55"/>
      <c r="B208" s="55"/>
      <c r="C208" s="55"/>
      <c r="D208" s="55"/>
      <c r="E208" s="55"/>
      <c r="F208" s="186"/>
      <c r="G208" s="55"/>
      <c r="H208" s="55"/>
      <c r="I208" s="55"/>
      <c r="J208" s="65"/>
      <c r="K208" s="55"/>
      <c r="L208" s="55"/>
      <c r="M208" s="63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</row>
    <row r="209" spans="1:28" ht="15" x14ac:dyDescent="0.25">
      <c r="A209" s="55"/>
      <c r="B209" s="55"/>
      <c r="C209" s="55"/>
      <c r="D209" s="55"/>
      <c r="E209" s="55"/>
      <c r="F209" s="186"/>
      <c r="G209" s="55"/>
      <c r="H209" s="55"/>
      <c r="I209" s="55"/>
      <c r="J209" s="65"/>
      <c r="K209" s="55"/>
      <c r="L209" s="55"/>
      <c r="M209" s="63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</row>
    <row r="210" spans="1:28" ht="15" x14ac:dyDescent="0.25">
      <c r="A210" s="55"/>
      <c r="B210" s="55"/>
      <c r="C210" s="55"/>
      <c r="D210" s="55"/>
      <c r="E210" s="55"/>
      <c r="F210" s="186"/>
      <c r="G210" s="55"/>
      <c r="H210" s="55"/>
      <c r="I210" s="55"/>
      <c r="J210" s="65"/>
      <c r="K210" s="55"/>
      <c r="L210" s="55"/>
      <c r="M210" s="63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</row>
    <row r="211" spans="1:28" ht="15" x14ac:dyDescent="0.25">
      <c r="A211" s="55"/>
      <c r="B211" s="55"/>
      <c r="C211" s="55"/>
      <c r="D211" s="55"/>
      <c r="E211" s="55"/>
      <c r="F211" s="186"/>
      <c r="G211" s="55"/>
      <c r="H211" s="55"/>
      <c r="I211" s="55"/>
      <c r="J211" s="65"/>
      <c r="K211" s="55"/>
      <c r="L211" s="55"/>
      <c r="M211" s="63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</row>
    <row r="212" spans="1:28" ht="15" x14ac:dyDescent="0.25">
      <c r="A212" s="55"/>
      <c r="B212" s="55"/>
      <c r="C212" s="55"/>
      <c r="D212" s="55"/>
      <c r="E212" s="55"/>
      <c r="F212" s="186"/>
      <c r="G212" s="55"/>
      <c r="H212" s="55"/>
      <c r="I212" s="55"/>
      <c r="J212" s="65"/>
      <c r="K212" s="55"/>
      <c r="L212" s="55"/>
      <c r="M212" s="63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</row>
    <row r="213" spans="1:28" ht="15" x14ac:dyDescent="0.25">
      <c r="A213" s="55"/>
      <c r="B213" s="55"/>
      <c r="C213" s="55"/>
      <c r="D213" s="55"/>
      <c r="E213" s="55"/>
      <c r="F213" s="186"/>
      <c r="G213" s="55"/>
      <c r="H213" s="55"/>
      <c r="I213" s="55"/>
      <c r="J213" s="65"/>
      <c r="K213" s="55"/>
      <c r="L213" s="55"/>
      <c r="M213" s="63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</row>
    <row r="214" spans="1:28" ht="15" x14ac:dyDescent="0.25">
      <c r="A214" s="55"/>
      <c r="B214" s="55"/>
      <c r="C214" s="55"/>
      <c r="D214" s="55"/>
      <c r="E214" s="55"/>
      <c r="F214" s="186"/>
      <c r="G214" s="55"/>
      <c r="H214" s="55"/>
      <c r="I214" s="55"/>
      <c r="J214" s="65"/>
      <c r="K214" s="55"/>
      <c r="L214" s="55"/>
      <c r="M214" s="63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</row>
    <row r="215" spans="1:28" ht="15" x14ac:dyDescent="0.25">
      <c r="A215" s="55"/>
      <c r="B215" s="55"/>
      <c r="C215" s="55"/>
      <c r="D215" s="55"/>
      <c r="E215" s="55"/>
      <c r="F215" s="186"/>
      <c r="G215" s="55"/>
      <c r="H215" s="55"/>
      <c r="I215" s="55"/>
      <c r="J215" s="65"/>
      <c r="K215" s="55"/>
      <c r="L215" s="55"/>
      <c r="M215" s="63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</row>
    <row r="216" spans="1:28" ht="15" x14ac:dyDescent="0.25">
      <c r="A216" s="55"/>
      <c r="B216" s="55"/>
      <c r="C216" s="55"/>
      <c r="D216" s="55"/>
      <c r="E216" s="55"/>
      <c r="F216" s="186"/>
      <c r="G216" s="55"/>
      <c r="H216" s="55"/>
      <c r="I216" s="55"/>
      <c r="J216" s="65"/>
      <c r="K216" s="55"/>
      <c r="L216" s="55"/>
      <c r="M216" s="63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</row>
    <row r="217" spans="1:28" ht="15" x14ac:dyDescent="0.25">
      <c r="A217" s="55"/>
      <c r="B217" s="55"/>
      <c r="C217" s="55"/>
      <c r="D217" s="55"/>
      <c r="E217" s="55"/>
      <c r="F217" s="186"/>
      <c r="G217" s="55"/>
      <c r="H217" s="55"/>
      <c r="I217" s="55"/>
      <c r="J217" s="65"/>
      <c r="K217" s="55"/>
      <c r="L217" s="55"/>
      <c r="M217" s="63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</row>
    <row r="218" spans="1:28" ht="15" x14ac:dyDescent="0.25">
      <c r="A218" s="55"/>
      <c r="B218" s="55"/>
      <c r="C218" s="55"/>
      <c r="D218" s="55"/>
      <c r="E218" s="55"/>
      <c r="F218" s="186"/>
      <c r="G218" s="55"/>
      <c r="H218" s="55"/>
      <c r="I218" s="55"/>
      <c r="J218" s="65"/>
      <c r="K218" s="55"/>
      <c r="L218" s="55"/>
      <c r="M218" s="63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</row>
    <row r="219" spans="1:28" ht="15" x14ac:dyDescent="0.25">
      <c r="A219" s="55"/>
      <c r="B219" s="55"/>
      <c r="C219" s="55"/>
      <c r="D219" s="55"/>
      <c r="E219" s="55"/>
      <c r="F219" s="186"/>
      <c r="G219" s="55"/>
      <c r="H219" s="55"/>
      <c r="I219" s="55"/>
      <c r="J219" s="65"/>
      <c r="K219" s="55"/>
      <c r="L219" s="55"/>
      <c r="M219" s="63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</row>
    <row r="220" spans="1:28" ht="15" x14ac:dyDescent="0.25">
      <c r="A220" s="55"/>
      <c r="B220" s="55"/>
      <c r="C220" s="55"/>
      <c r="D220" s="55"/>
      <c r="E220" s="55"/>
      <c r="F220" s="186"/>
      <c r="G220" s="55"/>
      <c r="H220" s="55"/>
      <c r="I220" s="55"/>
      <c r="J220" s="65"/>
      <c r="K220" s="55"/>
      <c r="L220" s="55"/>
      <c r="M220" s="63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</row>
    <row r="221" spans="1:28" ht="15" x14ac:dyDescent="0.25">
      <c r="A221" s="55"/>
      <c r="B221" s="55"/>
      <c r="C221" s="55"/>
      <c r="D221" s="55"/>
      <c r="E221" s="55"/>
      <c r="F221" s="186"/>
      <c r="G221" s="55"/>
      <c r="H221" s="55"/>
      <c r="I221" s="55"/>
      <c r="J221" s="65"/>
      <c r="K221" s="55"/>
      <c r="L221" s="55"/>
      <c r="M221" s="63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</row>
    <row r="222" spans="1:28" ht="15" x14ac:dyDescent="0.25">
      <c r="A222" s="55"/>
      <c r="B222" s="55"/>
      <c r="C222" s="55"/>
      <c r="D222" s="55"/>
      <c r="E222" s="55"/>
      <c r="F222" s="186"/>
      <c r="G222" s="55"/>
      <c r="H222" s="55"/>
      <c r="I222" s="55"/>
      <c r="J222" s="65"/>
      <c r="K222" s="55"/>
      <c r="L222" s="55"/>
      <c r="M222" s="63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</row>
    <row r="223" spans="1:28" ht="15" x14ac:dyDescent="0.25">
      <c r="A223" s="55"/>
      <c r="B223" s="55"/>
      <c r="C223" s="55"/>
      <c r="D223" s="55"/>
      <c r="E223" s="55"/>
      <c r="F223" s="186"/>
      <c r="G223" s="55"/>
      <c r="H223" s="55"/>
      <c r="I223" s="55"/>
      <c r="J223" s="65"/>
      <c r="K223" s="55"/>
      <c r="L223" s="55"/>
      <c r="M223" s="63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</row>
    <row r="224" spans="1:28" ht="15" x14ac:dyDescent="0.25">
      <c r="A224" s="55"/>
      <c r="B224" s="55"/>
      <c r="C224" s="55"/>
      <c r="D224" s="55"/>
      <c r="E224" s="55"/>
      <c r="F224" s="186"/>
      <c r="G224" s="55"/>
      <c r="H224" s="55"/>
      <c r="I224" s="55"/>
      <c r="J224" s="65"/>
      <c r="K224" s="55"/>
      <c r="L224" s="55"/>
      <c r="M224" s="63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</row>
    <row r="225" spans="1:28" ht="15" x14ac:dyDescent="0.25">
      <c r="A225" s="55"/>
      <c r="B225" s="55"/>
      <c r="C225" s="55"/>
      <c r="D225" s="55"/>
      <c r="E225" s="55"/>
      <c r="F225" s="186"/>
      <c r="G225" s="55"/>
      <c r="H225" s="55"/>
      <c r="I225" s="55"/>
      <c r="J225" s="65"/>
      <c r="K225" s="55"/>
      <c r="L225" s="55"/>
      <c r="M225" s="63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</row>
    <row r="226" spans="1:28" ht="15" x14ac:dyDescent="0.25">
      <c r="A226" s="55"/>
      <c r="B226" s="55"/>
      <c r="C226" s="55"/>
      <c r="D226" s="55"/>
      <c r="E226" s="55"/>
      <c r="F226" s="186"/>
      <c r="G226" s="55"/>
      <c r="H226" s="55"/>
      <c r="I226" s="55"/>
      <c r="J226" s="65"/>
      <c r="K226" s="55"/>
      <c r="L226" s="55"/>
      <c r="M226" s="63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</row>
    <row r="227" spans="1:28" ht="15" x14ac:dyDescent="0.25">
      <c r="A227" s="55"/>
      <c r="B227" s="55"/>
      <c r="C227" s="55"/>
      <c r="D227" s="55"/>
      <c r="E227" s="55"/>
      <c r="F227" s="186"/>
      <c r="G227" s="55"/>
      <c r="H227" s="55"/>
      <c r="I227" s="55"/>
      <c r="J227" s="65"/>
      <c r="K227" s="55"/>
      <c r="L227" s="55"/>
      <c r="M227" s="63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</row>
    <row r="228" spans="1:28" ht="15" x14ac:dyDescent="0.25">
      <c r="A228" s="55"/>
      <c r="B228" s="55"/>
      <c r="C228" s="55"/>
      <c r="D228" s="55"/>
      <c r="E228" s="55"/>
      <c r="F228" s="186"/>
      <c r="G228" s="55"/>
      <c r="H228" s="55"/>
      <c r="I228" s="55"/>
      <c r="J228" s="65"/>
      <c r="K228" s="55"/>
      <c r="L228" s="55"/>
      <c r="M228" s="63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</row>
    <row r="229" spans="1:28" ht="15" x14ac:dyDescent="0.25">
      <c r="A229" s="55"/>
      <c r="B229" s="55"/>
      <c r="C229" s="55"/>
      <c r="D229" s="55"/>
      <c r="E229" s="55"/>
      <c r="F229" s="186"/>
      <c r="G229" s="55"/>
      <c r="H229" s="55"/>
      <c r="I229" s="55"/>
      <c r="J229" s="65"/>
      <c r="K229" s="55"/>
      <c r="L229" s="55"/>
      <c r="M229" s="63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</row>
    <row r="230" spans="1:28" ht="15" x14ac:dyDescent="0.25">
      <c r="A230" s="55"/>
      <c r="B230" s="55"/>
      <c r="C230" s="55"/>
      <c r="D230" s="55"/>
      <c r="E230" s="55"/>
      <c r="F230" s="186"/>
      <c r="G230" s="55"/>
      <c r="H230" s="55"/>
      <c r="I230" s="55"/>
      <c r="J230" s="65"/>
      <c r="K230" s="55"/>
      <c r="L230" s="55"/>
      <c r="M230" s="63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</row>
    <row r="231" spans="1:28" ht="15" x14ac:dyDescent="0.25">
      <c r="A231" s="55"/>
      <c r="B231" s="55"/>
      <c r="C231" s="55"/>
      <c r="D231" s="55"/>
      <c r="E231" s="55"/>
      <c r="F231" s="186"/>
      <c r="G231" s="55"/>
      <c r="H231" s="55"/>
      <c r="I231" s="55"/>
      <c r="J231" s="65"/>
      <c r="K231" s="55"/>
      <c r="L231" s="55"/>
      <c r="M231" s="63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</row>
    <row r="232" spans="1:28" ht="15" x14ac:dyDescent="0.25">
      <c r="A232" s="55"/>
      <c r="B232" s="55"/>
      <c r="C232" s="55"/>
      <c r="D232" s="55"/>
      <c r="E232" s="55"/>
      <c r="F232" s="186"/>
      <c r="G232" s="55"/>
      <c r="H232" s="55"/>
      <c r="I232" s="55"/>
      <c r="J232" s="65"/>
      <c r="K232" s="55"/>
      <c r="L232" s="55"/>
      <c r="M232" s="63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</row>
    <row r="233" spans="1:28" ht="15" x14ac:dyDescent="0.25">
      <c r="A233" s="55"/>
      <c r="B233" s="55"/>
      <c r="C233" s="55"/>
      <c r="D233" s="55"/>
      <c r="E233" s="55"/>
      <c r="F233" s="186"/>
      <c r="G233" s="55"/>
      <c r="H233" s="55"/>
      <c r="I233" s="55"/>
      <c r="J233" s="65"/>
      <c r="K233" s="55"/>
      <c r="L233" s="55"/>
      <c r="M233" s="63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</row>
    <row r="234" spans="1:28" ht="15" x14ac:dyDescent="0.25">
      <c r="A234" s="55"/>
      <c r="B234" s="55"/>
      <c r="C234" s="55"/>
      <c r="D234" s="55"/>
      <c r="E234" s="55"/>
      <c r="F234" s="186"/>
      <c r="G234" s="55"/>
      <c r="H234" s="55"/>
      <c r="I234" s="55"/>
      <c r="J234" s="65"/>
      <c r="K234" s="55"/>
      <c r="L234" s="55"/>
      <c r="M234" s="63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</row>
    <row r="235" spans="1:28" ht="15" x14ac:dyDescent="0.25">
      <c r="A235" s="55"/>
      <c r="B235" s="55"/>
      <c r="C235" s="55"/>
      <c r="D235" s="55"/>
      <c r="E235" s="55"/>
      <c r="F235" s="186"/>
      <c r="G235" s="55"/>
      <c r="H235" s="55"/>
      <c r="I235" s="55"/>
      <c r="J235" s="65"/>
      <c r="K235" s="55"/>
      <c r="L235" s="55"/>
      <c r="M235" s="63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</row>
    <row r="236" spans="1:28" ht="15" x14ac:dyDescent="0.25">
      <c r="A236" s="55"/>
      <c r="B236" s="55"/>
      <c r="C236" s="55"/>
      <c r="D236" s="55"/>
      <c r="E236" s="55"/>
      <c r="F236" s="186"/>
      <c r="G236" s="55"/>
      <c r="H236" s="55"/>
      <c r="I236" s="55"/>
      <c r="J236" s="65"/>
      <c r="K236" s="55"/>
      <c r="L236" s="55"/>
      <c r="M236" s="63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</row>
    <row r="237" spans="1:28" ht="15" x14ac:dyDescent="0.25">
      <c r="A237" s="55"/>
      <c r="B237" s="55"/>
      <c r="C237" s="55"/>
      <c r="D237" s="55"/>
      <c r="E237" s="55"/>
      <c r="F237" s="186"/>
      <c r="G237" s="55"/>
      <c r="H237" s="55"/>
      <c r="I237" s="55"/>
      <c r="J237" s="65"/>
      <c r="K237" s="55"/>
      <c r="L237" s="55"/>
      <c r="M237" s="63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</row>
    <row r="238" spans="1:28" ht="15" x14ac:dyDescent="0.25">
      <c r="A238" s="55"/>
      <c r="B238" s="55"/>
      <c r="C238" s="55"/>
      <c r="D238" s="55"/>
      <c r="E238" s="55"/>
      <c r="F238" s="186"/>
      <c r="G238" s="55"/>
      <c r="H238" s="55"/>
      <c r="I238" s="55"/>
      <c r="J238" s="65"/>
      <c r="K238" s="55"/>
      <c r="L238" s="55"/>
      <c r="M238" s="63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</row>
    <row r="239" spans="1:28" ht="15" x14ac:dyDescent="0.25">
      <c r="A239" s="55"/>
      <c r="B239" s="55"/>
      <c r="C239" s="55"/>
      <c r="D239" s="55"/>
      <c r="E239" s="55"/>
      <c r="F239" s="186"/>
      <c r="G239" s="55"/>
      <c r="H239" s="55"/>
      <c r="I239" s="55"/>
      <c r="J239" s="65"/>
      <c r="K239" s="55"/>
      <c r="L239" s="55"/>
      <c r="M239" s="63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</row>
    <row r="240" spans="1:28" ht="15" x14ac:dyDescent="0.25">
      <c r="A240" s="55"/>
      <c r="B240" s="55"/>
      <c r="C240" s="55"/>
      <c r="D240" s="55"/>
      <c r="E240" s="55"/>
      <c r="F240" s="186"/>
      <c r="G240" s="55"/>
      <c r="H240" s="55"/>
      <c r="I240" s="55"/>
      <c r="J240" s="65"/>
      <c r="K240" s="55"/>
      <c r="L240" s="55"/>
      <c r="M240" s="63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</row>
    <row r="241" spans="1:28" ht="15" x14ac:dyDescent="0.25">
      <c r="A241" s="55"/>
      <c r="B241" s="55"/>
      <c r="C241" s="55"/>
      <c r="D241" s="55"/>
      <c r="E241" s="55"/>
      <c r="F241" s="186"/>
      <c r="G241" s="55"/>
      <c r="H241" s="55"/>
      <c r="I241" s="55"/>
      <c r="J241" s="65"/>
      <c r="K241" s="55"/>
      <c r="L241" s="55"/>
      <c r="M241" s="63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</row>
    <row r="242" spans="1:28" ht="15" x14ac:dyDescent="0.25">
      <c r="A242" s="55"/>
      <c r="B242" s="55"/>
      <c r="C242" s="55"/>
      <c r="D242" s="55"/>
      <c r="E242" s="55"/>
      <c r="F242" s="186"/>
      <c r="G242" s="55"/>
      <c r="H242" s="55"/>
      <c r="I242" s="55"/>
      <c r="J242" s="65"/>
      <c r="K242" s="55"/>
      <c r="L242" s="55"/>
      <c r="M242" s="63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</row>
    <row r="243" spans="1:28" ht="15" x14ac:dyDescent="0.25">
      <c r="A243" s="55"/>
      <c r="B243" s="55"/>
      <c r="C243" s="55"/>
      <c r="D243" s="55"/>
      <c r="E243" s="55"/>
      <c r="F243" s="186"/>
      <c r="G243" s="55"/>
      <c r="H243" s="55"/>
      <c r="I243" s="55"/>
      <c r="J243" s="65"/>
      <c r="K243" s="55"/>
      <c r="L243" s="55"/>
      <c r="M243" s="63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</row>
    <row r="244" spans="1:28" ht="15" x14ac:dyDescent="0.25">
      <c r="A244" s="55"/>
      <c r="B244" s="55"/>
      <c r="C244" s="55"/>
      <c r="D244" s="55"/>
      <c r="E244" s="55"/>
      <c r="F244" s="186"/>
      <c r="G244" s="55"/>
      <c r="H244" s="55"/>
      <c r="I244" s="55"/>
      <c r="J244" s="65"/>
      <c r="K244" s="55"/>
      <c r="L244" s="55"/>
      <c r="M244" s="63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</row>
    <row r="245" spans="1:28" ht="15" x14ac:dyDescent="0.25">
      <c r="A245" s="55"/>
      <c r="B245" s="55"/>
      <c r="C245" s="55"/>
      <c r="D245" s="55"/>
      <c r="E245" s="55"/>
      <c r="F245" s="186"/>
      <c r="G245" s="55"/>
      <c r="H245" s="55"/>
      <c r="I245" s="55"/>
      <c r="J245" s="65"/>
      <c r="K245" s="55"/>
      <c r="L245" s="55"/>
      <c r="M245" s="63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</row>
    <row r="246" spans="1:28" ht="15" x14ac:dyDescent="0.25">
      <c r="A246" s="55"/>
      <c r="B246" s="55"/>
      <c r="C246" s="55"/>
      <c r="D246" s="55"/>
      <c r="E246" s="55"/>
      <c r="F246" s="186"/>
      <c r="G246" s="55"/>
      <c r="H246" s="55"/>
      <c r="I246" s="55"/>
      <c r="J246" s="65"/>
      <c r="K246" s="55"/>
      <c r="L246" s="55"/>
      <c r="M246" s="63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</row>
    <row r="247" spans="1:28" ht="15" x14ac:dyDescent="0.25">
      <c r="A247" s="55"/>
      <c r="B247" s="55"/>
      <c r="C247" s="55"/>
      <c r="D247" s="55"/>
      <c r="E247" s="55"/>
      <c r="F247" s="186"/>
      <c r="G247" s="55"/>
      <c r="H247" s="55"/>
      <c r="I247" s="55"/>
      <c r="J247" s="65"/>
      <c r="K247" s="55"/>
      <c r="L247" s="55"/>
      <c r="M247" s="63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</row>
    <row r="248" spans="1:28" ht="15" x14ac:dyDescent="0.25">
      <c r="A248" s="55"/>
      <c r="B248" s="55"/>
      <c r="C248" s="55"/>
      <c r="D248" s="55"/>
      <c r="E248" s="55"/>
      <c r="F248" s="186"/>
      <c r="G248" s="55"/>
      <c r="H248" s="55"/>
      <c r="I248" s="55"/>
      <c r="J248" s="65"/>
      <c r="K248" s="55"/>
      <c r="L248" s="55"/>
      <c r="M248" s="63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</row>
    <row r="249" spans="1:28" ht="15" x14ac:dyDescent="0.25">
      <c r="A249" s="55"/>
      <c r="B249" s="55"/>
      <c r="C249" s="55"/>
      <c r="D249" s="55"/>
      <c r="E249" s="55"/>
      <c r="F249" s="186"/>
      <c r="G249" s="55"/>
      <c r="H249" s="55"/>
      <c r="I249" s="55"/>
      <c r="J249" s="65"/>
      <c r="K249" s="55"/>
      <c r="L249" s="55"/>
      <c r="M249" s="63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</row>
    <row r="250" spans="1:28" ht="15" x14ac:dyDescent="0.25">
      <c r="A250" s="55"/>
      <c r="B250" s="55"/>
      <c r="C250" s="55"/>
      <c r="D250" s="55"/>
      <c r="E250" s="55"/>
      <c r="F250" s="186"/>
      <c r="G250" s="55"/>
      <c r="H250" s="55"/>
      <c r="I250" s="55"/>
      <c r="J250" s="65"/>
      <c r="K250" s="55"/>
      <c r="L250" s="55"/>
      <c r="M250" s="63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</row>
    <row r="251" spans="1:28" ht="15" x14ac:dyDescent="0.25">
      <c r="A251" s="55"/>
      <c r="B251" s="55"/>
      <c r="C251" s="55"/>
      <c r="D251" s="55"/>
      <c r="E251" s="55"/>
      <c r="F251" s="186"/>
      <c r="G251" s="55"/>
      <c r="H251" s="55"/>
      <c r="I251" s="55"/>
      <c r="J251" s="65"/>
      <c r="K251" s="55"/>
      <c r="L251" s="55"/>
      <c r="M251" s="63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</row>
    <row r="252" spans="1:28" ht="15" x14ac:dyDescent="0.25">
      <c r="A252" s="55"/>
      <c r="B252" s="55"/>
      <c r="C252" s="55"/>
      <c r="D252" s="55"/>
      <c r="E252" s="55"/>
      <c r="F252" s="186"/>
      <c r="G252" s="55"/>
      <c r="H252" s="55"/>
      <c r="I252" s="55"/>
      <c r="J252" s="65"/>
      <c r="K252" s="55"/>
      <c r="L252" s="55"/>
      <c r="M252" s="63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</row>
    <row r="253" spans="1:28" ht="15" x14ac:dyDescent="0.25">
      <c r="A253" s="55"/>
      <c r="B253" s="55"/>
      <c r="C253" s="55"/>
      <c r="D253" s="55"/>
      <c r="E253" s="55"/>
      <c r="F253" s="186"/>
      <c r="G253" s="55"/>
      <c r="H253" s="55"/>
      <c r="I253" s="55"/>
      <c r="J253" s="65"/>
      <c r="K253" s="55"/>
      <c r="L253" s="55"/>
      <c r="M253" s="63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 spans="1:28" ht="15" x14ac:dyDescent="0.25">
      <c r="A254" s="55"/>
      <c r="B254" s="55"/>
      <c r="C254" s="55"/>
      <c r="D254" s="55"/>
      <c r="E254" s="55"/>
      <c r="F254" s="186"/>
      <c r="G254" s="55"/>
      <c r="H254" s="55"/>
      <c r="I254" s="55"/>
      <c r="J254" s="65"/>
      <c r="K254" s="55"/>
      <c r="L254" s="55"/>
      <c r="M254" s="63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 spans="1:28" ht="15" x14ac:dyDescent="0.25">
      <c r="A255" s="55"/>
      <c r="B255" s="55"/>
      <c r="C255" s="55"/>
      <c r="D255" s="55"/>
      <c r="E255" s="55"/>
      <c r="F255" s="186"/>
      <c r="G255" s="55"/>
      <c r="H255" s="55"/>
      <c r="I255" s="55"/>
      <c r="J255" s="65"/>
      <c r="K255" s="55"/>
      <c r="L255" s="55"/>
      <c r="M255" s="63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 spans="1:28" ht="15" x14ac:dyDescent="0.25">
      <c r="A256" s="55"/>
      <c r="B256" s="55"/>
      <c r="C256" s="55"/>
      <c r="D256" s="55"/>
      <c r="E256" s="55"/>
      <c r="F256" s="186"/>
      <c r="G256" s="55"/>
      <c r="H256" s="55"/>
      <c r="I256" s="55"/>
      <c r="J256" s="65"/>
      <c r="K256" s="55"/>
      <c r="L256" s="55"/>
      <c r="M256" s="63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 spans="1:28" ht="15" x14ac:dyDescent="0.25">
      <c r="A257" s="55"/>
      <c r="B257" s="55"/>
      <c r="C257" s="55"/>
      <c r="D257" s="55"/>
      <c r="E257" s="55"/>
      <c r="F257" s="186"/>
      <c r="G257" s="55"/>
      <c r="H257" s="55"/>
      <c r="I257" s="55"/>
      <c r="J257" s="65"/>
      <c r="K257" s="55"/>
      <c r="L257" s="55"/>
      <c r="M257" s="63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 spans="1:28" ht="15" x14ac:dyDescent="0.25">
      <c r="A258" s="55"/>
      <c r="B258" s="55"/>
      <c r="C258" s="55"/>
      <c r="D258" s="55"/>
      <c r="E258" s="55"/>
      <c r="F258" s="186"/>
      <c r="G258" s="55"/>
      <c r="H258" s="55"/>
      <c r="I258" s="55"/>
      <c r="J258" s="65"/>
      <c r="K258" s="55"/>
      <c r="L258" s="55"/>
      <c r="M258" s="63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 spans="1:28" ht="15" x14ac:dyDescent="0.25">
      <c r="A259" s="55"/>
      <c r="B259" s="55"/>
      <c r="C259" s="55"/>
      <c r="D259" s="55"/>
      <c r="E259" s="55"/>
      <c r="F259" s="186"/>
      <c r="G259" s="55"/>
      <c r="H259" s="55"/>
      <c r="I259" s="55"/>
      <c r="J259" s="65"/>
      <c r="K259" s="55"/>
      <c r="L259" s="55"/>
      <c r="M259" s="63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 spans="1:28" ht="15" x14ac:dyDescent="0.25">
      <c r="A260" s="55"/>
      <c r="B260" s="55"/>
      <c r="C260" s="55"/>
      <c r="D260" s="55"/>
      <c r="E260" s="55"/>
      <c r="F260" s="186"/>
      <c r="G260" s="55"/>
      <c r="H260" s="55"/>
      <c r="I260" s="55"/>
      <c r="J260" s="65"/>
      <c r="K260" s="55"/>
      <c r="L260" s="55"/>
      <c r="M260" s="63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 spans="1:28" ht="15" x14ac:dyDescent="0.25">
      <c r="A261" s="55"/>
      <c r="B261" s="55"/>
      <c r="C261" s="55"/>
      <c r="D261" s="55"/>
      <c r="E261" s="55"/>
      <c r="F261" s="186"/>
      <c r="G261" s="55"/>
      <c r="H261" s="55"/>
      <c r="I261" s="55"/>
      <c r="J261" s="65"/>
      <c r="K261" s="55"/>
      <c r="L261" s="55"/>
      <c r="M261" s="63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 spans="1:28" ht="15" x14ac:dyDescent="0.25">
      <c r="A262" s="55"/>
      <c r="B262" s="55"/>
      <c r="C262" s="55"/>
      <c r="D262" s="55"/>
      <c r="E262" s="55"/>
      <c r="F262" s="186"/>
      <c r="G262" s="55"/>
      <c r="H262" s="55"/>
      <c r="I262" s="55"/>
      <c r="J262" s="65"/>
      <c r="K262" s="55"/>
      <c r="L262" s="55"/>
      <c r="M262" s="63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 spans="1:28" ht="15" x14ac:dyDescent="0.25">
      <c r="A263" s="55"/>
      <c r="B263" s="55"/>
      <c r="C263" s="55"/>
      <c r="D263" s="55"/>
      <c r="E263" s="55"/>
      <c r="F263" s="186"/>
      <c r="G263" s="55"/>
      <c r="H263" s="55"/>
      <c r="I263" s="55"/>
      <c r="J263" s="65"/>
      <c r="K263" s="55"/>
      <c r="L263" s="55"/>
      <c r="M263" s="63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 spans="1:28" ht="15" x14ac:dyDescent="0.25">
      <c r="A264" s="55"/>
      <c r="B264" s="55"/>
      <c r="C264" s="55"/>
      <c r="D264" s="55"/>
      <c r="E264" s="55"/>
      <c r="F264" s="186"/>
      <c r="G264" s="55"/>
      <c r="H264" s="55"/>
      <c r="I264" s="55"/>
      <c r="J264" s="65"/>
      <c r="K264" s="55"/>
      <c r="L264" s="55"/>
      <c r="M264" s="63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 spans="1:28" ht="15" x14ac:dyDescent="0.25">
      <c r="A265" s="55"/>
      <c r="B265" s="55"/>
      <c r="C265" s="55"/>
      <c r="D265" s="55"/>
      <c r="E265" s="55"/>
      <c r="F265" s="186"/>
      <c r="G265" s="55"/>
      <c r="H265" s="55"/>
      <c r="I265" s="55"/>
      <c r="J265" s="65"/>
      <c r="K265" s="55"/>
      <c r="L265" s="55"/>
      <c r="M265" s="63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 spans="1:28" ht="15" x14ac:dyDescent="0.25">
      <c r="A266" s="55"/>
      <c r="B266" s="55"/>
      <c r="C266" s="55"/>
      <c r="D266" s="55"/>
      <c r="E266" s="55"/>
      <c r="F266" s="186"/>
      <c r="G266" s="55"/>
      <c r="H266" s="55"/>
      <c r="I266" s="55"/>
      <c r="J266" s="65"/>
      <c r="K266" s="55"/>
      <c r="L266" s="55"/>
      <c r="M266" s="63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 spans="1:28" ht="15" x14ac:dyDescent="0.25">
      <c r="A267" s="55"/>
      <c r="B267" s="55"/>
      <c r="C267" s="55"/>
      <c r="D267" s="55"/>
      <c r="E267" s="55"/>
      <c r="F267" s="186"/>
      <c r="G267" s="55"/>
      <c r="H267" s="55"/>
      <c r="I267" s="55"/>
      <c r="J267" s="65"/>
      <c r="K267" s="55"/>
      <c r="L267" s="55"/>
      <c r="M267" s="63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 spans="1:28" ht="15" x14ac:dyDescent="0.25">
      <c r="A268" s="55"/>
      <c r="B268" s="55"/>
      <c r="C268" s="55"/>
      <c r="D268" s="55"/>
      <c r="E268" s="55"/>
      <c r="F268" s="186"/>
      <c r="G268" s="55"/>
      <c r="H268" s="55"/>
      <c r="I268" s="55"/>
      <c r="J268" s="65"/>
      <c r="K268" s="55"/>
      <c r="L268" s="55"/>
      <c r="M268" s="63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 spans="1:28" ht="15" x14ac:dyDescent="0.25">
      <c r="A269" s="55"/>
      <c r="B269" s="55"/>
      <c r="C269" s="55"/>
      <c r="D269" s="55"/>
      <c r="E269" s="55"/>
      <c r="F269" s="186"/>
      <c r="G269" s="55"/>
      <c r="H269" s="55"/>
      <c r="I269" s="55"/>
      <c r="J269" s="65"/>
      <c r="K269" s="55"/>
      <c r="L269" s="55"/>
      <c r="M269" s="63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 spans="1:28" ht="15" x14ac:dyDescent="0.25">
      <c r="A270" s="55"/>
      <c r="B270" s="55"/>
      <c r="C270" s="55"/>
      <c r="D270" s="55"/>
      <c r="E270" s="55"/>
      <c r="F270" s="186"/>
      <c r="G270" s="55"/>
      <c r="H270" s="55"/>
      <c r="I270" s="55"/>
      <c r="J270" s="65"/>
      <c r="K270" s="55"/>
      <c r="L270" s="55"/>
      <c r="M270" s="63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 spans="1:28" ht="15" x14ac:dyDescent="0.25">
      <c r="A271" s="55"/>
      <c r="B271" s="55"/>
      <c r="C271" s="55"/>
      <c r="D271" s="55"/>
      <c r="E271" s="55"/>
      <c r="F271" s="186"/>
      <c r="G271" s="55"/>
      <c r="H271" s="55"/>
      <c r="I271" s="55"/>
      <c r="J271" s="65"/>
      <c r="K271" s="55"/>
      <c r="L271" s="55"/>
      <c r="M271" s="63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 spans="1:28" ht="15" x14ac:dyDescent="0.25">
      <c r="A272" s="55"/>
      <c r="B272" s="55"/>
      <c r="C272" s="55"/>
      <c r="D272" s="55"/>
      <c r="E272" s="55"/>
      <c r="F272" s="186"/>
      <c r="G272" s="55"/>
      <c r="H272" s="55"/>
      <c r="I272" s="55"/>
      <c r="J272" s="65"/>
      <c r="K272" s="55"/>
      <c r="L272" s="55"/>
      <c r="M272" s="63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 spans="1:28" ht="15" x14ac:dyDescent="0.25">
      <c r="A273" s="55"/>
      <c r="B273" s="55"/>
      <c r="C273" s="55"/>
      <c r="D273" s="55"/>
      <c r="E273" s="55"/>
      <c r="F273" s="186"/>
      <c r="G273" s="55"/>
      <c r="H273" s="55"/>
      <c r="I273" s="55"/>
      <c r="J273" s="65"/>
      <c r="K273" s="55"/>
      <c r="L273" s="55"/>
      <c r="M273" s="63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 spans="1:28" ht="15" x14ac:dyDescent="0.25">
      <c r="A274" s="55"/>
      <c r="B274" s="55"/>
      <c r="C274" s="55"/>
      <c r="D274" s="55"/>
      <c r="E274" s="55"/>
      <c r="F274" s="186"/>
      <c r="G274" s="55"/>
      <c r="H274" s="55"/>
      <c r="I274" s="55"/>
      <c r="J274" s="65"/>
      <c r="K274" s="55"/>
      <c r="L274" s="55"/>
      <c r="M274" s="63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 spans="1:28" ht="15" x14ac:dyDescent="0.25">
      <c r="A275" s="55"/>
      <c r="B275" s="55"/>
      <c r="C275" s="55"/>
      <c r="D275" s="55"/>
      <c r="E275" s="55"/>
      <c r="F275" s="186"/>
      <c r="G275" s="55"/>
      <c r="H275" s="55"/>
      <c r="I275" s="55"/>
      <c r="J275" s="65"/>
      <c r="K275" s="55"/>
      <c r="L275" s="55"/>
      <c r="M275" s="63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 spans="1:28" ht="15" x14ac:dyDescent="0.25">
      <c r="A276" s="55"/>
      <c r="B276" s="55"/>
      <c r="C276" s="55"/>
      <c r="D276" s="55"/>
      <c r="E276" s="55"/>
      <c r="F276" s="186"/>
      <c r="G276" s="55"/>
      <c r="H276" s="55"/>
      <c r="I276" s="55"/>
      <c r="J276" s="65"/>
      <c r="K276" s="55"/>
      <c r="L276" s="55"/>
      <c r="M276" s="63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 spans="1:28" ht="15" x14ac:dyDescent="0.25">
      <c r="A277" s="55"/>
      <c r="B277" s="55"/>
      <c r="C277" s="55"/>
      <c r="D277" s="55"/>
      <c r="E277" s="55"/>
      <c r="F277" s="186"/>
      <c r="G277" s="55"/>
      <c r="H277" s="55"/>
      <c r="I277" s="55"/>
      <c r="J277" s="65"/>
      <c r="K277" s="55"/>
      <c r="L277" s="55"/>
      <c r="M277" s="63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 spans="1:28" ht="15" x14ac:dyDescent="0.25">
      <c r="A278" s="55"/>
      <c r="B278" s="55"/>
      <c r="C278" s="55"/>
      <c r="D278" s="55"/>
      <c r="E278" s="55"/>
      <c r="F278" s="186"/>
      <c r="G278" s="55"/>
      <c r="H278" s="55"/>
      <c r="I278" s="55"/>
      <c r="J278" s="65"/>
      <c r="K278" s="55"/>
      <c r="L278" s="55"/>
      <c r="M278" s="63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 spans="1:28" ht="15" x14ac:dyDescent="0.25">
      <c r="A279" s="55"/>
      <c r="B279" s="55"/>
      <c r="C279" s="55"/>
      <c r="D279" s="55"/>
      <c r="E279" s="55"/>
      <c r="F279" s="186"/>
      <c r="G279" s="55"/>
      <c r="H279" s="55"/>
      <c r="I279" s="55"/>
      <c r="J279" s="65"/>
      <c r="K279" s="55"/>
      <c r="L279" s="55"/>
      <c r="M279" s="63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 spans="1:28" ht="15" x14ac:dyDescent="0.25">
      <c r="A280" s="55"/>
      <c r="B280" s="55"/>
      <c r="C280" s="55"/>
      <c r="D280" s="55"/>
      <c r="E280" s="55"/>
      <c r="F280" s="186"/>
      <c r="G280" s="55"/>
      <c r="H280" s="55"/>
      <c r="I280" s="55"/>
      <c r="J280" s="65"/>
      <c r="K280" s="55"/>
      <c r="L280" s="55"/>
      <c r="M280" s="63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 spans="1:28" ht="15" x14ac:dyDescent="0.25">
      <c r="A281" s="55"/>
      <c r="B281" s="55"/>
      <c r="C281" s="55"/>
      <c r="D281" s="55"/>
      <c r="E281" s="55"/>
      <c r="F281" s="186"/>
      <c r="G281" s="55"/>
      <c r="H281" s="55"/>
      <c r="I281" s="55"/>
      <c r="J281" s="65"/>
      <c r="K281" s="55"/>
      <c r="L281" s="55"/>
      <c r="M281" s="63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 spans="1:28" ht="15" x14ac:dyDescent="0.25">
      <c r="A282" s="55"/>
      <c r="B282" s="55"/>
      <c r="C282" s="55"/>
      <c r="D282" s="55"/>
      <c r="E282" s="55"/>
      <c r="F282" s="186"/>
      <c r="G282" s="55"/>
      <c r="H282" s="55"/>
      <c r="I282" s="55"/>
      <c r="J282" s="65"/>
      <c r="K282" s="55"/>
      <c r="L282" s="55"/>
      <c r="M282" s="63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 spans="1:28" ht="15" x14ac:dyDescent="0.25">
      <c r="A283" s="55"/>
      <c r="B283" s="55"/>
      <c r="C283" s="55"/>
      <c r="D283" s="55"/>
      <c r="E283" s="55"/>
      <c r="F283" s="186"/>
      <c r="G283" s="55"/>
      <c r="H283" s="55"/>
      <c r="I283" s="55"/>
      <c r="J283" s="65"/>
      <c r="K283" s="55"/>
      <c r="L283" s="55"/>
      <c r="M283" s="63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 spans="1:28" ht="15" x14ac:dyDescent="0.25">
      <c r="A284" s="55"/>
      <c r="B284" s="55"/>
      <c r="C284" s="55"/>
      <c r="D284" s="55"/>
      <c r="E284" s="55"/>
      <c r="F284" s="186"/>
      <c r="G284" s="55"/>
      <c r="H284" s="55"/>
      <c r="I284" s="55"/>
      <c r="J284" s="65"/>
      <c r="K284" s="55"/>
      <c r="L284" s="55"/>
      <c r="M284" s="63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 spans="1:28" ht="15" x14ac:dyDescent="0.25">
      <c r="A285" s="55"/>
      <c r="B285" s="55"/>
      <c r="C285" s="55"/>
      <c r="D285" s="55"/>
      <c r="E285" s="55"/>
      <c r="F285" s="186"/>
      <c r="G285" s="55"/>
      <c r="H285" s="55"/>
      <c r="I285" s="55"/>
      <c r="J285" s="65"/>
      <c r="K285" s="55"/>
      <c r="L285" s="55"/>
      <c r="M285" s="63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 spans="1:28" ht="15" x14ac:dyDescent="0.25">
      <c r="A286" s="55"/>
      <c r="B286" s="55"/>
      <c r="C286" s="55"/>
      <c r="D286" s="55"/>
      <c r="E286" s="55"/>
      <c r="F286" s="186"/>
      <c r="G286" s="55"/>
      <c r="H286" s="55"/>
      <c r="I286" s="55"/>
      <c r="J286" s="65"/>
      <c r="K286" s="55"/>
      <c r="L286" s="55"/>
      <c r="M286" s="63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 spans="1:28" ht="15" x14ac:dyDescent="0.25">
      <c r="A287" s="55"/>
      <c r="B287" s="55"/>
      <c r="C287" s="55"/>
      <c r="D287" s="55"/>
      <c r="E287" s="55"/>
      <c r="F287" s="186"/>
      <c r="G287" s="55"/>
      <c r="H287" s="55"/>
      <c r="I287" s="55"/>
      <c r="J287" s="65"/>
      <c r="K287" s="55"/>
      <c r="L287" s="55"/>
      <c r="M287" s="63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 spans="1:28" ht="15" x14ac:dyDescent="0.25">
      <c r="A288" s="55"/>
      <c r="B288" s="55"/>
      <c r="C288" s="55"/>
      <c r="D288" s="55"/>
      <c r="E288" s="55"/>
      <c r="F288" s="186"/>
      <c r="G288" s="55"/>
      <c r="H288" s="55"/>
      <c r="I288" s="55"/>
      <c r="J288" s="65"/>
      <c r="K288" s="55"/>
      <c r="L288" s="55"/>
      <c r="M288" s="63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 spans="1:28" ht="15" x14ac:dyDescent="0.25">
      <c r="A289" s="55"/>
      <c r="B289" s="55"/>
      <c r="C289" s="55"/>
      <c r="D289" s="55"/>
      <c r="E289" s="55"/>
      <c r="F289" s="186"/>
      <c r="G289" s="55"/>
      <c r="H289" s="55"/>
      <c r="I289" s="55"/>
      <c r="J289" s="65"/>
      <c r="K289" s="55"/>
      <c r="L289" s="55"/>
      <c r="M289" s="63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 spans="1:28" ht="15" x14ac:dyDescent="0.25">
      <c r="A290" s="55"/>
      <c r="B290" s="55"/>
      <c r="C290" s="55"/>
      <c r="D290" s="55"/>
      <c r="E290" s="55"/>
      <c r="F290" s="186"/>
      <c r="G290" s="55"/>
      <c r="H290" s="55"/>
      <c r="I290" s="55"/>
      <c r="J290" s="65"/>
      <c r="K290" s="55"/>
      <c r="L290" s="55"/>
      <c r="M290" s="63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 spans="1:28" ht="15" x14ac:dyDescent="0.25">
      <c r="A291" s="55"/>
      <c r="B291" s="55"/>
      <c r="C291" s="55"/>
      <c r="D291" s="55"/>
      <c r="E291" s="55"/>
      <c r="F291" s="186"/>
      <c r="G291" s="55"/>
      <c r="H291" s="55"/>
      <c r="I291" s="55"/>
      <c r="J291" s="65"/>
      <c r="K291" s="55"/>
      <c r="L291" s="55"/>
      <c r="M291" s="63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 spans="1:28" ht="15" x14ac:dyDescent="0.25">
      <c r="A292" s="55"/>
      <c r="B292" s="55"/>
      <c r="C292" s="55"/>
      <c r="D292" s="55"/>
      <c r="E292" s="55"/>
      <c r="F292" s="186"/>
      <c r="G292" s="55"/>
      <c r="H292" s="55"/>
      <c r="I292" s="55"/>
      <c r="J292" s="65"/>
      <c r="K292" s="55"/>
      <c r="L292" s="55"/>
      <c r="M292" s="63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 spans="1:28" ht="15" x14ac:dyDescent="0.25">
      <c r="A293" s="55"/>
      <c r="B293" s="55"/>
      <c r="C293" s="55"/>
      <c r="D293" s="55"/>
      <c r="E293" s="55"/>
      <c r="F293" s="186"/>
      <c r="G293" s="55"/>
      <c r="H293" s="55"/>
      <c r="I293" s="55"/>
      <c r="J293" s="65"/>
      <c r="K293" s="55"/>
      <c r="L293" s="55"/>
      <c r="M293" s="63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 spans="1:28" ht="15" x14ac:dyDescent="0.25">
      <c r="A294" s="55"/>
      <c r="B294" s="55"/>
      <c r="C294" s="55"/>
      <c r="D294" s="55"/>
      <c r="E294" s="55"/>
      <c r="F294" s="186"/>
      <c r="G294" s="55"/>
      <c r="H294" s="55"/>
      <c r="I294" s="55"/>
      <c r="J294" s="65"/>
      <c r="K294" s="55"/>
      <c r="L294" s="55"/>
      <c r="M294" s="63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 spans="1:28" ht="15" x14ac:dyDescent="0.25">
      <c r="A295" s="55"/>
      <c r="B295" s="55"/>
      <c r="C295" s="55"/>
      <c r="D295" s="55"/>
      <c r="E295" s="55"/>
      <c r="F295" s="186"/>
      <c r="G295" s="55"/>
      <c r="H295" s="55"/>
      <c r="I295" s="55"/>
      <c r="J295" s="65"/>
      <c r="K295" s="55"/>
      <c r="L295" s="55"/>
      <c r="M295" s="63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 spans="1:28" ht="15" x14ac:dyDescent="0.25">
      <c r="A296" s="55"/>
      <c r="B296" s="55"/>
      <c r="C296" s="55"/>
      <c r="D296" s="55"/>
      <c r="E296" s="55"/>
      <c r="F296" s="186"/>
      <c r="G296" s="55"/>
      <c r="H296" s="55"/>
      <c r="I296" s="55"/>
      <c r="J296" s="65"/>
      <c r="K296" s="55"/>
      <c r="L296" s="55"/>
      <c r="M296" s="63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 spans="1:28" ht="15" x14ac:dyDescent="0.25">
      <c r="A297" s="55"/>
      <c r="B297" s="55"/>
      <c r="C297" s="55"/>
      <c r="D297" s="55"/>
      <c r="E297" s="55"/>
      <c r="F297" s="186"/>
      <c r="G297" s="55"/>
      <c r="H297" s="55"/>
      <c r="I297" s="55"/>
      <c r="J297" s="65"/>
      <c r="K297" s="55"/>
      <c r="L297" s="55"/>
      <c r="M297" s="63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 spans="1:28" ht="15" x14ac:dyDescent="0.25">
      <c r="A298" s="55"/>
      <c r="B298" s="55"/>
      <c r="C298" s="55"/>
      <c r="D298" s="55"/>
      <c r="E298" s="55"/>
      <c r="F298" s="186"/>
      <c r="G298" s="55"/>
      <c r="H298" s="55"/>
      <c r="I298" s="55"/>
      <c r="J298" s="65"/>
      <c r="K298" s="55"/>
      <c r="L298" s="55"/>
      <c r="M298" s="63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 spans="1:28" ht="15" x14ac:dyDescent="0.25">
      <c r="A299" s="55"/>
      <c r="B299" s="55"/>
      <c r="C299" s="55"/>
      <c r="D299" s="55"/>
      <c r="E299" s="55"/>
      <c r="F299" s="186"/>
      <c r="G299" s="55"/>
      <c r="H299" s="55"/>
      <c r="I299" s="55"/>
      <c r="J299" s="65"/>
      <c r="K299" s="55"/>
      <c r="L299" s="55"/>
      <c r="M299" s="63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 spans="1:28" ht="15" x14ac:dyDescent="0.25">
      <c r="A300" s="55"/>
      <c r="B300" s="55"/>
      <c r="C300" s="55"/>
      <c r="D300" s="55"/>
      <c r="E300" s="55"/>
      <c r="F300" s="186"/>
      <c r="G300" s="55"/>
      <c r="H300" s="55"/>
      <c r="I300" s="55"/>
      <c r="J300" s="65"/>
      <c r="K300" s="55"/>
      <c r="L300" s="55"/>
      <c r="M300" s="63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 spans="1:28" ht="15" x14ac:dyDescent="0.25">
      <c r="A301" s="55"/>
      <c r="B301" s="55"/>
      <c r="C301" s="55"/>
      <c r="D301" s="55"/>
      <c r="E301" s="55"/>
      <c r="F301" s="186"/>
      <c r="G301" s="55"/>
      <c r="H301" s="55"/>
      <c r="I301" s="55"/>
      <c r="J301" s="65"/>
      <c r="K301" s="55"/>
      <c r="L301" s="55"/>
      <c r="M301" s="63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 spans="1:28" ht="15" x14ac:dyDescent="0.25">
      <c r="A302" s="55"/>
      <c r="B302" s="55"/>
      <c r="C302" s="55"/>
      <c r="D302" s="55"/>
      <c r="E302" s="55"/>
      <c r="F302" s="186"/>
      <c r="G302" s="55"/>
      <c r="H302" s="55"/>
      <c r="I302" s="55"/>
      <c r="J302" s="65"/>
      <c r="K302" s="55"/>
      <c r="L302" s="55"/>
      <c r="M302" s="63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 spans="1:28" ht="15" x14ac:dyDescent="0.25">
      <c r="A303" s="55"/>
      <c r="B303" s="55"/>
      <c r="C303" s="55"/>
      <c r="D303" s="55"/>
      <c r="E303" s="55"/>
      <c r="F303" s="186"/>
      <c r="G303" s="55"/>
      <c r="H303" s="55"/>
      <c r="I303" s="55"/>
      <c r="J303" s="65"/>
      <c r="K303" s="55"/>
      <c r="L303" s="55"/>
      <c r="M303" s="63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 spans="1:28" ht="15" x14ac:dyDescent="0.25">
      <c r="A304" s="55"/>
      <c r="B304" s="55"/>
      <c r="C304" s="55"/>
      <c r="D304" s="55"/>
      <c r="E304" s="55"/>
      <c r="F304" s="186"/>
      <c r="G304" s="55"/>
      <c r="H304" s="55"/>
      <c r="I304" s="55"/>
      <c r="J304" s="65"/>
      <c r="K304" s="55"/>
      <c r="L304" s="55"/>
      <c r="M304" s="63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 spans="1:28" ht="15" x14ac:dyDescent="0.25">
      <c r="A305" s="55"/>
      <c r="B305" s="55"/>
      <c r="C305" s="55"/>
      <c r="D305" s="55"/>
      <c r="E305" s="55"/>
      <c r="F305" s="186"/>
      <c r="G305" s="55"/>
      <c r="H305" s="55"/>
      <c r="I305" s="55"/>
      <c r="J305" s="65"/>
      <c r="K305" s="55"/>
      <c r="L305" s="55"/>
      <c r="M305" s="63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 spans="1:28" ht="15" x14ac:dyDescent="0.25">
      <c r="A306" s="55"/>
      <c r="B306" s="55"/>
      <c r="C306" s="55"/>
      <c r="D306" s="55"/>
      <c r="E306" s="55"/>
      <c r="F306" s="186"/>
      <c r="G306" s="55"/>
      <c r="H306" s="55"/>
      <c r="I306" s="55"/>
      <c r="J306" s="65"/>
      <c r="K306" s="55"/>
      <c r="L306" s="55"/>
      <c r="M306" s="63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 spans="1:28" ht="15" x14ac:dyDescent="0.25">
      <c r="A307" s="55"/>
      <c r="B307" s="55"/>
      <c r="C307" s="55"/>
      <c r="D307" s="55"/>
      <c r="E307" s="55"/>
      <c r="F307" s="186"/>
      <c r="G307" s="55"/>
      <c r="H307" s="55"/>
      <c r="I307" s="55"/>
      <c r="J307" s="65"/>
      <c r="K307" s="55"/>
      <c r="L307" s="55"/>
      <c r="M307" s="63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 spans="1:28" ht="15" x14ac:dyDescent="0.25">
      <c r="A308" s="55"/>
      <c r="B308" s="55"/>
      <c r="C308" s="55"/>
      <c r="D308" s="55"/>
      <c r="E308" s="55"/>
      <c r="F308" s="186"/>
      <c r="G308" s="55"/>
      <c r="H308" s="55"/>
      <c r="I308" s="55"/>
      <c r="J308" s="65"/>
      <c r="K308" s="55"/>
      <c r="L308" s="55"/>
      <c r="M308" s="63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 spans="1:28" ht="15" x14ac:dyDescent="0.25">
      <c r="A309" s="55"/>
      <c r="B309" s="55"/>
      <c r="C309" s="55"/>
      <c r="D309" s="55"/>
      <c r="E309" s="55"/>
      <c r="F309" s="186"/>
      <c r="G309" s="55"/>
      <c r="H309" s="55"/>
      <c r="I309" s="55"/>
      <c r="J309" s="65"/>
      <c r="K309" s="55"/>
      <c r="L309" s="55"/>
      <c r="M309" s="63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 spans="1:28" ht="15" x14ac:dyDescent="0.25">
      <c r="A310" s="55"/>
      <c r="B310" s="55"/>
      <c r="C310" s="55"/>
      <c r="D310" s="55"/>
      <c r="E310" s="55"/>
      <c r="F310" s="186"/>
      <c r="G310" s="55"/>
      <c r="H310" s="55"/>
      <c r="I310" s="55"/>
      <c r="J310" s="65"/>
      <c r="K310" s="55"/>
      <c r="L310" s="55"/>
      <c r="M310" s="63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 spans="1:28" ht="15" x14ac:dyDescent="0.25">
      <c r="A311" s="55"/>
      <c r="B311" s="55"/>
      <c r="C311" s="55"/>
      <c r="D311" s="55"/>
      <c r="E311" s="55"/>
      <c r="F311" s="186"/>
      <c r="G311" s="55"/>
      <c r="H311" s="55"/>
      <c r="I311" s="55"/>
      <c r="J311" s="65"/>
      <c r="K311" s="55"/>
      <c r="L311" s="55"/>
      <c r="M311" s="63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 spans="1:28" ht="15" x14ac:dyDescent="0.25">
      <c r="A312" s="55"/>
      <c r="B312" s="55"/>
      <c r="C312" s="55"/>
      <c r="D312" s="55"/>
      <c r="E312" s="55"/>
      <c r="F312" s="186"/>
      <c r="G312" s="55"/>
      <c r="H312" s="55"/>
      <c r="I312" s="55"/>
      <c r="J312" s="65"/>
      <c r="K312" s="55"/>
      <c r="L312" s="55"/>
      <c r="M312" s="63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 spans="1:28" ht="15" x14ac:dyDescent="0.25">
      <c r="A313" s="55"/>
      <c r="B313" s="55"/>
      <c r="C313" s="55"/>
      <c r="D313" s="55"/>
      <c r="E313" s="55"/>
      <c r="F313" s="186"/>
      <c r="G313" s="55"/>
      <c r="H313" s="55"/>
      <c r="I313" s="55"/>
      <c r="J313" s="65"/>
      <c r="K313" s="55"/>
      <c r="L313" s="55"/>
      <c r="M313" s="63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 spans="1:28" ht="15" x14ac:dyDescent="0.25">
      <c r="A314" s="55"/>
      <c r="B314" s="55"/>
      <c r="C314" s="55"/>
      <c r="D314" s="55"/>
      <c r="E314" s="55"/>
      <c r="F314" s="186"/>
      <c r="G314" s="55"/>
      <c r="H314" s="55"/>
      <c r="I314" s="55"/>
      <c r="J314" s="65"/>
      <c r="K314" s="55"/>
      <c r="L314" s="55"/>
      <c r="M314" s="63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 spans="1:28" ht="15" x14ac:dyDescent="0.25">
      <c r="A315" s="55"/>
      <c r="B315" s="55"/>
      <c r="C315" s="55"/>
      <c r="D315" s="55"/>
      <c r="E315" s="55"/>
      <c r="F315" s="186"/>
      <c r="G315" s="55"/>
      <c r="H315" s="55"/>
      <c r="I315" s="55"/>
      <c r="J315" s="65"/>
      <c r="K315" s="55"/>
      <c r="L315" s="55"/>
      <c r="M315" s="63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 spans="1:28" ht="15" x14ac:dyDescent="0.25">
      <c r="A316" s="55"/>
      <c r="B316" s="55"/>
      <c r="C316" s="55"/>
      <c r="D316" s="55"/>
      <c r="E316" s="55"/>
      <c r="F316" s="186"/>
      <c r="G316" s="55"/>
      <c r="H316" s="55"/>
      <c r="I316" s="55"/>
      <c r="J316" s="65"/>
      <c r="K316" s="55"/>
      <c r="L316" s="55"/>
      <c r="M316" s="63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 spans="1:28" ht="15" x14ac:dyDescent="0.25">
      <c r="A317" s="55"/>
      <c r="B317" s="55"/>
      <c r="C317" s="55"/>
      <c r="D317" s="55"/>
      <c r="E317" s="55"/>
      <c r="F317" s="186"/>
      <c r="G317" s="55"/>
      <c r="H317" s="55"/>
      <c r="I317" s="55"/>
      <c r="J317" s="65"/>
      <c r="K317" s="55"/>
      <c r="L317" s="55"/>
      <c r="M317" s="63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 spans="1:28" ht="15" x14ac:dyDescent="0.25">
      <c r="A318" s="55"/>
      <c r="B318" s="55"/>
      <c r="C318" s="55"/>
      <c r="D318" s="55"/>
      <c r="E318" s="55"/>
      <c r="F318" s="186"/>
      <c r="G318" s="55"/>
      <c r="H318" s="55"/>
      <c r="I318" s="55"/>
      <c r="J318" s="65"/>
      <c r="K318" s="55"/>
      <c r="L318" s="55"/>
      <c r="M318" s="63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 spans="1:28" ht="15" x14ac:dyDescent="0.25">
      <c r="A319" s="55"/>
      <c r="B319" s="55"/>
      <c r="C319" s="55"/>
      <c r="D319" s="55"/>
      <c r="E319" s="55"/>
      <c r="F319" s="186"/>
      <c r="G319" s="55"/>
      <c r="H319" s="55"/>
      <c r="I319" s="55"/>
      <c r="J319" s="65"/>
      <c r="K319" s="55"/>
      <c r="L319" s="55"/>
      <c r="M319" s="63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 spans="1:28" ht="15" x14ac:dyDescent="0.25">
      <c r="A320" s="55"/>
      <c r="B320" s="55"/>
      <c r="C320" s="55"/>
      <c r="D320" s="55"/>
      <c r="E320" s="55"/>
      <c r="F320" s="186"/>
      <c r="G320" s="55"/>
      <c r="H320" s="55"/>
      <c r="I320" s="55"/>
      <c r="J320" s="65"/>
      <c r="K320" s="55"/>
      <c r="L320" s="55"/>
      <c r="M320" s="63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 spans="1:28" ht="15" x14ac:dyDescent="0.25">
      <c r="A321" s="55"/>
      <c r="B321" s="55"/>
      <c r="C321" s="55"/>
      <c r="D321" s="55"/>
      <c r="E321" s="55"/>
      <c r="F321" s="186"/>
      <c r="G321" s="55"/>
      <c r="H321" s="55"/>
      <c r="I321" s="55"/>
      <c r="J321" s="65"/>
      <c r="K321" s="55"/>
      <c r="L321" s="55"/>
      <c r="M321" s="63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 spans="1:28" ht="15" x14ac:dyDescent="0.25">
      <c r="A322" s="55"/>
      <c r="B322" s="55"/>
      <c r="C322" s="55"/>
      <c r="D322" s="55"/>
      <c r="E322" s="55"/>
      <c r="F322" s="186"/>
      <c r="G322" s="55"/>
      <c r="H322" s="55"/>
      <c r="I322" s="55"/>
      <c r="J322" s="65"/>
      <c r="K322" s="55"/>
      <c r="L322" s="55"/>
      <c r="M322" s="63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 spans="1:28" ht="15" x14ac:dyDescent="0.25">
      <c r="A323" s="55"/>
      <c r="B323" s="55"/>
      <c r="C323" s="55"/>
      <c r="D323" s="55"/>
      <c r="E323" s="55"/>
      <c r="F323" s="186"/>
      <c r="G323" s="55"/>
      <c r="H323" s="55"/>
      <c r="I323" s="55"/>
      <c r="J323" s="65"/>
      <c r="K323" s="55"/>
      <c r="L323" s="55"/>
      <c r="M323" s="63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 spans="1:28" ht="15" x14ac:dyDescent="0.25">
      <c r="A324" s="55"/>
      <c r="B324" s="55"/>
      <c r="C324" s="55"/>
      <c r="D324" s="55"/>
      <c r="E324" s="55"/>
      <c r="F324" s="186"/>
      <c r="G324" s="55"/>
      <c r="H324" s="55"/>
      <c r="I324" s="55"/>
      <c r="J324" s="65"/>
      <c r="K324" s="55"/>
      <c r="L324" s="55"/>
      <c r="M324" s="63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 spans="1:28" ht="15" x14ac:dyDescent="0.25">
      <c r="A325" s="55"/>
      <c r="B325" s="55"/>
      <c r="C325" s="55"/>
      <c r="D325" s="55"/>
      <c r="E325" s="55"/>
      <c r="F325" s="186"/>
      <c r="G325" s="55"/>
      <c r="H325" s="55"/>
      <c r="I325" s="55"/>
      <c r="J325" s="65"/>
      <c r="K325" s="55"/>
      <c r="L325" s="55"/>
      <c r="M325" s="63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 spans="1:28" ht="15" x14ac:dyDescent="0.25">
      <c r="A326" s="55"/>
      <c r="B326" s="55"/>
      <c r="C326" s="55"/>
      <c r="D326" s="55"/>
      <c r="E326" s="55"/>
      <c r="F326" s="186"/>
      <c r="G326" s="55"/>
      <c r="H326" s="55"/>
      <c r="I326" s="55"/>
      <c r="J326" s="65"/>
      <c r="K326" s="55"/>
      <c r="L326" s="55"/>
      <c r="M326" s="63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 spans="1:28" ht="15" x14ac:dyDescent="0.25">
      <c r="A327" s="55"/>
      <c r="B327" s="55"/>
      <c r="C327" s="55"/>
      <c r="D327" s="55"/>
      <c r="E327" s="55"/>
      <c r="F327" s="186"/>
      <c r="G327" s="55"/>
      <c r="H327" s="55"/>
      <c r="I327" s="55"/>
      <c r="J327" s="65"/>
      <c r="K327" s="55"/>
      <c r="L327" s="55"/>
      <c r="M327" s="63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 spans="1:28" ht="15" x14ac:dyDescent="0.25">
      <c r="A328" s="55"/>
      <c r="B328" s="55"/>
      <c r="C328" s="55"/>
      <c r="D328" s="55"/>
      <c r="E328" s="55"/>
      <c r="F328" s="186"/>
      <c r="G328" s="55"/>
      <c r="H328" s="55"/>
      <c r="I328" s="55"/>
      <c r="J328" s="65"/>
      <c r="K328" s="55"/>
      <c r="L328" s="55"/>
      <c r="M328" s="63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 spans="1:28" ht="15" x14ac:dyDescent="0.25">
      <c r="A329" s="55"/>
      <c r="B329" s="55"/>
      <c r="C329" s="55"/>
      <c r="D329" s="55"/>
      <c r="E329" s="55"/>
      <c r="F329" s="186"/>
      <c r="G329" s="55"/>
      <c r="H329" s="55"/>
      <c r="I329" s="55"/>
      <c r="J329" s="65"/>
      <c r="K329" s="55"/>
      <c r="L329" s="55"/>
      <c r="M329" s="63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 spans="1:28" ht="15" x14ac:dyDescent="0.25">
      <c r="A330" s="55"/>
      <c r="B330" s="55"/>
      <c r="C330" s="55"/>
      <c r="D330" s="55"/>
      <c r="E330" s="55"/>
      <c r="F330" s="186"/>
      <c r="G330" s="55"/>
      <c r="H330" s="55"/>
      <c r="I330" s="55"/>
      <c r="J330" s="65"/>
      <c r="K330" s="55"/>
      <c r="L330" s="55"/>
      <c r="M330" s="63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 spans="1:28" ht="15" x14ac:dyDescent="0.25">
      <c r="A331" s="55"/>
      <c r="B331" s="55"/>
      <c r="C331" s="55"/>
      <c r="D331" s="55"/>
      <c r="E331" s="55"/>
      <c r="F331" s="186"/>
      <c r="G331" s="55"/>
      <c r="H331" s="55"/>
      <c r="I331" s="55"/>
      <c r="J331" s="65"/>
      <c r="K331" s="55"/>
      <c r="L331" s="55"/>
      <c r="M331" s="63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 spans="1:28" ht="15" x14ac:dyDescent="0.25">
      <c r="A332" s="55"/>
      <c r="B332" s="55"/>
      <c r="C332" s="55"/>
      <c r="D332" s="55"/>
      <c r="E332" s="55"/>
      <c r="F332" s="186"/>
      <c r="G332" s="55"/>
      <c r="H332" s="55"/>
      <c r="I332" s="55"/>
      <c r="J332" s="65"/>
      <c r="K332" s="55"/>
      <c r="L332" s="55"/>
      <c r="M332" s="63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 spans="1:28" ht="15" x14ac:dyDescent="0.25">
      <c r="A333" s="55"/>
      <c r="B333" s="55"/>
      <c r="C333" s="55"/>
      <c r="D333" s="55"/>
      <c r="E333" s="55"/>
      <c r="F333" s="186"/>
      <c r="G333" s="55"/>
      <c r="H333" s="55"/>
      <c r="I333" s="55"/>
      <c r="J333" s="65"/>
      <c r="K333" s="55"/>
      <c r="L333" s="55"/>
      <c r="M333" s="63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 spans="1:28" ht="15" x14ac:dyDescent="0.25">
      <c r="A334" s="55"/>
      <c r="B334" s="55"/>
      <c r="C334" s="55"/>
      <c r="D334" s="55"/>
      <c r="E334" s="55"/>
      <c r="F334" s="186"/>
      <c r="G334" s="55"/>
      <c r="H334" s="55"/>
      <c r="I334" s="55"/>
      <c r="J334" s="65"/>
      <c r="K334" s="55"/>
      <c r="L334" s="55"/>
      <c r="M334" s="63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 spans="1:28" ht="15" x14ac:dyDescent="0.25">
      <c r="A335" s="55"/>
      <c r="B335" s="55"/>
      <c r="C335" s="55"/>
      <c r="D335" s="55"/>
      <c r="E335" s="55"/>
      <c r="F335" s="186"/>
      <c r="G335" s="55"/>
      <c r="H335" s="55"/>
      <c r="I335" s="55"/>
      <c r="J335" s="65"/>
      <c r="K335" s="55"/>
      <c r="L335" s="55"/>
      <c r="M335" s="63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 spans="1:28" ht="15" x14ac:dyDescent="0.25">
      <c r="A336" s="55"/>
      <c r="B336" s="55"/>
      <c r="C336" s="55"/>
      <c r="D336" s="55"/>
      <c r="E336" s="55"/>
      <c r="F336" s="186"/>
      <c r="G336" s="55"/>
      <c r="H336" s="55"/>
      <c r="I336" s="55"/>
      <c r="J336" s="65"/>
      <c r="K336" s="55"/>
      <c r="L336" s="55"/>
      <c r="M336" s="63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 spans="1:28" ht="15" x14ac:dyDescent="0.25">
      <c r="A337" s="55"/>
      <c r="B337" s="55"/>
      <c r="C337" s="55"/>
      <c r="D337" s="55"/>
      <c r="E337" s="55"/>
      <c r="F337" s="186"/>
      <c r="G337" s="55"/>
      <c r="H337" s="55"/>
      <c r="I337" s="55"/>
      <c r="J337" s="65"/>
      <c r="K337" s="55"/>
      <c r="L337" s="55"/>
      <c r="M337" s="63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 spans="1:28" ht="15" x14ac:dyDescent="0.25">
      <c r="A338" s="55"/>
      <c r="B338" s="55"/>
      <c r="C338" s="55"/>
      <c r="D338" s="55"/>
      <c r="E338" s="55"/>
      <c r="F338" s="186"/>
      <c r="G338" s="55"/>
      <c r="H338" s="55"/>
      <c r="I338" s="55"/>
      <c r="J338" s="65"/>
      <c r="K338" s="55"/>
      <c r="L338" s="55"/>
      <c r="M338" s="63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 spans="1:28" ht="15" x14ac:dyDescent="0.25">
      <c r="A339" s="55"/>
      <c r="B339" s="55"/>
      <c r="C339" s="55"/>
      <c r="D339" s="55"/>
      <c r="E339" s="55"/>
      <c r="F339" s="186"/>
      <c r="G339" s="55"/>
      <c r="H339" s="55"/>
      <c r="I339" s="55"/>
      <c r="J339" s="65"/>
      <c r="K339" s="55"/>
      <c r="L339" s="55"/>
      <c r="M339" s="63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 spans="1:28" ht="15" x14ac:dyDescent="0.25">
      <c r="A340" s="55"/>
      <c r="B340" s="55"/>
      <c r="C340" s="55"/>
      <c r="D340" s="55"/>
      <c r="E340" s="55"/>
      <c r="F340" s="186"/>
      <c r="G340" s="55"/>
      <c r="H340" s="55"/>
      <c r="I340" s="55"/>
      <c r="J340" s="65"/>
      <c r="K340" s="55"/>
      <c r="L340" s="55"/>
      <c r="M340" s="63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 spans="1:28" ht="15" x14ac:dyDescent="0.25">
      <c r="A341" s="55"/>
      <c r="B341" s="55"/>
      <c r="C341" s="55"/>
      <c r="D341" s="55"/>
      <c r="E341" s="55"/>
      <c r="F341" s="186"/>
      <c r="G341" s="55"/>
      <c r="H341" s="55"/>
      <c r="I341" s="55"/>
      <c r="J341" s="65"/>
      <c r="K341" s="55"/>
      <c r="L341" s="55"/>
      <c r="M341" s="63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 spans="1:28" ht="15" x14ac:dyDescent="0.25">
      <c r="A342" s="55"/>
      <c r="B342" s="55"/>
      <c r="C342" s="55"/>
      <c r="D342" s="55"/>
      <c r="E342" s="55"/>
      <c r="F342" s="186"/>
      <c r="G342" s="55"/>
      <c r="H342" s="55"/>
      <c r="I342" s="55"/>
      <c r="J342" s="65"/>
      <c r="K342" s="55"/>
      <c r="L342" s="55"/>
      <c r="M342" s="63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 spans="1:28" ht="15" x14ac:dyDescent="0.25">
      <c r="A343" s="55"/>
      <c r="B343" s="55"/>
      <c r="C343" s="55"/>
      <c r="D343" s="55"/>
      <c r="E343" s="55"/>
      <c r="F343" s="186"/>
      <c r="G343" s="55"/>
      <c r="H343" s="55"/>
      <c r="I343" s="55"/>
      <c r="J343" s="65"/>
      <c r="K343" s="55"/>
      <c r="L343" s="55"/>
      <c r="M343" s="63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 spans="1:28" ht="15" x14ac:dyDescent="0.25">
      <c r="A344" s="55"/>
      <c r="B344" s="55"/>
      <c r="C344" s="55"/>
      <c r="D344" s="55"/>
      <c r="E344" s="55"/>
      <c r="F344" s="186"/>
      <c r="G344" s="55"/>
      <c r="H344" s="55"/>
      <c r="I344" s="55"/>
      <c r="J344" s="65"/>
      <c r="K344" s="55"/>
      <c r="L344" s="55"/>
      <c r="M344" s="63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 spans="1:28" ht="15" x14ac:dyDescent="0.25">
      <c r="A345" s="55"/>
      <c r="B345" s="55"/>
      <c r="C345" s="55"/>
      <c r="D345" s="55"/>
      <c r="E345" s="55"/>
      <c r="F345" s="186"/>
      <c r="G345" s="55"/>
      <c r="H345" s="55"/>
      <c r="I345" s="55"/>
      <c r="J345" s="65"/>
      <c r="K345" s="55"/>
      <c r="L345" s="55"/>
      <c r="M345" s="63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 spans="1:28" ht="15" x14ac:dyDescent="0.25">
      <c r="A346" s="55"/>
      <c r="B346" s="55"/>
      <c r="C346" s="55"/>
      <c r="D346" s="55"/>
      <c r="E346" s="55"/>
      <c r="F346" s="186"/>
      <c r="G346" s="55"/>
      <c r="H346" s="55"/>
      <c r="I346" s="55"/>
      <c r="J346" s="65"/>
      <c r="K346" s="55"/>
      <c r="L346" s="55"/>
      <c r="M346" s="63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 spans="1:28" ht="15" x14ac:dyDescent="0.25">
      <c r="A347" s="55"/>
      <c r="B347" s="55"/>
      <c r="C347" s="55"/>
      <c r="D347" s="55"/>
      <c r="E347" s="55"/>
      <c r="F347" s="186"/>
      <c r="G347" s="55"/>
      <c r="H347" s="55"/>
      <c r="I347" s="55"/>
      <c r="J347" s="65"/>
      <c r="K347" s="55"/>
      <c r="L347" s="55"/>
      <c r="M347" s="63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 spans="1:28" ht="15" x14ac:dyDescent="0.25">
      <c r="A348" s="55"/>
      <c r="B348" s="55"/>
      <c r="C348" s="55"/>
      <c r="D348" s="55"/>
      <c r="E348" s="55"/>
      <c r="F348" s="186"/>
      <c r="G348" s="55"/>
      <c r="H348" s="55"/>
      <c r="I348" s="55"/>
      <c r="J348" s="65"/>
      <c r="K348" s="55"/>
      <c r="L348" s="55"/>
      <c r="M348" s="63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 spans="1:28" ht="15" x14ac:dyDescent="0.25">
      <c r="A349" s="55"/>
      <c r="B349" s="55"/>
      <c r="C349" s="55"/>
      <c r="D349" s="55"/>
      <c r="E349" s="55"/>
      <c r="F349" s="186"/>
      <c r="G349" s="55"/>
      <c r="H349" s="55"/>
      <c r="I349" s="55"/>
      <c r="J349" s="65"/>
      <c r="K349" s="55"/>
      <c r="L349" s="55"/>
      <c r="M349" s="63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 spans="1:28" ht="15" x14ac:dyDescent="0.25">
      <c r="A350" s="55"/>
      <c r="B350" s="55"/>
      <c r="C350" s="55"/>
      <c r="D350" s="55"/>
      <c r="E350" s="55"/>
      <c r="F350" s="186"/>
      <c r="G350" s="55"/>
      <c r="H350" s="55"/>
      <c r="I350" s="55"/>
      <c r="J350" s="65"/>
      <c r="K350" s="55"/>
      <c r="L350" s="55"/>
      <c r="M350" s="63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 spans="1:28" ht="15" x14ac:dyDescent="0.25">
      <c r="A351" s="55"/>
      <c r="B351" s="55"/>
      <c r="C351" s="55"/>
      <c r="D351" s="55"/>
      <c r="E351" s="55"/>
      <c r="F351" s="186"/>
      <c r="G351" s="55"/>
      <c r="H351" s="55"/>
      <c r="I351" s="55"/>
      <c r="J351" s="65"/>
      <c r="K351" s="55"/>
      <c r="L351" s="55"/>
      <c r="M351" s="63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 spans="1:28" ht="15" x14ac:dyDescent="0.25">
      <c r="A352" s="55"/>
      <c r="B352" s="55"/>
      <c r="C352" s="55"/>
      <c r="D352" s="55"/>
      <c r="E352" s="55"/>
      <c r="F352" s="186"/>
      <c r="G352" s="55"/>
      <c r="H352" s="55"/>
      <c r="I352" s="55"/>
      <c r="J352" s="65"/>
      <c r="K352" s="55"/>
      <c r="L352" s="55"/>
      <c r="M352" s="63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 spans="1:28" ht="15" x14ac:dyDescent="0.25">
      <c r="A353" s="55"/>
      <c r="B353" s="55"/>
      <c r="C353" s="55"/>
      <c r="D353" s="55"/>
      <c r="E353" s="55"/>
      <c r="F353" s="186"/>
      <c r="G353" s="55"/>
      <c r="H353" s="55"/>
      <c r="I353" s="55"/>
      <c r="J353" s="65"/>
      <c r="K353" s="55"/>
      <c r="L353" s="55"/>
      <c r="M353" s="63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 spans="1:28" ht="15" x14ac:dyDescent="0.25">
      <c r="A354" s="55"/>
      <c r="B354" s="55"/>
      <c r="C354" s="55"/>
      <c r="D354" s="55"/>
      <c r="E354" s="55"/>
      <c r="F354" s="186"/>
      <c r="G354" s="55"/>
      <c r="H354" s="55"/>
      <c r="I354" s="55"/>
      <c r="J354" s="65"/>
      <c r="K354" s="55"/>
      <c r="L354" s="55"/>
      <c r="M354" s="63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 spans="1:28" ht="15" x14ac:dyDescent="0.25">
      <c r="A355" s="55"/>
      <c r="B355" s="55"/>
      <c r="C355" s="55"/>
      <c r="D355" s="55"/>
      <c r="E355" s="55"/>
      <c r="F355" s="186"/>
      <c r="G355" s="55"/>
      <c r="H355" s="55"/>
      <c r="I355" s="55"/>
      <c r="J355" s="65"/>
      <c r="K355" s="55"/>
      <c r="L355" s="55"/>
      <c r="M355" s="63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 spans="1:28" ht="15" x14ac:dyDescent="0.25">
      <c r="A356" s="55"/>
      <c r="B356" s="55"/>
      <c r="C356" s="55"/>
      <c r="D356" s="55"/>
      <c r="E356" s="55"/>
      <c r="F356" s="186"/>
      <c r="G356" s="55"/>
      <c r="H356" s="55"/>
      <c r="I356" s="55"/>
      <c r="J356" s="65"/>
      <c r="K356" s="55"/>
      <c r="L356" s="55"/>
      <c r="M356" s="63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 spans="1:28" ht="15" x14ac:dyDescent="0.25">
      <c r="A357" s="55"/>
      <c r="B357" s="55"/>
      <c r="C357" s="55"/>
      <c r="D357" s="55"/>
      <c r="E357" s="55"/>
      <c r="F357" s="186"/>
      <c r="G357" s="55"/>
      <c r="H357" s="55"/>
      <c r="I357" s="55"/>
      <c r="J357" s="65"/>
      <c r="K357" s="55"/>
      <c r="L357" s="55"/>
      <c r="M357" s="63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 spans="1:28" ht="15" x14ac:dyDescent="0.25">
      <c r="A358" s="55"/>
      <c r="B358" s="55"/>
      <c r="C358" s="55"/>
      <c r="D358" s="55"/>
      <c r="E358" s="55"/>
      <c r="F358" s="186"/>
      <c r="G358" s="55"/>
      <c r="H358" s="55"/>
      <c r="I358" s="55"/>
      <c r="J358" s="65"/>
      <c r="K358" s="55"/>
      <c r="L358" s="55"/>
      <c r="M358" s="63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 spans="1:28" ht="15" x14ac:dyDescent="0.25">
      <c r="A359" s="55"/>
      <c r="B359" s="55"/>
      <c r="C359" s="55"/>
      <c r="D359" s="55"/>
      <c r="E359" s="55"/>
      <c r="F359" s="186"/>
      <c r="G359" s="55"/>
      <c r="H359" s="55"/>
      <c r="I359" s="55"/>
      <c r="J359" s="65"/>
      <c r="K359" s="55"/>
      <c r="L359" s="55"/>
      <c r="M359" s="63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 spans="1:28" ht="15" x14ac:dyDescent="0.25">
      <c r="A360" s="55"/>
      <c r="B360" s="55"/>
      <c r="C360" s="55"/>
      <c r="D360" s="55"/>
      <c r="E360" s="55"/>
      <c r="F360" s="186"/>
      <c r="G360" s="55"/>
      <c r="H360" s="55"/>
      <c r="I360" s="55"/>
      <c r="J360" s="65"/>
      <c r="K360" s="55"/>
      <c r="L360" s="55"/>
      <c r="M360" s="63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 spans="1:28" ht="15" x14ac:dyDescent="0.25">
      <c r="A361" s="55"/>
      <c r="B361" s="55"/>
      <c r="C361" s="55"/>
      <c r="D361" s="55"/>
      <c r="E361" s="55"/>
      <c r="F361" s="186"/>
      <c r="G361" s="55"/>
      <c r="H361" s="55"/>
      <c r="I361" s="55"/>
      <c r="J361" s="65"/>
      <c r="K361" s="55"/>
      <c r="L361" s="55"/>
      <c r="M361" s="63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 spans="1:28" ht="15" x14ac:dyDescent="0.25">
      <c r="A362" s="55"/>
      <c r="B362" s="55"/>
      <c r="C362" s="55"/>
      <c r="D362" s="55"/>
      <c r="E362" s="55"/>
      <c r="F362" s="186"/>
      <c r="G362" s="55"/>
      <c r="H362" s="55"/>
      <c r="I362" s="55"/>
      <c r="J362" s="65"/>
      <c r="K362" s="55"/>
      <c r="L362" s="55"/>
      <c r="M362" s="63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 spans="1:28" ht="15" x14ac:dyDescent="0.25">
      <c r="A363" s="55"/>
      <c r="B363" s="55"/>
      <c r="C363" s="55"/>
      <c r="D363" s="55"/>
      <c r="E363" s="55"/>
      <c r="F363" s="186"/>
      <c r="G363" s="55"/>
      <c r="H363" s="55"/>
      <c r="I363" s="55"/>
      <c r="J363" s="65"/>
      <c r="K363" s="55"/>
      <c r="L363" s="55"/>
      <c r="M363" s="63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 spans="1:28" ht="15" x14ac:dyDescent="0.25">
      <c r="A364" s="55"/>
      <c r="B364" s="55"/>
      <c r="C364" s="55"/>
      <c r="D364" s="55"/>
      <c r="E364" s="55"/>
      <c r="F364" s="186"/>
      <c r="G364" s="55"/>
      <c r="H364" s="55"/>
      <c r="I364" s="55"/>
      <c r="J364" s="65"/>
      <c r="K364" s="55"/>
      <c r="L364" s="55"/>
      <c r="M364" s="63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 spans="1:28" ht="15" x14ac:dyDescent="0.25">
      <c r="A365" s="55"/>
      <c r="B365" s="55"/>
      <c r="C365" s="55"/>
      <c r="D365" s="55"/>
      <c r="E365" s="55"/>
      <c r="F365" s="186"/>
      <c r="G365" s="55"/>
      <c r="H365" s="55"/>
      <c r="I365" s="55"/>
      <c r="J365" s="65"/>
      <c r="K365" s="55"/>
      <c r="L365" s="55"/>
      <c r="M365" s="63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 spans="1:28" ht="15" x14ac:dyDescent="0.25">
      <c r="A366" s="55"/>
      <c r="B366" s="55"/>
      <c r="C366" s="55"/>
      <c r="D366" s="55"/>
      <c r="E366" s="55"/>
      <c r="F366" s="186"/>
      <c r="G366" s="55"/>
      <c r="H366" s="55"/>
      <c r="I366" s="55"/>
      <c r="J366" s="65"/>
      <c r="K366" s="55"/>
      <c r="L366" s="55"/>
      <c r="M366" s="63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 spans="1:28" ht="15" x14ac:dyDescent="0.25">
      <c r="A367" s="55"/>
      <c r="B367" s="55"/>
      <c r="C367" s="55"/>
      <c r="D367" s="55"/>
      <c r="E367" s="55"/>
      <c r="F367" s="186"/>
      <c r="G367" s="55"/>
      <c r="H367" s="55"/>
      <c r="I367" s="55"/>
      <c r="J367" s="65"/>
      <c r="K367" s="55"/>
      <c r="L367" s="55"/>
      <c r="M367" s="63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 spans="1:28" ht="15" x14ac:dyDescent="0.25">
      <c r="A368" s="55"/>
      <c r="B368" s="55"/>
      <c r="C368" s="55"/>
      <c r="D368" s="55"/>
      <c r="E368" s="55"/>
      <c r="F368" s="186"/>
      <c r="G368" s="55"/>
      <c r="H368" s="55"/>
      <c r="I368" s="55"/>
      <c r="J368" s="65"/>
      <c r="K368" s="55"/>
      <c r="L368" s="55"/>
      <c r="M368" s="63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 spans="1:28" ht="15" x14ac:dyDescent="0.25">
      <c r="A369" s="55"/>
      <c r="B369" s="55"/>
      <c r="C369" s="55"/>
      <c r="D369" s="55"/>
      <c r="E369" s="55"/>
      <c r="F369" s="186"/>
      <c r="G369" s="55"/>
      <c r="H369" s="55"/>
      <c r="I369" s="55"/>
      <c r="J369" s="65"/>
      <c r="K369" s="55"/>
      <c r="L369" s="55"/>
      <c r="M369" s="63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 spans="1:28" ht="15" x14ac:dyDescent="0.25">
      <c r="A370" s="55"/>
      <c r="B370" s="55"/>
      <c r="C370" s="55"/>
      <c r="D370" s="55"/>
      <c r="E370" s="55"/>
      <c r="F370" s="186"/>
      <c r="G370" s="55"/>
      <c r="H370" s="55"/>
      <c r="I370" s="55"/>
      <c r="J370" s="65"/>
      <c r="K370" s="55"/>
      <c r="L370" s="55"/>
      <c r="M370" s="63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 spans="1:28" ht="15" x14ac:dyDescent="0.25">
      <c r="A371" s="55"/>
      <c r="B371" s="55"/>
      <c r="C371" s="55"/>
      <c r="D371" s="55"/>
      <c r="E371" s="55"/>
      <c r="F371" s="186"/>
      <c r="G371" s="55"/>
      <c r="H371" s="55"/>
      <c r="I371" s="55"/>
      <c r="J371" s="65"/>
      <c r="K371" s="55"/>
      <c r="L371" s="55"/>
      <c r="M371" s="63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 spans="1:28" ht="15" x14ac:dyDescent="0.25">
      <c r="A372" s="55"/>
      <c r="B372" s="55"/>
      <c r="C372" s="55"/>
      <c r="D372" s="55"/>
      <c r="E372" s="55"/>
      <c r="F372" s="186"/>
      <c r="G372" s="55"/>
      <c r="H372" s="55"/>
      <c r="I372" s="55"/>
      <c r="J372" s="65"/>
      <c r="K372" s="55"/>
      <c r="L372" s="55"/>
      <c r="M372" s="63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 spans="1:28" ht="15" x14ac:dyDescent="0.25">
      <c r="A373" s="55"/>
      <c r="B373" s="55"/>
      <c r="C373" s="55"/>
      <c r="D373" s="55"/>
      <c r="E373" s="55"/>
      <c r="F373" s="186"/>
      <c r="G373" s="55"/>
      <c r="H373" s="55"/>
      <c r="I373" s="55"/>
      <c r="J373" s="65"/>
      <c r="K373" s="55"/>
      <c r="L373" s="55"/>
      <c r="M373" s="63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 spans="1:28" ht="15" x14ac:dyDescent="0.25">
      <c r="A374" s="55"/>
      <c r="B374" s="55"/>
      <c r="C374" s="55"/>
      <c r="D374" s="55"/>
      <c r="E374" s="55"/>
      <c r="F374" s="186"/>
      <c r="G374" s="55"/>
      <c r="H374" s="55"/>
      <c r="I374" s="55"/>
      <c r="J374" s="65"/>
      <c r="K374" s="55"/>
      <c r="L374" s="55"/>
      <c r="M374" s="63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 spans="1:28" ht="15" x14ac:dyDescent="0.25">
      <c r="A375" s="55"/>
      <c r="B375" s="55"/>
      <c r="C375" s="55"/>
      <c r="D375" s="55"/>
      <c r="E375" s="55"/>
      <c r="F375" s="186"/>
      <c r="G375" s="55"/>
      <c r="H375" s="55"/>
      <c r="I375" s="55"/>
      <c r="J375" s="65"/>
      <c r="K375" s="55"/>
      <c r="L375" s="55"/>
      <c r="M375" s="63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 spans="1:28" ht="15" x14ac:dyDescent="0.25">
      <c r="A376" s="55"/>
      <c r="B376" s="55"/>
      <c r="C376" s="55"/>
      <c r="D376" s="55"/>
      <c r="E376" s="55"/>
      <c r="F376" s="186"/>
      <c r="G376" s="55"/>
      <c r="H376" s="55"/>
      <c r="I376" s="55"/>
      <c r="J376" s="65"/>
      <c r="K376" s="55"/>
      <c r="L376" s="55"/>
      <c r="M376" s="63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 spans="1:28" ht="15" x14ac:dyDescent="0.25">
      <c r="A377" s="55"/>
      <c r="B377" s="55"/>
      <c r="C377" s="55"/>
      <c r="D377" s="55"/>
      <c r="E377" s="55"/>
      <c r="F377" s="186"/>
      <c r="G377" s="55"/>
      <c r="H377" s="55"/>
      <c r="I377" s="55"/>
      <c r="J377" s="65"/>
      <c r="K377" s="55"/>
      <c r="L377" s="55"/>
      <c r="M377" s="63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 spans="1:28" ht="15" x14ac:dyDescent="0.25">
      <c r="A378" s="55"/>
      <c r="B378" s="55"/>
      <c r="C378" s="55"/>
      <c r="D378" s="55"/>
      <c r="E378" s="55"/>
      <c r="F378" s="186"/>
      <c r="G378" s="55"/>
      <c r="H378" s="55"/>
      <c r="I378" s="55"/>
      <c r="J378" s="65"/>
      <c r="K378" s="55"/>
      <c r="L378" s="55"/>
      <c r="M378" s="63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 spans="1:28" ht="15" x14ac:dyDescent="0.25">
      <c r="A379" s="55"/>
      <c r="B379" s="55"/>
      <c r="C379" s="55"/>
      <c r="D379" s="55"/>
      <c r="E379" s="55"/>
      <c r="F379" s="186"/>
      <c r="G379" s="55"/>
      <c r="H379" s="55"/>
      <c r="I379" s="55"/>
      <c r="J379" s="65"/>
      <c r="K379" s="55"/>
      <c r="L379" s="55"/>
      <c r="M379" s="63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 spans="1:28" ht="15" x14ac:dyDescent="0.25">
      <c r="A380" s="55"/>
      <c r="B380" s="55"/>
      <c r="C380" s="55"/>
      <c r="D380" s="55"/>
      <c r="E380" s="55"/>
      <c r="F380" s="186"/>
      <c r="G380" s="55"/>
      <c r="H380" s="55"/>
      <c r="I380" s="55"/>
      <c r="J380" s="65"/>
      <c r="K380" s="55"/>
      <c r="L380" s="55"/>
      <c r="M380" s="63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 spans="1:28" ht="15" x14ac:dyDescent="0.25">
      <c r="A381" s="55"/>
      <c r="B381" s="55"/>
      <c r="C381" s="55"/>
      <c r="D381" s="55"/>
      <c r="E381" s="55"/>
      <c r="F381" s="186"/>
      <c r="G381" s="55"/>
      <c r="H381" s="55"/>
      <c r="I381" s="55"/>
      <c r="J381" s="65"/>
      <c r="K381" s="55"/>
      <c r="L381" s="55"/>
      <c r="M381" s="63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 spans="1:28" ht="15" x14ac:dyDescent="0.25">
      <c r="A382" s="55"/>
      <c r="B382" s="55"/>
      <c r="C382" s="55"/>
      <c r="D382" s="55"/>
      <c r="E382" s="55"/>
      <c r="F382" s="186"/>
      <c r="G382" s="55"/>
      <c r="H382" s="55"/>
      <c r="I382" s="55"/>
      <c r="J382" s="65"/>
      <c r="K382" s="55"/>
      <c r="L382" s="55"/>
      <c r="M382" s="63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 spans="1:28" ht="15" x14ac:dyDescent="0.25">
      <c r="A383" s="55"/>
      <c r="B383" s="55"/>
      <c r="C383" s="55"/>
      <c r="D383" s="55"/>
      <c r="E383" s="55"/>
      <c r="F383" s="186"/>
      <c r="G383" s="55"/>
      <c r="H383" s="55"/>
      <c r="I383" s="55"/>
      <c r="J383" s="65"/>
      <c r="K383" s="55"/>
      <c r="L383" s="55"/>
      <c r="M383" s="63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 spans="1:28" ht="15" x14ac:dyDescent="0.25">
      <c r="A384" s="55"/>
      <c r="B384" s="55"/>
      <c r="C384" s="55"/>
      <c r="D384" s="55"/>
      <c r="E384" s="55"/>
      <c r="F384" s="186"/>
      <c r="G384" s="55"/>
      <c r="H384" s="55"/>
      <c r="I384" s="55"/>
      <c r="J384" s="65"/>
      <c r="K384" s="55"/>
      <c r="L384" s="55"/>
      <c r="M384" s="63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 spans="1:28" ht="15" x14ac:dyDescent="0.25">
      <c r="A385" s="55"/>
      <c r="B385" s="55"/>
      <c r="C385" s="55"/>
      <c r="D385" s="55"/>
      <c r="E385" s="55"/>
      <c r="F385" s="186"/>
      <c r="G385" s="55"/>
      <c r="H385" s="55"/>
      <c r="I385" s="55"/>
      <c r="J385" s="65"/>
      <c r="K385" s="55"/>
      <c r="L385" s="55"/>
      <c r="M385" s="63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 spans="1:28" ht="15" x14ac:dyDescent="0.25">
      <c r="A386" s="55"/>
      <c r="B386" s="55"/>
      <c r="C386" s="55"/>
      <c r="D386" s="55"/>
      <c r="E386" s="55"/>
      <c r="F386" s="186"/>
      <c r="G386" s="55"/>
      <c r="H386" s="55"/>
      <c r="I386" s="55"/>
      <c r="J386" s="65"/>
      <c r="K386" s="55"/>
      <c r="L386" s="55"/>
      <c r="M386" s="63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 spans="1:28" ht="15" x14ac:dyDescent="0.25">
      <c r="A387" s="55"/>
      <c r="B387" s="55"/>
      <c r="C387" s="55"/>
      <c r="D387" s="55"/>
      <c r="E387" s="55"/>
      <c r="F387" s="186"/>
      <c r="G387" s="55"/>
      <c r="H387" s="55"/>
      <c r="I387" s="55"/>
      <c r="J387" s="65"/>
      <c r="K387" s="55"/>
      <c r="L387" s="55"/>
      <c r="M387" s="63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 spans="1:28" ht="15" x14ac:dyDescent="0.25">
      <c r="A388" s="55"/>
      <c r="B388" s="55"/>
      <c r="C388" s="55"/>
      <c r="D388" s="55"/>
      <c r="E388" s="55"/>
      <c r="F388" s="186"/>
      <c r="G388" s="55"/>
      <c r="H388" s="55"/>
      <c r="I388" s="55"/>
      <c r="J388" s="65"/>
      <c r="K388" s="55"/>
      <c r="L388" s="55"/>
      <c r="M388" s="63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 spans="1:28" ht="15" x14ac:dyDescent="0.25">
      <c r="A389" s="55"/>
      <c r="B389" s="55"/>
      <c r="C389" s="55"/>
      <c r="D389" s="55"/>
      <c r="E389" s="55"/>
      <c r="F389" s="186"/>
      <c r="G389" s="55"/>
      <c r="H389" s="55"/>
      <c r="I389" s="55"/>
      <c r="J389" s="65"/>
      <c r="K389" s="55"/>
      <c r="L389" s="55"/>
      <c r="M389" s="63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 spans="1:28" ht="15" x14ac:dyDescent="0.25">
      <c r="A390" s="55"/>
      <c r="B390" s="55"/>
      <c r="C390" s="55"/>
      <c r="D390" s="55"/>
      <c r="E390" s="55"/>
      <c r="F390" s="186"/>
      <c r="G390" s="55"/>
      <c r="H390" s="55"/>
      <c r="I390" s="55"/>
      <c r="J390" s="65"/>
      <c r="K390" s="55"/>
      <c r="L390" s="55"/>
      <c r="M390" s="63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 spans="1:28" ht="15" x14ac:dyDescent="0.25">
      <c r="A391" s="55"/>
      <c r="B391" s="55"/>
      <c r="C391" s="55"/>
      <c r="D391" s="55"/>
      <c r="E391" s="55"/>
      <c r="F391" s="186"/>
      <c r="G391" s="55"/>
      <c r="H391" s="55"/>
      <c r="I391" s="55"/>
      <c r="J391" s="65"/>
      <c r="K391" s="55"/>
      <c r="L391" s="55"/>
      <c r="M391" s="63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 spans="1:28" ht="15" x14ac:dyDescent="0.25">
      <c r="A392" s="55"/>
      <c r="B392" s="55"/>
      <c r="C392" s="55"/>
      <c r="D392" s="55"/>
      <c r="E392" s="55"/>
      <c r="F392" s="186"/>
      <c r="G392" s="55"/>
      <c r="H392" s="55"/>
      <c r="I392" s="55"/>
      <c r="J392" s="65"/>
      <c r="K392" s="55"/>
      <c r="L392" s="55"/>
      <c r="M392" s="63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 spans="1:28" ht="15" x14ac:dyDescent="0.25">
      <c r="A393" s="55"/>
      <c r="B393" s="55"/>
      <c r="C393" s="55"/>
      <c r="D393" s="55"/>
      <c r="E393" s="55"/>
      <c r="F393" s="186"/>
      <c r="G393" s="55"/>
      <c r="H393" s="55"/>
      <c r="I393" s="55"/>
      <c r="J393" s="65"/>
      <c r="K393" s="55"/>
      <c r="L393" s="55"/>
      <c r="M393" s="63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 spans="1:28" ht="15" x14ac:dyDescent="0.25">
      <c r="A394" s="55"/>
      <c r="B394" s="55"/>
      <c r="C394" s="55"/>
      <c r="D394" s="55"/>
      <c r="E394" s="55"/>
      <c r="F394" s="186"/>
      <c r="G394" s="55"/>
      <c r="H394" s="55"/>
      <c r="I394" s="55"/>
      <c r="J394" s="65"/>
      <c r="K394" s="55"/>
      <c r="L394" s="55"/>
      <c r="M394" s="63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 spans="1:28" ht="15" x14ac:dyDescent="0.25">
      <c r="A395" s="55"/>
      <c r="B395" s="55"/>
      <c r="C395" s="55"/>
      <c r="D395" s="55"/>
      <c r="E395" s="55"/>
      <c r="F395" s="186"/>
      <c r="G395" s="55"/>
      <c r="H395" s="55"/>
      <c r="I395" s="55"/>
      <c r="J395" s="65"/>
      <c r="K395" s="55"/>
      <c r="L395" s="55"/>
      <c r="M395" s="63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 spans="1:28" ht="15" x14ac:dyDescent="0.25">
      <c r="A396" s="55"/>
      <c r="B396" s="55"/>
      <c r="C396" s="55"/>
      <c r="D396" s="55"/>
      <c r="E396" s="55"/>
      <c r="F396" s="186"/>
      <c r="G396" s="55"/>
      <c r="H396" s="55"/>
      <c r="I396" s="55"/>
      <c r="J396" s="65"/>
      <c r="K396" s="55"/>
      <c r="L396" s="55"/>
      <c r="M396" s="63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 spans="1:28" ht="15" x14ac:dyDescent="0.25">
      <c r="A397" s="55"/>
      <c r="B397" s="55"/>
      <c r="C397" s="55"/>
      <c r="D397" s="55"/>
      <c r="E397" s="55"/>
      <c r="F397" s="186"/>
      <c r="G397" s="55"/>
      <c r="H397" s="55"/>
      <c r="I397" s="55"/>
      <c r="J397" s="65"/>
      <c r="K397" s="55"/>
      <c r="L397" s="55"/>
      <c r="M397" s="63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 spans="1:28" ht="15" x14ac:dyDescent="0.25">
      <c r="A398" s="55"/>
      <c r="B398" s="55"/>
      <c r="C398" s="55"/>
      <c r="D398" s="55"/>
      <c r="E398" s="55"/>
      <c r="F398" s="186"/>
      <c r="G398" s="55"/>
      <c r="H398" s="55"/>
      <c r="I398" s="55"/>
      <c r="J398" s="65"/>
      <c r="K398" s="55"/>
      <c r="L398" s="55"/>
      <c r="M398" s="63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 spans="1:28" ht="15" x14ac:dyDescent="0.25">
      <c r="A399" s="55"/>
      <c r="B399" s="55"/>
      <c r="C399" s="55"/>
      <c r="D399" s="55"/>
      <c r="E399" s="55"/>
      <c r="F399" s="186"/>
      <c r="G399" s="55"/>
      <c r="H399" s="55"/>
      <c r="I399" s="55"/>
      <c r="J399" s="65"/>
      <c r="K399" s="55"/>
      <c r="L399" s="55"/>
      <c r="M399" s="63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 spans="1:28" ht="15" x14ac:dyDescent="0.25">
      <c r="A400" s="55"/>
      <c r="B400" s="55"/>
      <c r="C400" s="55"/>
      <c r="D400" s="55"/>
      <c r="E400" s="55"/>
      <c r="F400" s="186"/>
      <c r="G400" s="55"/>
      <c r="H400" s="55"/>
      <c r="I400" s="55"/>
      <c r="J400" s="65"/>
      <c r="K400" s="55"/>
      <c r="L400" s="55"/>
      <c r="M400" s="63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 spans="1:28" ht="15" x14ac:dyDescent="0.25">
      <c r="A401" s="55"/>
      <c r="B401" s="55"/>
      <c r="C401" s="55"/>
      <c r="D401" s="55"/>
      <c r="E401" s="55"/>
      <c r="F401" s="186"/>
      <c r="G401" s="55"/>
      <c r="H401" s="55"/>
      <c r="I401" s="55"/>
      <c r="J401" s="65"/>
      <c r="K401" s="55"/>
      <c r="L401" s="55"/>
      <c r="M401" s="63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 spans="1:28" ht="15" x14ac:dyDescent="0.25">
      <c r="A402" s="55"/>
      <c r="B402" s="55"/>
      <c r="C402" s="55"/>
      <c r="D402" s="55"/>
      <c r="E402" s="55"/>
      <c r="F402" s="186"/>
      <c r="G402" s="55"/>
      <c r="H402" s="55"/>
      <c r="I402" s="55"/>
      <c r="J402" s="65"/>
      <c r="K402" s="55"/>
      <c r="L402" s="55"/>
      <c r="M402" s="63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 spans="1:28" ht="15" x14ac:dyDescent="0.25">
      <c r="A403" s="55"/>
      <c r="B403" s="55"/>
      <c r="C403" s="55"/>
      <c r="D403" s="55"/>
      <c r="E403" s="55"/>
      <c r="F403" s="186"/>
      <c r="G403" s="55"/>
      <c r="H403" s="55"/>
      <c r="I403" s="55"/>
      <c r="J403" s="65"/>
      <c r="K403" s="55"/>
      <c r="L403" s="55"/>
      <c r="M403" s="63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 spans="1:28" ht="15" x14ac:dyDescent="0.25">
      <c r="A404" s="55"/>
      <c r="B404" s="55"/>
      <c r="C404" s="55"/>
      <c r="D404" s="55"/>
      <c r="E404" s="55"/>
      <c r="F404" s="186"/>
      <c r="G404" s="55"/>
      <c r="H404" s="55"/>
      <c r="I404" s="55"/>
      <c r="J404" s="65"/>
      <c r="K404" s="55"/>
      <c r="L404" s="55"/>
      <c r="M404" s="63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 spans="1:28" ht="15" x14ac:dyDescent="0.25">
      <c r="A405" s="55"/>
      <c r="B405" s="55"/>
      <c r="C405" s="55"/>
      <c r="D405" s="55"/>
      <c r="E405" s="55"/>
      <c r="F405" s="186"/>
      <c r="G405" s="55"/>
      <c r="H405" s="55"/>
      <c r="I405" s="55"/>
      <c r="J405" s="65"/>
      <c r="K405" s="55"/>
      <c r="L405" s="55"/>
      <c r="M405" s="63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 spans="1:28" ht="15" x14ac:dyDescent="0.25">
      <c r="A406" s="55"/>
      <c r="B406" s="55"/>
      <c r="C406" s="55"/>
      <c r="D406" s="55"/>
      <c r="E406" s="55"/>
      <c r="F406" s="186"/>
      <c r="G406" s="55"/>
      <c r="H406" s="55"/>
      <c r="I406" s="55"/>
      <c r="J406" s="65"/>
      <c r="K406" s="55"/>
      <c r="L406" s="55"/>
      <c r="M406" s="63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 spans="1:28" ht="15" x14ac:dyDescent="0.25">
      <c r="A407" s="55"/>
      <c r="B407" s="55"/>
      <c r="C407" s="55"/>
      <c r="D407" s="55"/>
      <c r="E407" s="55"/>
      <c r="F407" s="186"/>
      <c r="G407" s="55"/>
      <c r="H407" s="55"/>
      <c r="I407" s="55"/>
      <c r="J407" s="65"/>
      <c r="K407" s="55"/>
      <c r="L407" s="55"/>
      <c r="M407" s="63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 spans="1:28" ht="15" x14ac:dyDescent="0.25">
      <c r="A408" s="55"/>
      <c r="B408" s="55"/>
      <c r="C408" s="55"/>
      <c r="D408" s="55"/>
      <c r="E408" s="55"/>
      <c r="F408" s="186"/>
      <c r="G408" s="55"/>
      <c r="H408" s="55"/>
      <c r="I408" s="55"/>
      <c r="J408" s="65"/>
      <c r="K408" s="55"/>
      <c r="L408" s="55"/>
      <c r="M408" s="63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 spans="1:28" ht="15" x14ac:dyDescent="0.25">
      <c r="A409" s="55"/>
      <c r="B409" s="55"/>
      <c r="C409" s="55"/>
      <c r="D409" s="55"/>
      <c r="E409" s="55"/>
      <c r="F409" s="186"/>
      <c r="G409" s="55"/>
      <c r="H409" s="55"/>
      <c r="I409" s="55"/>
      <c r="J409" s="65"/>
      <c r="K409" s="55"/>
      <c r="L409" s="55"/>
      <c r="M409" s="63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 spans="1:28" ht="15" x14ac:dyDescent="0.25">
      <c r="A410" s="55"/>
      <c r="B410" s="55"/>
      <c r="C410" s="55"/>
      <c r="D410" s="55"/>
      <c r="E410" s="55"/>
      <c r="F410" s="186"/>
      <c r="G410" s="55"/>
      <c r="H410" s="55"/>
      <c r="I410" s="55"/>
      <c r="J410" s="65"/>
      <c r="K410" s="55"/>
      <c r="L410" s="55"/>
      <c r="M410" s="63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 spans="1:28" ht="15" x14ac:dyDescent="0.25">
      <c r="A411" s="55"/>
      <c r="B411" s="55"/>
      <c r="C411" s="55"/>
      <c r="D411" s="55"/>
      <c r="E411" s="55"/>
      <c r="F411" s="186"/>
      <c r="G411" s="55"/>
      <c r="H411" s="55"/>
      <c r="I411" s="55"/>
      <c r="J411" s="65"/>
      <c r="K411" s="55"/>
      <c r="L411" s="55"/>
      <c r="M411" s="63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 spans="1:28" ht="15" x14ac:dyDescent="0.25">
      <c r="A412" s="55"/>
      <c r="B412" s="55"/>
      <c r="C412" s="55"/>
      <c r="D412" s="55"/>
      <c r="E412" s="55"/>
      <c r="F412" s="186"/>
      <c r="G412" s="55"/>
      <c r="H412" s="55"/>
      <c r="I412" s="55"/>
      <c r="J412" s="65"/>
      <c r="K412" s="55"/>
      <c r="L412" s="55"/>
      <c r="M412" s="63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 spans="1:28" ht="15" x14ac:dyDescent="0.25">
      <c r="A413" s="55"/>
      <c r="B413" s="55"/>
      <c r="C413" s="55"/>
      <c r="D413" s="55"/>
      <c r="E413" s="55"/>
      <c r="F413" s="186"/>
      <c r="G413" s="55"/>
      <c r="H413" s="55"/>
      <c r="I413" s="55"/>
      <c r="J413" s="65"/>
      <c r="K413" s="55"/>
      <c r="L413" s="55"/>
      <c r="M413" s="63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 spans="1:28" ht="15" x14ac:dyDescent="0.25">
      <c r="A414" s="55"/>
      <c r="B414" s="55"/>
      <c r="C414" s="55"/>
      <c r="D414" s="55"/>
      <c r="E414" s="55"/>
      <c r="F414" s="186"/>
      <c r="G414" s="55"/>
      <c r="H414" s="55"/>
      <c r="I414" s="55"/>
      <c r="J414" s="65"/>
      <c r="K414" s="55"/>
      <c r="L414" s="55"/>
      <c r="M414" s="63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 spans="1:28" ht="15" x14ac:dyDescent="0.25">
      <c r="A415" s="55"/>
      <c r="B415" s="55"/>
      <c r="C415" s="55"/>
      <c r="D415" s="55"/>
      <c r="E415" s="55"/>
      <c r="F415" s="186"/>
      <c r="G415" s="55"/>
      <c r="H415" s="55"/>
      <c r="I415" s="55"/>
      <c r="J415" s="65"/>
      <c r="K415" s="55"/>
      <c r="L415" s="55"/>
      <c r="M415" s="63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 spans="1:28" ht="15" x14ac:dyDescent="0.25">
      <c r="A416" s="55"/>
      <c r="B416" s="55"/>
      <c r="C416" s="55"/>
      <c r="D416" s="55"/>
      <c r="E416" s="55"/>
      <c r="F416" s="186"/>
      <c r="G416" s="55"/>
      <c r="H416" s="55"/>
      <c r="I416" s="55"/>
      <c r="J416" s="65"/>
      <c r="K416" s="55"/>
      <c r="L416" s="55"/>
      <c r="M416" s="63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 spans="1:28" ht="15" x14ac:dyDescent="0.25">
      <c r="A417" s="55"/>
      <c r="B417" s="55"/>
      <c r="C417" s="55"/>
      <c r="D417" s="55"/>
      <c r="E417" s="55"/>
      <c r="F417" s="186"/>
      <c r="G417" s="55"/>
      <c r="H417" s="55"/>
      <c r="I417" s="55"/>
      <c r="J417" s="65"/>
      <c r="K417" s="55"/>
      <c r="L417" s="55"/>
      <c r="M417" s="63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 spans="1:28" ht="15" x14ac:dyDescent="0.25">
      <c r="A418" s="55"/>
      <c r="B418" s="55"/>
      <c r="C418" s="55"/>
      <c r="D418" s="55"/>
      <c r="E418" s="55"/>
      <c r="F418" s="186"/>
      <c r="G418" s="55"/>
      <c r="H418" s="55"/>
      <c r="I418" s="55"/>
      <c r="J418" s="65"/>
      <c r="K418" s="55"/>
      <c r="L418" s="55"/>
      <c r="M418" s="63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 spans="1:28" ht="15" x14ac:dyDescent="0.25">
      <c r="A419" s="55"/>
      <c r="B419" s="55"/>
      <c r="C419" s="55"/>
      <c r="D419" s="55"/>
      <c r="E419" s="55"/>
      <c r="F419" s="186"/>
      <c r="G419" s="55"/>
      <c r="H419" s="55"/>
      <c r="I419" s="55"/>
      <c r="J419" s="65"/>
      <c r="K419" s="55"/>
      <c r="L419" s="55"/>
      <c r="M419" s="63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 spans="1:28" ht="15" x14ac:dyDescent="0.25">
      <c r="A420" s="55"/>
      <c r="B420" s="55"/>
      <c r="C420" s="55"/>
      <c r="D420" s="55"/>
      <c r="E420" s="55"/>
      <c r="F420" s="186"/>
      <c r="G420" s="55"/>
      <c r="H420" s="55"/>
      <c r="I420" s="55"/>
      <c r="J420" s="65"/>
      <c r="K420" s="55"/>
      <c r="L420" s="55"/>
      <c r="M420" s="63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 spans="1:28" ht="15" x14ac:dyDescent="0.25">
      <c r="A421" s="55"/>
      <c r="B421" s="55"/>
      <c r="C421" s="55"/>
      <c r="D421" s="55"/>
      <c r="E421" s="55"/>
      <c r="F421" s="186"/>
      <c r="G421" s="55"/>
      <c r="H421" s="55"/>
      <c r="I421" s="55"/>
      <c r="J421" s="65"/>
      <c r="K421" s="55"/>
      <c r="L421" s="55"/>
      <c r="M421" s="63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 spans="1:28" ht="15" x14ac:dyDescent="0.25">
      <c r="A422" s="55"/>
      <c r="B422" s="55"/>
      <c r="C422" s="55"/>
      <c r="D422" s="55"/>
      <c r="E422" s="55"/>
      <c r="F422" s="186"/>
      <c r="G422" s="55"/>
      <c r="H422" s="55"/>
      <c r="I422" s="55"/>
      <c r="J422" s="65"/>
      <c r="K422" s="55"/>
      <c r="L422" s="55"/>
      <c r="M422" s="63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 spans="1:28" ht="15" x14ac:dyDescent="0.25">
      <c r="A423" s="55"/>
      <c r="B423" s="55"/>
      <c r="C423" s="55"/>
      <c r="D423" s="55"/>
      <c r="E423" s="55"/>
      <c r="F423" s="186"/>
      <c r="G423" s="55"/>
      <c r="H423" s="55"/>
      <c r="I423" s="55"/>
      <c r="J423" s="65"/>
      <c r="K423" s="55"/>
      <c r="L423" s="55"/>
      <c r="M423" s="63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 spans="1:28" ht="15" x14ac:dyDescent="0.25">
      <c r="A424" s="55"/>
      <c r="B424" s="55"/>
      <c r="C424" s="55"/>
      <c r="D424" s="55"/>
      <c r="E424" s="55"/>
      <c r="F424" s="186"/>
      <c r="G424" s="55"/>
      <c r="H424" s="55"/>
      <c r="I424" s="55"/>
      <c r="J424" s="65"/>
      <c r="K424" s="55"/>
      <c r="L424" s="55"/>
      <c r="M424" s="63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 spans="1:28" ht="15" x14ac:dyDescent="0.25">
      <c r="A425" s="55"/>
      <c r="B425" s="55"/>
      <c r="C425" s="55"/>
      <c r="D425" s="55"/>
      <c r="E425" s="55"/>
      <c r="F425" s="186"/>
      <c r="G425" s="55"/>
      <c r="H425" s="55"/>
      <c r="I425" s="55"/>
      <c r="J425" s="65"/>
      <c r="K425" s="55"/>
      <c r="L425" s="55"/>
      <c r="M425" s="63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 spans="1:28" ht="15" x14ac:dyDescent="0.25">
      <c r="A426" s="55"/>
      <c r="B426" s="55"/>
      <c r="C426" s="55"/>
      <c r="D426" s="55"/>
      <c r="E426" s="55"/>
      <c r="F426" s="186"/>
      <c r="G426" s="55"/>
      <c r="H426" s="55"/>
      <c r="I426" s="55"/>
      <c r="J426" s="65"/>
      <c r="K426" s="55"/>
      <c r="L426" s="55"/>
      <c r="M426" s="63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 spans="1:28" ht="15" x14ac:dyDescent="0.25">
      <c r="A427" s="55"/>
      <c r="B427" s="55"/>
      <c r="C427" s="55"/>
      <c r="D427" s="55"/>
      <c r="E427" s="55"/>
      <c r="F427" s="186"/>
      <c r="G427" s="55"/>
      <c r="H427" s="55"/>
      <c r="I427" s="55"/>
      <c r="J427" s="65"/>
      <c r="K427" s="55"/>
      <c r="L427" s="55"/>
      <c r="M427" s="63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 spans="1:28" ht="15" x14ac:dyDescent="0.25">
      <c r="A428" s="55"/>
      <c r="B428" s="55"/>
      <c r="C428" s="55"/>
      <c r="D428" s="55"/>
      <c r="E428" s="55"/>
      <c r="F428" s="186"/>
      <c r="G428" s="55"/>
      <c r="H428" s="55"/>
      <c r="I428" s="55"/>
      <c r="J428" s="65"/>
      <c r="K428" s="55"/>
      <c r="L428" s="55"/>
      <c r="M428" s="63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 spans="1:28" ht="15" x14ac:dyDescent="0.25">
      <c r="A429" s="55"/>
      <c r="B429" s="55"/>
      <c r="C429" s="55"/>
      <c r="D429" s="55"/>
      <c r="E429" s="55"/>
      <c r="F429" s="186"/>
      <c r="G429" s="55"/>
      <c r="H429" s="55"/>
      <c r="I429" s="55"/>
      <c r="J429" s="65"/>
      <c r="K429" s="55"/>
      <c r="L429" s="55"/>
      <c r="M429" s="63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 spans="1:28" ht="15" x14ac:dyDescent="0.25">
      <c r="A430" s="55"/>
      <c r="B430" s="55"/>
      <c r="C430" s="55"/>
      <c r="D430" s="55"/>
      <c r="E430" s="55"/>
      <c r="F430" s="186"/>
      <c r="G430" s="55"/>
      <c r="H430" s="55"/>
      <c r="I430" s="55"/>
      <c r="J430" s="65"/>
      <c r="K430" s="55"/>
      <c r="L430" s="55"/>
      <c r="M430" s="63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 spans="1:28" ht="15" x14ac:dyDescent="0.25">
      <c r="A431" s="55"/>
      <c r="B431" s="55"/>
      <c r="C431" s="55"/>
      <c r="D431" s="55"/>
      <c r="E431" s="55"/>
      <c r="F431" s="186"/>
      <c r="G431" s="55"/>
      <c r="H431" s="55"/>
      <c r="I431" s="55"/>
      <c r="J431" s="65"/>
      <c r="K431" s="55"/>
      <c r="L431" s="55"/>
      <c r="M431" s="63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 spans="1:28" ht="15" x14ac:dyDescent="0.25">
      <c r="A432" s="55"/>
      <c r="B432" s="55"/>
      <c r="C432" s="55"/>
      <c r="D432" s="55"/>
      <c r="E432" s="55"/>
      <c r="F432" s="186"/>
      <c r="G432" s="55"/>
      <c r="H432" s="55"/>
      <c r="I432" s="55"/>
      <c r="J432" s="65"/>
      <c r="K432" s="55"/>
      <c r="L432" s="55"/>
      <c r="M432" s="63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 spans="1:28" ht="15" x14ac:dyDescent="0.25">
      <c r="A433" s="55"/>
      <c r="B433" s="55"/>
      <c r="C433" s="55"/>
      <c r="D433" s="55"/>
      <c r="E433" s="55"/>
      <c r="F433" s="186"/>
      <c r="G433" s="55"/>
      <c r="H433" s="55"/>
      <c r="I433" s="55"/>
      <c r="J433" s="65"/>
      <c r="K433" s="55"/>
      <c r="L433" s="55"/>
      <c r="M433" s="63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 spans="1:28" ht="15" x14ac:dyDescent="0.25">
      <c r="A434" s="55"/>
      <c r="B434" s="55"/>
      <c r="C434" s="55"/>
      <c r="D434" s="55"/>
      <c r="E434" s="55"/>
      <c r="F434" s="186"/>
      <c r="G434" s="55"/>
      <c r="H434" s="55"/>
      <c r="I434" s="55"/>
      <c r="J434" s="65"/>
      <c r="K434" s="55"/>
      <c r="L434" s="55"/>
      <c r="M434" s="63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 spans="1:28" ht="15" x14ac:dyDescent="0.25">
      <c r="A435" s="55"/>
      <c r="B435" s="55"/>
      <c r="C435" s="55"/>
      <c r="D435" s="55"/>
      <c r="E435" s="55"/>
      <c r="F435" s="186"/>
      <c r="G435" s="55"/>
      <c r="H435" s="55"/>
      <c r="I435" s="55"/>
      <c r="J435" s="65"/>
      <c r="K435" s="55"/>
      <c r="L435" s="55"/>
      <c r="M435" s="63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 spans="1:28" ht="15" x14ac:dyDescent="0.25">
      <c r="A436" s="55"/>
      <c r="B436" s="55"/>
      <c r="C436" s="55"/>
      <c r="D436" s="55"/>
      <c r="E436" s="55"/>
      <c r="F436" s="186"/>
      <c r="G436" s="55"/>
      <c r="H436" s="55"/>
      <c r="I436" s="55"/>
      <c r="J436" s="65"/>
      <c r="K436" s="55"/>
      <c r="L436" s="55"/>
      <c r="M436" s="63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 spans="1:28" ht="15" x14ac:dyDescent="0.25">
      <c r="A437" s="55"/>
      <c r="B437" s="55"/>
      <c r="C437" s="55"/>
      <c r="D437" s="55"/>
      <c r="E437" s="55"/>
      <c r="F437" s="186"/>
      <c r="G437" s="55"/>
      <c r="H437" s="55"/>
      <c r="I437" s="55"/>
      <c r="J437" s="65"/>
      <c r="K437" s="55"/>
      <c r="L437" s="55"/>
      <c r="M437" s="63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 spans="1:28" ht="15" x14ac:dyDescent="0.25">
      <c r="A438" s="55"/>
      <c r="B438" s="55"/>
      <c r="C438" s="55"/>
      <c r="D438" s="55"/>
      <c r="E438" s="55"/>
      <c r="F438" s="186"/>
      <c r="G438" s="55"/>
      <c r="H438" s="55"/>
      <c r="I438" s="55"/>
      <c r="J438" s="65"/>
      <c r="K438" s="55"/>
      <c r="L438" s="55"/>
      <c r="M438" s="63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 spans="1:28" ht="15" x14ac:dyDescent="0.25">
      <c r="A439" s="55"/>
      <c r="B439" s="55"/>
      <c r="C439" s="55"/>
      <c r="D439" s="55"/>
      <c r="E439" s="55"/>
      <c r="F439" s="186"/>
      <c r="G439" s="55"/>
      <c r="H439" s="55"/>
      <c r="I439" s="55"/>
      <c r="J439" s="65"/>
      <c r="K439" s="55"/>
      <c r="L439" s="55"/>
      <c r="M439" s="63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 spans="1:28" ht="15" x14ac:dyDescent="0.25">
      <c r="A440" s="55"/>
      <c r="B440" s="55"/>
      <c r="C440" s="55"/>
      <c r="D440" s="55"/>
      <c r="E440" s="55"/>
      <c r="F440" s="186"/>
      <c r="G440" s="55"/>
      <c r="H440" s="55"/>
      <c r="I440" s="55"/>
      <c r="J440" s="65"/>
      <c r="K440" s="55"/>
      <c r="L440" s="55"/>
      <c r="M440" s="63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 spans="1:28" ht="15" x14ac:dyDescent="0.25">
      <c r="A441" s="55"/>
      <c r="B441" s="55"/>
      <c r="C441" s="55"/>
      <c r="D441" s="55"/>
      <c r="E441" s="55"/>
      <c r="F441" s="186"/>
      <c r="G441" s="55"/>
      <c r="H441" s="55"/>
      <c r="I441" s="55"/>
      <c r="J441" s="65"/>
      <c r="K441" s="55"/>
      <c r="L441" s="55"/>
      <c r="M441" s="63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 spans="1:28" ht="15" x14ac:dyDescent="0.25">
      <c r="A442" s="55"/>
      <c r="B442" s="55"/>
      <c r="C442" s="55"/>
      <c r="D442" s="55"/>
      <c r="E442" s="55"/>
      <c r="F442" s="186"/>
      <c r="G442" s="55"/>
      <c r="H442" s="55"/>
      <c r="I442" s="55"/>
      <c r="J442" s="65"/>
      <c r="K442" s="55"/>
      <c r="L442" s="55"/>
      <c r="M442" s="63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 spans="1:28" ht="15" x14ac:dyDescent="0.25">
      <c r="A443" s="55"/>
      <c r="B443" s="55"/>
      <c r="C443" s="55"/>
      <c r="D443" s="55"/>
      <c r="E443" s="55"/>
      <c r="F443" s="186"/>
      <c r="G443" s="55"/>
      <c r="H443" s="55"/>
      <c r="I443" s="55"/>
      <c r="J443" s="65"/>
      <c r="K443" s="55"/>
      <c r="L443" s="55"/>
      <c r="M443" s="63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 spans="1:28" ht="15" x14ac:dyDescent="0.25">
      <c r="A444" s="55"/>
      <c r="B444" s="55"/>
      <c r="C444" s="55"/>
      <c r="D444" s="55"/>
      <c r="E444" s="55"/>
      <c r="F444" s="186"/>
      <c r="G444" s="55"/>
      <c r="H444" s="55"/>
      <c r="I444" s="55"/>
      <c r="J444" s="65"/>
      <c r="K444" s="55"/>
      <c r="L444" s="55"/>
      <c r="M444" s="63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 spans="1:28" ht="15" x14ac:dyDescent="0.25">
      <c r="A445" s="55"/>
      <c r="B445" s="55"/>
      <c r="C445" s="55"/>
      <c r="D445" s="55"/>
      <c r="E445" s="55"/>
      <c r="F445" s="186"/>
      <c r="G445" s="55"/>
      <c r="H445" s="55"/>
      <c r="I445" s="55"/>
      <c r="J445" s="65"/>
      <c r="K445" s="55"/>
      <c r="L445" s="55"/>
      <c r="M445" s="63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 spans="1:28" ht="15" x14ac:dyDescent="0.25">
      <c r="A446" s="55"/>
      <c r="B446" s="55"/>
      <c r="C446" s="55"/>
      <c r="D446" s="55"/>
      <c r="E446" s="55"/>
      <c r="F446" s="186"/>
      <c r="G446" s="55"/>
      <c r="H446" s="55"/>
      <c r="I446" s="55"/>
      <c r="J446" s="65"/>
      <c r="K446" s="55"/>
      <c r="L446" s="55"/>
      <c r="M446" s="63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 spans="1:28" ht="15" x14ac:dyDescent="0.25">
      <c r="A447" s="55"/>
      <c r="B447" s="55"/>
      <c r="C447" s="55"/>
      <c r="D447" s="55"/>
      <c r="E447" s="55"/>
      <c r="F447" s="186"/>
      <c r="G447" s="55"/>
      <c r="H447" s="55"/>
      <c r="I447" s="55"/>
      <c r="J447" s="65"/>
      <c r="K447" s="55"/>
      <c r="L447" s="55"/>
      <c r="M447" s="63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 spans="1:28" ht="15" x14ac:dyDescent="0.25">
      <c r="A448" s="55"/>
      <c r="B448" s="55"/>
      <c r="C448" s="55"/>
      <c r="D448" s="55"/>
      <c r="E448" s="55"/>
      <c r="F448" s="186"/>
      <c r="G448" s="55"/>
      <c r="H448" s="55"/>
      <c r="I448" s="55"/>
      <c r="J448" s="65"/>
      <c r="K448" s="55"/>
      <c r="L448" s="55"/>
      <c r="M448" s="63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 spans="1:28" ht="15" x14ac:dyDescent="0.25">
      <c r="A449" s="55"/>
      <c r="B449" s="55"/>
      <c r="C449" s="55"/>
      <c r="D449" s="55"/>
      <c r="E449" s="55"/>
      <c r="F449" s="186"/>
      <c r="G449" s="55"/>
      <c r="H449" s="55"/>
      <c r="I449" s="55"/>
      <c r="J449" s="65"/>
      <c r="K449" s="55"/>
      <c r="L449" s="55"/>
      <c r="M449" s="63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 spans="1:28" ht="15" x14ac:dyDescent="0.25">
      <c r="A450" s="55"/>
      <c r="B450" s="55"/>
      <c r="C450" s="55"/>
      <c r="D450" s="55"/>
      <c r="E450" s="55"/>
      <c r="F450" s="186"/>
      <c r="G450" s="55"/>
      <c r="H450" s="55"/>
      <c r="I450" s="55"/>
      <c r="J450" s="65"/>
      <c r="K450" s="55"/>
      <c r="L450" s="55"/>
      <c r="M450" s="63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 spans="1:28" ht="15" x14ac:dyDescent="0.25">
      <c r="A451" s="55"/>
      <c r="B451" s="55"/>
      <c r="C451" s="55"/>
      <c r="D451" s="55"/>
      <c r="E451" s="55"/>
      <c r="F451" s="186"/>
      <c r="G451" s="55"/>
      <c r="H451" s="55"/>
      <c r="I451" s="55"/>
      <c r="J451" s="65"/>
      <c r="K451" s="55"/>
      <c r="L451" s="55"/>
      <c r="M451" s="63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 spans="1:28" ht="15" x14ac:dyDescent="0.25">
      <c r="A452" s="55"/>
      <c r="B452" s="55"/>
      <c r="C452" s="55"/>
      <c r="D452" s="55"/>
      <c r="E452" s="55"/>
      <c r="F452" s="186"/>
      <c r="G452" s="55"/>
      <c r="H452" s="55"/>
      <c r="I452" s="55"/>
      <c r="J452" s="65"/>
      <c r="K452" s="55"/>
      <c r="L452" s="55"/>
      <c r="M452" s="63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 spans="1:28" ht="15" x14ac:dyDescent="0.25">
      <c r="A453" s="55"/>
      <c r="B453" s="55"/>
      <c r="C453" s="55"/>
      <c r="D453" s="55"/>
      <c r="E453" s="55"/>
      <c r="F453" s="186"/>
      <c r="G453" s="55"/>
      <c r="H453" s="55"/>
      <c r="I453" s="55"/>
      <c r="J453" s="65"/>
      <c r="K453" s="55"/>
      <c r="L453" s="55"/>
      <c r="M453" s="63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 spans="1:28" ht="15" x14ac:dyDescent="0.25">
      <c r="A454" s="55"/>
      <c r="B454" s="55"/>
      <c r="C454" s="55"/>
      <c r="D454" s="55"/>
      <c r="E454" s="55"/>
      <c r="F454" s="186"/>
      <c r="G454" s="55"/>
      <c r="H454" s="55"/>
      <c r="I454" s="55"/>
      <c r="J454" s="65"/>
      <c r="K454" s="55"/>
      <c r="L454" s="55"/>
      <c r="M454" s="63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 spans="1:28" ht="15" x14ac:dyDescent="0.25">
      <c r="A455" s="55"/>
      <c r="B455" s="55"/>
      <c r="C455" s="55"/>
      <c r="D455" s="55"/>
      <c r="E455" s="55"/>
      <c r="F455" s="186"/>
      <c r="G455" s="55"/>
      <c r="H455" s="55"/>
      <c r="I455" s="55"/>
      <c r="J455" s="65"/>
      <c r="K455" s="55"/>
      <c r="L455" s="55"/>
      <c r="M455" s="63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 spans="1:28" ht="15" x14ac:dyDescent="0.25">
      <c r="A456" s="55"/>
      <c r="B456" s="55"/>
      <c r="C456" s="55"/>
      <c r="D456" s="55"/>
      <c r="E456" s="55"/>
      <c r="F456" s="186"/>
      <c r="G456" s="55"/>
      <c r="H456" s="55"/>
      <c r="I456" s="55"/>
      <c r="J456" s="65"/>
      <c r="K456" s="55"/>
      <c r="L456" s="55"/>
      <c r="M456" s="63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 spans="1:28" ht="15" x14ac:dyDescent="0.25">
      <c r="A457" s="55"/>
      <c r="B457" s="55"/>
      <c r="C457" s="55"/>
      <c r="D457" s="55"/>
      <c r="E457" s="55"/>
      <c r="F457" s="186"/>
      <c r="G457" s="55"/>
      <c r="H457" s="55"/>
      <c r="I457" s="55"/>
      <c r="J457" s="65"/>
      <c r="K457" s="55"/>
      <c r="L457" s="55"/>
      <c r="M457" s="63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 spans="1:28" ht="15" x14ac:dyDescent="0.25">
      <c r="A458" s="55"/>
      <c r="B458" s="55"/>
      <c r="C458" s="55"/>
      <c r="D458" s="55"/>
      <c r="E458" s="55"/>
      <c r="F458" s="186"/>
      <c r="G458" s="55"/>
      <c r="H458" s="55"/>
      <c r="I458" s="55"/>
      <c r="J458" s="65"/>
      <c r="K458" s="55"/>
      <c r="L458" s="55"/>
      <c r="M458" s="63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 spans="1:28" ht="15" x14ac:dyDescent="0.25">
      <c r="A459" s="55"/>
      <c r="B459" s="55"/>
      <c r="C459" s="55"/>
      <c r="D459" s="55"/>
      <c r="E459" s="55"/>
      <c r="F459" s="186"/>
      <c r="G459" s="55"/>
      <c r="H459" s="55"/>
      <c r="I459" s="55"/>
      <c r="J459" s="65"/>
      <c r="K459" s="55"/>
      <c r="L459" s="55"/>
      <c r="M459" s="63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 spans="1:28" ht="15" x14ac:dyDescent="0.25">
      <c r="A460" s="55"/>
      <c r="B460" s="55"/>
      <c r="C460" s="55"/>
      <c r="D460" s="55"/>
      <c r="E460" s="55"/>
      <c r="F460" s="186"/>
      <c r="G460" s="55"/>
      <c r="H460" s="55"/>
      <c r="I460" s="55"/>
      <c r="J460" s="65"/>
      <c r="K460" s="55"/>
      <c r="L460" s="55"/>
      <c r="M460" s="63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 spans="1:28" ht="15" x14ac:dyDescent="0.25">
      <c r="A461" s="55"/>
      <c r="B461" s="55"/>
      <c r="C461" s="55"/>
      <c r="D461" s="55"/>
      <c r="E461" s="55"/>
      <c r="F461" s="186"/>
      <c r="G461" s="55"/>
      <c r="H461" s="55"/>
      <c r="I461" s="55"/>
      <c r="J461" s="65"/>
      <c r="K461" s="55"/>
      <c r="L461" s="55"/>
      <c r="M461" s="63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 spans="1:28" ht="15" x14ac:dyDescent="0.25">
      <c r="A462" s="55"/>
      <c r="B462" s="55"/>
      <c r="C462" s="55"/>
      <c r="D462" s="55"/>
      <c r="E462" s="55"/>
      <c r="F462" s="186"/>
      <c r="G462" s="55"/>
      <c r="H462" s="55"/>
      <c r="I462" s="55"/>
      <c r="J462" s="65"/>
      <c r="K462" s="55"/>
      <c r="L462" s="55"/>
      <c r="M462" s="63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 spans="1:28" ht="15" x14ac:dyDescent="0.25">
      <c r="A463" s="55"/>
      <c r="B463" s="55"/>
      <c r="C463" s="55"/>
      <c r="D463" s="55"/>
      <c r="E463" s="55"/>
      <c r="F463" s="186"/>
      <c r="G463" s="55"/>
      <c r="H463" s="55"/>
      <c r="I463" s="55"/>
      <c r="J463" s="65"/>
      <c r="K463" s="55"/>
      <c r="L463" s="55"/>
      <c r="M463" s="63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 spans="1:28" ht="15" x14ac:dyDescent="0.25">
      <c r="A464" s="55"/>
      <c r="B464" s="55"/>
      <c r="C464" s="55"/>
      <c r="D464" s="55"/>
      <c r="E464" s="55"/>
      <c r="F464" s="186"/>
      <c r="G464" s="55"/>
      <c r="H464" s="55"/>
      <c r="I464" s="55"/>
      <c r="J464" s="65"/>
      <c r="K464" s="55"/>
      <c r="L464" s="55"/>
      <c r="M464" s="63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 spans="1:28" ht="15" x14ac:dyDescent="0.25">
      <c r="A465" s="55"/>
      <c r="B465" s="55"/>
      <c r="C465" s="55"/>
      <c r="D465" s="55"/>
      <c r="E465" s="55"/>
      <c r="F465" s="186"/>
      <c r="G465" s="55"/>
      <c r="H465" s="55"/>
      <c r="I465" s="55"/>
      <c r="J465" s="65"/>
      <c r="K465" s="55"/>
      <c r="L465" s="55"/>
      <c r="M465" s="63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 spans="1:28" ht="15" x14ac:dyDescent="0.25">
      <c r="A466" s="55"/>
      <c r="B466" s="55"/>
      <c r="C466" s="55"/>
      <c r="D466" s="55"/>
      <c r="E466" s="55"/>
      <c r="F466" s="186"/>
      <c r="G466" s="55"/>
      <c r="H466" s="55"/>
      <c r="I466" s="55"/>
      <c r="J466" s="65"/>
      <c r="K466" s="55"/>
      <c r="L466" s="55"/>
      <c r="M466" s="63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 spans="1:28" ht="15" x14ac:dyDescent="0.25">
      <c r="A467" s="55"/>
      <c r="B467" s="55"/>
      <c r="C467" s="55"/>
      <c r="D467" s="55"/>
      <c r="E467" s="55"/>
      <c r="F467" s="186"/>
      <c r="G467" s="55"/>
      <c r="H467" s="55"/>
      <c r="I467" s="55"/>
      <c r="J467" s="65"/>
      <c r="K467" s="55"/>
      <c r="L467" s="55"/>
      <c r="M467" s="63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 spans="1:28" ht="15" x14ac:dyDescent="0.25">
      <c r="A468" s="55"/>
      <c r="B468" s="55"/>
      <c r="C468" s="55"/>
      <c r="D468" s="55"/>
      <c r="E468" s="55"/>
      <c r="F468" s="186"/>
      <c r="G468" s="55"/>
      <c r="H468" s="55"/>
      <c r="I468" s="55"/>
      <c r="J468" s="65"/>
      <c r="K468" s="55"/>
      <c r="L468" s="55"/>
      <c r="M468" s="63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 spans="1:28" ht="15" x14ac:dyDescent="0.25">
      <c r="A469" s="55"/>
      <c r="B469" s="55"/>
      <c r="C469" s="55"/>
      <c r="D469" s="55"/>
      <c r="E469" s="55"/>
      <c r="F469" s="186"/>
      <c r="G469" s="55"/>
      <c r="H469" s="55"/>
      <c r="I469" s="55"/>
      <c r="J469" s="65"/>
      <c r="K469" s="55"/>
      <c r="L469" s="55"/>
      <c r="M469" s="63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 spans="1:28" ht="15" x14ac:dyDescent="0.25">
      <c r="A470" s="55"/>
      <c r="B470" s="55"/>
      <c r="C470" s="55"/>
      <c r="D470" s="55"/>
      <c r="E470" s="55"/>
      <c r="F470" s="186"/>
      <c r="G470" s="55"/>
      <c r="H470" s="55"/>
      <c r="I470" s="55"/>
      <c r="J470" s="65"/>
      <c r="K470" s="55"/>
      <c r="L470" s="55"/>
      <c r="M470" s="63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 spans="1:28" ht="15" x14ac:dyDescent="0.25">
      <c r="A471" s="55"/>
      <c r="B471" s="55"/>
      <c r="C471" s="55"/>
      <c r="D471" s="55"/>
      <c r="E471" s="55"/>
      <c r="F471" s="186"/>
      <c r="G471" s="55"/>
      <c r="H471" s="55"/>
      <c r="I471" s="55"/>
      <c r="J471" s="65"/>
      <c r="K471" s="55"/>
      <c r="L471" s="55"/>
      <c r="M471" s="63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 spans="1:28" ht="15" x14ac:dyDescent="0.25">
      <c r="A472" s="55"/>
      <c r="B472" s="55"/>
      <c r="C472" s="55"/>
      <c r="D472" s="55"/>
      <c r="E472" s="55"/>
      <c r="F472" s="186"/>
      <c r="G472" s="55"/>
      <c r="H472" s="55"/>
      <c r="I472" s="55"/>
      <c r="J472" s="65"/>
      <c r="K472" s="55"/>
      <c r="L472" s="55"/>
      <c r="M472" s="63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 spans="1:28" ht="15" x14ac:dyDescent="0.25">
      <c r="A473" s="55"/>
      <c r="B473" s="55"/>
      <c r="C473" s="55"/>
      <c r="D473" s="55"/>
      <c r="E473" s="55"/>
      <c r="F473" s="186"/>
      <c r="G473" s="55"/>
      <c r="H473" s="55"/>
      <c r="I473" s="55"/>
      <c r="J473" s="65"/>
      <c r="K473" s="55"/>
      <c r="L473" s="55"/>
      <c r="M473" s="63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 spans="1:28" ht="15" x14ac:dyDescent="0.25">
      <c r="A474" s="55"/>
      <c r="B474" s="55"/>
      <c r="C474" s="55"/>
      <c r="D474" s="55"/>
      <c r="E474" s="55"/>
      <c r="F474" s="186"/>
      <c r="G474" s="55"/>
      <c r="H474" s="55"/>
      <c r="I474" s="55"/>
      <c r="J474" s="65"/>
      <c r="K474" s="55"/>
      <c r="L474" s="55"/>
      <c r="M474" s="63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 spans="1:28" ht="15" x14ac:dyDescent="0.25">
      <c r="A475" s="55"/>
      <c r="B475" s="55"/>
      <c r="C475" s="55"/>
      <c r="D475" s="55"/>
      <c r="E475" s="55"/>
      <c r="F475" s="186"/>
      <c r="G475" s="55"/>
      <c r="H475" s="55"/>
      <c r="I475" s="55"/>
      <c r="J475" s="65"/>
      <c r="K475" s="55"/>
      <c r="L475" s="55"/>
      <c r="M475" s="63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 spans="1:28" ht="15" x14ac:dyDescent="0.25">
      <c r="A476" s="55"/>
      <c r="B476" s="55"/>
      <c r="C476" s="55"/>
      <c r="D476" s="55"/>
      <c r="E476" s="55"/>
      <c r="F476" s="186"/>
      <c r="G476" s="55"/>
      <c r="H476" s="55"/>
      <c r="I476" s="55"/>
      <c r="J476" s="65"/>
      <c r="K476" s="55"/>
      <c r="L476" s="55"/>
      <c r="M476" s="63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 spans="1:28" ht="15" x14ac:dyDescent="0.25">
      <c r="A477" s="55"/>
      <c r="B477" s="55"/>
      <c r="C477" s="55"/>
      <c r="D477" s="55"/>
      <c r="E477" s="55"/>
      <c r="F477" s="186"/>
      <c r="G477" s="55"/>
      <c r="H477" s="55"/>
      <c r="I477" s="55"/>
      <c r="J477" s="65"/>
      <c r="K477" s="55"/>
      <c r="L477" s="55"/>
      <c r="M477" s="63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 spans="1:28" ht="15" x14ac:dyDescent="0.25">
      <c r="A478" s="55"/>
      <c r="B478" s="55"/>
      <c r="C478" s="55"/>
      <c r="D478" s="55"/>
      <c r="E478" s="55"/>
      <c r="F478" s="186"/>
      <c r="G478" s="55"/>
      <c r="H478" s="55"/>
      <c r="I478" s="55"/>
      <c r="J478" s="65"/>
      <c r="K478" s="55"/>
      <c r="L478" s="55"/>
      <c r="M478" s="63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 spans="1:28" ht="15" x14ac:dyDescent="0.25">
      <c r="A479" s="55"/>
      <c r="B479" s="55"/>
      <c r="C479" s="55"/>
      <c r="D479" s="55"/>
      <c r="E479" s="55"/>
      <c r="F479" s="186"/>
      <c r="G479" s="55"/>
      <c r="H479" s="55"/>
      <c r="I479" s="55"/>
      <c r="J479" s="65"/>
      <c r="K479" s="55"/>
      <c r="L479" s="55"/>
      <c r="M479" s="63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 spans="1:28" ht="15" x14ac:dyDescent="0.25">
      <c r="A480" s="55"/>
      <c r="B480" s="55"/>
      <c r="C480" s="55"/>
      <c r="D480" s="55"/>
      <c r="E480" s="55"/>
      <c r="F480" s="186"/>
      <c r="G480" s="55"/>
      <c r="H480" s="55"/>
      <c r="I480" s="55"/>
      <c r="J480" s="65"/>
      <c r="K480" s="55"/>
      <c r="L480" s="55"/>
      <c r="M480" s="63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 spans="1:28" ht="15" x14ac:dyDescent="0.25">
      <c r="A481" s="55"/>
      <c r="B481" s="55"/>
      <c r="C481" s="55"/>
      <c r="D481" s="55"/>
      <c r="E481" s="55"/>
      <c r="F481" s="186"/>
      <c r="G481" s="55"/>
      <c r="H481" s="55"/>
      <c r="I481" s="55"/>
      <c r="J481" s="65"/>
      <c r="K481" s="55"/>
      <c r="L481" s="55"/>
      <c r="M481" s="63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 spans="1:28" ht="15" x14ac:dyDescent="0.25">
      <c r="A482" s="55"/>
      <c r="B482" s="55"/>
      <c r="C482" s="55"/>
      <c r="D482" s="55"/>
      <c r="E482" s="55"/>
      <c r="F482" s="186"/>
      <c r="G482" s="55"/>
      <c r="H482" s="55"/>
      <c r="I482" s="55"/>
      <c r="J482" s="65"/>
      <c r="K482" s="55"/>
      <c r="L482" s="55"/>
      <c r="M482" s="63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 spans="1:28" ht="15" x14ac:dyDescent="0.25">
      <c r="A483" s="55"/>
      <c r="B483" s="55"/>
      <c r="C483" s="55"/>
      <c r="D483" s="55"/>
      <c r="E483" s="55"/>
      <c r="F483" s="186"/>
      <c r="G483" s="55"/>
      <c r="H483" s="55"/>
      <c r="I483" s="55"/>
      <c r="J483" s="65"/>
      <c r="K483" s="55"/>
      <c r="L483" s="55"/>
      <c r="M483" s="63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 spans="1:28" ht="15" x14ac:dyDescent="0.25">
      <c r="A484" s="55"/>
      <c r="B484" s="55"/>
      <c r="C484" s="55"/>
      <c r="D484" s="55"/>
      <c r="E484" s="55"/>
      <c r="F484" s="186"/>
      <c r="G484" s="55"/>
      <c r="H484" s="55"/>
      <c r="I484" s="55"/>
      <c r="J484" s="65"/>
      <c r="K484" s="55"/>
      <c r="L484" s="55"/>
      <c r="M484" s="63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 spans="1:28" ht="15" x14ac:dyDescent="0.25">
      <c r="A485" s="55"/>
      <c r="B485" s="55"/>
      <c r="C485" s="55"/>
      <c r="D485" s="55"/>
      <c r="E485" s="55"/>
      <c r="F485" s="186"/>
      <c r="G485" s="55"/>
      <c r="H485" s="55"/>
      <c r="I485" s="55"/>
      <c r="J485" s="65"/>
      <c r="K485" s="55"/>
      <c r="L485" s="55"/>
      <c r="M485" s="63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 spans="1:28" ht="15" x14ac:dyDescent="0.25">
      <c r="A486" s="55"/>
      <c r="B486" s="55"/>
      <c r="C486" s="55"/>
      <c r="D486" s="55"/>
      <c r="E486" s="55"/>
      <c r="F486" s="186"/>
      <c r="G486" s="55"/>
      <c r="H486" s="55"/>
      <c r="I486" s="55"/>
      <c r="J486" s="65"/>
      <c r="K486" s="55"/>
      <c r="L486" s="55"/>
      <c r="M486" s="63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 spans="1:28" ht="15" x14ac:dyDescent="0.25">
      <c r="A487" s="55"/>
      <c r="B487" s="55"/>
      <c r="C487" s="55"/>
      <c r="D487" s="55"/>
      <c r="E487" s="55"/>
      <c r="F487" s="186"/>
      <c r="G487" s="55"/>
      <c r="H487" s="55"/>
      <c r="I487" s="55"/>
      <c r="J487" s="65"/>
      <c r="K487" s="55"/>
      <c r="L487" s="55"/>
      <c r="M487" s="63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 spans="1:28" ht="15" x14ac:dyDescent="0.25">
      <c r="A488" s="55"/>
      <c r="B488" s="55"/>
      <c r="C488" s="55"/>
      <c r="D488" s="55"/>
      <c r="E488" s="55"/>
      <c r="F488" s="186"/>
      <c r="G488" s="55"/>
      <c r="H488" s="55"/>
      <c r="I488" s="55"/>
      <c r="J488" s="65"/>
      <c r="K488" s="55"/>
      <c r="L488" s="55"/>
      <c r="M488" s="63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 spans="1:28" ht="15" x14ac:dyDescent="0.25">
      <c r="A489" s="55"/>
      <c r="B489" s="55"/>
      <c r="C489" s="55"/>
      <c r="D489" s="55"/>
      <c r="E489" s="55"/>
      <c r="F489" s="186"/>
      <c r="G489" s="55"/>
      <c r="H489" s="55"/>
      <c r="I489" s="55"/>
      <c r="J489" s="65"/>
      <c r="K489" s="55"/>
      <c r="L489" s="55"/>
      <c r="M489" s="63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 spans="1:28" ht="15" x14ac:dyDescent="0.25">
      <c r="A490" s="55"/>
      <c r="B490" s="55"/>
      <c r="C490" s="55"/>
      <c r="D490" s="55"/>
      <c r="E490" s="55"/>
      <c r="F490" s="186"/>
      <c r="G490" s="55"/>
      <c r="H490" s="55"/>
      <c r="I490" s="55"/>
      <c r="J490" s="65"/>
      <c r="K490" s="55"/>
      <c r="L490" s="55"/>
      <c r="M490" s="63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 spans="1:28" ht="15" x14ac:dyDescent="0.25">
      <c r="A491" s="55"/>
      <c r="B491" s="55"/>
      <c r="C491" s="55"/>
      <c r="D491" s="55"/>
      <c r="E491" s="55"/>
      <c r="F491" s="186"/>
      <c r="G491" s="55"/>
      <c r="H491" s="55"/>
      <c r="I491" s="55"/>
      <c r="J491" s="65"/>
      <c r="K491" s="55"/>
      <c r="L491" s="55"/>
      <c r="M491" s="63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 spans="1:28" ht="15" x14ac:dyDescent="0.25">
      <c r="A492" s="55"/>
      <c r="B492" s="55"/>
      <c r="C492" s="55"/>
      <c r="D492" s="55"/>
      <c r="E492" s="55"/>
      <c r="F492" s="186"/>
      <c r="G492" s="55"/>
      <c r="H492" s="55"/>
      <c r="I492" s="55"/>
      <c r="J492" s="65"/>
      <c r="K492" s="55"/>
      <c r="L492" s="55"/>
      <c r="M492" s="63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 spans="1:28" ht="15" x14ac:dyDescent="0.25">
      <c r="A493" s="55"/>
      <c r="B493" s="55"/>
      <c r="C493" s="55"/>
      <c r="D493" s="55"/>
      <c r="E493" s="55"/>
      <c r="F493" s="186"/>
      <c r="G493" s="55"/>
      <c r="H493" s="55"/>
      <c r="I493" s="55"/>
      <c r="J493" s="65"/>
      <c r="K493" s="55"/>
      <c r="L493" s="55"/>
      <c r="M493" s="63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 spans="1:28" ht="15" x14ac:dyDescent="0.25">
      <c r="A494" s="55"/>
      <c r="B494" s="55"/>
      <c r="C494" s="55"/>
      <c r="D494" s="55"/>
      <c r="E494" s="55"/>
      <c r="F494" s="186"/>
      <c r="G494" s="55"/>
      <c r="H494" s="55"/>
      <c r="I494" s="55"/>
      <c r="J494" s="65"/>
      <c r="K494" s="55"/>
      <c r="L494" s="55"/>
      <c r="M494" s="63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 spans="1:28" ht="15" x14ac:dyDescent="0.25">
      <c r="A495" s="55"/>
      <c r="B495" s="55"/>
      <c r="C495" s="55"/>
      <c r="D495" s="55"/>
      <c r="E495" s="55"/>
      <c r="F495" s="186"/>
      <c r="G495" s="55"/>
      <c r="H495" s="55"/>
      <c r="I495" s="55"/>
      <c r="J495" s="65"/>
      <c r="K495" s="55"/>
      <c r="L495" s="55"/>
      <c r="M495" s="63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 spans="1:28" ht="15" x14ac:dyDescent="0.25">
      <c r="A496" s="55"/>
      <c r="B496" s="55"/>
      <c r="C496" s="55"/>
      <c r="D496" s="55"/>
      <c r="E496" s="55"/>
      <c r="F496" s="186"/>
      <c r="G496" s="55"/>
      <c r="H496" s="55"/>
      <c r="I496" s="55"/>
      <c r="J496" s="65"/>
      <c r="K496" s="55"/>
      <c r="L496" s="55"/>
      <c r="M496" s="63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 spans="1:28" ht="15" x14ac:dyDescent="0.25">
      <c r="A497" s="55"/>
      <c r="B497" s="55"/>
      <c r="C497" s="55"/>
      <c r="D497" s="55"/>
      <c r="E497" s="55"/>
      <c r="F497" s="186"/>
      <c r="G497" s="55"/>
      <c r="H497" s="55"/>
      <c r="I497" s="55"/>
      <c r="J497" s="65"/>
      <c r="K497" s="55"/>
      <c r="L497" s="55"/>
      <c r="M497" s="63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 spans="1:28" ht="15" x14ac:dyDescent="0.25">
      <c r="A498" s="55"/>
      <c r="B498" s="55"/>
      <c r="C498" s="55"/>
      <c r="D498" s="55"/>
      <c r="E498" s="55"/>
      <c r="F498" s="186"/>
      <c r="G498" s="55"/>
      <c r="H498" s="55"/>
      <c r="I498" s="55"/>
      <c r="J498" s="65"/>
      <c r="K498" s="55"/>
      <c r="L498" s="55"/>
      <c r="M498" s="63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 spans="1:28" ht="15" x14ac:dyDescent="0.25">
      <c r="A499" s="55"/>
      <c r="B499" s="55"/>
      <c r="C499" s="55"/>
      <c r="D499" s="55"/>
      <c r="E499" s="55"/>
      <c r="F499" s="186"/>
      <c r="G499" s="55"/>
      <c r="H499" s="55"/>
      <c r="I499" s="55"/>
      <c r="J499" s="65"/>
      <c r="K499" s="55"/>
      <c r="L499" s="55"/>
      <c r="M499" s="63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 spans="1:28" ht="15" x14ac:dyDescent="0.25">
      <c r="A500" s="55"/>
      <c r="B500" s="55"/>
      <c r="C500" s="55"/>
      <c r="D500" s="55"/>
      <c r="E500" s="55"/>
      <c r="F500" s="186"/>
      <c r="G500" s="55"/>
      <c r="H500" s="55"/>
      <c r="I500" s="55"/>
      <c r="J500" s="65"/>
      <c r="K500" s="55"/>
      <c r="L500" s="55"/>
      <c r="M500" s="63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 spans="1:28" ht="15" x14ac:dyDescent="0.25">
      <c r="A501" s="55"/>
      <c r="B501" s="55"/>
      <c r="C501" s="55"/>
      <c r="D501" s="55"/>
      <c r="E501" s="55"/>
      <c r="F501" s="186"/>
      <c r="G501" s="55"/>
      <c r="H501" s="55"/>
      <c r="I501" s="55"/>
      <c r="J501" s="65"/>
      <c r="K501" s="55"/>
      <c r="L501" s="55"/>
      <c r="M501" s="63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 spans="1:28" ht="15" x14ac:dyDescent="0.25">
      <c r="A502" s="55"/>
      <c r="B502" s="55"/>
      <c r="C502" s="55"/>
      <c r="D502" s="55"/>
      <c r="E502" s="55"/>
      <c r="F502" s="186"/>
      <c r="G502" s="55"/>
      <c r="H502" s="55"/>
      <c r="I502" s="55"/>
      <c r="J502" s="65"/>
      <c r="K502" s="55"/>
      <c r="L502" s="55"/>
      <c r="M502" s="63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 spans="1:28" ht="15" x14ac:dyDescent="0.25">
      <c r="A503" s="55"/>
      <c r="B503" s="55"/>
      <c r="C503" s="55"/>
      <c r="D503" s="55"/>
      <c r="E503" s="55"/>
      <c r="F503" s="186"/>
      <c r="G503" s="55"/>
      <c r="H503" s="55"/>
      <c r="I503" s="55"/>
      <c r="J503" s="65"/>
      <c r="K503" s="55"/>
      <c r="L503" s="55"/>
      <c r="M503" s="63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 spans="1:28" ht="15" x14ac:dyDescent="0.25">
      <c r="A504" s="55"/>
      <c r="B504" s="55"/>
      <c r="C504" s="55"/>
      <c r="D504" s="55"/>
      <c r="E504" s="55"/>
      <c r="F504" s="186"/>
      <c r="G504" s="55"/>
      <c r="H504" s="55"/>
      <c r="I504" s="55"/>
      <c r="J504" s="65"/>
      <c r="K504" s="55"/>
      <c r="L504" s="55"/>
      <c r="M504" s="63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 spans="1:28" ht="15" x14ac:dyDescent="0.25">
      <c r="A505" s="55"/>
      <c r="B505" s="55"/>
      <c r="C505" s="55"/>
      <c r="D505" s="55"/>
      <c r="E505" s="55"/>
      <c r="F505" s="186"/>
      <c r="G505" s="55"/>
      <c r="H505" s="55"/>
      <c r="I505" s="55"/>
      <c r="J505" s="65"/>
      <c r="K505" s="55"/>
      <c r="L505" s="55"/>
      <c r="M505" s="63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 spans="1:28" ht="15" x14ac:dyDescent="0.25">
      <c r="A506" s="55"/>
      <c r="B506" s="55"/>
      <c r="C506" s="55"/>
      <c r="D506" s="55"/>
      <c r="E506" s="55"/>
      <c r="F506" s="186"/>
      <c r="G506" s="55"/>
      <c r="H506" s="55"/>
      <c r="I506" s="55"/>
      <c r="J506" s="65"/>
      <c r="K506" s="55"/>
      <c r="L506" s="55"/>
      <c r="M506" s="63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 spans="1:28" ht="15" x14ac:dyDescent="0.25">
      <c r="A507" s="55"/>
      <c r="B507" s="55"/>
      <c r="C507" s="55"/>
      <c r="D507" s="55"/>
      <c r="E507" s="55"/>
      <c r="F507" s="186"/>
      <c r="G507" s="55"/>
      <c r="H507" s="55"/>
      <c r="I507" s="55"/>
      <c r="J507" s="65"/>
      <c r="K507" s="55"/>
      <c r="L507" s="55"/>
      <c r="M507" s="63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 spans="1:28" ht="15" x14ac:dyDescent="0.25">
      <c r="A508" s="55"/>
      <c r="B508" s="55"/>
      <c r="C508" s="55"/>
      <c r="D508" s="55"/>
      <c r="E508" s="55"/>
      <c r="F508" s="186"/>
      <c r="G508" s="55"/>
      <c r="H508" s="55"/>
      <c r="I508" s="55"/>
      <c r="J508" s="65"/>
      <c r="K508" s="55"/>
      <c r="L508" s="55"/>
      <c r="M508" s="63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 spans="1:28" ht="15" x14ac:dyDescent="0.25">
      <c r="A509" s="55"/>
      <c r="B509" s="55"/>
      <c r="C509" s="55"/>
      <c r="D509" s="55"/>
      <c r="E509" s="55"/>
      <c r="F509" s="186"/>
      <c r="G509" s="55"/>
      <c r="H509" s="55"/>
      <c r="I509" s="55"/>
      <c r="J509" s="65"/>
      <c r="K509" s="55"/>
      <c r="L509" s="55"/>
      <c r="M509" s="63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 spans="1:28" ht="15" x14ac:dyDescent="0.25">
      <c r="A510" s="55"/>
      <c r="B510" s="55"/>
      <c r="C510" s="55"/>
      <c r="D510" s="55"/>
      <c r="E510" s="55"/>
      <c r="F510" s="186"/>
      <c r="G510" s="55"/>
      <c r="H510" s="55"/>
      <c r="I510" s="55"/>
      <c r="J510" s="65"/>
      <c r="K510" s="55"/>
      <c r="L510" s="55"/>
      <c r="M510" s="63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 spans="1:28" ht="15" x14ac:dyDescent="0.25">
      <c r="A511" s="55"/>
      <c r="B511" s="55"/>
      <c r="C511" s="55"/>
      <c r="D511" s="55"/>
      <c r="E511" s="55"/>
      <c r="F511" s="186"/>
      <c r="G511" s="55"/>
      <c r="H511" s="55"/>
      <c r="I511" s="55"/>
      <c r="J511" s="65"/>
      <c r="K511" s="55"/>
      <c r="L511" s="55"/>
      <c r="M511" s="63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 spans="1:28" ht="15" x14ac:dyDescent="0.25">
      <c r="A512" s="55"/>
      <c r="B512" s="55"/>
      <c r="C512" s="55"/>
      <c r="D512" s="55"/>
      <c r="E512" s="55"/>
      <c r="F512" s="186"/>
      <c r="G512" s="55"/>
      <c r="H512" s="55"/>
      <c r="I512" s="55"/>
      <c r="J512" s="65"/>
      <c r="K512" s="55"/>
      <c r="L512" s="55"/>
      <c r="M512" s="63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 spans="1:28" ht="15" x14ac:dyDescent="0.25">
      <c r="A513" s="55"/>
      <c r="B513" s="55"/>
      <c r="C513" s="55"/>
      <c r="D513" s="55"/>
      <c r="E513" s="55"/>
      <c r="F513" s="186"/>
      <c r="G513" s="55"/>
      <c r="H513" s="55"/>
      <c r="I513" s="55"/>
      <c r="J513" s="65"/>
      <c r="K513" s="55"/>
      <c r="L513" s="55"/>
      <c r="M513" s="63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 spans="1:28" ht="15" x14ac:dyDescent="0.25">
      <c r="A514" s="55"/>
      <c r="B514" s="55"/>
      <c r="C514" s="55"/>
      <c r="D514" s="55"/>
      <c r="E514" s="55"/>
      <c r="F514" s="186"/>
      <c r="G514" s="55"/>
      <c r="H514" s="55"/>
      <c r="I514" s="55"/>
      <c r="J514" s="65"/>
      <c r="K514" s="55"/>
      <c r="L514" s="55"/>
      <c r="M514" s="63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 spans="1:28" ht="15" x14ac:dyDescent="0.25">
      <c r="A515" s="55"/>
      <c r="B515" s="55"/>
      <c r="C515" s="55"/>
      <c r="D515" s="55"/>
      <c r="E515" s="55"/>
      <c r="F515" s="186"/>
      <c r="G515" s="55"/>
      <c r="H515" s="55"/>
      <c r="I515" s="55"/>
      <c r="J515" s="65"/>
      <c r="K515" s="55"/>
      <c r="L515" s="55"/>
      <c r="M515" s="63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 spans="1:28" ht="15" x14ac:dyDescent="0.25">
      <c r="A516" s="55"/>
      <c r="B516" s="55"/>
      <c r="C516" s="55"/>
      <c r="D516" s="55"/>
      <c r="E516" s="55"/>
      <c r="F516" s="186"/>
      <c r="G516" s="55"/>
      <c r="H516" s="55"/>
      <c r="I516" s="55"/>
      <c r="J516" s="65"/>
      <c r="K516" s="55"/>
      <c r="L516" s="55"/>
      <c r="M516" s="63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 spans="1:28" ht="15" x14ac:dyDescent="0.25">
      <c r="A517" s="55"/>
      <c r="B517" s="55"/>
      <c r="C517" s="55"/>
      <c r="D517" s="55"/>
      <c r="E517" s="55"/>
      <c r="F517" s="186"/>
      <c r="G517" s="55"/>
      <c r="H517" s="55"/>
      <c r="I517" s="55"/>
      <c r="J517" s="65"/>
      <c r="K517" s="55"/>
      <c r="L517" s="55"/>
      <c r="M517" s="63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 spans="1:28" ht="15" x14ac:dyDescent="0.25">
      <c r="A518" s="55"/>
      <c r="B518" s="55"/>
      <c r="C518" s="55"/>
      <c r="D518" s="55"/>
      <c r="E518" s="55"/>
      <c r="F518" s="186"/>
      <c r="G518" s="55"/>
      <c r="H518" s="55"/>
      <c r="I518" s="55"/>
      <c r="J518" s="65"/>
      <c r="K518" s="55"/>
      <c r="L518" s="55"/>
      <c r="M518" s="63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 spans="1:28" ht="15" x14ac:dyDescent="0.25">
      <c r="A519" s="55"/>
      <c r="B519" s="55"/>
      <c r="C519" s="55"/>
      <c r="D519" s="55"/>
      <c r="E519" s="55"/>
      <c r="F519" s="186"/>
      <c r="G519" s="55"/>
      <c r="H519" s="55"/>
      <c r="I519" s="55"/>
      <c r="J519" s="65"/>
      <c r="K519" s="55"/>
      <c r="L519" s="55"/>
      <c r="M519" s="63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 spans="1:28" ht="15" x14ac:dyDescent="0.25">
      <c r="A520" s="55"/>
      <c r="B520" s="55"/>
      <c r="C520" s="55"/>
      <c r="D520" s="55"/>
      <c r="E520" s="55"/>
      <c r="F520" s="186"/>
      <c r="G520" s="55"/>
      <c r="H520" s="55"/>
      <c r="I520" s="55"/>
      <c r="J520" s="65"/>
      <c r="K520" s="55"/>
      <c r="L520" s="55"/>
      <c r="M520" s="63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 spans="1:28" ht="15" x14ac:dyDescent="0.25">
      <c r="A521" s="55"/>
      <c r="B521" s="55"/>
      <c r="C521" s="55"/>
      <c r="D521" s="55"/>
      <c r="E521" s="55"/>
      <c r="F521" s="186"/>
      <c r="G521" s="55"/>
      <c r="H521" s="55"/>
      <c r="I521" s="55"/>
      <c r="J521" s="65"/>
      <c r="K521" s="55"/>
      <c r="L521" s="55"/>
      <c r="M521" s="63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 spans="1:28" ht="15" x14ac:dyDescent="0.25">
      <c r="A522" s="55"/>
      <c r="B522" s="55"/>
      <c r="C522" s="55"/>
      <c r="D522" s="55"/>
      <c r="E522" s="55"/>
      <c r="F522" s="186"/>
      <c r="G522" s="55"/>
      <c r="H522" s="55"/>
      <c r="I522" s="55"/>
      <c r="J522" s="65"/>
      <c r="K522" s="55"/>
      <c r="L522" s="55"/>
      <c r="M522" s="63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 spans="1:28" ht="15" x14ac:dyDescent="0.25">
      <c r="A523" s="55"/>
      <c r="B523" s="55"/>
      <c r="C523" s="55"/>
      <c r="D523" s="55"/>
      <c r="E523" s="55"/>
      <c r="F523" s="186"/>
      <c r="G523" s="55"/>
      <c r="H523" s="55"/>
      <c r="I523" s="55"/>
      <c r="J523" s="65"/>
      <c r="K523" s="55"/>
      <c r="L523" s="55"/>
      <c r="M523" s="63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 spans="1:28" ht="15" x14ac:dyDescent="0.25">
      <c r="A524" s="55"/>
      <c r="B524" s="55"/>
      <c r="C524" s="55"/>
      <c r="D524" s="55"/>
      <c r="E524" s="55"/>
      <c r="F524" s="186"/>
      <c r="G524" s="55"/>
      <c r="H524" s="55"/>
      <c r="I524" s="55"/>
      <c r="J524" s="65"/>
      <c r="K524" s="55"/>
      <c r="L524" s="55"/>
      <c r="M524" s="63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 spans="1:28" ht="15" x14ac:dyDescent="0.25">
      <c r="A525" s="55"/>
      <c r="B525" s="55"/>
      <c r="C525" s="55"/>
      <c r="D525" s="55"/>
      <c r="E525" s="55"/>
      <c r="F525" s="186"/>
      <c r="G525" s="55"/>
      <c r="H525" s="55"/>
      <c r="I525" s="55"/>
      <c r="J525" s="65"/>
      <c r="K525" s="55"/>
      <c r="L525" s="55"/>
      <c r="M525" s="63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 spans="1:28" ht="15" x14ac:dyDescent="0.25">
      <c r="A526" s="55"/>
      <c r="B526" s="55"/>
      <c r="C526" s="55"/>
      <c r="D526" s="55"/>
      <c r="E526" s="55"/>
      <c r="F526" s="186"/>
      <c r="G526" s="55"/>
      <c r="H526" s="55"/>
      <c r="I526" s="55"/>
      <c r="J526" s="65"/>
      <c r="K526" s="55"/>
      <c r="L526" s="55"/>
      <c r="M526" s="63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 spans="1:28" ht="15" x14ac:dyDescent="0.25">
      <c r="A527" s="55"/>
      <c r="B527" s="55"/>
      <c r="C527" s="55"/>
      <c r="D527" s="55"/>
      <c r="E527" s="55"/>
      <c r="F527" s="186"/>
      <c r="G527" s="55"/>
      <c r="H527" s="55"/>
      <c r="I527" s="55"/>
      <c r="J527" s="65"/>
      <c r="K527" s="55"/>
      <c r="L527" s="55"/>
      <c r="M527" s="63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 spans="1:28" ht="15" x14ac:dyDescent="0.25">
      <c r="A528" s="55"/>
      <c r="B528" s="55"/>
      <c r="C528" s="55"/>
      <c r="D528" s="55"/>
      <c r="E528" s="55"/>
      <c r="F528" s="186"/>
      <c r="G528" s="55"/>
      <c r="H528" s="55"/>
      <c r="I528" s="55"/>
      <c r="J528" s="65"/>
      <c r="K528" s="55"/>
      <c r="L528" s="55"/>
      <c r="M528" s="63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 spans="1:28" ht="15" x14ac:dyDescent="0.25">
      <c r="A529" s="55"/>
      <c r="B529" s="55"/>
      <c r="C529" s="55"/>
      <c r="D529" s="55"/>
      <c r="E529" s="55"/>
      <c r="F529" s="186"/>
      <c r="G529" s="55"/>
      <c r="H529" s="55"/>
      <c r="I529" s="55"/>
      <c r="J529" s="65"/>
      <c r="K529" s="55"/>
      <c r="L529" s="55"/>
      <c r="M529" s="63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 spans="1:28" ht="15" x14ac:dyDescent="0.25">
      <c r="A530" s="55"/>
      <c r="B530" s="55"/>
      <c r="C530" s="55"/>
      <c r="D530" s="55"/>
      <c r="E530" s="55"/>
      <c r="F530" s="186"/>
      <c r="G530" s="55"/>
      <c r="H530" s="55"/>
      <c r="I530" s="55"/>
      <c r="J530" s="65"/>
      <c r="K530" s="55"/>
      <c r="L530" s="55"/>
      <c r="M530" s="63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 spans="1:28" ht="15" x14ac:dyDescent="0.25">
      <c r="A531" s="55"/>
      <c r="B531" s="55"/>
      <c r="C531" s="55"/>
      <c r="D531" s="55"/>
      <c r="E531" s="55"/>
      <c r="F531" s="186"/>
      <c r="G531" s="55"/>
      <c r="H531" s="55"/>
      <c r="I531" s="55"/>
      <c r="J531" s="65"/>
      <c r="K531" s="55"/>
      <c r="L531" s="55"/>
      <c r="M531" s="63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 spans="1:28" ht="15" x14ac:dyDescent="0.25">
      <c r="A532" s="55"/>
      <c r="B532" s="55"/>
      <c r="C532" s="55"/>
      <c r="D532" s="55"/>
      <c r="E532" s="55"/>
      <c r="F532" s="186"/>
      <c r="G532" s="55"/>
      <c r="H532" s="55"/>
      <c r="I532" s="55"/>
      <c r="J532" s="65"/>
      <c r="K532" s="55"/>
      <c r="L532" s="55"/>
      <c r="M532" s="63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 spans="1:28" ht="15" x14ac:dyDescent="0.25">
      <c r="A533" s="55"/>
      <c r="B533" s="55"/>
      <c r="C533" s="55"/>
      <c r="D533" s="55"/>
      <c r="E533" s="55"/>
      <c r="F533" s="186"/>
      <c r="G533" s="55"/>
      <c r="H533" s="55"/>
      <c r="I533" s="55"/>
      <c r="J533" s="65"/>
      <c r="K533" s="55"/>
      <c r="L533" s="55"/>
      <c r="M533" s="63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 spans="1:28" ht="15" x14ac:dyDescent="0.25">
      <c r="A534" s="55"/>
      <c r="B534" s="55"/>
      <c r="C534" s="55"/>
      <c r="D534" s="55"/>
      <c r="E534" s="55"/>
      <c r="F534" s="186"/>
      <c r="G534" s="55"/>
      <c r="H534" s="55"/>
      <c r="I534" s="55"/>
      <c r="J534" s="65"/>
      <c r="K534" s="55"/>
      <c r="L534" s="55"/>
      <c r="M534" s="63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 spans="1:28" ht="15" x14ac:dyDescent="0.25">
      <c r="A535" s="55"/>
      <c r="B535" s="55"/>
      <c r="C535" s="55"/>
      <c r="D535" s="55"/>
      <c r="E535" s="55"/>
      <c r="F535" s="186"/>
      <c r="G535" s="55"/>
      <c r="H535" s="55"/>
      <c r="I535" s="55"/>
      <c r="J535" s="65"/>
      <c r="K535" s="55"/>
      <c r="L535" s="55"/>
      <c r="M535" s="63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 spans="1:28" ht="15" x14ac:dyDescent="0.25">
      <c r="A536" s="55"/>
      <c r="B536" s="55"/>
      <c r="C536" s="55"/>
      <c r="D536" s="55"/>
      <c r="E536" s="55"/>
      <c r="F536" s="186"/>
      <c r="G536" s="55"/>
      <c r="H536" s="55"/>
      <c r="I536" s="55"/>
      <c r="J536" s="65"/>
      <c r="K536" s="55"/>
      <c r="L536" s="55"/>
      <c r="M536" s="63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 spans="1:28" ht="15" x14ac:dyDescent="0.25">
      <c r="A537" s="55"/>
      <c r="B537" s="55"/>
      <c r="C537" s="55"/>
      <c r="D537" s="55"/>
      <c r="E537" s="55"/>
      <c r="F537" s="186"/>
      <c r="G537" s="55"/>
      <c r="H537" s="55"/>
      <c r="I537" s="55"/>
      <c r="J537" s="65"/>
      <c r="K537" s="55"/>
      <c r="L537" s="55"/>
      <c r="M537" s="63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 spans="1:28" ht="15" x14ac:dyDescent="0.25">
      <c r="A538" s="55"/>
      <c r="B538" s="55"/>
      <c r="C538" s="55"/>
      <c r="D538" s="55"/>
      <c r="E538" s="55"/>
      <c r="F538" s="186"/>
      <c r="G538" s="55"/>
      <c r="H538" s="55"/>
      <c r="I538" s="55"/>
      <c r="J538" s="65"/>
      <c r="K538" s="55"/>
      <c r="L538" s="55"/>
      <c r="M538" s="63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 spans="1:28" ht="15" x14ac:dyDescent="0.25">
      <c r="A539" s="55"/>
      <c r="B539" s="55"/>
      <c r="C539" s="55"/>
      <c r="D539" s="55"/>
      <c r="E539" s="55"/>
      <c r="F539" s="186"/>
      <c r="G539" s="55"/>
      <c r="H539" s="55"/>
      <c r="I539" s="55"/>
      <c r="J539" s="65"/>
      <c r="K539" s="55"/>
      <c r="L539" s="55"/>
      <c r="M539" s="63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 spans="1:28" ht="15" x14ac:dyDescent="0.25">
      <c r="A540" s="55"/>
      <c r="B540" s="55"/>
      <c r="C540" s="55"/>
      <c r="D540" s="55"/>
      <c r="E540" s="55"/>
      <c r="F540" s="186"/>
      <c r="G540" s="55"/>
      <c r="H540" s="55"/>
      <c r="I540" s="55"/>
      <c r="J540" s="65"/>
      <c r="K540" s="55"/>
      <c r="L540" s="55"/>
      <c r="M540" s="63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 spans="1:28" ht="15" x14ac:dyDescent="0.25">
      <c r="A541" s="55"/>
      <c r="B541" s="55"/>
      <c r="C541" s="55"/>
      <c r="D541" s="55"/>
      <c r="E541" s="55"/>
      <c r="F541" s="186"/>
      <c r="G541" s="55"/>
      <c r="H541" s="55"/>
      <c r="I541" s="55"/>
      <c r="J541" s="65"/>
      <c r="K541" s="55"/>
      <c r="L541" s="55"/>
      <c r="M541" s="63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 spans="1:28" ht="15" x14ac:dyDescent="0.25">
      <c r="A542" s="55"/>
      <c r="B542" s="55"/>
      <c r="C542" s="55"/>
      <c r="D542" s="55"/>
      <c r="E542" s="55"/>
      <c r="F542" s="186"/>
      <c r="G542" s="55"/>
      <c r="H542" s="55"/>
      <c r="I542" s="55"/>
      <c r="J542" s="65"/>
      <c r="K542" s="55"/>
      <c r="L542" s="55"/>
      <c r="M542" s="63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 spans="1:28" ht="15" x14ac:dyDescent="0.25">
      <c r="A543" s="55"/>
      <c r="B543" s="55"/>
      <c r="C543" s="55"/>
      <c r="D543" s="55"/>
      <c r="E543" s="55"/>
      <c r="F543" s="186"/>
      <c r="G543" s="55"/>
      <c r="H543" s="55"/>
      <c r="I543" s="55"/>
      <c r="J543" s="65"/>
      <c r="K543" s="55"/>
      <c r="L543" s="55"/>
      <c r="M543" s="63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 spans="1:28" ht="15" x14ac:dyDescent="0.25">
      <c r="A544" s="55"/>
      <c r="B544" s="55"/>
      <c r="C544" s="55"/>
      <c r="D544" s="55"/>
      <c r="E544" s="55"/>
      <c r="F544" s="186"/>
      <c r="G544" s="55"/>
      <c r="H544" s="55"/>
      <c r="I544" s="55"/>
      <c r="J544" s="65"/>
      <c r="K544" s="55"/>
      <c r="L544" s="55"/>
      <c r="M544" s="63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 spans="1:28" ht="15" x14ac:dyDescent="0.25">
      <c r="A545" s="55"/>
      <c r="B545" s="55"/>
      <c r="C545" s="55"/>
      <c r="D545" s="55"/>
      <c r="E545" s="55"/>
      <c r="F545" s="186"/>
      <c r="G545" s="55"/>
      <c r="H545" s="55"/>
      <c r="I545" s="55"/>
      <c r="J545" s="65"/>
      <c r="K545" s="55"/>
      <c r="L545" s="55"/>
      <c r="M545" s="63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 spans="1:28" ht="15" x14ac:dyDescent="0.25">
      <c r="A546" s="55"/>
      <c r="B546" s="55"/>
      <c r="C546" s="55"/>
      <c r="D546" s="55"/>
      <c r="E546" s="55"/>
      <c r="F546" s="186"/>
      <c r="G546" s="55"/>
      <c r="H546" s="55"/>
      <c r="I546" s="55"/>
      <c r="J546" s="65"/>
      <c r="K546" s="55"/>
      <c r="L546" s="55"/>
      <c r="M546" s="63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 spans="1:28" ht="15" x14ac:dyDescent="0.25">
      <c r="A547" s="55"/>
      <c r="B547" s="55"/>
      <c r="C547" s="55"/>
      <c r="D547" s="55"/>
      <c r="E547" s="55"/>
      <c r="F547" s="186"/>
      <c r="G547" s="55"/>
      <c r="H547" s="55"/>
      <c r="I547" s="55"/>
      <c r="J547" s="65"/>
      <c r="K547" s="55"/>
      <c r="L547" s="55"/>
      <c r="M547" s="63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 spans="1:28" ht="15" x14ac:dyDescent="0.25">
      <c r="A548" s="55"/>
      <c r="B548" s="55"/>
      <c r="C548" s="55"/>
      <c r="D548" s="55"/>
      <c r="E548" s="55"/>
      <c r="F548" s="186"/>
      <c r="G548" s="55"/>
      <c r="H548" s="55"/>
      <c r="I548" s="55"/>
      <c r="J548" s="65"/>
      <c r="K548" s="55"/>
      <c r="L548" s="55"/>
      <c r="M548" s="63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 spans="1:28" ht="15" x14ac:dyDescent="0.25">
      <c r="A549" s="55"/>
      <c r="B549" s="55"/>
      <c r="C549" s="55"/>
      <c r="D549" s="55"/>
      <c r="E549" s="55"/>
      <c r="F549" s="186"/>
      <c r="G549" s="55"/>
      <c r="H549" s="55"/>
      <c r="I549" s="55"/>
      <c r="J549" s="65"/>
      <c r="K549" s="55"/>
      <c r="L549" s="55"/>
      <c r="M549" s="63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 spans="1:28" ht="15" x14ac:dyDescent="0.25">
      <c r="A550" s="55"/>
      <c r="B550" s="55"/>
      <c r="C550" s="55"/>
      <c r="D550" s="55"/>
      <c r="E550" s="55"/>
      <c r="F550" s="186"/>
      <c r="G550" s="55"/>
      <c r="H550" s="55"/>
      <c r="I550" s="55"/>
      <c r="J550" s="65"/>
      <c r="K550" s="55"/>
      <c r="L550" s="55"/>
      <c r="M550" s="63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 spans="1:28" ht="15" x14ac:dyDescent="0.25">
      <c r="A551" s="55"/>
      <c r="B551" s="55"/>
      <c r="C551" s="55"/>
      <c r="D551" s="55"/>
      <c r="E551" s="55"/>
      <c r="F551" s="186"/>
      <c r="G551" s="55"/>
      <c r="H551" s="55"/>
      <c r="I551" s="55"/>
      <c r="J551" s="65"/>
      <c r="K551" s="55"/>
      <c r="L551" s="55"/>
      <c r="M551" s="63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 spans="1:28" ht="15" x14ac:dyDescent="0.25">
      <c r="A552" s="55"/>
      <c r="B552" s="55"/>
      <c r="C552" s="55"/>
      <c r="D552" s="55"/>
      <c r="E552" s="55"/>
      <c r="F552" s="186"/>
      <c r="G552" s="55"/>
      <c r="H552" s="55"/>
      <c r="I552" s="55"/>
      <c r="J552" s="65"/>
      <c r="K552" s="55"/>
      <c r="L552" s="55"/>
      <c r="M552" s="63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 spans="1:28" ht="15" x14ac:dyDescent="0.25">
      <c r="A553" s="55"/>
      <c r="B553" s="55"/>
      <c r="C553" s="55"/>
      <c r="D553" s="55"/>
      <c r="E553" s="55"/>
      <c r="F553" s="186"/>
      <c r="G553" s="55"/>
      <c r="H553" s="55"/>
      <c r="I553" s="55"/>
      <c r="J553" s="65"/>
      <c r="K553" s="55"/>
      <c r="L553" s="55"/>
      <c r="M553" s="63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 spans="1:28" ht="15" x14ac:dyDescent="0.25">
      <c r="A554" s="55"/>
      <c r="B554" s="55"/>
      <c r="C554" s="55"/>
      <c r="D554" s="55"/>
      <c r="E554" s="55"/>
      <c r="F554" s="186"/>
      <c r="G554" s="55"/>
      <c r="H554" s="55"/>
      <c r="I554" s="55"/>
      <c r="J554" s="65"/>
      <c r="K554" s="55"/>
      <c r="L554" s="55"/>
      <c r="M554" s="63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 spans="1:28" ht="15" x14ac:dyDescent="0.25">
      <c r="A555" s="55"/>
      <c r="B555" s="55"/>
      <c r="C555" s="55"/>
      <c r="D555" s="55"/>
      <c r="E555" s="55"/>
      <c r="F555" s="186"/>
      <c r="G555" s="55"/>
      <c r="H555" s="55"/>
      <c r="I555" s="55"/>
      <c r="J555" s="65"/>
      <c r="K555" s="55"/>
      <c r="L555" s="55"/>
      <c r="M555" s="63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 spans="1:28" ht="15" x14ac:dyDescent="0.25">
      <c r="A556" s="55"/>
      <c r="B556" s="55"/>
      <c r="C556" s="55"/>
      <c r="D556" s="55"/>
      <c r="E556" s="55"/>
      <c r="F556" s="186"/>
      <c r="G556" s="55"/>
      <c r="H556" s="55"/>
      <c r="I556" s="55"/>
      <c r="J556" s="65"/>
      <c r="K556" s="55"/>
      <c r="L556" s="55"/>
      <c r="M556" s="63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 spans="1:28" ht="15" x14ac:dyDescent="0.25">
      <c r="A557" s="55"/>
      <c r="B557" s="55"/>
      <c r="C557" s="55"/>
      <c r="D557" s="55"/>
      <c r="E557" s="55"/>
      <c r="F557" s="186"/>
      <c r="G557" s="55"/>
      <c r="H557" s="55"/>
      <c r="I557" s="55"/>
      <c r="J557" s="65"/>
      <c r="K557" s="55"/>
      <c r="L557" s="55"/>
      <c r="M557" s="63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 spans="1:28" ht="15" x14ac:dyDescent="0.25">
      <c r="A558" s="55"/>
      <c r="B558" s="55"/>
      <c r="C558" s="55"/>
      <c r="D558" s="55"/>
      <c r="E558" s="55"/>
      <c r="F558" s="186"/>
      <c r="G558" s="55"/>
      <c r="H558" s="55"/>
      <c r="I558" s="55"/>
      <c r="J558" s="65"/>
      <c r="K558" s="55"/>
      <c r="L558" s="55"/>
      <c r="M558" s="63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 spans="1:28" ht="15" x14ac:dyDescent="0.25">
      <c r="A559" s="55"/>
      <c r="B559" s="55"/>
      <c r="C559" s="55"/>
      <c r="D559" s="55"/>
      <c r="E559" s="55"/>
      <c r="F559" s="186"/>
      <c r="G559" s="55"/>
      <c r="H559" s="55"/>
      <c r="I559" s="55"/>
      <c r="J559" s="65"/>
      <c r="K559" s="55"/>
      <c r="L559" s="55"/>
      <c r="M559" s="63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 spans="1:28" ht="15" x14ac:dyDescent="0.25">
      <c r="A560" s="55"/>
      <c r="B560" s="55"/>
      <c r="C560" s="55"/>
      <c r="D560" s="55"/>
      <c r="E560" s="55"/>
      <c r="F560" s="186"/>
      <c r="G560" s="55"/>
      <c r="H560" s="55"/>
      <c r="I560" s="55"/>
      <c r="J560" s="65"/>
      <c r="K560" s="55"/>
      <c r="L560" s="55"/>
      <c r="M560" s="63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 spans="1:28" ht="15" x14ac:dyDescent="0.25">
      <c r="A561" s="55"/>
      <c r="B561" s="55"/>
      <c r="C561" s="55"/>
      <c r="D561" s="55"/>
      <c r="E561" s="55"/>
      <c r="F561" s="186"/>
      <c r="G561" s="55"/>
      <c r="H561" s="55"/>
      <c r="I561" s="55"/>
      <c r="J561" s="65"/>
      <c r="K561" s="55"/>
      <c r="L561" s="55"/>
      <c r="M561" s="63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 spans="1:28" ht="15" x14ac:dyDescent="0.25">
      <c r="A562" s="55"/>
      <c r="B562" s="55"/>
      <c r="C562" s="55"/>
      <c r="D562" s="55"/>
      <c r="E562" s="55"/>
      <c r="F562" s="186"/>
      <c r="G562" s="55"/>
      <c r="H562" s="55"/>
      <c r="I562" s="55"/>
      <c r="J562" s="65"/>
      <c r="K562" s="55"/>
      <c r="L562" s="55"/>
      <c r="M562" s="63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 spans="1:28" ht="15" x14ac:dyDescent="0.25">
      <c r="A563" s="55"/>
      <c r="B563" s="55"/>
      <c r="C563" s="55"/>
      <c r="D563" s="55"/>
      <c r="E563" s="55"/>
      <c r="F563" s="186"/>
      <c r="G563" s="55"/>
      <c r="H563" s="55"/>
      <c r="I563" s="55"/>
      <c r="J563" s="65"/>
      <c r="K563" s="55"/>
      <c r="L563" s="55"/>
      <c r="M563" s="63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 spans="1:28" ht="15" x14ac:dyDescent="0.25">
      <c r="A564" s="55"/>
      <c r="B564" s="55"/>
      <c r="C564" s="55"/>
      <c r="D564" s="55"/>
      <c r="E564" s="55"/>
      <c r="F564" s="186"/>
      <c r="G564" s="55"/>
      <c r="H564" s="55"/>
      <c r="I564" s="55"/>
      <c r="J564" s="65"/>
      <c r="K564" s="55"/>
      <c r="L564" s="55"/>
      <c r="M564" s="63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 spans="1:28" ht="15" x14ac:dyDescent="0.25">
      <c r="A565" s="55"/>
      <c r="B565" s="55"/>
      <c r="C565" s="55"/>
      <c r="D565" s="55"/>
      <c r="E565" s="55"/>
      <c r="F565" s="186"/>
      <c r="G565" s="55"/>
      <c r="H565" s="55"/>
      <c r="I565" s="55"/>
      <c r="J565" s="65"/>
      <c r="K565" s="55"/>
      <c r="L565" s="55"/>
      <c r="M565" s="63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 spans="1:28" ht="15" x14ac:dyDescent="0.25">
      <c r="A566" s="55"/>
      <c r="B566" s="55"/>
      <c r="C566" s="55"/>
      <c r="D566" s="55"/>
      <c r="E566" s="55"/>
      <c r="F566" s="186"/>
      <c r="G566" s="55"/>
      <c r="H566" s="55"/>
      <c r="I566" s="55"/>
      <c r="J566" s="65"/>
      <c r="K566" s="55"/>
      <c r="L566" s="55"/>
      <c r="M566" s="63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 spans="1:28" ht="15" x14ac:dyDescent="0.25">
      <c r="A567" s="55"/>
      <c r="B567" s="55"/>
      <c r="C567" s="55"/>
      <c r="D567" s="55"/>
      <c r="E567" s="55"/>
      <c r="F567" s="186"/>
      <c r="G567" s="55"/>
      <c r="H567" s="55"/>
      <c r="I567" s="55"/>
      <c r="J567" s="65"/>
      <c r="K567" s="55"/>
      <c r="L567" s="55"/>
      <c r="M567" s="63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 spans="1:28" ht="15" x14ac:dyDescent="0.25">
      <c r="A568" s="55"/>
      <c r="B568" s="55"/>
      <c r="C568" s="55"/>
      <c r="D568" s="55"/>
      <c r="E568" s="55"/>
      <c r="F568" s="186"/>
      <c r="G568" s="55"/>
      <c r="H568" s="55"/>
      <c r="I568" s="55"/>
      <c r="J568" s="65"/>
      <c r="K568" s="55"/>
      <c r="L568" s="55"/>
      <c r="M568" s="63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 spans="1:28" ht="15" x14ac:dyDescent="0.25">
      <c r="A569" s="55"/>
      <c r="B569" s="55"/>
      <c r="C569" s="55"/>
      <c r="D569" s="55"/>
      <c r="E569" s="55"/>
      <c r="F569" s="186"/>
      <c r="G569" s="55"/>
      <c r="H569" s="55"/>
      <c r="I569" s="55"/>
      <c r="J569" s="65"/>
      <c r="K569" s="55"/>
      <c r="L569" s="55"/>
      <c r="M569" s="63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 spans="1:28" ht="15" x14ac:dyDescent="0.25">
      <c r="A570" s="55"/>
      <c r="B570" s="55"/>
      <c r="C570" s="55"/>
      <c r="D570" s="55"/>
      <c r="E570" s="55"/>
      <c r="F570" s="186"/>
      <c r="G570" s="55"/>
      <c r="H570" s="55"/>
      <c r="I570" s="55"/>
      <c r="J570" s="65"/>
      <c r="K570" s="55"/>
      <c r="L570" s="55"/>
      <c r="M570" s="63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 spans="1:28" ht="15" x14ac:dyDescent="0.25">
      <c r="A571" s="55"/>
      <c r="B571" s="55"/>
      <c r="C571" s="55"/>
      <c r="D571" s="55"/>
      <c r="E571" s="55"/>
      <c r="F571" s="186"/>
      <c r="G571" s="55"/>
      <c r="H571" s="55"/>
      <c r="I571" s="55"/>
      <c r="J571" s="65"/>
      <c r="K571" s="55"/>
      <c r="L571" s="55"/>
      <c r="M571" s="63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 spans="1:28" ht="15" x14ac:dyDescent="0.25">
      <c r="A572" s="55"/>
      <c r="B572" s="55"/>
      <c r="C572" s="55"/>
      <c r="D572" s="55"/>
      <c r="E572" s="55"/>
      <c r="F572" s="186"/>
      <c r="G572" s="55"/>
      <c r="H572" s="55"/>
      <c r="I572" s="55"/>
      <c r="J572" s="65"/>
      <c r="K572" s="55"/>
      <c r="L572" s="55"/>
      <c r="M572" s="63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 spans="1:28" ht="15" x14ac:dyDescent="0.25">
      <c r="A573" s="55"/>
      <c r="B573" s="55"/>
      <c r="C573" s="55"/>
      <c r="D573" s="55"/>
      <c r="E573" s="55"/>
      <c r="F573" s="186"/>
      <c r="G573" s="55"/>
      <c r="H573" s="55"/>
      <c r="I573" s="55"/>
      <c r="J573" s="65"/>
      <c r="K573" s="55"/>
      <c r="L573" s="55"/>
      <c r="M573" s="63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 spans="1:28" ht="15" x14ac:dyDescent="0.25">
      <c r="A574" s="55"/>
      <c r="B574" s="55"/>
      <c r="C574" s="55"/>
      <c r="D574" s="55"/>
      <c r="E574" s="55"/>
      <c r="F574" s="186"/>
      <c r="G574" s="55"/>
      <c r="H574" s="55"/>
      <c r="I574" s="55"/>
      <c r="J574" s="65"/>
      <c r="K574" s="55"/>
      <c r="L574" s="55"/>
      <c r="M574" s="63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 spans="1:28" ht="15" x14ac:dyDescent="0.25">
      <c r="A575" s="55"/>
      <c r="B575" s="55"/>
      <c r="C575" s="55"/>
      <c r="D575" s="55"/>
      <c r="E575" s="55"/>
      <c r="F575" s="186"/>
      <c r="G575" s="55"/>
      <c r="H575" s="55"/>
      <c r="I575" s="55"/>
      <c r="J575" s="65"/>
      <c r="K575" s="55"/>
      <c r="L575" s="55"/>
      <c r="M575" s="63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 spans="1:28" ht="15" x14ac:dyDescent="0.25">
      <c r="A576" s="55"/>
      <c r="B576" s="55"/>
      <c r="C576" s="55"/>
      <c r="D576" s="55"/>
      <c r="E576" s="55"/>
      <c r="F576" s="186"/>
      <c r="G576" s="55"/>
      <c r="H576" s="55"/>
      <c r="I576" s="55"/>
      <c r="J576" s="65"/>
      <c r="K576" s="55"/>
      <c r="L576" s="55"/>
      <c r="M576" s="63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 spans="1:28" ht="15" x14ac:dyDescent="0.25">
      <c r="A577" s="55"/>
      <c r="B577" s="55"/>
      <c r="C577" s="55"/>
      <c r="D577" s="55"/>
      <c r="E577" s="55"/>
      <c r="F577" s="186"/>
      <c r="G577" s="55"/>
      <c r="H577" s="55"/>
      <c r="I577" s="55"/>
      <c r="J577" s="65"/>
      <c r="K577" s="55"/>
      <c r="L577" s="55"/>
      <c r="M577" s="63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 spans="1:28" ht="15" x14ac:dyDescent="0.25">
      <c r="A578" s="55"/>
      <c r="B578" s="55"/>
      <c r="C578" s="55"/>
      <c r="D578" s="55"/>
      <c r="E578" s="55"/>
      <c r="F578" s="186"/>
      <c r="G578" s="55"/>
      <c r="H578" s="55"/>
      <c r="I578" s="55"/>
      <c r="J578" s="65"/>
      <c r="K578" s="55"/>
      <c r="L578" s="55"/>
      <c r="M578" s="63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 spans="1:28" ht="15" x14ac:dyDescent="0.25">
      <c r="A579" s="55"/>
      <c r="B579" s="55"/>
      <c r="C579" s="55"/>
      <c r="D579" s="55"/>
      <c r="E579" s="55"/>
      <c r="F579" s="186"/>
      <c r="G579" s="55"/>
      <c r="H579" s="55"/>
      <c r="I579" s="55"/>
      <c r="J579" s="65"/>
      <c r="K579" s="55"/>
      <c r="L579" s="55"/>
      <c r="M579" s="63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 spans="1:28" ht="15" x14ac:dyDescent="0.25">
      <c r="A580" s="55"/>
      <c r="B580" s="55"/>
      <c r="C580" s="55"/>
      <c r="D580" s="55"/>
      <c r="E580" s="55"/>
      <c r="F580" s="186"/>
      <c r="G580" s="55"/>
      <c r="H580" s="55"/>
      <c r="I580" s="55"/>
      <c r="J580" s="65"/>
      <c r="K580" s="55"/>
      <c r="L580" s="55"/>
      <c r="M580" s="63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 spans="1:28" ht="15" x14ac:dyDescent="0.25">
      <c r="A581" s="55"/>
      <c r="B581" s="55"/>
      <c r="C581" s="55"/>
      <c r="D581" s="55"/>
      <c r="E581" s="55"/>
      <c r="F581" s="186"/>
      <c r="G581" s="55"/>
      <c r="H581" s="55"/>
      <c r="I581" s="55"/>
      <c r="J581" s="65"/>
      <c r="K581" s="55"/>
      <c r="L581" s="55"/>
      <c r="M581" s="63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 spans="1:28" ht="15" x14ac:dyDescent="0.25">
      <c r="A582" s="55"/>
      <c r="B582" s="55"/>
      <c r="C582" s="55"/>
      <c r="D582" s="55"/>
      <c r="E582" s="55"/>
      <c r="F582" s="186"/>
      <c r="G582" s="55"/>
      <c r="H582" s="55"/>
      <c r="I582" s="55"/>
      <c r="J582" s="65"/>
      <c r="K582" s="55"/>
      <c r="L582" s="55"/>
      <c r="M582" s="63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 spans="1:28" ht="15" x14ac:dyDescent="0.25">
      <c r="A583" s="55"/>
      <c r="B583" s="55"/>
      <c r="C583" s="55"/>
      <c r="D583" s="55"/>
      <c r="E583" s="55"/>
      <c r="F583" s="186"/>
      <c r="G583" s="55"/>
      <c r="H583" s="55"/>
      <c r="I583" s="55"/>
      <c r="J583" s="65"/>
      <c r="K583" s="55"/>
      <c r="L583" s="55"/>
      <c r="M583" s="63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 spans="1:28" ht="15" x14ac:dyDescent="0.25">
      <c r="A584" s="55"/>
      <c r="B584" s="55"/>
      <c r="C584" s="55"/>
      <c r="D584" s="55"/>
      <c r="E584" s="55"/>
      <c r="F584" s="186"/>
      <c r="G584" s="55"/>
      <c r="H584" s="55"/>
      <c r="I584" s="55"/>
      <c r="J584" s="65"/>
      <c r="K584" s="55"/>
      <c r="L584" s="55"/>
      <c r="M584" s="63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 spans="1:28" ht="15" x14ac:dyDescent="0.25">
      <c r="A585" s="55"/>
      <c r="B585" s="55"/>
      <c r="C585" s="55"/>
      <c r="D585" s="55"/>
      <c r="E585" s="55"/>
      <c r="F585" s="186"/>
      <c r="G585" s="55"/>
      <c r="H585" s="55"/>
      <c r="I585" s="55"/>
      <c r="J585" s="65"/>
      <c r="K585" s="55"/>
      <c r="L585" s="55"/>
      <c r="M585" s="63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 spans="1:28" ht="15" x14ac:dyDescent="0.25">
      <c r="A586" s="55"/>
      <c r="B586" s="55"/>
      <c r="C586" s="55"/>
      <c r="D586" s="55"/>
      <c r="E586" s="55"/>
      <c r="F586" s="186"/>
      <c r="G586" s="55"/>
      <c r="H586" s="55"/>
      <c r="I586" s="55"/>
      <c r="J586" s="65"/>
      <c r="K586" s="55"/>
      <c r="L586" s="55"/>
      <c r="M586" s="63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 spans="1:28" ht="15" x14ac:dyDescent="0.25">
      <c r="A587" s="55"/>
      <c r="B587" s="55"/>
      <c r="C587" s="55"/>
      <c r="D587" s="55"/>
      <c r="E587" s="55"/>
      <c r="F587" s="186"/>
      <c r="G587" s="55"/>
      <c r="H587" s="55"/>
      <c r="I587" s="55"/>
      <c r="J587" s="65"/>
      <c r="K587" s="55"/>
      <c r="L587" s="55"/>
      <c r="M587" s="63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 spans="1:28" ht="15" x14ac:dyDescent="0.25">
      <c r="A588" s="55"/>
      <c r="B588" s="55"/>
      <c r="C588" s="55"/>
      <c r="D588" s="55"/>
      <c r="E588" s="55"/>
      <c r="F588" s="186"/>
      <c r="G588" s="55"/>
      <c r="H588" s="55"/>
      <c r="I588" s="55"/>
      <c r="J588" s="65"/>
      <c r="K588" s="55"/>
      <c r="L588" s="55"/>
      <c r="M588" s="63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 spans="1:28" ht="15" x14ac:dyDescent="0.25">
      <c r="A589" s="55"/>
      <c r="B589" s="55"/>
      <c r="C589" s="55"/>
      <c r="D589" s="55"/>
      <c r="E589" s="55"/>
      <c r="F589" s="186"/>
      <c r="G589" s="55"/>
      <c r="H589" s="55"/>
      <c r="I589" s="55"/>
      <c r="J589" s="65"/>
      <c r="K589" s="55"/>
      <c r="L589" s="55"/>
      <c r="M589" s="63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 spans="1:28" ht="15" x14ac:dyDescent="0.25">
      <c r="A590" s="55"/>
      <c r="B590" s="55"/>
      <c r="C590" s="55"/>
      <c r="D590" s="55"/>
      <c r="E590" s="55"/>
      <c r="F590" s="186"/>
      <c r="G590" s="55"/>
      <c r="H590" s="55"/>
      <c r="I590" s="55"/>
      <c r="J590" s="65"/>
      <c r="K590" s="55"/>
      <c r="L590" s="55"/>
      <c r="M590" s="63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 spans="1:28" ht="15" x14ac:dyDescent="0.25">
      <c r="A591" s="55"/>
      <c r="B591" s="55"/>
      <c r="C591" s="55"/>
      <c r="D591" s="55"/>
      <c r="E591" s="55"/>
      <c r="F591" s="186"/>
      <c r="G591" s="55"/>
      <c r="H591" s="55"/>
      <c r="I591" s="55"/>
      <c r="J591" s="65"/>
      <c r="K591" s="55"/>
      <c r="L591" s="55"/>
      <c r="M591" s="63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 spans="1:28" ht="15" x14ac:dyDescent="0.25">
      <c r="A592" s="55"/>
      <c r="B592" s="55"/>
      <c r="C592" s="55"/>
      <c r="D592" s="55"/>
      <c r="E592" s="55"/>
      <c r="F592" s="186"/>
      <c r="G592" s="55"/>
      <c r="H592" s="55"/>
      <c r="I592" s="55"/>
      <c r="J592" s="65"/>
      <c r="K592" s="55"/>
      <c r="L592" s="55"/>
      <c r="M592" s="63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 spans="1:28" ht="15" x14ac:dyDescent="0.25">
      <c r="A593" s="55"/>
      <c r="B593" s="55"/>
      <c r="C593" s="55"/>
      <c r="D593" s="55"/>
      <c r="E593" s="55"/>
      <c r="F593" s="186"/>
      <c r="G593" s="55"/>
      <c r="H593" s="55"/>
      <c r="I593" s="55"/>
      <c r="J593" s="65"/>
      <c r="K593" s="55"/>
      <c r="L593" s="55"/>
      <c r="M593" s="63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 spans="1:28" ht="15" x14ac:dyDescent="0.25">
      <c r="A594" s="55"/>
      <c r="B594" s="55"/>
      <c r="C594" s="55"/>
      <c r="D594" s="55"/>
      <c r="E594" s="55"/>
      <c r="F594" s="186"/>
      <c r="G594" s="55"/>
      <c r="H594" s="55"/>
      <c r="I594" s="55"/>
      <c r="J594" s="65"/>
      <c r="K594" s="55"/>
      <c r="L594" s="55"/>
      <c r="M594" s="63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 spans="1:28" ht="15" x14ac:dyDescent="0.25">
      <c r="A595" s="55"/>
      <c r="B595" s="55"/>
      <c r="C595" s="55"/>
      <c r="D595" s="55"/>
      <c r="E595" s="55"/>
      <c r="F595" s="186"/>
      <c r="G595" s="55"/>
      <c r="H595" s="55"/>
      <c r="I595" s="55"/>
      <c r="J595" s="65"/>
      <c r="K595" s="55"/>
      <c r="L595" s="55"/>
      <c r="M595" s="63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 spans="1:28" ht="15" x14ac:dyDescent="0.25">
      <c r="A596" s="55"/>
      <c r="B596" s="55"/>
      <c r="C596" s="55"/>
      <c r="D596" s="55"/>
      <c r="E596" s="55"/>
      <c r="F596" s="186"/>
      <c r="G596" s="55"/>
      <c r="H596" s="55"/>
      <c r="I596" s="55"/>
      <c r="J596" s="65"/>
      <c r="K596" s="55"/>
      <c r="L596" s="55"/>
      <c r="M596" s="63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 spans="1:28" ht="15" x14ac:dyDescent="0.25">
      <c r="A597" s="55"/>
      <c r="B597" s="55"/>
      <c r="C597" s="55"/>
      <c r="D597" s="55"/>
      <c r="E597" s="55"/>
      <c r="F597" s="186"/>
      <c r="G597" s="55"/>
      <c r="H597" s="55"/>
      <c r="I597" s="55"/>
      <c r="J597" s="65"/>
      <c r="K597" s="55"/>
      <c r="L597" s="55"/>
      <c r="M597" s="63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 spans="1:28" ht="15" x14ac:dyDescent="0.25">
      <c r="A598" s="55"/>
      <c r="B598" s="55"/>
      <c r="C598" s="55"/>
      <c r="D598" s="55"/>
      <c r="E598" s="55"/>
      <c r="F598" s="186"/>
      <c r="G598" s="55"/>
      <c r="H598" s="55"/>
      <c r="I598" s="55"/>
      <c r="J598" s="65"/>
      <c r="K598" s="55"/>
      <c r="L598" s="55"/>
      <c r="M598" s="63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 spans="1:28" ht="15" x14ac:dyDescent="0.25">
      <c r="A599" s="55"/>
      <c r="B599" s="55"/>
      <c r="C599" s="55"/>
      <c r="D599" s="55"/>
      <c r="E599" s="55"/>
      <c r="F599" s="186"/>
      <c r="G599" s="55"/>
      <c r="H599" s="55"/>
      <c r="I599" s="55"/>
      <c r="J599" s="65"/>
      <c r="K599" s="55"/>
      <c r="L599" s="55"/>
      <c r="M599" s="63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 spans="1:28" ht="15" x14ac:dyDescent="0.25">
      <c r="A600" s="55"/>
      <c r="B600" s="55"/>
      <c r="C600" s="55"/>
      <c r="D600" s="55"/>
      <c r="E600" s="55"/>
      <c r="F600" s="186"/>
      <c r="G600" s="55"/>
      <c r="H600" s="55"/>
      <c r="I600" s="55"/>
      <c r="J600" s="65"/>
      <c r="K600" s="55"/>
      <c r="L600" s="55"/>
      <c r="M600" s="63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 spans="1:28" ht="15" x14ac:dyDescent="0.25">
      <c r="A601" s="55"/>
      <c r="B601" s="55"/>
      <c r="C601" s="55"/>
      <c r="D601" s="55"/>
      <c r="E601" s="55"/>
      <c r="F601" s="186"/>
      <c r="G601" s="55"/>
      <c r="H601" s="55"/>
      <c r="I601" s="55"/>
      <c r="J601" s="65"/>
      <c r="K601" s="55"/>
      <c r="L601" s="55"/>
      <c r="M601" s="63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 spans="1:28" ht="15" x14ac:dyDescent="0.25">
      <c r="A602" s="55"/>
      <c r="B602" s="55"/>
      <c r="C602" s="55"/>
      <c r="D602" s="55"/>
      <c r="E602" s="55"/>
      <c r="F602" s="186"/>
      <c r="G602" s="55"/>
      <c r="H602" s="55"/>
      <c r="I602" s="55"/>
      <c r="J602" s="65"/>
      <c r="K602" s="55"/>
      <c r="L602" s="55"/>
      <c r="M602" s="63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 spans="1:28" ht="15" x14ac:dyDescent="0.25">
      <c r="A603" s="55"/>
      <c r="B603" s="55"/>
      <c r="C603" s="55"/>
      <c r="D603" s="55"/>
      <c r="E603" s="55"/>
      <c r="F603" s="186"/>
      <c r="G603" s="55"/>
      <c r="H603" s="55"/>
      <c r="I603" s="55"/>
      <c r="J603" s="65"/>
      <c r="K603" s="55"/>
      <c r="L603" s="55"/>
      <c r="M603" s="63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 spans="1:28" ht="15" x14ac:dyDescent="0.25">
      <c r="A604" s="55"/>
      <c r="B604" s="55"/>
      <c r="C604" s="55"/>
      <c r="D604" s="55"/>
      <c r="E604" s="55"/>
      <c r="F604" s="186"/>
      <c r="G604" s="55"/>
      <c r="H604" s="55"/>
      <c r="I604" s="55"/>
      <c r="J604" s="65"/>
      <c r="K604" s="55"/>
      <c r="L604" s="55"/>
      <c r="M604" s="63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 spans="1:28" ht="15" x14ac:dyDescent="0.25">
      <c r="A605" s="55"/>
      <c r="B605" s="55"/>
      <c r="C605" s="55"/>
      <c r="D605" s="55"/>
      <c r="E605" s="55"/>
      <c r="F605" s="186"/>
      <c r="G605" s="55"/>
      <c r="H605" s="55"/>
      <c r="I605" s="55"/>
      <c r="J605" s="65"/>
      <c r="K605" s="55"/>
      <c r="L605" s="55"/>
      <c r="M605" s="63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 spans="1:28" ht="15" x14ac:dyDescent="0.25">
      <c r="A606" s="55"/>
      <c r="B606" s="55"/>
      <c r="C606" s="55"/>
      <c r="D606" s="55"/>
      <c r="E606" s="55"/>
      <c r="F606" s="186"/>
      <c r="G606" s="55"/>
      <c r="H606" s="55"/>
      <c r="I606" s="55"/>
      <c r="J606" s="65"/>
      <c r="K606" s="55"/>
      <c r="L606" s="55"/>
      <c r="M606" s="63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 spans="1:28" ht="15" x14ac:dyDescent="0.25">
      <c r="A607" s="55"/>
      <c r="B607" s="55"/>
      <c r="C607" s="55"/>
      <c r="D607" s="55"/>
      <c r="E607" s="55"/>
      <c r="F607" s="186"/>
      <c r="G607" s="55"/>
      <c r="H607" s="55"/>
      <c r="I607" s="55"/>
      <c r="J607" s="65"/>
      <c r="K607" s="55"/>
      <c r="L607" s="55"/>
      <c r="M607" s="63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 spans="1:28" ht="15" x14ac:dyDescent="0.25">
      <c r="A608" s="55"/>
      <c r="B608" s="55"/>
      <c r="C608" s="55"/>
      <c r="D608" s="55"/>
      <c r="E608" s="55"/>
      <c r="F608" s="186"/>
      <c r="G608" s="55"/>
      <c r="H608" s="55"/>
      <c r="I608" s="55"/>
      <c r="J608" s="65"/>
      <c r="K608" s="55"/>
      <c r="L608" s="55"/>
      <c r="M608" s="63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 spans="1:28" ht="15" x14ac:dyDescent="0.25">
      <c r="A609" s="55"/>
      <c r="B609" s="55"/>
      <c r="C609" s="55"/>
      <c r="D609" s="55"/>
      <c r="E609" s="55"/>
      <c r="F609" s="186"/>
      <c r="G609" s="55"/>
      <c r="H609" s="55"/>
      <c r="I609" s="55"/>
      <c r="J609" s="65"/>
      <c r="K609" s="55"/>
      <c r="L609" s="55"/>
      <c r="M609" s="63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 spans="1:28" ht="15" x14ac:dyDescent="0.25">
      <c r="A610" s="55"/>
      <c r="B610" s="55"/>
      <c r="C610" s="55"/>
      <c r="D610" s="55"/>
      <c r="E610" s="55"/>
      <c r="F610" s="186"/>
      <c r="G610" s="55"/>
      <c r="H610" s="55"/>
      <c r="I610" s="55"/>
      <c r="J610" s="65"/>
      <c r="K610" s="55"/>
      <c r="L610" s="55"/>
      <c r="M610" s="63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 spans="1:28" ht="15" x14ac:dyDescent="0.25">
      <c r="A611" s="55"/>
      <c r="B611" s="55"/>
      <c r="C611" s="55"/>
      <c r="D611" s="55"/>
      <c r="E611" s="55"/>
      <c r="F611" s="186"/>
      <c r="G611" s="55"/>
      <c r="H611" s="55"/>
      <c r="I611" s="55"/>
      <c r="J611" s="65"/>
      <c r="K611" s="55"/>
      <c r="L611" s="55"/>
      <c r="M611" s="63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 spans="1:28" ht="15" x14ac:dyDescent="0.25">
      <c r="A612" s="55"/>
      <c r="B612" s="55"/>
      <c r="C612" s="55"/>
      <c r="D612" s="55"/>
      <c r="E612" s="55"/>
      <c r="F612" s="186"/>
      <c r="G612" s="55"/>
      <c r="H612" s="55"/>
      <c r="I612" s="55"/>
      <c r="J612" s="65"/>
      <c r="K612" s="55"/>
      <c r="L612" s="55"/>
      <c r="M612" s="63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 spans="1:28" ht="15" x14ac:dyDescent="0.25">
      <c r="A613" s="55"/>
      <c r="B613" s="55"/>
      <c r="C613" s="55"/>
      <c r="D613" s="55"/>
      <c r="E613" s="55"/>
      <c r="F613" s="186"/>
      <c r="G613" s="55"/>
      <c r="H613" s="55"/>
      <c r="I613" s="55"/>
      <c r="J613" s="65"/>
      <c r="K613" s="55"/>
      <c r="L613" s="55"/>
      <c r="M613" s="63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 spans="1:28" ht="15" x14ac:dyDescent="0.25">
      <c r="A614" s="55"/>
      <c r="B614" s="55"/>
      <c r="C614" s="55"/>
      <c r="D614" s="55"/>
      <c r="E614" s="55"/>
      <c r="F614" s="186"/>
      <c r="G614" s="55"/>
      <c r="H614" s="55"/>
      <c r="I614" s="55"/>
      <c r="J614" s="65"/>
      <c r="K614" s="55"/>
      <c r="L614" s="55"/>
      <c r="M614" s="63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 spans="1:28" ht="15" x14ac:dyDescent="0.25">
      <c r="A615" s="55"/>
      <c r="B615" s="55"/>
      <c r="C615" s="55"/>
      <c r="D615" s="55"/>
      <c r="E615" s="55"/>
      <c r="F615" s="186"/>
      <c r="G615" s="55"/>
      <c r="H615" s="55"/>
      <c r="I615" s="55"/>
      <c r="J615" s="65"/>
      <c r="K615" s="55"/>
      <c r="L615" s="55"/>
      <c r="M615" s="63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 spans="1:28" ht="15" x14ac:dyDescent="0.25">
      <c r="A616" s="55"/>
      <c r="B616" s="55"/>
      <c r="C616" s="55"/>
      <c r="D616" s="55"/>
      <c r="E616" s="55"/>
      <c r="F616" s="186"/>
      <c r="G616" s="55"/>
      <c r="H616" s="55"/>
      <c r="I616" s="55"/>
      <c r="J616" s="65"/>
      <c r="K616" s="55"/>
      <c r="L616" s="55"/>
      <c r="M616" s="63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 spans="1:28" ht="15" x14ac:dyDescent="0.25">
      <c r="A617" s="55"/>
      <c r="B617" s="55"/>
      <c r="C617" s="55"/>
      <c r="D617" s="55"/>
      <c r="E617" s="55"/>
      <c r="F617" s="186"/>
      <c r="G617" s="55"/>
      <c r="H617" s="55"/>
      <c r="I617" s="55"/>
      <c r="J617" s="65"/>
      <c r="K617" s="55"/>
      <c r="L617" s="55"/>
      <c r="M617" s="63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 spans="1:28" ht="15" x14ac:dyDescent="0.25">
      <c r="A618" s="55"/>
      <c r="B618" s="55"/>
      <c r="C618" s="55"/>
      <c r="D618" s="55"/>
      <c r="E618" s="55"/>
      <c r="F618" s="186"/>
      <c r="G618" s="55"/>
      <c r="H618" s="55"/>
      <c r="I618" s="55"/>
      <c r="J618" s="65"/>
      <c r="K618" s="55"/>
      <c r="L618" s="55"/>
      <c r="M618" s="63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 spans="1:28" ht="15" x14ac:dyDescent="0.25">
      <c r="A619" s="55"/>
      <c r="B619" s="55"/>
      <c r="C619" s="55"/>
      <c r="D619" s="55"/>
      <c r="E619" s="55"/>
      <c r="F619" s="186"/>
      <c r="G619" s="55"/>
      <c r="H619" s="55"/>
      <c r="I619" s="55"/>
      <c r="J619" s="65"/>
      <c r="K619" s="55"/>
      <c r="L619" s="55"/>
      <c r="M619" s="63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 spans="1:28" ht="15" x14ac:dyDescent="0.25">
      <c r="A620" s="55"/>
      <c r="B620" s="55"/>
      <c r="C620" s="55"/>
      <c r="D620" s="55"/>
      <c r="E620" s="55"/>
      <c r="F620" s="186"/>
      <c r="G620" s="55"/>
      <c r="H620" s="55"/>
      <c r="I620" s="55"/>
      <c r="J620" s="65"/>
      <c r="K620" s="55"/>
      <c r="L620" s="55"/>
      <c r="M620" s="63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 spans="1:28" ht="15" x14ac:dyDescent="0.25">
      <c r="A621" s="55"/>
      <c r="B621" s="55"/>
      <c r="C621" s="55"/>
      <c r="D621" s="55"/>
      <c r="E621" s="55"/>
      <c r="F621" s="186"/>
      <c r="G621" s="55"/>
      <c r="H621" s="55"/>
      <c r="I621" s="55"/>
      <c r="J621" s="65"/>
      <c r="K621" s="55"/>
      <c r="L621" s="55"/>
      <c r="M621" s="63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 spans="1:28" ht="15" x14ac:dyDescent="0.25">
      <c r="A622" s="55"/>
      <c r="B622" s="55"/>
      <c r="C622" s="55"/>
      <c r="D622" s="55"/>
      <c r="E622" s="55"/>
      <c r="F622" s="186"/>
      <c r="G622" s="55"/>
      <c r="H622" s="55"/>
      <c r="I622" s="55"/>
      <c r="J622" s="65"/>
      <c r="K622" s="55"/>
      <c r="L622" s="55"/>
      <c r="M622" s="63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 spans="1:28" ht="15" x14ac:dyDescent="0.25">
      <c r="A623" s="55"/>
      <c r="B623" s="55"/>
      <c r="C623" s="55"/>
      <c r="D623" s="55"/>
      <c r="E623" s="55"/>
      <c r="F623" s="186"/>
      <c r="G623" s="55"/>
      <c r="H623" s="55"/>
      <c r="I623" s="55"/>
      <c r="J623" s="65"/>
      <c r="K623" s="55"/>
      <c r="L623" s="55"/>
      <c r="M623" s="63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 spans="1:28" ht="15" x14ac:dyDescent="0.25">
      <c r="A624" s="55"/>
      <c r="B624" s="55"/>
      <c r="C624" s="55"/>
      <c r="D624" s="55"/>
      <c r="E624" s="55"/>
      <c r="F624" s="186"/>
      <c r="G624" s="55"/>
      <c r="H624" s="55"/>
      <c r="I624" s="55"/>
      <c r="J624" s="65"/>
      <c r="K624" s="55"/>
      <c r="L624" s="55"/>
      <c r="M624" s="63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 spans="1:28" ht="15" x14ac:dyDescent="0.25">
      <c r="A625" s="55"/>
      <c r="B625" s="55"/>
      <c r="C625" s="55"/>
      <c r="D625" s="55"/>
      <c r="E625" s="55"/>
      <c r="F625" s="186"/>
      <c r="G625" s="55"/>
      <c r="H625" s="55"/>
      <c r="I625" s="55"/>
      <c r="J625" s="65"/>
      <c r="K625" s="55"/>
      <c r="L625" s="55"/>
      <c r="M625" s="63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 spans="1:28" ht="15" x14ac:dyDescent="0.25">
      <c r="A626" s="55"/>
      <c r="B626" s="55"/>
      <c r="C626" s="55"/>
      <c r="D626" s="55"/>
      <c r="E626" s="55"/>
      <c r="F626" s="186"/>
      <c r="G626" s="55"/>
      <c r="H626" s="55"/>
      <c r="I626" s="55"/>
      <c r="J626" s="65"/>
      <c r="K626" s="55"/>
      <c r="L626" s="55"/>
      <c r="M626" s="63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 spans="1:28" ht="15" x14ac:dyDescent="0.25">
      <c r="A627" s="55"/>
      <c r="B627" s="55"/>
      <c r="C627" s="55"/>
      <c r="D627" s="55"/>
      <c r="E627" s="55"/>
      <c r="F627" s="186"/>
      <c r="G627" s="55"/>
      <c r="H627" s="55"/>
      <c r="I627" s="55"/>
      <c r="J627" s="65"/>
      <c r="K627" s="55"/>
      <c r="L627" s="55"/>
      <c r="M627" s="63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 spans="1:28" ht="15" x14ac:dyDescent="0.25">
      <c r="A628" s="55"/>
      <c r="B628" s="55"/>
      <c r="C628" s="55"/>
      <c r="D628" s="55"/>
      <c r="E628" s="55"/>
      <c r="F628" s="186"/>
      <c r="G628" s="55"/>
      <c r="H628" s="55"/>
      <c r="I628" s="55"/>
      <c r="J628" s="65"/>
      <c r="K628" s="55"/>
      <c r="L628" s="55"/>
      <c r="M628" s="63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 spans="1:28" ht="15" x14ac:dyDescent="0.25">
      <c r="A629" s="55"/>
      <c r="B629" s="55"/>
      <c r="C629" s="55"/>
      <c r="D629" s="55"/>
      <c r="E629" s="55"/>
      <c r="F629" s="186"/>
      <c r="G629" s="55"/>
      <c r="H629" s="55"/>
      <c r="I629" s="55"/>
      <c r="J629" s="65"/>
      <c r="K629" s="55"/>
      <c r="L629" s="55"/>
      <c r="M629" s="63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 spans="1:28" ht="15" x14ac:dyDescent="0.25">
      <c r="A630" s="55"/>
      <c r="B630" s="55"/>
      <c r="C630" s="55"/>
      <c r="D630" s="55"/>
      <c r="E630" s="55"/>
      <c r="F630" s="186"/>
      <c r="G630" s="55"/>
      <c r="H630" s="55"/>
      <c r="I630" s="55"/>
      <c r="J630" s="65"/>
      <c r="K630" s="55"/>
      <c r="L630" s="55"/>
      <c r="M630" s="63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 spans="1:28" ht="15" x14ac:dyDescent="0.25">
      <c r="A631" s="55"/>
      <c r="B631" s="55"/>
      <c r="C631" s="55"/>
      <c r="D631" s="55"/>
      <c r="E631" s="55"/>
      <c r="F631" s="186"/>
      <c r="G631" s="55"/>
      <c r="H631" s="55"/>
      <c r="I631" s="55"/>
      <c r="J631" s="65"/>
      <c r="K631" s="55"/>
      <c r="L631" s="55"/>
      <c r="M631" s="63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 spans="1:28" ht="15" x14ac:dyDescent="0.25">
      <c r="A632" s="55"/>
      <c r="B632" s="55"/>
      <c r="C632" s="55"/>
      <c r="D632" s="55"/>
      <c r="E632" s="55"/>
      <c r="F632" s="186"/>
      <c r="G632" s="55"/>
      <c r="H632" s="55"/>
      <c r="I632" s="55"/>
      <c r="J632" s="65"/>
      <c r="K632" s="55"/>
      <c r="L632" s="55"/>
      <c r="M632" s="63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 spans="1:28" ht="15" x14ac:dyDescent="0.25">
      <c r="A633" s="55"/>
      <c r="B633" s="55"/>
      <c r="C633" s="55"/>
      <c r="D633" s="55"/>
      <c r="E633" s="55"/>
      <c r="F633" s="186"/>
      <c r="G633" s="55"/>
      <c r="H633" s="55"/>
      <c r="I633" s="55"/>
      <c r="J633" s="65"/>
      <c r="K633" s="55"/>
      <c r="L633" s="55"/>
      <c r="M633" s="63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 spans="1:28" ht="15" x14ac:dyDescent="0.25">
      <c r="A634" s="55"/>
      <c r="B634" s="55"/>
      <c r="C634" s="55"/>
      <c r="D634" s="55"/>
      <c r="E634" s="55"/>
      <c r="F634" s="186"/>
      <c r="G634" s="55"/>
      <c r="H634" s="55"/>
      <c r="I634" s="55"/>
      <c r="J634" s="65"/>
      <c r="K634" s="55"/>
      <c r="L634" s="55"/>
      <c r="M634" s="63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 spans="1:28" ht="15" x14ac:dyDescent="0.25">
      <c r="A635" s="55"/>
      <c r="B635" s="55"/>
      <c r="C635" s="55"/>
      <c r="D635" s="55"/>
      <c r="E635" s="55"/>
      <c r="F635" s="186"/>
      <c r="G635" s="55"/>
      <c r="H635" s="55"/>
      <c r="I635" s="55"/>
      <c r="J635" s="65"/>
      <c r="K635" s="55"/>
      <c r="L635" s="55"/>
      <c r="M635" s="63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 spans="1:28" ht="15" x14ac:dyDescent="0.25">
      <c r="A636" s="55"/>
      <c r="B636" s="55"/>
      <c r="C636" s="55"/>
      <c r="D636" s="55"/>
      <c r="E636" s="55"/>
      <c r="F636" s="186"/>
      <c r="G636" s="55"/>
      <c r="H636" s="55"/>
      <c r="I636" s="55"/>
      <c r="J636" s="65"/>
      <c r="K636" s="55"/>
      <c r="L636" s="55"/>
      <c r="M636" s="63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 spans="1:28" ht="15" x14ac:dyDescent="0.25">
      <c r="A637" s="55"/>
      <c r="B637" s="55"/>
      <c r="C637" s="55"/>
      <c r="D637" s="55"/>
      <c r="E637" s="55"/>
      <c r="F637" s="186"/>
      <c r="G637" s="55"/>
      <c r="H637" s="55"/>
      <c r="I637" s="55"/>
      <c r="J637" s="65"/>
      <c r="K637" s="55"/>
      <c r="L637" s="55"/>
      <c r="M637" s="63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 spans="1:28" ht="15" x14ac:dyDescent="0.25">
      <c r="A638" s="55"/>
      <c r="B638" s="55"/>
      <c r="C638" s="55"/>
      <c r="D638" s="55"/>
      <c r="E638" s="55"/>
      <c r="F638" s="186"/>
      <c r="G638" s="55"/>
      <c r="H638" s="55"/>
      <c r="I638" s="55"/>
      <c r="J638" s="65"/>
      <c r="K638" s="55"/>
      <c r="L638" s="55"/>
      <c r="M638" s="63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 spans="1:28" ht="15" x14ac:dyDescent="0.25">
      <c r="A639" s="55"/>
      <c r="B639" s="55"/>
      <c r="C639" s="55"/>
      <c r="D639" s="55"/>
      <c r="E639" s="55"/>
      <c r="F639" s="186"/>
      <c r="G639" s="55"/>
      <c r="H639" s="55"/>
      <c r="I639" s="55"/>
      <c r="J639" s="65"/>
      <c r="K639" s="55"/>
      <c r="L639" s="55"/>
      <c r="M639" s="63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 spans="1:28" ht="15" x14ac:dyDescent="0.25">
      <c r="A640" s="55"/>
      <c r="B640" s="55"/>
      <c r="C640" s="55"/>
      <c r="D640" s="55"/>
      <c r="E640" s="55"/>
      <c r="F640" s="186"/>
      <c r="G640" s="55"/>
      <c r="H640" s="55"/>
      <c r="I640" s="55"/>
      <c r="J640" s="65"/>
      <c r="K640" s="55"/>
      <c r="L640" s="55"/>
      <c r="M640" s="63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 spans="1:28" ht="15" x14ac:dyDescent="0.25">
      <c r="A641" s="55"/>
      <c r="B641" s="55"/>
      <c r="C641" s="55"/>
      <c r="D641" s="55"/>
      <c r="E641" s="55"/>
      <c r="F641" s="186"/>
      <c r="G641" s="55"/>
      <c r="H641" s="55"/>
      <c r="I641" s="55"/>
      <c r="J641" s="65"/>
      <c r="K641" s="55"/>
      <c r="L641" s="55"/>
      <c r="M641" s="63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 spans="1:28" ht="15" x14ac:dyDescent="0.25">
      <c r="A642" s="55"/>
      <c r="B642" s="55"/>
      <c r="C642" s="55"/>
      <c r="D642" s="55"/>
      <c r="E642" s="55"/>
      <c r="F642" s="186"/>
      <c r="G642" s="55"/>
      <c r="H642" s="55"/>
      <c r="I642" s="55"/>
      <c r="J642" s="65"/>
      <c r="K642" s="55"/>
      <c r="L642" s="55"/>
      <c r="M642" s="63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 spans="1:28" ht="15" x14ac:dyDescent="0.25">
      <c r="A643" s="55"/>
      <c r="B643" s="55"/>
      <c r="C643" s="55"/>
      <c r="D643" s="55"/>
      <c r="E643" s="55"/>
      <c r="F643" s="186"/>
      <c r="G643" s="55"/>
      <c r="H643" s="55"/>
      <c r="I643" s="55"/>
      <c r="J643" s="65"/>
      <c r="K643" s="55"/>
      <c r="L643" s="55"/>
      <c r="M643" s="63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 spans="1:28" ht="15" x14ac:dyDescent="0.25">
      <c r="A644" s="55"/>
      <c r="B644" s="55"/>
      <c r="C644" s="55"/>
      <c r="D644" s="55"/>
      <c r="E644" s="55"/>
      <c r="F644" s="186"/>
      <c r="G644" s="55"/>
      <c r="H644" s="55"/>
      <c r="I644" s="55"/>
      <c r="J644" s="65"/>
      <c r="K644" s="55"/>
      <c r="L644" s="55"/>
      <c r="M644" s="63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 spans="1:28" ht="15" x14ac:dyDescent="0.25">
      <c r="A645" s="55"/>
      <c r="B645" s="55"/>
      <c r="C645" s="55"/>
      <c r="D645" s="55"/>
      <c r="E645" s="55"/>
      <c r="F645" s="186"/>
      <c r="G645" s="55"/>
      <c r="H645" s="55"/>
      <c r="I645" s="55"/>
      <c r="J645" s="65"/>
      <c r="K645" s="55"/>
      <c r="L645" s="55"/>
      <c r="M645" s="63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 spans="1:28" ht="15" x14ac:dyDescent="0.25">
      <c r="A646" s="55"/>
      <c r="B646" s="55"/>
      <c r="C646" s="55"/>
      <c r="D646" s="55"/>
      <c r="E646" s="55"/>
      <c r="F646" s="186"/>
      <c r="G646" s="55"/>
      <c r="H646" s="55"/>
      <c r="I646" s="55"/>
      <c r="J646" s="65"/>
      <c r="K646" s="55"/>
      <c r="L646" s="55"/>
      <c r="M646" s="63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 spans="1:28" ht="15" x14ac:dyDescent="0.25">
      <c r="A647" s="55"/>
      <c r="B647" s="55"/>
      <c r="C647" s="55"/>
      <c r="D647" s="55"/>
      <c r="E647" s="55"/>
      <c r="F647" s="186"/>
      <c r="G647" s="55"/>
      <c r="H647" s="55"/>
      <c r="I647" s="55"/>
      <c r="J647" s="65"/>
      <c r="K647" s="55"/>
      <c r="L647" s="55"/>
      <c r="M647" s="63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 spans="1:28" ht="15" x14ac:dyDescent="0.25">
      <c r="A648" s="55"/>
      <c r="B648" s="55"/>
      <c r="C648" s="55"/>
      <c r="D648" s="55"/>
      <c r="E648" s="55"/>
      <c r="F648" s="186"/>
      <c r="G648" s="55"/>
      <c r="H648" s="55"/>
      <c r="I648" s="55"/>
      <c r="J648" s="65"/>
      <c r="K648" s="55"/>
      <c r="L648" s="55"/>
      <c r="M648" s="63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 spans="1:28" ht="15" x14ac:dyDescent="0.25">
      <c r="A649" s="55"/>
      <c r="B649" s="55"/>
      <c r="C649" s="55"/>
      <c r="D649" s="55"/>
      <c r="E649" s="55"/>
      <c r="F649" s="186"/>
      <c r="G649" s="55"/>
      <c r="H649" s="55"/>
      <c r="I649" s="55"/>
      <c r="J649" s="65"/>
      <c r="K649" s="55"/>
      <c r="L649" s="55"/>
      <c r="M649" s="63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 spans="1:28" ht="15" x14ac:dyDescent="0.25">
      <c r="A650" s="55"/>
      <c r="B650" s="55"/>
      <c r="C650" s="55"/>
      <c r="D650" s="55"/>
      <c r="E650" s="55"/>
      <c r="F650" s="186"/>
      <c r="G650" s="55"/>
      <c r="H650" s="55"/>
      <c r="I650" s="55"/>
      <c r="J650" s="65"/>
      <c r="K650" s="55"/>
      <c r="L650" s="55"/>
      <c r="M650" s="63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 spans="1:28" ht="15" x14ac:dyDescent="0.25">
      <c r="A651" s="55"/>
      <c r="B651" s="55"/>
      <c r="C651" s="55"/>
      <c r="D651" s="55"/>
      <c r="E651" s="55"/>
      <c r="F651" s="186"/>
      <c r="G651" s="55"/>
      <c r="H651" s="55"/>
      <c r="I651" s="55"/>
      <c r="J651" s="65"/>
      <c r="K651" s="55"/>
      <c r="L651" s="55"/>
      <c r="M651" s="63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 spans="1:28" ht="15" x14ac:dyDescent="0.25">
      <c r="A652" s="55"/>
      <c r="B652" s="55"/>
      <c r="C652" s="55"/>
      <c r="D652" s="55"/>
      <c r="E652" s="55"/>
      <c r="F652" s="186"/>
      <c r="G652" s="55"/>
      <c r="H652" s="55"/>
      <c r="I652" s="55"/>
      <c r="J652" s="65"/>
      <c r="K652" s="55"/>
      <c r="L652" s="55"/>
      <c r="M652" s="63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 spans="1:28" ht="15" x14ac:dyDescent="0.25">
      <c r="A653" s="55"/>
      <c r="B653" s="55"/>
      <c r="C653" s="55"/>
      <c r="D653" s="55"/>
      <c r="E653" s="55"/>
      <c r="F653" s="186"/>
      <c r="G653" s="55"/>
      <c r="H653" s="55"/>
      <c r="I653" s="55"/>
      <c r="J653" s="65"/>
      <c r="K653" s="55"/>
      <c r="L653" s="55"/>
      <c r="M653" s="63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 spans="1:28" ht="15" x14ac:dyDescent="0.25">
      <c r="A654" s="55"/>
      <c r="B654" s="55"/>
      <c r="C654" s="55"/>
      <c r="D654" s="55"/>
      <c r="E654" s="55"/>
      <c r="F654" s="186"/>
      <c r="G654" s="55"/>
      <c r="H654" s="55"/>
      <c r="I654" s="55"/>
      <c r="J654" s="65"/>
      <c r="K654" s="55"/>
      <c r="L654" s="55"/>
      <c r="M654" s="63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 spans="1:28" ht="15" x14ac:dyDescent="0.25">
      <c r="A655" s="55"/>
      <c r="B655" s="55"/>
      <c r="C655" s="55"/>
      <c r="D655" s="55"/>
      <c r="E655" s="55"/>
      <c r="F655" s="186"/>
      <c r="G655" s="55"/>
      <c r="H655" s="55"/>
      <c r="I655" s="55"/>
      <c r="J655" s="65"/>
      <c r="K655" s="55"/>
      <c r="L655" s="55"/>
      <c r="M655" s="63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 spans="1:28" ht="15" x14ac:dyDescent="0.25">
      <c r="A656" s="55"/>
      <c r="B656" s="55"/>
      <c r="C656" s="55"/>
      <c r="D656" s="55"/>
      <c r="E656" s="55"/>
      <c r="F656" s="186"/>
      <c r="G656" s="55"/>
      <c r="H656" s="55"/>
      <c r="I656" s="55"/>
      <c r="J656" s="65"/>
      <c r="K656" s="55"/>
      <c r="L656" s="55"/>
      <c r="M656" s="63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 spans="1:28" ht="15" x14ac:dyDescent="0.25">
      <c r="A657" s="55"/>
      <c r="B657" s="55"/>
      <c r="C657" s="55"/>
      <c r="D657" s="55"/>
      <c r="E657" s="55"/>
      <c r="F657" s="186"/>
      <c r="G657" s="55"/>
      <c r="H657" s="55"/>
      <c r="I657" s="55"/>
      <c r="J657" s="65"/>
      <c r="K657" s="55"/>
      <c r="L657" s="55"/>
      <c r="M657" s="63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 spans="1:28" ht="15" x14ac:dyDescent="0.25">
      <c r="A658" s="55"/>
      <c r="B658" s="55"/>
      <c r="C658" s="55"/>
      <c r="D658" s="55"/>
      <c r="E658" s="55"/>
      <c r="F658" s="186"/>
      <c r="G658" s="55"/>
      <c r="H658" s="55"/>
      <c r="I658" s="55"/>
      <c r="J658" s="65"/>
      <c r="K658" s="55"/>
      <c r="L658" s="55"/>
      <c r="M658" s="63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 spans="1:28" ht="15" x14ac:dyDescent="0.25">
      <c r="A659" s="55"/>
      <c r="B659" s="55"/>
      <c r="C659" s="55"/>
      <c r="D659" s="55"/>
      <c r="E659" s="55"/>
      <c r="F659" s="186"/>
      <c r="G659" s="55"/>
      <c r="H659" s="55"/>
      <c r="I659" s="55"/>
      <c r="J659" s="65"/>
      <c r="K659" s="55"/>
      <c r="L659" s="55"/>
      <c r="M659" s="63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 spans="1:28" ht="15" x14ac:dyDescent="0.25">
      <c r="A660" s="55"/>
      <c r="B660" s="55"/>
      <c r="C660" s="55"/>
      <c r="D660" s="55"/>
      <c r="E660" s="55"/>
      <c r="F660" s="186"/>
      <c r="G660" s="55"/>
      <c r="H660" s="55"/>
      <c r="I660" s="55"/>
      <c r="J660" s="65"/>
      <c r="K660" s="55"/>
      <c r="L660" s="55"/>
      <c r="M660" s="63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 spans="1:28" ht="15" x14ac:dyDescent="0.25">
      <c r="A661" s="55"/>
      <c r="B661" s="55"/>
      <c r="C661" s="55"/>
      <c r="D661" s="55"/>
      <c r="E661" s="55"/>
      <c r="F661" s="186"/>
      <c r="G661" s="55"/>
      <c r="H661" s="55"/>
      <c r="I661" s="55"/>
      <c r="J661" s="65"/>
      <c r="K661" s="55"/>
      <c r="L661" s="55"/>
      <c r="M661" s="63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 spans="1:28" ht="15" x14ac:dyDescent="0.25">
      <c r="A662" s="55"/>
      <c r="B662" s="55"/>
      <c r="C662" s="55"/>
      <c r="D662" s="55"/>
      <c r="E662" s="55"/>
      <c r="F662" s="186"/>
      <c r="G662" s="55"/>
      <c r="H662" s="55"/>
      <c r="I662" s="55"/>
      <c r="J662" s="65"/>
      <c r="K662" s="55"/>
      <c r="L662" s="55"/>
      <c r="M662" s="63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 spans="1:28" ht="15" x14ac:dyDescent="0.25">
      <c r="A663" s="55"/>
      <c r="B663" s="55"/>
      <c r="C663" s="55"/>
      <c r="D663" s="55"/>
      <c r="E663" s="55"/>
      <c r="F663" s="186"/>
      <c r="G663" s="55"/>
      <c r="H663" s="55"/>
      <c r="I663" s="55"/>
      <c r="J663" s="65"/>
      <c r="K663" s="55"/>
      <c r="L663" s="55"/>
      <c r="M663" s="63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 spans="1:28" ht="15" x14ac:dyDescent="0.25">
      <c r="A664" s="55"/>
      <c r="B664" s="55"/>
      <c r="C664" s="55"/>
      <c r="D664" s="55"/>
      <c r="E664" s="55"/>
      <c r="F664" s="186"/>
      <c r="G664" s="55"/>
      <c r="H664" s="55"/>
      <c r="I664" s="55"/>
      <c r="J664" s="65"/>
      <c r="K664" s="55"/>
      <c r="L664" s="55"/>
      <c r="M664" s="63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 spans="1:28" ht="15" x14ac:dyDescent="0.25">
      <c r="A665" s="55"/>
      <c r="B665" s="55"/>
      <c r="C665" s="55"/>
      <c r="D665" s="55"/>
      <c r="E665" s="55"/>
      <c r="F665" s="186"/>
      <c r="G665" s="55"/>
      <c r="H665" s="55"/>
      <c r="I665" s="55"/>
      <c r="J665" s="65"/>
      <c r="K665" s="55"/>
      <c r="L665" s="55"/>
      <c r="M665" s="63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 spans="1:28" ht="15" x14ac:dyDescent="0.25">
      <c r="A666" s="55"/>
      <c r="B666" s="55"/>
      <c r="C666" s="55"/>
      <c r="D666" s="55"/>
      <c r="E666" s="55"/>
      <c r="F666" s="186"/>
      <c r="G666" s="55"/>
      <c r="H666" s="55"/>
      <c r="I666" s="55"/>
      <c r="J666" s="65"/>
      <c r="K666" s="55"/>
      <c r="L666" s="55"/>
      <c r="M666" s="63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 spans="1:28" ht="15" x14ac:dyDescent="0.25">
      <c r="A667" s="55"/>
      <c r="B667" s="55"/>
      <c r="C667" s="55"/>
      <c r="D667" s="55"/>
      <c r="E667" s="55"/>
      <c r="F667" s="186"/>
      <c r="G667" s="55"/>
      <c r="H667" s="55"/>
      <c r="I667" s="55"/>
      <c r="J667" s="65"/>
      <c r="K667" s="55"/>
      <c r="L667" s="55"/>
      <c r="M667" s="63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 spans="1:28" ht="15" x14ac:dyDescent="0.25">
      <c r="A668" s="55"/>
      <c r="B668" s="55"/>
      <c r="C668" s="55"/>
      <c r="D668" s="55"/>
      <c r="E668" s="55"/>
      <c r="F668" s="186"/>
      <c r="G668" s="55"/>
      <c r="H668" s="55"/>
      <c r="I668" s="55"/>
      <c r="J668" s="65"/>
      <c r="K668" s="55"/>
      <c r="L668" s="55"/>
      <c r="M668" s="63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 spans="1:28" ht="15" x14ac:dyDescent="0.25">
      <c r="A669" s="55"/>
      <c r="B669" s="55"/>
      <c r="C669" s="55"/>
      <c r="D669" s="55"/>
      <c r="E669" s="55"/>
      <c r="F669" s="186"/>
      <c r="G669" s="55"/>
      <c r="H669" s="55"/>
      <c r="I669" s="55"/>
      <c r="J669" s="65"/>
      <c r="K669" s="55"/>
      <c r="L669" s="55"/>
      <c r="M669" s="63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 spans="1:28" ht="15" x14ac:dyDescent="0.25">
      <c r="A670" s="55"/>
      <c r="B670" s="55"/>
      <c r="C670" s="55"/>
      <c r="D670" s="55"/>
      <c r="E670" s="55"/>
      <c r="F670" s="186"/>
      <c r="G670" s="55"/>
      <c r="H670" s="55"/>
      <c r="I670" s="55"/>
      <c r="J670" s="65"/>
      <c r="K670" s="55"/>
      <c r="L670" s="55"/>
      <c r="M670" s="63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 spans="1:28" ht="15" x14ac:dyDescent="0.25">
      <c r="A671" s="55"/>
      <c r="B671" s="55"/>
      <c r="C671" s="55"/>
      <c r="D671" s="55"/>
      <c r="E671" s="55"/>
      <c r="F671" s="186"/>
      <c r="G671" s="55"/>
      <c r="H671" s="55"/>
      <c r="I671" s="55"/>
      <c r="J671" s="65"/>
      <c r="K671" s="55"/>
      <c r="L671" s="55"/>
      <c r="M671" s="63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 spans="1:28" ht="15" x14ac:dyDescent="0.25">
      <c r="A672" s="55"/>
      <c r="B672" s="55"/>
      <c r="C672" s="55"/>
      <c r="D672" s="55"/>
      <c r="E672" s="55"/>
      <c r="F672" s="186"/>
      <c r="G672" s="55"/>
      <c r="H672" s="55"/>
      <c r="I672" s="55"/>
      <c r="J672" s="65"/>
      <c r="K672" s="55"/>
      <c r="L672" s="55"/>
      <c r="M672" s="63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 spans="1:28" ht="15" x14ac:dyDescent="0.25">
      <c r="A673" s="55"/>
      <c r="B673" s="55"/>
      <c r="C673" s="55"/>
      <c r="D673" s="55"/>
      <c r="E673" s="55"/>
      <c r="F673" s="186"/>
      <c r="G673" s="55"/>
      <c r="H673" s="55"/>
      <c r="I673" s="55"/>
      <c r="J673" s="65"/>
      <c r="K673" s="55"/>
      <c r="L673" s="55"/>
      <c r="M673" s="63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 spans="1:28" ht="15" x14ac:dyDescent="0.25">
      <c r="A674" s="55"/>
      <c r="B674" s="55"/>
      <c r="C674" s="55"/>
      <c r="D674" s="55"/>
      <c r="E674" s="55"/>
      <c r="F674" s="186"/>
      <c r="G674" s="55"/>
      <c r="H674" s="55"/>
      <c r="I674" s="55"/>
      <c r="J674" s="65"/>
      <c r="K674" s="55"/>
      <c r="L674" s="55"/>
      <c r="M674" s="63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 spans="1:28" ht="15" x14ac:dyDescent="0.25">
      <c r="A675" s="55"/>
      <c r="B675" s="55"/>
      <c r="C675" s="55"/>
      <c r="D675" s="55"/>
      <c r="E675" s="55"/>
      <c r="F675" s="186"/>
      <c r="G675" s="55"/>
      <c r="H675" s="55"/>
      <c r="I675" s="55"/>
      <c r="J675" s="65"/>
      <c r="K675" s="55"/>
      <c r="L675" s="55"/>
      <c r="M675" s="63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 spans="1:28" ht="15" x14ac:dyDescent="0.25">
      <c r="A676" s="55"/>
      <c r="B676" s="55"/>
      <c r="C676" s="55"/>
      <c r="D676" s="55"/>
      <c r="E676" s="55"/>
      <c r="F676" s="186"/>
      <c r="G676" s="55"/>
      <c r="H676" s="55"/>
      <c r="I676" s="55"/>
      <c r="J676" s="65"/>
      <c r="K676" s="55"/>
      <c r="L676" s="55"/>
      <c r="M676" s="63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 spans="1:28" ht="15" x14ac:dyDescent="0.25">
      <c r="A677" s="55"/>
      <c r="B677" s="55"/>
      <c r="C677" s="55"/>
      <c r="D677" s="55"/>
      <c r="E677" s="55"/>
      <c r="F677" s="186"/>
      <c r="G677" s="55"/>
      <c r="H677" s="55"/>
      <c r="I677" s="55"/>
      <c r="J677" s="65"/>
      <c r="K677" s="55"/>
      <c r="L677" s="55"/>
      <c r="M677" s="63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 spans="1:28" ht="15" x14ac:dyDescent="0.25">
      <c r="A678" s="55"/>
      <c r="B678" s="55"/>
      <c r="C678" s="55"/>
      <c r="D678" s="55"/>
      <c r="E678" s="55"/>
      <c r="F678" s="186"/>
      <c r="G678" s="55"/>
      <c r="H678" s="55"/>
      <c r="I678" s="55"/>
      <c r="J678" s="65"/>
      <c r="K678" s="55"/>
      <c r="L678" s="55"/>
      <c r="M678" s="63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 spans="1:28" ht="15" x14ac:dyDescent="0.25">
      <c r="A679" s="55"/>
      <c r="B679" s="55"/>
      <c r="C679" s="55"/>
      <c r="D679" s="55"/>
      <c r="E679" s="55"/>
      <c r="F679" s="186"/>
      <c r="G679" s="55"/>
      <c r="H679" s="55"/>
      <c r="I679" s="55"/>
      <c r="J679" s="65"/>
      <c r="K679" s="55"/>
      <c r="L679" s="55"/>
      <c r="M679" s="63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 spans="1:28" ht="15" x14ac:dyDescent="0.25">
      <c r="A680" s="55"/>
      <c r="B680" s="55"/>
      <c r="C680" s="55"/>
      <c r="D680" s="55"/>
      <c r="E680" s="55"/>
      <c r="F680" s="186"/>
      <c r="G680" s="55"/>
      <c r="H680" s="55"/>
      <c r="I680" s="55"/>
      <c r="J680" s="65"/>
      <c r="K680" s="55"/>
      <c r="L680" s="55"/>
      <c r="M680" s="63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 spans="1:28" ht="15" x14ac:dyDescent="0.25">
      <c r="A681" s="55"/>
      <c r="B681" s="55"/>
      <c r="C681" s="55"/>
      <c r="D681" s="55"/>
      <c r="E681" s="55"/>
      <c r="F681" s="186"/>
      <c r="G681" s="55"/>
      <c r="H681" s="55"/>
      <c r="I681" s="55"/>
      <c r="J681" s="65"/>
      <c r="K681" s="55"/>
      <c r="L681" s="55"/>
      <c r="M681" s="63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 spans="1:28" ht="15" x14ac:dyDescent="0.25">
      <c r="A682" s="55"/>
      <c r="B682" s="55"/>
      <c r="C682" s="55"/>
      <c r="D682" s="55"/>
      <c r="E682" s="55"/>
      <c r="F682" s="186"/>
      <c r="G682" s="55"/>
      <c r="H682" s="55"/>
      <c r="I682" s="55"/>
      <c r="J682" s="65"/>
      <c r="K682" s="55"/>
      <c r="L682" s="55"/>
      <c r="M682" s="63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 spans="1:28" ht="15" x14ac:dyDescent="0.25">
      <c r="A683" s="55"/>
      <c r="B683" s="55"/>
      <c r="C683" s="55"/>
      <c r="D683" s="55"/>
      <c r="E683" s="55"/>
      <c r="F683" s="186"/>
      <c r="G683" s="55"/>
      <c r="H683" s="55"/>
      <c r="I683" s="55"/>
      <c r="J683" s="65"/>
      <c r="K683" s="55"/>
      <c r="L683" s="55"/>
      <c r="M683" s="63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 spans="1:28" ht="15" x14ac:dyDescent="0.25">
      <c r="A684" s="55"/>
      <c r="B684" s="55"/>
      <c r="C684" s="55"/>
      <c r="D684" s="55"/>
      <c r="E684" s="55"/>
      <c r="F684" s="186"/>
      <c r="G684" s="55"/>
      <c r="H684" s="55"/>
      <c r="I684" s="55"/>
      <c r="J684" s="65"/>
      <c r="K684" s="55"/>
      <c r="L684" s="55"/>
      <c r="M684" s="63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 spans="1:28" ht="15" x14ac:dyDescent="0.25">
      <c r="A685" s="55"/>
      <c r="B685" s="55"/>
      <c r="C685" s="55"/>
      <c r="D685" s="55"/>
      <c r="E685" s="55"/>
      <c r="F685" s="186"/>
      <c r="G685" s="55"/>
      <c r="H685" s="55"/>
      <c r="I685" s="55"/>
      <c r="J685" s="65"/>
      <c r="K685" s="55"/>
      <c r="L685" s="55"/>
      <c r="M685" s="63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 spans="1:28" ht="15" x14ac:dyDescent="0.25">
      <c r="A686" s="55"/>
      <c r="B686" s="55"/>
      <c r="C686" s="55"/>
      <c r="D686" s="55"/>
      <c r="E686" s="55"/>
      <c r="F686" s="186"/>
      <c r="G686" s="55"/>
      <c r="H686" s="55"/>
      <c r="I686" s="55"/>
      <c r="J686" s="65"/>
      <c r="K686" s="55"/>
      <c r="L686" s="55"/>
      <c r="M686" s="63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 spans="1:28" ht="15" x14ac:dyDescent="0.25">
      <c r="A687" s="55"/>
      <c r="B687" s="55"/>
      <c r="C687" s="55"/>
      <c r="D687" s="55"/>
      <c r="E687" s="55"/>
      <c r="F687" s="186"/>
      <c r="G687" s="55"/>
      <c r="H687" s="55"/>
      <c r="I687" s="55"/>
      <c r="J687" s="65"/>
      <c r="K687" s="55"/>
      <c r="L687" s="55"/>
      <c r="M687" s="63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 spans="1:28" ht="15" x14ac:dyDescent="0.25">
      <c r="A688" s="55"/>
      <c r="B688" s="55"/>
      <c r="C688" s="55"/>
      <c r="D688" s="55"/>
      <c r="E688" s="55"/>
      <c r="F688" s="186"/>
      <c r="G688" s="55"/>
      <c r="H688" s="55"/>
      <c r="I688" s="55"/>
      <c r="J688" s="65"/>
      <c r="K688" s="55"/>
      <c r="L688" s="55"/>
      <c r="M688" s="63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 spans="1:28" ht="15" x14ac:dyDescent="0.25">
      <c r="A689" s="55"/>
      <c r="B689" s="55"/>
      <c r="C689" s="55"/>
      <c r="D689" s="55"/>
      <c r="E689" s="55"/>
      <c r="F689" s="186"/>
      <c r="G689" s="55"/>
      <c r="H689" s="55"/>
      <c r="I689" s="55"/>
      <c r="J689" s="65"/>
      <c r="K689" s="55"/>
      <c r="L689" s="55"/>
      <c r="M689" s="63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 spans="1:28" ht="15" x14ac:dyDescent="0.25">
      <c r="A690" s="55"/>
      <c r="B690" s="55"/>
      <c r="C690" s="55"/>
      <c r="D690" s="55"/>
      <c r="E690" s="55"/>
      <c r="F690" s="186"/>
      <c r="G690" s="55"/>
      <c r="H690" s="55"/>
      <c r="I690" s="55"/>
      <c r="J690" s="65"/>
      <c r="K690" s="55"/>
      <c r="L690" s="55"/>
      <c r="M690" s="63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 spans="1:28" ht="15" x14ac:dyDescent="0.25">
      <c r="A691" s="55"/>
      <c r="B691" s="55"/>
      <c r="C691" s="55"/>
      <c r="D691" s="55"/>
      <c r="E691" s="55"/>
      <c r="F691" s="186"/>
      <c r="G691" s="55"/>
      <c r="H691" s="55"/>
      <c r="I691" s="55"/>
      <c r="J691" s="65"/>
      <c r="K691" s="55"/>
      <c r="L691" s="55"/>
      <c r="M691" s="63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 spans="1:28" ht="15" x14ac:dyDescent="0.25">
      <c r="A692" s="55"/>
      <c r="B692" s="55"/>
      <c r="C692" s="55"/>
      <c r="D692" s="55"/>
      <c r="E692" s="55"/>
      <c r="F692" s="186"/>
      <c r="G692" s="55"/>
      <c r="H692" s="55"/>
      <c r="I692" s="55"/>
      <c r="J692" s="65"/>
      <c r="K692" s="55"/>
      <c r="L692" s="55"/>
      <c r="M692" s="63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 spans="1:28" ht="15" x14ac:dyDescent="0.25">
      <c r="A693" s="55"/>
      <c r="B693" s="55"/>
      <c r="C693" s="55"/>
      <c r="D693" s="55"/>
      <c r="E693" s="55"/>
      <c r="F693" s="186"/>
      <c r="G693" s="55"/>
      <c r="H693" s="55"/>
      <c r="I693" s="55"/>
      <c r="J693" s="65"/>
      <c r="K693" s="55"/>
      <c r="L693" s="55"/>
      <c r="M693" s="63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 spans="1:28" ht="15" x14ac:dyDescent="0.25">
      <c r="A694" s="55"/>
      <c r="B694" s="55"/>
      <c r="C694" s="55"/>
      <c r="D694" s="55"/>
      <c r="E694" s="55"/>
      <c r="F694" s="186"/>
      <c r="G694" s="55"/>
      <c r="H694" s="55"/>
      <c r="I694" s="55"/>
      <c r="J694" s="65"/>
      <c r="K694" s="55"/>
      <c r="L694" s="55"/>
      <c r="M694" s="63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 spans="1:28" ht="15" x14ac:dyDescent="0.25">
      <c r="A695" s="55"/>
      <c r="B695" s="55"/>
      <c r="C695" s="55"/>
      <c r="D695" s="55"/>
      <c r="E695" s="55"/>
      <c r="F695" s="186"/>
      <c r="G695" s="55"/>
      <c r="H695" s="55"/>
      <c r="I695" s="55"/>
      <c r="J695" s="65"/>
      <c r="K695" s="55"/>
      <c r="L695" s="55"/>
      <c r="M695" s="63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 spans="1:28" ht="15" x14ac:dyDescent="0.25">
      <c r="A696" s="55"/>
      <c r="B696" s="55"/>
      <c r="C696" s="55"/>
      <c r="D696" s="55"/>
      <c r="E696" s="55"/>
      <c r="F696" s="186"/>
      <c r="G696" s="55"/>
      <c r="H696" s="55"/>
      <c r="I696" s="55"/>
      <c r="J696" s="65"/>
      <c r="K696" s="55"/>
      <c r="L696" s="55"/>
      <c r="M696" s="63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 spans="1:28" ht="15" x14ac:dyDescent="0.25">
      <c r="A697" s="55"/>
      <c r="B697" s="55"/>
      <c r="C697" s="55"/>
      <c r="D697" s="55"/>
      <c r="E697" s="55"/>
      <c r="F697" s="186"/>
      <c r="G697" s="55"/>
      <c r="H697" s="55"/>
      <c r="I697" s="55"/>
      <c r="J697" s="65"/>
      <c r="K697" s="55"/>
      <c r="L697" s="55"/>
      <c r="M697" s="63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 spans="1:28" ht="15" x14ac:dyDescent="0.25">
      <c r="A698" s="55"/>
      <c r="B698" s="55"/>
      <c r="C698" s="55"/>
      <c r="D698" s="55"/>
      <c r="E698" s="55"/>
      <c r="F698" s="186"/>
      <c r="G698" s="55"/>
      <c r="H698" s="55"/>
      <c r="I698" s="55"/>
      <c r="J698" s="65"/>
      <c r="K698" s="55"/>
      <c r="L698" s="55"/>
      <c r="M698" s="63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 spans="1:28" ht="15" x14ac:dyDescent="0.25">
      <c r="A699" s="55"/>
      <c r="B699" s="55"/>
      <c r="C699" s="55"/>
      <c r="D699" s="55"/>
      <c r="E699" s="55"/>
      <c r="F699" s="186"/>
      <c r="G699" s="55"/>
      <c r="H699" s="55"/>
      <c r="I699" s="55"/>
      <c r="J699" s="65"/>
      <c r="K699" s="55"/>
      <c r="L699" s="55"/>
      <c r="M699" s="63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 spans="1:28" ht="15" x14ac:dyDescent="0.25">
      <c r="A700" s="55"/>
      <c r="B700" s="55"/>
      <c r="C700" s="55"/>
      <c r="D700" s="55"/>
      <c r="E700" s="55"/>
      <c r="F700" s="186"/>
      <c r="G700" s="55"/>
      <c r="H700" s="55"/>
      <c r="I700" s="55"/>
      <c r="J700" s="65"/>
      <c r="K700" s="55"/>
      <c r="L700" s="55"/>
      <c r="M700" s="63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 spans="1:28" ht="15" x14ac:dyDescent="0.25">
      <c r="A701" s="55"/>
      <c r="B701" s="55"/>
      <c r="C701" s="55"/>
      <c r="D701" s="55"/>
      <c r="E701" s="55"/>
      <c r="F701" s="186"/>
      <c r="G701" s="55"/>
      <c r="H701" s="55"/>
      <c r="I701" s="55"/>
      <c r="J701" s="65"/>
      <c r="K701" s="55"/>
      <c r="L701" s="55"/>
      <c r="M701" s="63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 spans="1:28" ht="15" x14ac:dyDescent="0.25">
      <c r="A702" s="55"/>
      <c r="B702" s="55"/>
      <c r="C702" s="55"/>
      <c r="D702" s="55"/>
      <c r="E702" s="55"/>
      <c r="F702" s="186"/>
      <c r="G702" s="55"/>
      <c r="H702" s="55"/>
      <c r="I702" s="55"/>
      <c r="J702" s="65"/>
      <c r="K702" s="55"/>
      <c r="L702" s="55"/>
      <c r="M702" s="63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 spans="1:28" ht="15" x14ac:dyDescent="0.25">
      <c r="A703" s="55"/>
      <c r="B703" s="55"/>
      <c r="C703" s="55"/>
      <c r="D703" s="55"/>
      <c r="E703" s="55"/>
      <c r="F703" s="186"/>
      <c r="G703" s="55"/>
      <c r="H703" s="55"/>
      <c r="I703" s="55"/>
      <c r="J703" s="65"/>
      <c r="K703" s="55"/>
      <c r="L703" s="55"/>
      <c r="M703" s="63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 spans="1:28" ht="15" x14ac:dyDescent="0.25">
      <c r="A704" s="55"/>
      <c r="B704" s="55"/>
      <c r="C704" s="55"/>
      <c r="D704" s="55"/>
      <c r="E704" s="55"/>
      <c r="F704" s="186"/>
      <c r="G704" s="55"/>
      <c r="H704" s="55"/>
      <c r="I704" s="55"/>
      <c r="J704" s="65"/>
      <c r="K704" s="55"/>
      <c r="L704" s="55"/>
      <c r="M704" s="63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 spans="1:28" ht="15" x14ac:dyDescent="0.25">
      <c r="A705" s="55"/>
      <c r="B705" s="55"/>
      <c r="C705" s="55"/>
      <c r="D705" s="55"/>
      <c r="E705" s="55"/>
      <c r="F705" s="186"/>
      <c r="G705" s="55"/>
      <c r="H705" s="55"/>
      <c r="I705" s="55"/>
      <c r="J705" s="65"/>
      <c r="K705" s="55"/>
      <c r="L705" s="55"/>
      <c r="M705" s="63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 spans="1:28" ht="15" x14ac:dyDescent="0.25">
      <c r="A706" s="55"/>
      <c r="B706" s="55"/>
      <c r="C706" s="55"/>
      <c r="D706" s="55"/>
      <c r="E706" s="55"/>
      <c r="F706" s="186"/>
      <c r="G706" s="55"/>
      <c r="H706" s="55"/>
      <c r="I706" s="55"/>
      <c r="J706" s="65"/>
      <c r="K706" s="55"/>
      <c r="L706" s="55"/>
      <c r="M706" s="63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 spans="1:28" ht="15" x14ac:dyDescent="0.25">
      <c r="A707" s="55"/>
      <c r="B707" s="55"/>
      <c r="C707" s="55"/>
      <c r="D707" s="55"/>
      <c r="E707" s="55"/>
      <c r="F707" s="186"/>
      <c r="G707" s="55"/>
      <c r="H707" s="55"/>
      <c r="I707" s="55"/>
      <c r="J707" s="65"/>
      <c r="K707" s="55"/>
      <c r="L707" s="55"/>
      <c r="M707" s="63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 spans="1:28" ht="15" x14ac:dyDescent="0.25">
      <c r="A708" s="55"/>
      <c r="B708" s="55"/>
      <c r="C708" s="55"/>
      <c r="D708" s="55"/>
      <c r="E708" s="55"/>
      <c r="F708" s="186"/>
      <c r="G708" s="55"/>
      <c r="H708" s="55"/>
      <c r="I708" s="55"/>
      <c r="J708" s="65"/>
      <c r="K708" s="55"/>
      <c r="L708" s="55"/>
      <c r="M708" s="63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 spans="1:28" ht="15" x14ac:dyDescent="0.25">
      <c r="A709" s="55"/>
      <c r="B709" s="55"/>
      <c r="C709" s="55"/>
      <c r="D709" s="55"/>
      <c r="E709" s="55"/>
      <c r="F709" s="186"/>
      <c r="G709" s="55"/>
      <c r="H709" s="55"/>
      <c r="I709" s="55"/>
      <c r="J709" s="65"/>
      <c r="K709" s="55"/>
      <c r="L709" s="55"/>
      <c r="M709" s="63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 spans="1:28" ht="15" x14ac:dyDescent="0.25">
      <c r="A710" s="55"/>
      <c r="B710" s="55"/>
      <c r="C710" s="55"/>
      <c r="D710" s="55"/>
      <c r="E710" s="55"/>
      <c r="F710" s="186"/>
      <c r="G710" s="55"/>
      <c r="H710" s="55"/>
      <c r="I710" s="55"/>
      <c r="J710" s="65"/>
      <c r="K710" s="55"/>
      <c r="L710" s="55"/>
      <c r="M710" s="63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 spans="1:28" ht="15" x14ac:dyDescent="0.25">
      <c r="A711" s="55"/>
      <c r="B711" s="55"/>
      <c r="C711" s="55"/>
      <c r="D711" s="55"/>
      <c r="E711" s="55"/>
      <c r="F711" s="186"/>
      <c r="G711" s="55"/>
      <c r="H711" s="55"/>
      <c r="I711" s="55"/>
      <c r="J711" s="65"/>
      <c r="K711" s="55"/>
      <c r="L711" s="55"/>
      <c r="M711" s="63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 spans="1:28" ht="15" x14ac:dyDescent="0.25">
      <c r="A712" s="55"/>
      <c r="B712" s="55"/>
      <c r="C712" s="55"/>
      <c r="D712" s="55"/>
      <c r="E712" s="55"/>
      <c r="F712" s="186"/>
      <c r="G712" s="55"/>
      <c r="H712" s="55"/>
      <c r="I712" s="55"/>
      <c r="J712" s="65"/>
      <c r="K712" s="55"/>
      <c r="L712" s="55"/>
      <c r="M712" s="63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 spans="1:28" ht="15" x14ac:dyDescent="0.25">
      <c r="A713" s="55"/>
      <c r="B713" s="55"/>
      <c r="C713" s="55"/>
      <c r="D713" s="55"/>
      <c r="E713" s="55"/>
      <c r="F713" s="186"/>
      <c r="G713" s="55"/>
      <c r="H713" s="55"/>
      <c r="I713" s="55"/>
      <c r="J713" s="65"/>
      <c r="K713" s="55"/>
      <c r="L713" s="55"/>
      <c r="M713" s="63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 spans="1:28" ht="15" x14ac:dyDescent="0.25">
      <c r="A714" s="55"/>
      <c r="B714" s="55"/>
      <c r="C714" s="55"/>
      <c r="D714" s="55"/>
      <c r="E714" s="55"/>
      <c r="F714" s="186"/>
      <c r="G714" s="55"/>
      <c r="H714" s="55"/>
      <c r="I714" s="55"/>
      <c r="J714" s="65"/>
      <c r="K714" s="55"/>
      <c r="L714" s="55"/>
      <c r="M714" s="63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 spans="1:28" ht="15" x14ac:dyDescent="0.25">
      <c r="A715" s="55"/>
      <c r="B715" s="55"/>
      <c r="C715" s="55"/>
      <c r="D715" s="55"/>
      <c r="E715" s="55"/>
      <c r="F715" s="186"/>
      <c r="G715" s="55"/>
      <c r="H715" s="55"/>
      <c r="I715" s="55"/>
      <c r="J715" s="65"/>
      <c r="K715" s="55"/>
      <c r="L715" s="55"/>
      <c r="M715" s="63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 spans="1:28" ht="15" x14ac:dyDescent="0.25">
      <c r="A716" s="55"/>
      <c r="B716" s="55"/>
      <c r="C716" s="55"/>
      <c r="D716" s="55"/>
      <c r="E716" s="55"/>
      <c r="F716" s="186"/>
      <c r="G716" s="55"/>
      <c r="H716" s="55"/>
      <c r="I716" s="55"/>
      <c r="J716" s="65"/>
      <c r="K716" s="55"/>
      <c r="L716" s="55"/>
      <c r="M716" s="63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 spans="1:28" ht="15" x14ac:dyDescent="0.25">
      <c r="A717" s="55"/>
      <c r="B717" s="55"/>
      <c r="C717" s="55"/>
      <c r="D717" s="55"/>
      <c r="E717" s="55"/>
      <c r="F717" s="186"/>
      <c r="G717" s="55"/>
      <c r="H717" s="55"/>
      <c r="I717" s="55"/>
      <c r="J717" s="65"/>
      <c r="K717" s="55"/>
      <c r="L717" s="55"/>
      <c r="M717" s="63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 spans="1:28" ht="15" x14ac:dyDescent="0.25">
      <c r="A718" s="55"/>
      <c r="B718" s="55"/>
      <c r="C718" s="55"/>
      <c r="D718" s="55"/>
      <c r="E718" s="55"/>
      <c r="F718" s="186"/>
      <c r="G718" s="55"/>
      <c r="H718" s="55"/>
      <c r="I718" s="55"/>
      <c r="J718" s="65"/>
      <c r="K718" s="55"/>
      <c r="L718" s="55"/>
      <c r="M718" s="63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 spans="1:28" ht="15" x14ac:dyDescent="0.25">
      <c r="A719" s="55"/>
      <c r="B719" s="55"/>
      <c r="C719" s="55"/>
      <c r="D719" s="55"/>
      <c r="E719" s="55"/>
      <c r="F719" s="186"/>
      <c r="G719" s="55"/>
      <c r="H719" s="55"/>
      <c r="I719" s="55"/>
      <c r="J719" s="65"/>
      <c r="K719" s="55"/>
      <c r="L719" s="55"/>
      <c r="M719" s="63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 spans="1:28" ht="15" x14ac:dyDescent="0.25">
      <c r="A720" s="55"/>
      <c r="B720" s="55"/>
      <c r="C720" s="55"/>
      <c r="D720" s="55"/>
      <c r="E720" s="55"/>
      <c r="F720" s="186"/>
      <c r="G720" s="55"/>
      <c r="H720" s="55"/>
      <c r="I720" s="55"/>
      <c r="J720" s="65"/>
      <c r="K720" s="55"/>
      <c r="L720" s="55"/>
      <c r="M720" s="63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 spans="1:28" ht="15" x14ac:dyDescent="0.25">
      <c r="A721" s="55"/>
      <c r="B721" s="55"/>
      <c r="C721" s="55"/>
      <c r="D721" s="55"/>
      <c r="E721" s="55"/>
      <c r="F721" s="186"/>
      <c r="G721" s="55"/>
      <c r="H721" s="55"/>
      <c r="I721" s="55"/>
      <c r="J721" s="65"/>
      <c r="K721" s="55"/>
      <c r="L721" s="55"/>
      <c r="M721" s="63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 spans="1:28" ht="15" x14ac:dyDescent="0.25">
      <c r="A722" s="55"/>
      <c r="B722" s="55"/>
      <c r="C722" s="55"/>
      <c r="D722" s="55"/>
      <c r="E722" s="55"/>
      <c r="F722" s="186"/>
      <c r="G722" s="55"/>
      <c r="H722" s="55"/>
      <c r="I722" s="55"/>
      <c r="J722" s="65"/>
      <c r="K722" s="55"/>
      <c r="L722" s="55"/>
      <c r="M722" s="63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 spans="1:28" ht="15" x14ac:dyDescent="0.25">
      <c r="A723" s="55"/>
      <c r="B723" s="55"/>
      <c r="C723" s="55"/>
      <c r="D723" s="55"/>
      <c r="E723" s="55"/>
      <c r="F723" s="186"/>
      <c r="G723" s="55"/>
      <c r="H723" s="55"/>
      <c r="I723" s="55"/>
      <c r="J723" s="65"/>
      <c r="K723" s="55"/>
      <c r="L723" s="55"/>
      <c r="M723" s="63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 spans="1:28" ht="15" x14ac:dyDescent="0.25">
      <c r="A724" s="55"/>
      <c r="B724" s="55"/>
      <c r="C724" s="55"/>
      <c r="D724" s="55"/>
      <c r="E724" s="55"/>
      <c r="F724" s="186"/>
      <c r="G724" s="55"/>
      <c r="H724" s="55"/>
      <c r="I724" s="55"/>
      <c r="J724" s="65"/>
      <c r="K724" s="55"/>
      <c r="L724" s="55"/>
      <c r="M724" s="63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 spans="1:28" ht="15" x14ac:dyDescent="0.25">
      <c r="A725" s="55"/>
      <c r="B725" s="55"/>
      <c r="C725" s="55"/>
      <c r="D725" s="55"/>
      <c r="E725" s="55"/>
      <c r="F725" s="186"/>
      <c r="G725" s="55"/>
      <c r="H725" s="55"/>
      <c r="I725" s="55"/>
      <c r="J725" s="65"/>
      <c r="K725" s="55"/>
      <c r="L725" s="55"/>
      <c r="M725" s="63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 spans="1:28" ht="15" x14ac:dyDescent="0.25">
      <c r="A726" s="55"/>
      <c r="B726" s="55"/>
      <c r="C726" s="55"/>
      <c r="D726" s="55"/>
      <c r="E726" s="55"/>
      <c r="F726" s="186"/>
      <c r="G726" s="55"/>
      <c r="H726" s="55"/>
      <c r="I726" s="55"/>
      <c r="J726" s="65"/>
      <c r="K726" s="55"/>
      <c r="L726" s="55"/>
      <c r="M726" s="63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 spans="1:28" ht="15" x14ac:dyDescent="0.25">
      <c r="A727" s="55"/>
      <c r="B727" s="55"/>
      <c r="C727" s="55"/>
      <c r="D727" s="55"/>
      <c r="E727" s="55"/>
      <c r="F727" s="186"/>
      <c r="G727" s="55"/>
      <c r="H727" s="55"/>
      <c r="I727" s="55"/>
      <c r="J727" s="65"/>
      <c r="K727" s="55"/>
      <c r="L727" s="55"/>
      <c r="M727" s="63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 spans="1:28" ht="15" x14ac:dyDescent="0.25">
      <c r="A728" s="55"/>
      <c r="B728" s="55"/>
      <c r="C728" s="55"/>
      <c r="D728" s="55"/>
      <c r="E728" s="55"/>
      <c r="F728" s="186"/>
      <c r="G728" s="55"/>
      <c r="H728" s="55"/>
      <c r="I728" s="55"/>
      <c r="J728" s="65"/>
      <c r="K728" s="55"/>
      <c r="L728" s="55"/>
      <c r="M728" s="63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 spans="1:28" ht="15" x14ac:dyDescent="0.25">
      <c r="A729" s="55"/>
      <c r="B729" s="55"/>
      <c r="C729" s="55"/>
      <c r="D729" s="55"/>
      <c r="E729" s="55"/>
      <c r="F729" s="186"/>
      <c r="G729" s="55"/>
      <c r="H729" s="55"/>
      <c r="I729" s="55"/>
      <c r="J729" s="65"/>
      <c r="K729" s="55"/>
      <c r="L729" s="55"/>
      <c r="M729" s="63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 spans="1:28" ht="15" x14ac:dyDescent="0.25">
      <c r="A730" s="55"/>
      <c r="B730" s="55"/>
      <c r="C730" s="55"/>
      <c r="D730" s="55"/>
      <c r="E730" s="55"/>
      <c r="F730" s="186"/>
      <c r="G730" s="55"/>
      <c r="H730" s="55"/>
      <c r="I730" s="55"/>
      <c r="J730" s="65"/>
      <c r="K730" s="55"/>
      <c r="L730" s="55"/>
      <c r="M730" s="63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 spans="1:28" ht="15" x14ac:dyDescent="0.25">
      <c r="A731" s="55"/>
      <c r="B731" s="55"/>
      <c r="C731" s="55"/>
      <c r="D731" s="55"/>
      <c r="E731" s="55"/>
      <c r="F731" s="186"/>
      <c r="G731" s="55"/>
      <c r="H731" s="55"/>
      <c r="I731" s="55"/>
      <c r="J731" s="65"/>
      <c r="K731" s="55"/>
      <c r="L731" s="55"/>
      <c r="M731" s="63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 spans="1:28" ht="15" x14ac:dyDescent="0.25">
      <c r="A732" s="55"/>
      <c r="B732" s="55"/>
      <c r="C732" s="55"/>
      <c r="D732" s="55"/>
      <c r="E732" s="55"/>
      <c r="F732" s="186"/>
      <c r="G732" s="55"/>
      <c r="H732" s="55"/>
      <c r="I732" s="55"/>
      <c r="J732" s="65"/>
      <c r="K732" s="55"/>
      <c r="L732" s="55"/>
      <c r="M732" s="63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 spans="1:28" ht="15" x14ac:dyDescent="0.25">
      <c r="A733" s="55"/>
      <c r="B733" s="55"/>
      <c r="C733" s="55"/>
      <c r="D733" s="55"/>
      <c r="E733" s="55"/>
      <c r="F733" s="186"/>
      <c r="G733" s="55"/>
      <c r="H733" s="55"/>
      <c r="I733" s="55"/>
      <c r="J733" s="65"/>
      <c r="K733" s="55"/>
      <c r="L733" s="55"/>
      <c r="M733" s="63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 spans="1:28" ht="15" x14ac:dyDescent="0.25">
      <c r="A734" s="55"/>
      <c r="B734" s="55"/>
      <c r="C734" s="55"/>
      <c r="D734" s="55"/>
      <c r="E734" s="55"/>
      <c r="F734" s="186"/>
      <c r="G734" s="55"/>
      <c r="H734" s="55"/>
      <c r="I734" s="55"/>
      <c r="J734" s="65"/>
      <c r="K734" s="55"/>
      <c r="L734" s="55"/>
      <c r="M734" s="63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 spans="1:28" ht="15" x14ac:dyDescent="0.25">
      <c r="A735" s="55"/>
      <c r="B735" s="55"/>
      <c r="C735" s="55"/>
      <c r="D735" s="55"/>
      <c r="E735" s="55"/>
      <c r="F735" s="186"/>
      <c r="G735" s="55"/>
      <c r="H735" s="55"/>
      <c r="I735" s="55"/>
      <c r="J735" s="65"/>
      <c r="K735" s="55"/>
      <c r="L735" s="55"/>
      <c r="M735" s="63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 spans="1:28" ht="15" x14ac:dyDescent="0.25">
      <c r="A736" s="55"/>
      <c r="B736" s="55"/>
      <c r="C736" s="55"/>
      <c r="D736" s="55"/>
      <c r="E736" s="55"/>
      <c r="F736" s="186"/>
      <c r="G736" s="55"/>
      <c r="H736" s="55"/>
      <c r="I736" s="55"/>
      <c r="J736" s="65"/>
      <c r="K736" s="55"/>
      <c r="L736" s="55"/>
      <c r="M736" s="63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 spans="1:28" ht="15" x14ac:dyDescent="0.25">
      <c r="A737" s="55"/>
      <c r="B737" s="55"/>
      <c r="C737" s="55"/>
      <c r="D737" s="55"/>
      <c r="E737" s="55"/>
      <c r="F737" s="186"/>
      <c r="G737" s="55"/>
      <c r="H737" s="55"/>
      <c r="I737" s="55"/>
      <c r="J737" s="65"/>
      <c r="K737" s="55"/>
      <c r="L737" s="55"/>
      <c r="M737" s="63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 spans="1:28" ht="15" x14ac:dyDescent="0.25">
      <c r="A738" s="55"/>
      <c r="B738" s="55"/>
      <c r="C738" s="55"/>
      <c r="D738" s="55"/>
      <c r="E738" s="55"/>
      <c r="F738" s="186"/>
      <c r="G738" s="55"/>
      <c r="H738" s="55"/>
      <c r="I738" s="55"/>
      <c r="J738" s="65"/>
      <c r="K738" s="55"/>
      <c r="L738" s="55"/>
      <c r="M738" s="63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 spans="1:28" ht="15" x14ac:dyDescent="0.25">
      <c r="A739" s="55"/>
      <c r="B739" s="55"/>
      <c r="C739" s="55"/>
      <c r="D739" s="55"/>
      <c r="E739" s="55"/>
      <c r="F739" s="186"/>
      <c r="G739" s="55"/>
      <c r="H739" s="55"/>
      <c r="I739" s="55"/>
      <c r="J739" s="65"/>
      <c r="K739" s="55"/>
      <c r="L739" s="55"/>
      <c r="M739" s="63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 spans="1:28" ht="15" x14ac:dyDescent="0.25">
      <c r="A740" s="55"/>
      <c r="B740" s="55"/>
      <c r="C740" s="55"/>
      <c r="D740" s="55"/>
      <c r="E740" s="55"/>
      <c r="F740" s="186"/>
      <c r="G740" s="55"/>
      <c r="H740" s="55"/>
      <c r="I740" s="55"/>
      <c r="J740" s="65"/>
      <c r="K740" s="55"/>
      <c r="L740" s="55"/>
      <c r="M740" s="63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 spans="1:28" ht="15" x14ac:dyDescent="0.25">
      <c r="A741" s="55"/>
      <c r="B741" s="55"/>
      <c r="C741" s="55"/>
      <c r="D741" s="55"/>
      <c r="E741" s="55"/>
      <c r="F741" s="186"/>
      <c r="G741" s="55"/>
      <c r="H741" s="55"/>
      <c r="I741" s="55"/>
      <c r="J741" s="65"/>
      <c r="K741" s="55"/>
      <c r="L741" s="55"/>
      <c r="M741" s="63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 spans="1:28" ht="15" x14ac:dyDescent="0.25">
      <c r="A742" s="55"/>
      <c r="B742" s="55"/>
      <c r="C742" s="55"/>
      <c r="D742" s="55"/>
      <c r="E742" s="55"/>
      <c r="F742" s="186"/>
      <c r="G742" s="55"/>
      <c r="H742" s="55"/>
      <c r="I742" s="55"/>
      <c r="J742" s="65"/>
      <c r="K742" s="55"/>
      <c r="L742" s="55"/>
      <c r="M742" s="63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 spans="1:28" ht="15" x14ac:dyDescent="0.25">
      <c r="A743" s="55"/>
      <c r="B743" s="55"/>
      <c r="C743" s="55"/>
      <c r="D743" s="55"/>
      <c r="E743" s="55"/>
      <c r="F743" s="186"/>
      <c r="G743" s="55"/>
      <c r="H743" s="55"/>
      <c r="I743" s="55"/>
      <c r="J743" s="65"/>
      <c r="K743" s="55"/>
      <c r="L743" s="55"/>
      <c r="M743" s="63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 spans="1:28" ht="15" x14ac:dyDescent="0.25">
      <c r="A744" s="55"/>
      <c r="B744" s="55"/>
      <c r="C744" s="55"/>
      <c r="D744" s="55"/>
      <c r="E744" s="55"/>
      <c r="F744" s="186"/>
      <c r="G744" s="55"/>
      <c r="H744" s="55"/>
      <c r="I744" s="55"/>
      <c r="J744" s="65"/>
      <c r="K744" s="55"/>
      <c r="L744" s="55"/>
      <c r="M744" s="63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 spans="1:28" ht="15" x14ac:dyDescent="0.25">
      <c r="A745" s="55"/>
      <c r="B745" s="55"/>
      <c r="C745" s="55"/>
      <c r="D745" s="55"/>
      <c r="E745" s="55"/>
      <c r="F745" s="186"/>
      <c r="G745" s="55"/>
      <c r="H745" s="55"/>
      <c r="I745" s="55"/>
      <c r="J745" s="65"/>
      <c r="K745" s="55"/>
      <c r="L745" s="55"/>
      <c r="M745" s="63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 spans="1:28" ht="15" x14ac:dyDescent="0.25">
      <c r="A746" s="55"/>
      <c r="B746" s="55"/>
      <c r="C746" s="55"/>
      <c r="D746" s="55"/>
      <c r="E746" s="55"/>
      <c r="F746" s="186"/>
      <c r="G746" s="55"/>
      <c r="H746" s="55"/>
      <c r="I746" s="55"/>
      <c r="J746" s="65"/>
      <c r="K746" s="55"/>
      <c r="L746" s="55"/>
      <c r="M746" s="63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 spans="1:28" ht="15" x14ac:dyDescent="0.25">
      <c r="A747" s="55"/>
      <c r="B747" s="55"/>
      <c r="C747" s="55"/>
      <c r="D747" s="55"/>
      <c r="E747" s="55"/>
      <c r="F747" s="186"/>
      <c r="G747" s="55"/>
      <c r="H747" s="55"/>
      <c r="I747" s="55"/>
      <c r="J747" s="65"/>
      <c r="K747" s="55"/>
      <c r="L747" s="55"/>
      <c r="M747" s="63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 spans="1:28" ht="15" x14ac:dyDescent="0.25">
      <c r="A748" s="55"/>
      <c r="B748" s="55"/>
      <c r="C748" s="55"/>
      <c r="D748" s="55"/>
      <c r="E748" s="55"/>
      <c r="F748" s="186"/>
      <c r="G748" s="55"/>
      <c r="H748" s="55"/>
      <c r="I748" s="55"/>
      <c r="J748" s="65"/>
      <c r="K748" s="55"/>
      <c r="L748" s="55"/>
      <c r="M748" s="63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 spans="1:28" ht="15" x14ac:dyDescent="0.25">
      <c r="A749" s="55"/>
      <c r="B749" s="55"/>
      <c r="C749" s="55"/>
      <c r="D749" s="55"/>
      <c r="E749" s="55"/>
      <c r="F749" s="186"/>
      <c r="G749" s="55"/>
      <c r="H749" s="55"/>
      <c r="I749" s="55"/>
      <c r="J749" s="65"/>
      <c r="K749" s="55"/>
      <c r="L749" s="55"/>
      <c r="M749" s="63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 spans="1:28" ht="15" x14ac:dyDescent="0.25">
      <c r="A750" s="55"/>
      <c r="B750" s="55"/>
      <c r="C750" s="55"/>
      <c r="D750" s="55"/>
      <c r="E750" s="55"/>
      <c r="F750" s="186"/>
      <c r="G750" s="55"/>
      <c r="H750" s="55"/>
      <c r="I750" s="55"/>
      <c r="J750" s="65"/>
      <c r="K750" s="55"/>
      <c r="L750" s="55"/>
      <c r="M750" s="63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 spans="1:28" ht="15" x14ac:dyDescent="0.25">
      <c r="A751" s="55"/>
      <c r="B751" s="55"/>
      <c r="C751" s="55"/>
      <c r="D751" s="55"/>
      <c r="E751" s="55"/>
      <c r="F751" s="186"/>
      <c r="G751" s="55"/>
      <c r="H751" s="55"/>
      <c r="I751" s="55"/>
      <c r="J751" s="65"/>
      <c r="K751" s="55"/>
      <c r="L751" s="55"/>
      <c r="M751" s="63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 spans="1:28" ht="15" x14ac:dyDescent="0.25">
      <c r="A752" s="55"/>
      <c r="B752" s="55"/>
      <c r="C752" s="55"/>
      <c r="D752" s="55"/>
      <c r="E752" s="55"/>
      <c r="F752" s="186"/>
      <c r="G752" s="55"/>
      <c r="H752" s="55"/>
      <c r="I752" s="55"/>
      <c r="J752" s="65"/>
      <c r="K752" s="55"/>
      <c r="L752" s="55"/>
      <c r="M752" s="63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 spans="1:28" ht="15" x14ac:dyDescent="0.25">
      <c r="A753" s="55"/>
      <c r="B753" s="55"/>
      <c r="C753" s="55"/>
      <c r="D753" s="55"/>
      <c r="E753" s="55"/>
      <c r="F753" s="186"/>
      <c r="G753" s="55"/>
      <c r="H753" s="55"/>
      <c r="I753" s="55"/>
      <c r="J753" s="65"/>
      <c r="K753" s="55"/>
      <c r="L753" s="55"/>
      <c r="M753" s="63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 spans="1:28" ht="15" x14ac:dyDescent="0.25">
      <c r="A754" s="55"/>
      <c r="B754" s="55"/>
      <c r="C754" s="55"/>
      <c r="D754" s="55"/>
      <c r="E754" s="55"/>
      <c r="F754" s="186"/>
      <c r="G754" s="55"/>
      <c r="H754" s="55"/>
      <c r="I754" s="55"/>
      <c r="J754" s="65"/>
      <c r="K754" s="55"/>
      <c r="L754" s="55"/>
      <c r="M754" s="63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 spans="1:28" ht="15" x14ac:dyDescent="0.25">
      <c r="A755" s="55"/>
      <c r="B755" s="55"/>
      <c r="C755" s="55"/>
      <c r="D755" s="55"/>
      <c r="E755" s="55"/>
      <c r="F755" s="186"/>
      <c r="G755" s="55"/>
      <c r="H755" s="55"/>
      <c r="I755" s="55"/>
      <c r="J755" s="65"/>
      <c r="K755" s="55"/>
      <c r="L755" s="55"/>
      <c r="M755" s="63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 spans="1:28" ht="15" x14ac:dyDescent="0.25">
      <c r="A756" s="55"/>
      <c r="B756" s="55"/>
      <c r="C756" s="55"/>
      <c r="D756" s="55"/>
      <c r="E756" s="55"/>
      <c r="F756" s="186"/>
      <c r="G756" s="55"/>
      <c r="H756" s="55"/>
      <c r="I756" s="55"/>
      <c r="J756" s="65"/>
      <c r="K756" s="55"/>
      <c r="L756" s="55"/>
      <c r="M756" s="63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 spans="1:28" ht="15" x14ac:dyDescent="0.25">
      <c r="A757" s="55"/>
      <c r="B757" s="55"/>
      <c r="C757" s="55"/>
      <c r="D757" s="55"/>
      <c r="E757" s="55"/>
      <c r="F757" s="186"/>
      <c r="G757" s="55"/>
      <c r="H757" s="55"/>
      <c r="I757" s="55"/>
      <c r="J757" s="65"/>
      <c r="K757" s="55"/>
      <c r="L757" s="55"/>
      <c r="M757" s="63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 spans="1:28" ht="15" x14ac:dyDescent="0.25">
      <c r="A758" s="55"/>
      <c r="B758" s="55"/>
      <c r="C758" s="55"/>
      <c r="D758" s="55"/>
      <c r="E758" s="55"/>
      <c r="F758" s="186"/>
      <c r="G758" s="55"/>
      <c r="H758" s="55"/>
      <c r="I758" s="55"/>
      <c r="J758" s="65"/>
      <c r="K758" s="55"/>
      <c r="L758" s="55"/>
      <c r="M758" s="63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 spans="1:28" ht="15" x14ac:dyDescent="0.25">
      <c r="A759" s="55"/>
      <c r="B759" s="55"/>
      <c r="C759" s="55"/>
      <c r="D759" s="55"/>
      <c r="E759" s="55"/>
      <c r="F759" s="186"/>
      <c r="G759" s="55"/>
      <c r="H759" s="55"/>
      <c r="I759" s="55"/>
      <c r="J759" s="65"/>
      <c r="K759" s="55"/>
      <c r="L759" s="55"/>
      <c r="M759" s="63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 spans="1:28" ht="15" x14ac:dyDescent="0.25">
      <c r="A760" s="55"/>
      <c r="B760" s="55"/>
      <c r="C760" s="55"/>
      <c r="D760" s="55"/>
      <c r="E760" s="55"/>
      <c r="F760" s="186"/>
      <c r="G760" s="55"/>
      <c r="H760" s="55"/>
      <c r="I760" s="55"/>
      <c r="J760" s="65"/>
      <c r="K760" s="55"/>
      <c r="L760" s="55"/>
      <c r="M760" s="63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 spans="1:28" ht="15" x14ac:dyDescent="0.25">
      <c r="A761" s="55"/>
      <c r="B761" s="55"/>
      <c r="C761" s="55"/>
      <c r="D761" s="55"/>
      <c r="E761" s="55"/>
      <c r="F761" s="186"/>
      <c r="G761" s="55"/>
      <c r="H761" s="55"/>
      <c r="I761" s="55"/>
      <c r="J761" s="65"/>
      <c r="K761" s="55"/>
      <c r="L761" s="55"/>
      <c r="M761" s="63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 spans="1:28" ht="15" x14ac:dyDescent="0.25">
      <c r="A762" s="55"/>
      <c r="B762" s="55"/>
      <c r="C762" s="55"/>
      <c r="D762" s="55"/>
      <c r="E762" s="55"/>
      <c r="F762" s="186"/>
      <c r="G762" s="55"/>
      <c r="H762" s="55"/>
      <c r="I762" s="55"/>
      <c r="J762" s="65"/>
      <c r="K762" s="55"/>
      <c r="L762" s="55"/>
      <c r="M762" s="63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 spans="1:28" ht="15" x14ac:dyDescent="0.25">
      <c r="A763" s="55"/>
      <c r="B763" s="55"/>
      <c r="C763" s="55"/>
      <c r="D763" s="55"/>
      <c r="E763" s="55"/>
      <c r="F763" s="186"/>
      <c r="G763" s="55"/>
      <c r="H763" s="55"/>
      <c r="I763" s="55"/>
      <c r="J763" s="65"/>
      <c r="K763" s="55"/>
      <c r="L763" s="55"/>
      <c r="M763" s="63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 spans="1:28" ht="15" x14ac:dyDescent="0.25">
      <c r="A764" s="55"/>
      <c r="B764" s="55"/>
      <c r="C764" s="55"/>
      <c r="D764" s="55"/>
      <c r="E764" s="55"/>
      <c r="F764" s="186"/>
      <c r="G764" s="55"/>
      <c r="H764" s="55"/>
      <c r="I764" s="55"/>
      <c r="J764" s="65"/>
      <c r="K764" s="55"/>
      <c r="L764" s="55"/>
      <c r="M764" s="63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 spans="1:28" ht="15" x14ac:dyDescent="0.25">
      <c r="A765" s="55"/>
      <c r="B765" s="55"/>
      <c r="C765" s="55"/>
      <c r="D765" s="55"/>
      <c r="E765" s="55"/>
      <c r="F765" s="186"/>
      <c r="G765" s="55"/>
      <c r="H765" s="55"/>
      <c r="I765" s="55"/>
      <c r="J765" s="65"/>
      <c r="K765" s="55"/>
      <c r="L765" s="55"/>
      <c r="M765" s="63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 spans="1:28" ht="15" x14ac:dyDescent="0.25">
      <c r="A766" s="55"/>
      <c r="B766" s="55"/>
      <c r="C766" s="55"/>
      <c r="D766" s="55"/>
      <c r="E766" s="55"/>
      <c r="F766" s="186"/>
      <c r="G766" s="55"/>
      <c r="H766" s="55"/>
      <c r="I766" s="55"/>
      <c r="J766" s="65"/>
      <c r="K766" s="55"/>
      <c r="L766" s="55"/>
      <c r="M766" s="63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 spans="1:28" ht="15" x14ac:dyDescent="0.25">
      <c r="A767" s="55"/>
      <c r="B767" s="55"/>
      <c r="C767" s="55"/>
      <c r="D767" s="55"/>
      <c r="E767" s="55"/>
      <c r="F767" s="186"/>
      <c r="G767" s="55"/>
      <c r="H767" s="55"/>
      <c r="I767" s="55"/>
      <c r="J767" s="65"/>
      <c r="K767" s="55"/>
      <c r="L767" s="55"/>
      <c r="M767" s="63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 spans="1:28" ht="15" x14ac:dyDescent="0.25">
      <c r="A768" s="55"/>
      <c r="B768" s="55"/>
      <c r="C768" s="55"/>
      <c r="D768" s="55"/>
      <c r="E768" s="55"/>
      <c r="F768" s="186"/>
      <c r="G768" s="55"/>
      <c r="H768" s="55"/>
      <c r="I768" s="55"/>
      <c r="J768" s="65"/>
      <c r="K768" s="55"/>
      <c r="L768" s="55"/>
      <c r="M768" s="63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 spans="1:28" ht="15" x14ac:dyDescent="0.25">
      <c r="A769" s="55"/>
      <c r="B769" s="55"/>
      <c r="C769" s="55"/>
      <c r="D769" s="55"/>
      <c r="E769" s="55"/>
      <c r="F769" s="186"/>
      <c r="G769" s="55"/>
      <c r="H769" s="55"/>
      <c r="I769" s="55"/>
      <c r="J769" s="65"/>
      <c r="K769" s="55"/>
      <c r="L769" s="55"/>
      <c r="M769" s="63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 spans="1:28" ht="15" x14ac:dyDescent="0.25">
      <c r="A770" s="55"/>
      <c r="B770" s="55"/>
      <c r="C770" s="55"/>
      <c r="D770" s="55"/>
      <c r="E770" s="55"/>
      <c r="F770" s="186"/>
      <c r="G770" s="55"/>
      <c r="H770" s="55"/>
      <c r="I770" s="55"/>
      <c r="J770" s="65"/>
      <c r="K770" s="55"/>
      <c r="L770" s="55"/>
      <c r="M770" s="63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 spans="1:28" ht="15" x14ac:dyDescent="0.25">
      <c r="A771" s="55"/>
      <c r="B771" s="55"/>
      <c r="C771" s="55"/>
      <c r="D771" s="55"/>
      <c r="E771" s="55"/>
      <c r="F771" s="186"/>
      <c r="G771" s="55"/>
      <c r="H771" s="55"/>
      <c r="I771" s="55"/>
      <c r="J771" s="65"/>
      <c r="K771" s="55"/>
      <c r="L771" s="55"/>
      <c r="M771" s="63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 spans="1:28" ht="15" x14ac:dyDescent="0.25">
      <c r="A772" s="55"/>
      <c r="B772" s="55"/>
      <c r="C772" s="55"/>
      <c r="D772" s="55"/>
      <c r="E772" s="55"/>
      <c r="F772" s="186"/>
      <c r="G772" s="55"/>
      <c r="H772" s="55"/>
      <c r="I772" s="55"/>
      <c r="J772" s="65"/>
      <c r="K772" s="55"/>
      <c r="L772" s="55"/>
      <c r="M772" s="63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 spans="1:28" ht="15" x14ac:dyDescent="0.25">
      <c r="A773" s="55"/>
      <c r="B773" s="55"/>
      <c r="C773" s="55"/>
      <c r="D773" s="55"/>
      <c r="E773" s="55"/>
      <c r="F773" s="186"/>
      <c r="G773" s="55"/>
      <c r="H773" s="55"/>
      <c r="I773" s="55"/>
      <c r="J773" s="65"/>
      <c r="K773" s="55"/>
      <c r="L773" s="55"/>
      <c r="M773" s="63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 spans="1:28" ht="15" x14ac:dyDescent="0.25">
      <c r="A774" s="55"/>
      <c r="B774" s="55"/>
      <c r="C774" s="55"/>
      <c r="D774" s="55"/>
      <c r="E774" s="55"/>
      <c r="F774" s="186"/>
      <c r="G774" s="55"/>
      <c r="H774" s="55"/>
      <c r="I774" s="55"/>
      <c r="J774" s="65"/>
      <c r="K774" s="55"/>
      <c r="L774" s="55"/>
      <c r="M774" s="63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 spans="1:28" ht="15" x14ac:dyDescent="0.25">
      <c r="A775" s="55"/>
      <c r="B775" s="55"/>
      <c r="C775" s="55"/>
      <c r="D775" s="55"/>
      <c r="E775" s="55"/>
      <c r="F775" s="186"/>
      <c r="G775" s="55"/>
      <c r="H775" s="55"/>
      <c r="I775" s="55"/>
      <c r="J775" s="65"/>
      <c r="K775" s="55"/>
      <c r="L775" s="55"/>
      <c r="M775" s="63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 spans="1:28" ht="15" x14ac:dyDescent="0.25">
      <c r="A776" s="55"/>
      <c r="B776" s="55"/>
      <c r="C776" s="55"/>
      <c r="D776" s="55"/>
      <c r="E776" s="55"/>
      <c r="F776" s="186"/>
      <c r="G776" s="55"/>
      <c r="H776" s="55"/>
      <c r="I776" s="55"/>
      <c r="J776" s="65"/>
      <c r="K776" s="55"/>
      <c r="L776" s="55"/>
      <c r="M776" s="63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 spans="1:28" ht="15" x14ac:dyDescent="0.25">
      <c r="A777" s="55"/>
      <c r="B777" s="55"/>
      <c r="C777" s="55"/>
      <c r="D777" s="55"/>
      <c r="E777" s="55"/>
      <c r="F777" s="186"/>
      <c r="G777" s="55"/>
      <c r="H777" s="55"/>
      <c r="I777" s="55"/>
      <c r="J777" s="65"/>
      <c r="K777" s="55"/>
      <c r="L777" s="55"/>
      <c r="M777" s="63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 spans="1:28" ht="15" x14ac:dyDescent="0.25">
      <c r="A778" s="55"/>
      <c r="B778" s="55"/>
      <c r="C778" s="55"/>
      <c r="D778" s="55"/>
      <c r="E778" s="55"/>
      <c r="F778" s="186"/>
      <c r="G778" s="55"/>
      <c r="H778" s="55"/>
      <c r="I778" s="55"/>
      <c r="J778" s="65"/>
      <c r="K778" s="55"/>
      <c r="L778" s="55"/>
      <c r="M778" s="63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 spans="1:28" ht="15" x14ac:dyDescent="0.25">
      <c r="A779" s="55"/>
      <c r="B779" s="55"/>
      <c r="C779" s="55"/>
      <c r="D779" s="55"/>
      <c r="E779" s="55"/>
      <c r="F779" s="186"/>
      <c r="G779" s="55"/>
      <c r="H779" s="55"/>
      <c r="I779" s="55"/>
      <c r="J779" s="65"/>
      <c r="K779" s="55"/>
      <c r="L779" s="55"/>
      <c r="M779" s="63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 spans="1:28" ht="15" x14ac:dyDescent="0.25">
      <c r="A780" s="55"/>
      <c r="B780" s="55"/>
      <c r="C780" s="55"/>
      <c r="D780" s="55"/>
      <c r="E780" s="55"/>
      <c r="F780" s="186"/>
      <c r="G780" s="55"/>
      <c r="H780" s="55"/>
      <c r="I780" s="55"/>
      <c r="J780" s="65"/>
      <c r="K780" s="55"/>
      <c r="L780" s="55"/>
      <c r="M780" s="63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 spans="1:28" ht="15" x14ac:dyDescent="0.25">
      <c r="A781" s="55"/>
      <c r="B781" s="55"/>
      <c r="C781" s="55"/>
      <c r="D781" s="55"/>
      <c r="E781" s="55"/>
      <c r="F781" s="186"/>
      <c r="G781" s="55"/>
      <c r="H781" s="55"/>
      <c r="I781" s="55"/>
      <c r="J781" s="65"/>
      <c r="K781" s="55"/>
      <c r="L781" s="55"/>
      <c r="M781" s="63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 spans="1:28" ht="15" x14ac:dyDescent="0.25">
      <c r="A782" s="55"/>
      <c r="B782" s="55"/>
      <c r="C782" s="55"/>
      <c r="D782" s="55"/>
      <c r="E782" s="55"/>
      <c r="F782" s="186"/>
      <c r="G782" s="55"/>
      <c r="H782" s="55"/>
      <c r="I782" s="55"/>
      <c r="J782" s="65"/>
      <c r="K782" s="55"/>
      <c r="L782" s="55"/>
      <c r="M782" s="63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 spans="1:28" ht="15" x14ac:dyDescent="0.25">
      <c r="A783" s="55"/>
      <c r="B783" s="55"/>
      <c r="C783" s="55"/>
      <c r="D783" s="55"/>
      <c r="E783" s="55"/>
      <c r="F783" s="186"/>
      <c r="G783" s="55"/>
      <c r="H783" s="55"/>
      <c r="I783" s="55"/>
      <c r="J783" s="65"/>
      <c r="K783" s="55"/>
      <c r="L783" s="55"/>
      <c r="M783" s="63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 spans="1:28" ht="15" x14ac:dyDescent="0.25">
      <c r="A784" s="55"/>
      <c r="B784" s="55"/>
      <c r="C784" s="55"/>
      <c r="D784" s="55"/>
      <c r="E784" s="55"/>
      <c r="F784" s="186"/>
      <c r="G784" s="55"/>
      <c r="H784" s="55"/>
      <c r="I784" s="55"/>
      <c r="J784" s="65"/>
      <c r="K784" s="55"/>
      <c r="L784" s="55"/>
      <c r="M784" s="63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 spans="1:28" ht="15" x14ac:dyDescent="0.25">
      <c r="A785" s="55"/>
      <c r="B785" s="55"/>
      <c r="C785" s="55"/>
      <c r="D785" s="55"/>
      <c r="E785" s="55"/>
      <c r="F785" s="186"/>
      <c r="G785" s="55"/>
      <c r="H785" s="55"/>
      <c r="I785" s="55"/>
      <c r="J785" s="65"/>
      <c r="K785" s="55"/>
      <c r="L785" s="55"/>
      <c r="M785" s="63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 spans="1:28" ht="15" x14ac:dyDescent="0.25">
      <c r="A786" s="55"/>
      <c r="B786" s="55"/>
      <c r="C786" s="55"/>
      <c r="D786" s="55"/>
      <c r="E786" s="55"/>
      <c r="F786" s="186"/>
      <c r="G786" s="55"/>
      <c r="H786" s="55"/>
      <c r="I786" s="55"/>
      <c r="J786" s="65"/>
      <c r="K786" s="55"/>
      <c r="L786" s="55"/>
      <c r="M786" s="63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 spans="1:28" ht="15" x14ac:dyDescent="0.25">
      <c r="A787" s="55"/>
      <c r="B787" s="55"/>
      <c r="C787" s="55"/>
      <c r="D787" s="55"/>
      <c r="E787" s="55"/>
      <c r="F787" s="186"/>
      <c r="G787" s="55"/>
      <c r="H787" s="55"/>
      <c r="I787" s="55"/>
      <c r="J787" s="65"/>
      <c r="K787" s="55"/>
      <c r="L787" s="55"/>
      <c r="M787" s="63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 spans="1:28" ht="15" x14ac:dyDescent="0.25">
      <c r="A788" s="55"/>
      <c r="B788" s="55"/>
      <c r="C788" s="55"/>
      <c r="D788" s="55"/>
      <c r="E788" s="55"/>
      <c r="F788" s="186"/>
      <c r="G788" s="55"/>
      <c r="H788" s="55"/>
      <c r="I788" s="55"/>
      <c r="J788" s="65"/>
      <c r="K788" s="55"/>
      <c r="L788" s="55"/>
      <c r="M788" s="63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 spans="1:28" ht="15" x14ac:dyDescent="0.25">
      <c r="A789" s="55"/>
      <c r="B789" s="55"/>
      <c r="C789" s="55"/>
      <c r="D789" s="55"/>
      <c r="E789" s="55"/>
      <c r="F789" s="186"/>
      <c r="G789" s="55"/>
      <c r="H789" s="55"/>
      <c r="I789" s="55"/>
      <c r="J789" s="65"/>
      <c r="K789" s="55"/>
      <c r="L789" s="55"/>
      <c r="M789" s="63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 spans="1:28" ht="15" x14ac:dyDescent="0.25">
      <c r="A790" s="55"/>
      <c r="B790" s="55"/>
      <c r="C790" s="55"/>
      <c r="D790" s="55"/>
      <c r="E790" s="55"/>
      <c r="F790" s="186"/>
      <c r="G790" s="55"/>
      <c r="H790" s="55"/>
      <c r="I790" s="55"/>
      <c r="J790" s="65"/>
      <c r="K790" s="55"/>
      <c r="L790" s="55"/>
      <c r="M790" s="63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 spans="1:28" ht="15" x14ac:dyDescent="0.25">
      <c r="A791" s="55"/>
      <c r="B791" s="55"/>
      <c r="C791" s="55"/>
      <c r="D791" s="55"/>
      <c r="E791" s="55"/>
      <c r="F791" s="186"/>
      <c r="G791" s="55"/>
      <c r="H791" s="55"/>
      <c r="I791" s="55"/>
      <c r="J791" s="65"/>
      <c r="K791" s="55"/>
      <c r="L791" s="55"/>
      <c r="M791" s="63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 spans="1:28" ht="15" x14ac:dyDescent="0.25">
      <c r="A792" s="55"/>
      <c r="B792" s="55"/>
      <c r="C792" s="55"/>
      <c r="D792" s="55"/>
      <c r="E792" s="55"/>
      <c r="F792" s="186"/>
      <c r="G792" s="55"/>
      <c r="H792" s="55"/>
      <c r="I792" s="55"/>
      <c r="J792" s="65"/>
      <c r="K792" s="55"/>
      <c r="L792" s="55"/>
      <c r="M792" s="63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 spans="1:28" ht="15" x14ac:dyDescent="0.25">
      <c r="A793" s="55"/>
      <c r="B793" s="55"/>
      <c r="C793" s="55"/>
      <c r="D793" s="55"/>
      <c r="E793" s="55"/>
      <c r="F793" s="186"/>
      <c r="G793" s="55"/>
      <c r="H793" s="55"/>
      <c r="I793" s="55"/>
      <c r="J793" s="65"/>
      <c r="K793" s="55"/>
      <c r="L793" s="55"/>
      <c r="M793" s="63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 spans="1:28" ht="15" x14ac:dyDescent="0.25">
      <c r="A794" s="55"/>
      <c r="B794" s="55"/>
      <c r="C794" s="55"/>
      <c r="D794" s="55"/>
      <c r="E794" s="55"/>
      <c r="F794" s="186"/>
      <c r="G794" s="55"/>
      <c r="H794" s="55"/>
      <c r="I794" s="55"/>
      <c r="J794" s="65"/>
      <c r="K794" s="55"/>
      <c r="L794" s="55"/>
      <c r="M794" s="63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 spans="1:28" ht="15" x14ac:dyDescent="0.25">
      <c r="A795" s="55"/>
      <c r="B795" s="55"/>
      <c r="C795" s="55"/>
      <c r="D795" s="55"/>
      <c r="E795" s="55"/>
      <c r="F795" s="186"/>
      <c r="G795" s="55"/>
      <c r="H795" s="55"/>
      <c r="I795" s="55"/>
      <c r="J795" s="65"/>
      <c r="K795" s="55"/>
      <c r="L795" s="55"/>
      <c r="M795" s="63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 spans="1:28" ht="15" x14ac:dyDescent="0.25">
      <c r="A796" s="55"/>
      <c r="B796" s="55"/>
      <c r="C796" s="55"/>
      <c r="D796" s="55"/>
      <c r="E796" s="55"/>
      <c r="F796" s="186"/>
      <c r="G796" s="55"/>
      <c r="H796" s="55"/>
      <c r="I796" s="55"/>
      <c r="J796" s="65"/>
      <c r="K796" s="55"/>
      <c r="L796" s="55"/>
      <c r="M796" s="63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 spans="1:28" ht="15" x14ac:dyDescent="0.25">
      <c r="A797" s="55"/>
      <c r="B797" s="55"/>
      <c r="C797" s="55"/>
      <c r="D797" s="55"/>
      <c r="E797" s="55"/>
      <c r="F797" s="186"/>
      <c r="G797" s="55"/>
      <c r="H797" s="55"/>
      <c r="I797" s="55"/>
      <c r="J797" s="65"/>
      <c r="K797" s="55"/>
      <c r="L797" s="55"/>
      <c r="M797" s="63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 spans="1:28" ht="15" x14ac:dyDescent="0.25">
      <c r="A798" s="55"/>
      <c r="B798" s="55"/>
      <c r="C798" s="55"/>
      <c r="D798" s="55"/>
      <c r="E798" s="55"/>
      <c r="F798" s="186"/>
      <c r="G798" s="55"/>
      <c r="H798" s="55"/>
      <c r="I798" s="55"/>
      <c r="J798" s="65"/>
      <c r="K798" s="55"/>
      <c r="L798" s="55"/>
      <c r="M798" s="63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 spans="1:28" ht="15" x14ac:dyDescent="0.25">
      <c r="A799" s="55"/>
      <c r="B799" s="55"/>
      <c r="C799" s="55"/>
      <c r="D799" s="55"/>
      <c r="E799" s="55"/>
      <c r="F799" s="186"/>
      <c r="G799" s="55"/>
      <c r="H799" s="55"/>
      <c r="I799" s="55"/>
      <c r="J799" s="65"/>
      <c r="K799" s="55"/>
      <c r="L799" s="55"/>
      <c r="M799" s="63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 spans="1:28" ht="15" x14ac:dyDescent="0.25">
      <c r="A800" s="55"/>
      <c r="B800" s="55"/>
      <c r="C800" s="55"/>
      <c r="D800" s="55"/>
      <c r="E800" s="55"/>
      <c r="F800" s="186"/>
      <c r="G800" s="55"/>
      <c r="H800" s="55"/>
      <c r="I800" s="55"/>
      <c r="J800" s="65"/>
      <c r="K800" s="55"/>
      <c r="L800" s="55"/>
      <c r="M800" s="63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 spans="1:28" ht="15" x14ac:dyDescent="0.25">
      <c r="A801" s="55"/>
      <c r="B801" s="55"/>
      <c r="C801" s="55"/>
      <c r="D801" s="55"/>
      <c r="E801" s="55"/>
      <c r="F801" s="186"/>
      <c r="G801" s="55"/>
      <c r="H801" s="55"/>
      <c r="I801" s="55"/>
      <c r="J801" s="65"/>
      <c r="K801" s="55"/>
      <c r="L801" s="55"/>
      <c r="M801" s="63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 spans="1:28" ht="15" x14ac:dyDescent="0.25">
      <c r="A802" s="55"/>
      <c r="B802" s="55"/>
      <c r="C802" s="55"/>
      <c r="D802" s="55"/>
      <c r="E802" s="55"/>
      <c r="F802" s="186"/>
      <c r="G802" s="55"/>
      <c r="H802" s="55"/>
      <c r="I802" s="55"/>
      <c r="J802" s="65"/>
      <c r="K802" s="55"/>
      <c r="L802" s="55"/>
      <c r="M802" s="63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 spans="1:28" ht="15" x14ac:dyDescent="0.25">
      <c r="A803" s="55"/>
      <c r="B803" s="55"/>
      <c r="C803" s="55"/>
      <c r="D803" s="55"/>
      <c r="E803" s="55"/>
      <c r="F803" s="186"/>
      <c r="G803" s="55"/>
      <c r="H803" s="55"/>
      <c r="I803" s="55"/>
      <c r="J803" s="65"/>
      <c r="K803" s="55"/>
      <c r="L803" s="55"/>
      <c r="M803" s="63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 spans="1:28" ht="15" x14ac:dyDescent="0.25">
      <c r="A804" s="55"/>
      <c r="B804" s="55"/>
      <c r="C804" s="55"/>
      <c r="D804" s="55"/>
      <c r="E804" s="55"/>
      <c r="F804" s="186"/>
      <c r="G804" s="55"/>
      <c r="H804" s="55"/>
      <c r="I804" s="55"/>
      <c r="J804" s="65"/>
      <c r="K804" s="55"/>
      <c r="L804" s="55"/>
      <c r="M804" s="63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 spans="1:28" ht="15" x14ac:dyDescent="0.25">
      <c r="A805" s="55"/>
      <c r="B805" s="55"/>
      <c r="C805" s="55"/>
      <c r="D805" s="55"/>
      <c r="E805" s="55"/>
      <c r="F805" s="186"/>
      <c r="G805" s="55"/>
      <c r="H805" s="55"/>
      <c r="I805" s="55"/>
      <c r="J805" s="65"/>
      <c r="K805" s="55"/>
      <c r="L805" s="55"/>
      <c r="M805" s="63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 spans="1:28" ht="15" x14ac:dyDescent="0.25">
      <c r="A806" s="55"/>
      <c r="B806" s="55"/>
      <c r="C806" s="55"/>
      <c r="D806" s="55"/>
      <c r="E806" s="55"/>
      <c r="F806" s="186"/>
      <c r="G806" s="55"/>
      <c r="H806" s="55"/>
      <c r="I806" s="55"/>
      <c r="J806" s="65"/>
      <c r="K806" s="55"/>
      <c r="L806" s="55"/>
      <c r="M806" s="63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 spans="1:28" ht="15" x14ac:dyDescent="0.25">
      <c r="A807" s="55"/>
      <c r="B807" s="55"/>
      <c r="C807" s="55"/>
      <c r="D807" s="55"/>
      <c r="E807" s="55"/>
      <c r="F807" s="186"/>
      <c r="G807" s="55"/>
      <c r="H807" s="55"/>
      <c r="I807" s="55"/>
      <c r="J807" s="65"/>
      <c r="K807" s="55"/>
      <c r="L807" s="55"/>
      <c r="M807" s="63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 spans="1:28" ht="15" x14ac:dyDescent="0.25">
      <c r="A808" s="55"/>
      <c r="B808" s="55"/>
      <c r="C808" s="55"/>
      <c r="D808" s="55"/>
      <c r="E808" s="55"/>
      <c r="F808" s="186"/>
      <c r="G808" s="55"/>
      <c r="H808" s="55"/>
      <c r="I808" s="55"/>
      <c r="J808" s="65"/>
      <c r="K808" s="55"/>
      <c r="L808" s="55"/>
      <c r="M808" s="63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 spans="1:28" ht="15" x14ac:dyDescent="0.25">
      <c r="A809" s="55"/>
      <c r="B809" s="55"/>
      <c r="C809" s="55"/>
      <c r="D809" s="55"/>
      <c r="E809" s="55"/>
      <c r="F809" s="186"/>
      <c r="G809" s="55"/>
      <c r="H809" s="55"/>
      <c r="I809" s="55"/>
      <c r="J809" s="65"/>
      <c r="K809" s="55"/>
      <c r="L809" s="55"/>
      <c r="M809" s="63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 spans="1:28" ht="15" x14ac:dyDescent="0.25">
      <c r="A810" s="55"/>
      <c r="B810" s="55"/>
      <c r="C810" s="55"/>
      <c r="D810" s="55"/>
      <c r="E810" s="55"/>
      <c r="F810" s="186"/>
      <c r="G810" s="55"/>
      <c r="H810" s="55"/>
      <c r="I810" s="55"/>
      <c r="J810" s="65"/>
      <c r="K810" s="55"/>
      <c r="L810" s="55"/>
      <c r="M810" s="63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 spans="1:28" ht="15" x14ac:dyDescent="0.25">
      <c r="A811" s="55"/>
      <c r="B811" s="55"/>
      <c r="C811" s="55"/>
      <c r="D811" s="55"/>
      <c r="E811" s="55"/>
      <c r="F811" s="186"/>
      <c r="G811" s="55"/>
      <c r="H811" s="55"/>
      <c r="I811" s="55"/>
      <c r="J811" s="65"/>
      <c r="K811" s="55"/>
      <c r="L811" s="55"/>
      <c r="M811" s="63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 spans="1:28" ht="15" x14ac:dyDescent="0.25">
      <c r="A812" s="55"/>
      <c r="B812" s="55"/>
      <c r="C812" s="55"/>
      <c r="D812" s="55"/>
      <c r="E812" s="55"/>
      <c r="F812" s="186"/>
      <c r="G812" s="55"/>
      <c r="H812" s="55"/>
      <c r="I812" s="55"/>
      <c r="J812" s="65"/>
      <c r="K812" s="55"/>
      <c r="L812" s="55"/>
      <c r="M812" s="63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 spans="1:28" ht="15" x14ac:dyDescent="0.25">
      <c r="A813" s="55"/>
      <c r="B813" s="55"/>
      <c r="C813" s="55"/>
      <c r="D813" s="55"/>
      <c r="E813" s="55"/>
      <c r="F813" s="186"/>
      <c r="G813" s="55"/>
      <c r="H813" s="55"/>
      <c r="I813" s="55"/>
      <c r="J813" s="65"/>
      <c r="K813" s="55"/>
      <c r="L813" s="55"/>
      <c r="M813" s="63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 spans="1:28" ht="15" x14ac:dyDescent="0.25">
      <c r="A814" s="55"/>
      <c r="B814" s="55"/>
      <c r="C814" s="55"/>
      <c r="D814" s="55"/>
      <c r="E814" s="55"/>
      <c r="F814" s="186"/>
      <c r="G814" s="55"/>
      <c r="H814" s="55"/>
      <c r="I814" s="55"/>
      <c r="J814" s="65"/>
      <c r="K814" s="55"/>
      <c r="L814" s="55"/>
      <c r="M814" s="63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 spans="1:28" ht="15" x14ac:dyDescent="0.25">
      <c r="A815" s="55"/>
      <c r="B815" s="55"/>
      <c r="C815" s="55"/>
      <c r="D815" s="55"/>
      <c r="E815" s="55"/>
      <c r="F815" s="186"/>
      <c r="G815" s="55"/>
      <c r="H815" s="55"/>
      <c r="I815" s="55"/>
      <c r="J815" s="65"/>
      <c r="K815" s="55"/>
      <c r="L815" s="55"/>
      <c r="M815" s="63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 spans="1:28" ht="15" x14ac:dyDescent="0.25">
      <c r="A816" s="55"/>
      <c r="B816" s="55"/>
      <c r="C816" s="55"/>
      <c r="D816" s="55"/>
      <c r="E816" s="55"/>
      <c r="F816" s="186"/>
      <c r="G816" s="55"/>
      <c r="H816" s="55"/>
      <c r="I816" s="55"/>
      <c r="J816" s="65"/>
      <c r="K816" s="55"/>
      <c r="L816" s="55"/>
      <c r="M816" s="63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 spans="1:28" ht="15" x14ac:dyDescent="0.25">
      <c r="A817" s="55"/>
      <c r="B817" s="55"/>
      <c r="C817" s="55"/>
      <c r="D817" s="55"/>
      <c r="E817" s="55"/>
      <c r="F817" s="186"/>
      <c r="G817" s="55"/>
      <c r="H817" s="55"/>
      <c r="I817" s="55"/>
      <c r="J817" s="65"/>
      <c r="K817" s="55"/>
      <c r="L817" s="55"/>
      <c r="M817" s="63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 spans="1:28" ht="15" x14ac:dyDescent="0.25">
      <c r="A818" s="55"/>
      <c r="B818" s="55"/>
      <c r="C818" s="55"/>
      <c r="D818" s="55"/>
      <c r="E818" s="55"/>
      <c r="F818" s="186"/>
      <c r="G818" s="55"/>
      <c r="H818" s="55"/>
      <c r="I818" s="55"/>
      <c r="J818" s="65"/>
      <c r="K818" s="55"/>
      <c r="L818" s="55"/>
      <c r="M818" s="63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 spans="1:28" ht="15" x14ac:dyDescent="0.25">
      <c r="A819" s="55"/>
      <c r="B819" s="55"/>
      <c r="C819" s="55"/>
      <c r="D819" s="55"/>
      <c r="E819" s="55"/>
      <c r="F819" s="186"/>
      <c r="G819" s="55"/>
      <c r="H819" s="55"/>
      <c r="I819" s="55"/>
      <c r="J819" s="65"/>
      <c r="K819" s="55"/>
      <c r="L819" s="55"/>
      <c r="M819" s="63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 spans="1:28" ht="15" x14ac:dyDescent="0.25">
      <c r="A820" s="55"/>
      <c r="B820" s="55"/>
      <c r="C820" s="55"/>
      <c r="D820" s="55"/>
      <c r="E820" s="55"/>
      <c r="F820" s="186"/>
      <c r="G820" s="55"/>
      <c r="H820" s="55"/>
      <c r="I820" s="55"/>
      <c r="J820" s="65"/>
      <c r="K820" s="55"/>
      <c r="L820" s="55"/>
      <c r="M820" s="63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 spans="1:28" ht="15" x14ac:dyDescent="0.25">
      <c r="A821" s="55"/>
      <c r="B821" s="55"/>
      <c r="C821" s="55"/>
      <c r="D821" s="55"/>
      <c r="E821" s="55"/>
      <c r="F821" s="186"/>
      <c r="G821" s="55"/>
      <c r="H821" s="55"/>
      <c r="I821" s="55"/>
      <c r="J821" s="65"/>
      <c r="K821" s="55"/>
      <c r="L821" s="55"/>
      <c r="M821" s="63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 spans="1:28" ht="15" x14ac:dyDescent="0.25">
      <c r="A822" s="55"/>
      <c r="B822" s="55"/>
      <c r="C822" s="55"/>
      <c r="D822" s="55"/>
      <c r="E822" s="55"/>
      <c r="F822" s="186"/>
      <c r="G822" s="55"/>
      <c r="H822" s="55"/>
      <c r="I822" s="55"/>
      <c r="J822" s="65"/>
      <c r="K822" s="55"/>
      <c r="L822" s="55"/>
      <c r="M822" s="63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 spans="1:28" ht="15" x14ac:dyDescent="0.25">
      <c r="A823" s="55"/>
      <c r="B823" s="55"/>
      <c r="C823" s="55"/>
      <c r="D823" s="55"/>
      <c r="E823" s="55"/>
      <c r="F823" s="186"/>
      <c r="G823" s="55"/>
      <c r="H823" s="55"/>
      <c r="I823" s="55"/>
      <c r="J823" s="65"/>
      <c r="K823" s="55"/>
      <c r="L823" s="55"/>
      <c r="M823" s="63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 spans="1:28" ht="15" x14ac:dyDescent="0.25">
      <c r="A824" s="55"/>
      <c r="B824" s="55"/>
      <c r="C824" s="55"/>
      <c r="D824" s="55"/>
      <c r="E824" s="55"/>
      <c r="F824" s="186"/>
      <c r="G824" s="55"/>
      <c r="H824" s="55"/>
      <c r="I824" s="55"/>
      <c r="J824" s="65"/>
      <c r="K824" s="55"/>
      <c r="L824" s="55"/>
      <c r="M824" s="63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 spans="1:28" ht="15" x14ac:dyDescent="0.25">
      <c r="A825" s="55"/>
      <c r="B825" s="55"/>
      <c r="C825" s="55"/>
      <c r="D825" s="55"/>
      <c r="E825" s="55"/>
      <c r="F825" s="186"/>
      <c r="G825" s="55"/>
      <c r="H825" s="55"/>
      <c r="I825" s="55"/>
      <c r="J825" s="65"/>
      <c r="K825" s="55"/>
      <c r="L825" s="55"/>
      <c r="M825" s="63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 spans="1:28" ht="15" x14ac:dyDescent="0.25">
      <c r="A826" s="55"/>
      <c r="B826" s="55"/>
      <c r="C826" s="55"/>
      <c r="D826" s="55"/>
      <c r="E826" s="55"/>
      <c r="F826" s="186"/>
      <c r="G826" s="55"/>
      <c r="H826" s="55"/>
      <c r="I826" s="55"/>
      <c r="J826" s="65"/>
      <c r="K826" s="55"/>
      <c r="L826" s="55"/>
      <c r="M826" s="63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 spans="1:28" ht="15" x14ac:dyDescent="0.25">
      <c r="A827" s="55"/>
      <c r="B827" s="55"/>
      <c r="C827" s="55"/>
      <c r="D827" s="55"/>
      <c r="E827" s="55"/>
      <c r="F827" s="186"/>
      <c r="G827" s="55"/>
      <c r="H827" s="55"/>
      <c r="I827" s="55"/>
      <c r="J827" s="65"/>
      <c r="K827" s="55"/>
      <c r="L827" s="55"/>
      <c r="M827" s="63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 spans="1:28" ht="15" x14ac:dyDescent="0.25">
      <c r="A828" s="55"/>
      <c r="B828" s="55"/>
      <c r="C828" s="55"/>
      <c r="D828" s="55"/>
      <c r="E828" s="55"/>
      <c r="F828" s="186"/>
      <c r="G828" s="55"/>
      <c r="H828" s="55"/>
      <c r="I828" s="55"/>
      <c r="J828" s="65"/>
      <c r="K828" s="55"/>
      <c r="L828" s="55"/>
      <c r="M828" s="63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 spans="1:28" ht="15" x14ac:dyDescent="0.25">
      <c r="A829" s="55"/>
      <c r="B829" s="55"/>
      <c r="C829" s="55"/>
      <c r="D829" s="55"/>
      <c r="E829" s="55"/>
      <c r="F829" s="186"/>
      <c r="G829" s="55"/>
      <c r="H829" s="55"/>
      <c r="I829" s="55"/>
      <c r="J829" s="65"/>
      <c r="K829" s="55"/>
      <c r="L829" s="55"/>
      <c r="M829" s="63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 spans="1:28" ht="15" x14ac:dyDescent="0.25">
      <c r="A830" s="55"/>
      <c r="B830" s="55"/>
      <c r="C830" s="55"/>
      <c r="D830" s="55"/>
      <c r="E830" s="55"/>
      <c r="F830" s="186"/>
      <c r="G830" s="55"/>
      <c r="H830" s="55"/>
      <c r="I830" s="55"/>
      <c r="J830" s="65"/>
      <c r="K830" s="55"/>
      <c r="L830" s="55"/>
      <c r="M830" s="63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 spans="1:28" ht="15" x14ac:dyDescent="0.25">
      <c r="A831" s="55"/>
      <c r="B831" s="55"/>
      <c r="C831" s="55"/>
      <c r="D831" s="55"/>
      <c r="E831" s="55"/>
      <c r="F831" s="186"/>
      <c r="G831" s="55"/>
      <c r="H831" s="55"/>
      <c r="I831" s="55"/>
      <c r="J831" s="65"/>
      <c r="K831" s="55"/>
      <c r="L831" s="55"/>
      <c r="M831" s="63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 spans="1:28" ht="15" x14ac:dyDescent="0.25">
      <c r="A832" s="55"/>
      <c r="B832" s="55"/>
      <c r="C832" s="55"/>
      <c r="D832" s="55"/>
      <c r="E832" s="55"/>
      <c r="F832" s="186"/>
      <c r="G832" s="55"/>
      <c r="H832" s="55"/>
      <c r="I832" s="55"/>
      <c r="J832" s="65"/>
      <c r="K832" s="55"/>
      <c r="L832" s="55"/>
      <c r="M832" s="63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 spans="1:28" ht="15" x14ac:dyDescent="0.25">
      <c r="A833" s="55"/>
      <c r="B833" s="55"/>
      <c r="C833" s="55"/>
      <c r="D833" s="55"/>
      <c r="E833" s="55"/>
      <c r="F833" s="186"/>
      <c r="G833" s="55"/>
      <c r="H833" s="55"/>
      <c r="I833" s="55"/>
      <c r="J833" s="65"/>
      <c r="K833" s="55"/>
      <c r="L833" s="55"/>
      <c r="M833" s="63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 spans="1:28" ht="15" x14ac:dyDescent="0.25">
      <c r="A834" s="55"/>
      <c r="B834" s="55"/>
      <c r="C834" s="55"/>
      <c r="D834" s="55"/>
      <c r="E834" s="55"/>
      <c r="F834" s="186"/>
      <c r="G834" s="55"/>
      <c r="H834" s="55"/>
      <c r="I834" s="55"/>
      <c r="J834" s="65"/>
      <c r="K834" s="55"/>
      <c r="L834" s="55"/>
      <c r="M834" s="63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 spans="1:28" ht="15" x14ac:dyDescent="0.25">
      <c r="A835" s="55"/>
      <c r="B835" s="55"/>
      <c r="C835" s="55"/>
      <c r="D835" s="55"/>
      <c r="E835" s="55"/>
      <c r="F835" s="186"/>
      <c r="G835" s="55"/>
      <c r="H835" s="55"/>
      <c r="I835" s="55"/>
      <c r="J835" s="65"/>
      <c r="K835" s="55"/>
      <c r="L835" s="55"/>
      <c r="M835" s="63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 spans="1:28" ht="15" x14ac:dyDescent="0.25">
      <c r="A836" s="55"/>
      <c r="B836" s="55"/>
      <c r="C836" s="55"/>
      <c r="D836" s="55"/>
      <c r="E836" s="55"/>
      <c r="F836" s="186"/>
      <c r="G836" s="55"/>
      <c r="H836" s="55"/>
      <c r="I836" s="55"/>
      <c r="J836" s="65"/>
      <c r="K836" s="55"/>
      <c r="L836" s="55"/>
      <c r="M836" s="63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 spans="1:28" ht="15" x14ac:dyDescent="0.25">
      <c r="A837" s="55"/>
      <c r="B837" s="55"/>
      <c r="C837" s="55"/>
      <c r="D837" s="55"/>
      <c r="E837" s="55"/>
      <c r="F837" s="186"/>
      <c r="G837" s="55"/>
      <c r="H837" s="55"/>
      <c r="I837" s="55"/>
      <c r="J837" s="65"/>
      <c r="K837" s="55"/>
      <c r="L837" s="55"/>
      <c r="M837" s="63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 spans="1:28" ht="15" x14ac:dyDescent="0.25">
      <c r="A838" s="55"/>
      <c r="B838" s="55"/>
      <c r="C838" s="55"/>
      <c r="D838" s="55"/>
      <c r="E838" s="55"/>
      <c r="F838" s="186"/>
      <c r="G838" s="55"/>
      <c r="H838" s="55"/>
      <c r="I838" s="55"/>
      <c r="J838" s="65"/>
      <c r="K838" s="55"/>
      <c r="L838" s="55"/>
      <c r="M838" s="63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 spans="1:28" ht="15" x14ac:dyDescent="0.25">
      <c r="A839" s="55"/>
      <c r="B839" s="55"/>
      <c r="C839" s="55"/>
      <c r="D839" s="55"/>
      <c r="E839" s="55"/>
      <c r="F839" s="186"/>
      <c r="G839" s="55"/>
      <c r="H839" s="55"/>
      <c r="I839" s="55"/>
      <c r="J839" s="65"/>
      <c r="K839" s="55"/>
      <c r="L839" s="55"/>
      <c r="M839" s="63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 spans="1:28" ht="15" x14ac:dyDescent="0.25">
      <c r="A840" s="55"/>
      <c r="B840" s="55"/>
      <c r="C840" s="55"/>
      <c r="D840" s="55"/>
      <c r="E840" s="55"/>
      <c r="F840" s="186"/>
      <c r="G840" s="55"/>
      <c r="H840" s="55"/>
      <c r="I840" s="55"/>
      <c r="J840" s="65"/>
      <c r="K840" s="55"/>
      <c r="L840" s="55"/>
      <c r="M840" s="63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 spans="1:28" ht="15" x14ac:dyDescent="0.25">
      <c r="A841" s="55"/>
      <c r="B841" s="55"/>
      <c r="C841" s="55"/>
      <c r="D841" s="55"/>
      <c r="E841" s="55"/>
      <c r="F841" s="186"/>
      <c r="G841" s="55"/>
      <c r="H841" s="55"/>
      <c r="I841" s="55"/>
      <c r="J841" s="65"/>
      <c r="K841" s="55"/>
      <c r="L841" s="55"/>
      <c r="M841" s="63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 spans="1:28" ht="15" x14ac:dyDescent="0.25">
      <c r="A842" s="55"/>
      <c r="B842" s="55"/>
      <c r="C842" s="55"/>
      <c r="D842" s="55"/>
      <c r="E842" s="55"/>
      <c r="F842" s="186"/>
      <c r="G842" s="55"/>
      <c r="H842" s="55"/>
      <c r="I842" s="55"/>
      <c r="J842" s="65"/>
      <c r="K842" s="55"/>
      <c r="L842" s="55"/>
      <c r="M842" s="63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 spans="1:28" ht="15" x14ac:dyDescent="0.25">
      <c r="A843" s="55"/>
      <c r="B843" s="55"/>
      <c r="C843" s="55"/>
      <c r="D843" s="55"/>
      <c r="E843" s="55"/>
      <c r="F843" s="186"/>
      <c r="G843" s="55"/>
      <c r="H843" s="55"/>
      <c r="I843" s="55"/>
      <c r="J843" s="65"/>
      <c r="K843" s="55"/>
      <c r="L843" s="55"/>
      <c r="M843" s="63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 spans="1:28" ht="15" x14ac:dyDescent="0.25">
      <c r="A844" s="55"/>
      <c r="B844" s="55"/>
      <c r="C844" s="55"/>
      <c r="D844" s="55"/>
      <c r="E844" s="55"/>
      <c r="F844" s="186"/>
      <c r="G844" s="55"/>
      <c r="H844" s="55"/>
      <c r="I844" s="55"/>
      <c r="J844" s="65"/>
      <c r="K844" s="55"/>
      <c r="L844" s="55"/>
      <c r="M844" s="63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 spans="1:28" ht="15" x14ac:dyDescent="0.25">
      <c r="A845" s="55"/>
      <c r="B845" s="55"/>
      <c r="C845" s="55"/>
      <c r="D845" s="55"/>
      <c r="E845" s="55"/>
      <c r="F845" s="186"/>
      <c r="G845" s="55"/>
      <c r="H845" s="55"/>
      <c r="I845" s="55"/>
      <c r="J845" s="65"/>
      <c r="K845" s="55"/>
      <c r="L845" s="55"/>
      <c r="M845" s="63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 spans="1:28" ht="15" x14ac:dyDescent="0.25">
      <c r="A846" s="55"/>
      <c r="B846" s="55"/>
      <c r="C846" s="55"/>
      <c r="D846" s="55"/>
      <c r="E846" s="55"/>
      <c r="F846" s="186"/>
      <c r="G846" s="55"/>
      <c r="H846" s="55"/>
      <c r="I846" s="55"/>
      <c r="J846" s="65"/>
      <c r="K846" s="55"/>
      <c r="L846" s="55"/>
      <c r="M846" s="63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 spans="1:28" ht="15" x14ac:dyDescent="0.25">
      <c r="A847" s="55"/>
      <c r="B847" s="55"/>
      <c r="C847" s="55"/>
      <c r="D847" s="55"/>
      <c r="E847" s="55"/>
      <c r="F847" s="186"/>
      <c r="G847" s="55"/>
      <c r="H847" s="55"/>
      <c r="I847" s="55"/>
      <c r="J847" s="65"/>
      <c r="K847" s="55"/>
      <c r="L847" s="55"/>
      <c r="M847" s="63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 spans="1:28" ht="15" x14ac:dyDescent="0.25">
      <c r="A848" s="55"/>
      <c r="B848" s="55"/>
      <c r="C848" s="55"/>
      <c r="D848" s="55"/>
      <c r="E848" s="55"/>
      <c r="F848" s="186"/>
      <c r="G848" s="55"/>
      <c r="H848" s="55"/>
      <c r="I848" s="55"/>
      <c r="J848" s="65"/>
      <c r="K848" s="55"/>
      <c r="L848" s="55"/>
      <c r="M848" s="63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 spans="1:28" ht="15" x14ac:dyDescent="0.25">
      <c r="A849" s="55"/>
      <c r="B849" s="55"/>
      <c r="C849" s="55"/>
      <c r="D849" s="55"/>
      <c r="E849" s="55"/>
      <c r="F849" s="186"/>
      <c r="G849" s="55"/>
      <c r="H849" s="55"/>
      <c r="I849" s="55"/>
      <c r="J849" s="65"/>
      <c r="K849" s="55"/>
      <c r="L849" s="55"/>
      <c r="M849" s="63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 spans="1:28" ht="15" x14ac:dyDescent="0.25">
      <c r="A850" s="55"/>
      <c r="B850" s="55"/>
      <c r="C850" s="55"/>
      <c r="D850" s="55"/>
      <c r="E850" s="55"/>
      <c r="F850" s="186"/>
      <c r="G850" s="55"/>
      <c r="H850" s="55"/>
      <c r="I850" s="55"/>
      <c r="J850" s="65"/>
      <c r="K850" s="55"/>
      <c r="L850" s="55"/>
      <c r="M850" s="63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 spans="1:28" ht="15" x14ac:dyDescent="0.25">
      <c r="A851" s="55"/>
      <c r="B851" s="55"/>
      <c r="C851" s="55"/>
      <c r="D851" s="55"/>
      <c r="E851" s="55"/>
      <c r="F851" s="186"/>
      <c r="G851" s="55"/>
      <c r="H851" s="55"/>
      <c r="I851" s="55"/>
      <c r="J851" s="65"/>
      <c r="K851" s="55"/>
      <c r="L851" s="55"/>
      <c r="M851" s="63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 spans="1:28" ht="15" x14ac:dyDescent="0.25">
      <c r="A852" s="55"/>
      <c r="B852" s="55"/>
      <c r="C852" s="55"/>
      <c r="D852" s="55"/>
      <c r="E852" s="55"/>
      <c r="F852" s="186"/>
      <c r="G852" s="55"/>
      <c r="H852" s="55"/>
      <c r="I852" s="55"/>
      <c r="J852" s="65"/>
      <c r="K852" s="55"/>
      <c r="L852" s="55"/>
      <c r="M852" s="63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 spans="1:28" ht="15" x14ac:dyDescent="0.25">
      <c r="A853" s="55"/>
      <c r="B853" s="55"/>
      <c r="C853" s="55"/>
      <c r="D853" s="55"/>
      <c r="E853" s="55"/>
      <c r="F853" s="186"/>
      <c r="G853" s="55"/>
      <c r="H853" s="55"/>
      <c r="I853" s="55"/>
      <c r="J853" s="65"/>
      <c r="K853" s="55"/>
      <c r="L853" s="55"/>
      <c r="M853" s="63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 spans="1:28" ht="15" x14ac:dyDescent="0.25">
      <c r="A854" s="55"/>
      <c r="B854" s="55"/>
      <c r="C854" s="55"/>
      <c r="D854" s="55"/>
      <c r="E854" s="55"/>
      <c r="F854" s="186"/>
      <c r="G854" s="55"/>
      <c r="H854" s="55"/>
      <c r="I854" s="55"/>
      <c r="J854" s="65"/>
      <c r="K854" s="55"/>
      <c r="L854" s="55"/>
      <c r="M854" s="63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 spans="1:28" ht="15" x14ac:dyDescent="0.25">
      <c r="A855" s="55"/>
      <c r="B855" s="55"/>
      <c r="C855" s="55"/>
      <c r="D855" s="55"/>
      <c r="E855" s="55"/>
      <c r="F855" s="186"/>
      <c r="G855" s="55"/>
      <c r="H855" s="55"/>
      <c r="I855" s="55"/>
      <c r="J855" s="65"/>
      <c r="K855" s="55"/>
      <c r="L855" s="55"/>
      <c r="M855" s="63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 spans="1:28" ht="15" x14ac:dyDescent="0.25">
      <c r="A856" s="55"/>
      <c r="B856" s="55"/>
      <c r="C856" s="55"/>
      <c r="D856" s="55"/>
      <c r="E856" s="55"/>
      <c r="F856" s="186"/>
      <c r="G856" s="55"/>
      <c r="H856" s="55"/>
      <c r="I856" s="55"/>
      <c r="J856" s="65"/>
      <c r="K856" s="55"/>
      <c r="L856" s="55"/>
      <c r="M856" s="63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 spans="1:28" ht="15" x14ac:dyDescent="0.25">
      <c r="A857" s="55"/>
      <c r="B857" s="55"/>
      <c r="C857" s="55"/>
      <c r="D857" s="55"/>
      <c r="E857" s="55"/>
      <c r="F857" s="186"/>
      <c r="G857" s="55"/>
      <c r="H857" s="55"/>
      <c r="I857" s="55"/>
      <c r="J857" s="65"/>
      <c r="K857" s="55"/>
      <c r="L857" s="55"/>
      <c r="M857" s="63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 spans="1:28" ht="15" x14ac:dyDescent="0.25">
      <c r="A858" s="55"/>
      <c r="B858" s="55"/>
      <c r="C858" s="55"/>
      <c r="D858" s="55"/>
      <c r="E858" s="55"/>
      <c r="F858" s="186"/>
      <c r="G858" s="55"/>
      <c r="H858" s="55"/>
      <c r="I858" s="55"/>
      <c r="J858" s="65"/>
      <c r="K858" s="55"/>
      <c r="L858" s="55"/>
      <c r="M858" s="63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 spans="1:28" ht="15" x14ac:dyDescent="0.25">
      <c r="A859" s="55"/>
      <c r="B859" s="55"/>
      <c r="C859" s="55"/>
      <c r="D859" s="55"/>
      <c r="E859" s="55"/>
      <c r="F859" s="186"/>
      <c r="G859" s="55"/>
      <c r="H859" s="55"/>
      <c r="I859" s="55"/>
      <c r="J859" s="65"/>
      <c r="K859" s="55"/>
      <c r="L859" s="55"/>
      <c r="M859" s="63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 spans="1:28" ht="15" x14ac:dyDescent="0.25">
      <c r="A860" s="55"/>
      <c r="B860" s="55"/>
      <c r="C860" s="55"/>
      <c r="D860" s="55"/>
      <c r="E860" s="55"/>
      <c r="F860" s="186"/>
      <c r="G860" s="55"/>
      <c r="H860" s="55"/>
      <c r="I860" s="55"/>
      <c r="J860" s="65"/>
      <c r="K860" s="55"/>
      <c r="L860" s="55"/>
      <c r="M860" s="63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 spans="1:28" ht="15" x14ac:dyDescent="0.25">
      <c r="A861" s="55"/>
      <c r="B861" s="55"/>
      <c r="C861" s="55"/>
      <c r="D861" s="55"/>
      <c r="E861" s="55"/>
      <c r="F861" s="186"/>
      <c r="G861" s="55"/>
      <c r="H861" s="55"/>
      <c r="I861" s="55"/>
      <c r="J861" s="65"/>
      <c r="K861" s="55"/>
      <c r="L861" s="55"/>
      <c r="M861" s="63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 spans="1:28" ht="15" x14ac:dyDescent="0.25">
      <c r="A862" s="55"/>
      <c r="B862" s="55"/>
      <c r="C862" s="55"/>
      <c r="D862" s="55"/>
      <c r="E862" s="55"/>
      <c r="F862" s="186"/>
      <c r="G862" s="55"/>
      <c r="H862" s="55"/>
      <c r="I862" s="55"/>
      <c r="J862" s="65"/>
      <c r="K862" s="55"/>
      <c r="L862" s="55"/>
      <c r="M862" s="63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 spans="1:28" ht="15" x14ac:dyDescent="0.25">
      <c r="A863" s="55"/>
      <c r="B863" s="55"/>
      <c r="C863" s="55"/>
      <c r="D863" s="55"/>
      <c r="E863" s="55"/>
      <c r="F863" s="186"/>
      <c r="G863" s="55"/>
      <c r="H863" s="55"/>
      <c r="I863" s="55"/>
      <c r="J863" s="65"/>
      <c r="K863" s="55"/>
      <c r="L863" s="55"/>
      <c r="M863" s="63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 spans="1:28" ht="15" x14ac:dyDescent="0.25">
      <c r="A864" s="55"/>
      <c r="B864" s="55"/>
      <c r="C864" s="55"/>
      <c r="D864" s="55"/>
      <c r="E864" s="55"/>
      <c r="F864" s="186"/>
      <c r="G864" s="55"/>
      <c r="H864" s="55"/>
      <c r="I864" s="55"/>
      <c r="J864" s="65"/>
      <c r="K864" s="55"/>
      <c r="L864" s="55"/>
      <c r="M864" s="63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 spans="1:28" ht="15" x14ac:dyDescent="0.25">
      <c r="A865" s="55"/>
      <c r="B865" s="55"/>
      <c r="C865" s="55"/>
      <c r="D865" s="55"/>
      <c r="E865" s="55"/>
      <c r="F865" s="186"/>
      <c r="G865" s="55"/>
      <c r="H865" s="55"/>
      <c r="I865" s="55"/>
      <c r="J865" s="65"/>
      <c r="K865" s="55"/>
      <c r="L865" s="55"/>
      <c r="M865" s="63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 spans="1:28" ht="15" x14ac:dyDescent="0.25">
      <c r="A866" s="55"/>
      <c r="B866" s="55"/>
      <c r="C866" s="55"/>
      <c r="D866" s="55"/>
      <c r="E866" s="55"/>
      <c r="F866" s="186"/>
      <c r="G866" s="55"/>
      <c r="H866" s="55"/>
      <c r="I866" s="55"/>
      <c r="J866" s="65"/>
      <c r="K866" s="55"/>
      <c r="L866" s="55"/>
      <c r="M866" s="63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 spans="1:28" ht="15" x14ac:dyDescent="0.25">
      <c r="A867" s="55"/>
      <c r="B867" s="55"/>
      <c r="C867" s="55"/>
      <c r="D867" s="55"/>
      <c r="E867" s="55"/>
      <c r="F867" s="186"/>
      <c r="G867" s="55"/>
      <c r="H867" s="55"/>
      <c r="I867" s="55"/>
      <c r="J867" s="65"/>
      <c r="K867" s="55"/>
      <c r="L867" s="55"/>
      <c r="M867" s="63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 spans="1:28" ht="15" x14ac:dyDescent="0.25">
      <c r="A868" s="55"/>
      <c r="B868" s="55"/>
      <c r="C868" s="55"/>
      <c r="D868" s="55"/>
      <c r="E868" s="55"/>
      <c r="F868" s="186"/>
      <c r="G868" s="55"/>
      <c r="H868" s="55"/>
      <c r="I868" s="55"/>
      <c r="J868" s="65"/>
      <c r="K868" s="55"/>
      <c r="L868" s="55"/>
      <c r="M868" s="63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 spans="1:28" ht="15" x14ac:dyDescent="0.25">
      <c r="A869" s="55"/>
      <c r="B869" s="55"/>
      <c r="C869" s="55"/>
      <c r="D869" s="55"/>
      <c r="E869" s="55"/>
      <c r="F869" s="186"/>
      <c r="G869" s="55"/>
      <c r="H869" s="55"/>
      <c r="I869" s="55"/>
      <c r="J869" s="65"/>
      <c r="K869" s="55"/>
      <c r="L869" s="55"/>
      <c r="M869" s="63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 spans="1:28" ht="15" x14ac:dyDescent="0.25">
      <c r="A870" s="55"/>
      <c r="B870" s="55"/>
      <c r="C870" s="55"/>
      <c r="D870" s="55"/>
      <c r="E870" s="55"/>
      <c r="F870" s="186"/>
      <c r="G870" s="55"/>
      <c r="H870" s="55"/>
      <c r="I870" s="55"/>
      <c r="J870" s="65"/>
      <c r="K870" s="55"/>
      <c r="L870" s="55"/>
      <c r="M870" s="63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 spans="1:28" ht="15" x14ac:dyDescent="0.25">
      <c r="A871" s="55"/>
      <c r="B871" s="55"/>
      <c r="C871" s="55"/>
      <c r="D871" s="55"/>
      <c r="E871" s="55"/>
      <c r="F871" s="186"/>
      <c r="G871" s="55"/>
      <c r="H871" s="55"/>
      <c r="I871" s="55"/>
      <c r="J871" s="65"/>
      <c r="K871" s="55"/>
      <c r="L871" s="55"/>
      <c r="M871" s="63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 spans="1:28" ht="15" x14ac:dyDescent="0.25">
      <c r="A872" s="55"/>
      <c r="B872" s="55"/>
      <c r="C872" s="55"/>
      <c r="D872" s="55"/>
      <c r="E872" s="55"/>
      <c r="F872" s="186"/>
      <c r="G872" s="55"/>
      <c r="H872" s="55"/>
      <c r="I872" s="55"/>
      <c r="J872" s="65"/>
      <c r="K872" s="55"/>
      <c r="L872" s="55"/>
      <c r="M872" s="63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 spans="1:28" ht="15" x14ac:dyDescent="0.25">
      <c r="A873" s="55"/>
      <c r="B873" s="55"/>
      <c r="C873" s="55"/>
      <c r="D873" s="55"/>
      <c r="E873" s="55"/>
      <c r="F873" s="186"/>
      <c r="G873" s="55"/>
      <c r="H873" s="55"/>
      <c r="I873" s="55"/>
      <c r="J873" s="65"/>
      <c r="K873" s="55"/>
      <c r="L873" s="55"/>
      <c r="M873" s="63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 spans="1:28" ht="15" x14ac:dyDescent="0.25">
      <c r="A874" s="55"/>
      <c r="B874" s="55"/>
      <c r="C874" s="55"/>
      <c r="D874" s="55"/>
      <c r="E874" s="55"/>
      <c r="F874" s="186"/>
      <c r="G874" s="55"/>
      <c r="H874" s="55"/>
      <c r="I874" s="55"/>
      <c r="J874" s="65"/>
      <c r="K874" s="55"/>
      <c r="L874" s="55"/>
      <c r="M874" s="63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 spans="1:28" ht="15" x14ac:dyDescent="0.25">
      <c r="A875" s="55"/>
      <c r="B875" s="55"/>
      <c r="C875" s="55"/>
      <c r="D875" s="55"/>
      <c r="E875" s="55"/>
      <c r="F875" s="186"/>
      <c r="G875" s="55"/>
      <c r="H875" s="55"/>
      <c r="I875" s="55"/>
      <c r="J875" s="65"/>
      <c r="K875" s="55"/>
      <c r="L875" s="55"/>
      <c r="M875" s="63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 spans="1:28" ht="15" x14ac:dyDescent="0.25">
      <c r="A876" s="55"/>
      <c r="B876" s="55"/>
      <c r="C876" s="55"/>
      <c r="D876" s="55"/>
      <c r="E876" s="55"/>
      <c r="F876" s="186"/>
      <c r="G876" s="55"/>
      <c r="H876" s="55"/>
      <c r="I876" s="55"/>
      <c r="J876" s="65"/>
      <c r="K876" s="55"/>
      <c r="L876" s="55"/>
      <c r="M876" s="63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 spans="1:28" ht="15" x14ac:dyDescent="0.25">
      <c r="A877" s="55"/>
      <c r="B877" s="55"/>
      <c r="C877" s="55"/>
      <c r="D877" s="55"/>
      <c r="E877" s="55"/>
      <c r="F877" s="186"/>
      <c r="G877" s="55"/>
      <c r="H877" s="55"/>
      <c r="I877" s="55"/>
      <c r="J877" s="65"/>
      <c r="K877" s="55"/>
      <c r="L877" s="55"/>
      <c r="M877" s="63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 spans="1:28" ht="15" x14ac:dyDescent="0.25">
      <c r="A878" s="55"/>
      <c r="B878" s="55"/>
      <c r="C878" s="55"/>
      <c r="D878" s="55"/>
      <c r="E878" s="55"/>
      <c r="F878" s="186"/>
      <c r="G878" s="55"/>
      <c r="H878" s="55"/>
      <c r="I878" s="55"/>
      <c r="J878" s="65"/>
      <c r="K878" s="55"/>
      <c r="L878" s="55"/>
      <c r="M878" s="63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 spans="1:28" ht="15" x14ac:dyDescent="0.25">
      <c r="A879" s="55"/>
      <c r="B879" s="55"/>
      <c r="C879" s="55"/>
      <c r="D879" s="55"/>
      <c r="E879" s="55"/>
      <c r="F879" s="186"/>
      <c r="G879" s="55"/>
      <c r="H879" s="55"/>
      <c r="I879" s="55"/>
      <c r="J879" s="65"/>
      <c r="K879" s="55"/>
      <c r="L879" s="55"/>
      <c r="M879" s="63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 spans="1:28" ht="15" x14ac:dyDescent="0.25">
      <c r="A880" s="55"/>
      <c r="B880" s="55"/>
      <c r="C880" s="55"/>
      <c r="D880" s="55"/>
      <c r="E880" s="55"/>
      <c r="F880" s="186"/>
      <c r="G880" s="55"/>
      <c r="H880" s="55"/>
      <c r="I880" s="55"/>
      <c r="J880" s="65"/>
      <c r="K880" s="55"/>
      <c r="L880" s="55"/>
      <c r="M880" s="63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 spans="1:28" ht="15" x14ac:dyDescent="0.25">
      <c r="A881" s="55"/>
      <c r="B881" s="55"/>
      <c r="C881" s="55"/>
      <c r="D881" s="55"/>
      <c r="E881" s="55"/>
      <c r="F881" s="186"/>
      <c r="G881" s="55"/>
      <c r="H881" s="55"/>
      <c r="I881" s="55"/>
      <c r="J881" s="65"/>
      <c r="K881" s="55"/>
      <c r="L881" s="55"/>
      <c r="M881" s="63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 spans="1:28" ht="15" x14ac:dyDescent="0.25">
      <c r="A882" s="55"/>
      <c r="B882" s="55"/>
      <c r="C882" s="55"/>
      <c r="D882" s="55"/>
      <c r="E882" s="55"/>
      <c r="F882" s="186"/>
      <c r="G882" s="55"/>
      <c r="H882" s="55"/>
      <c r="I882" s="55"/>
      <c r="J882" s="65"/>
      <c r="K882" s="55"/>
      <c r="L882" s="55"/>
      <c r="M882" s="63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 spans="1:28" ht="15" x14ac:dyDescent="0.25">
      <c r="A883" s="55"/>
      <c r="B883" s="55"/>
      <c r="C883" s="55"/>
      <c r="D883" s="55"/>
      <c r="E883" s="55"/>
      <c r="F883" s="186"/>
      <c r="G883" s="55"/>
      <c r="H883" s="55"/>
      <c r="I883" s="55"/>
      <c r="J883" s="65"/>
      <c r="K883" s="55"/>
      <c r="L883" s="55"/>
      <c r="M883" s="63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 spans="1:28" ht="15" x14ac:dyDescent="0.25">
      <c r="A884" s="55"/>
      <c r="B884" s="55"/>
      <c r="C884" s="55"/>
      <c r="D884" s="55"/>
      <c r="E884" s="55"/>
      <c r="F884" s="186"/>
      <c r="G884" s="55"/>
      <c r="H884" s="55"/>
      <c r="I884" s="55"/>
      <c r="J884" s="65"/>
      <c r="K884" s="55"/>
      <c r="L884" s="55"/>
      <c r="M884" s="63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 spans="1:28" ht="15" x14ac:dyDescent="0.25">
      <c r="A885" s="55"/>
      <c r="B885" s="55"/>
      <c r="C885" s="55"/>
      <c r="D885" s="55"/>
      <c r="E885" s="55"/>
      <c r="F885" s="186"/>
      <c r="G885" s="55"/>
      <c r="H885" s="55"/>
      <c r="I885" s="55"/>
      <c r="J885" s="65"/>
      <c r="K885" s="55"/>
      <c r="L885" s="55"/>
      <c r="M885" s="63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 spans="1:28" ht="15" x14ac:dyDescent="0.25">
      <c r="A886" s="55"/>
      <c r="B886" s="55"/>
      <c r="C886" s="55"/>
      <c r="D886" s="55"/>
      <c r="E886" s="55"/>
      <c r="F886" s="186"/>
      <c r="G886" s="55"/>
      <c r="H886" s="55"/>
      <c r="I886" s="55"/>
      <c r="J886" s="65"/>
      <c r="K886" s="55"/>
      <c r="L886" s="55"/>
      <c r="M886" s="63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 spans="1:28" ht="15" x14ac:dyDescent="0.25">
      <c r="A887" s="55"/>
      <c r="B887" s="55"/>
      <c r="C887" s="55"/>
      <c r="D887" s="55"/>
      <c r="E887" s="55"/>
      <c r="F887" s="186"/>
      <c r="G887" s="55"/>
      <c r="H887" s="55"/>
      <c r="I887" s="55"/>
      <c r="J887" s="65"/>
      <c r="K887" s="55"/>
      <c r="L887" s="55"/>
      <c r="M887" s="63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 spans="1:28" ht="15" x14ac:dyDescent="0.25">
      <c r="A888" s="55"/>
      <c r="B888" s="55"/>
      <c r="C888" s="55"/>
      <c r="D888" s="55"/>
      <c r="E888" s="55"/>
      <c r="F888" s="186"/>
      <c r="G888" s="55"/>
      <c r="H888" s="55"/>
      <c r="I888" s="55"/>
      <c r="J888" s="65"/>
      <c r="K888" s="55"/>
      <c r="L888" s="55"/>
      <c r="M888" s="63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 spans="1:28" ht="15" x14ac:dyDescent="0.25">
      <c r="A889" s="55"/>
      <c r="B889" s="55"/>
      <c r="C889" s="55"/>
      <c r="D889" s="55"/>
      <c r="E889" s="55"/>
      <c r="F889" s="186"/>
      <c r="G889" s="55"/>
      <c r="H889" s="55"/>
      <c r="I889" s="55"/>
      <c r="J889" s="65"/>
      <c r="K889" s="55"/>
      <c r="L889" s="55"/>
      <c r="M889" s="63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 spans="1:28" ht="15" x14ac:dyDescent="0.25">
      <c r="A890" s="55"/>
      <c r="B890" s="55"/>
      <c r="C890" s="55"/>
      <c r="D890" s="55"/>
      <c r="E890" s="55"/>
      <c r="F890" s="186"/>
      <c r="G890" s="55"/>
      <c r="H890" s="55"/>
      <c r="I890" s="55"/>
      <c r="J890" s="65"/>
      <c r="K890" s="55"/>
      <c r="L890" s="55"/>
      <c r="M890" s="63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 spans="1:28" ht="15" x14ac:dyDescent="0.25">
      <c r="A891" s="55"/>
      <c r="B891" s="55"/>
      <c r="C891" s="55"/>
      <c r="D891" s="55"/>
      <c r="E891" s="55"/>
      <c r="F891" s="186"/>
      <c r="G891" s="55"/>
      <c r="H891" s="55"/>
      <c r="I891" s="55"/>
      <c r="J891" s="65"/>
      <c r="K891" s="55"/>
      <c r="L891" s="55"/>
      <c r="M891" s="63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 spans="1:28" ht="15" x14ac:dyDescent="0.25">
      <c r="A892" s="55"/>
      <c r="B892" s="55"/>
      <c r="C892" s="55"/>
      <c r="D892" s="55"/>
      <c r="E892" s="55"/>
      <c r="F892" s="186"/>
      <c r="G892" s="55"/>
      <c r="H892" s="55"/>
      <c r="I892" s="55"/>
      <c r="J892" s="65"/>
      <c r="K892" s="55"/>
      <c r="L892" s="55"/>
      <c r="M892" s="63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 spans="1:28" ht="15" x14ac:dyDescent="0.25">
      <c r="A893" s="55"/>
      <c r="B893" s="55"/>
      <c r="C893" s="55"/>
      <c r="D893" s="55"/>
      <c r="E893" s="55"/>
      <c r="F893" s="186"/>
      <c r="G893" s="55"/>
      <c r="H893" s="55"/>
      <c r="I893" s="55"/>
      <c r="J893" s="65"/>
      <c r="K893" s="55"/>
      <c r="L893" s="55"/>
      <c r="M893" s="63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 spans="1:28" ht="15" x14ac:dyDescent="0.25">
      <c r="A894" s="55"/>
      <c r="B894" s="55"/>
      <c r="C894" s="55"/>
      <c r="D894" s="55"/>
      <c r="E894" s="55"/>
      <c r="F894" s="186"/>
      <c r="G894" s="55"/>
      <c r="H894" s="55"/>
      <c r="I894" s="55"/>
      <c r="J894" s="65"/>
      <c r="K894" s="55"/>
      <c r="L894" s="55"/>
      <c r="M894" s="63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 spans="1:28" ht="15" x14ac:dyDescent="0.25">
      <c r="A895" s="55"/>
      <c r="B895" s="55"/>
      <c r="C895" s="55"/>
      <c r="D895" s="55"/>
      <c r="E895" s="55"/>
      <c r="F895" s="186"/>
      <c r="G895" s="55"/>
      <c r="H895" s="55"/>
      <c r="I895" s="55"/>
      <c r="J895" s="65"/>
      <c r="K895" s="55"/>
      <c r="L895" s="55"/>
      <c r="M895" s="63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 spans="1:28" ht="15" x14ac:dyDescent="0.25">
      <c r="A896" s="55"/>
      <c r="B896" s="55"/>
      <c r="C896" s="55"/>
      <c r="D896" s="55"/>
      <c r="E896" s="55"/>
      <c r="F896" s="186"/>
      <c r="G896" s="55"/>
      <c r="H896" s="55"/>
      <c r="I896" s="55"/>
      <c r="J896" s="65"/>
      <c r="K896" s="55"/>
      <c r="L896" s="55"/>
      <c r="M896" s="63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 spans="1:28" ht="15" x14ac:dyDescent="0.25">
      <c r="A897" s="55"/>
      <c r="B897" s="55"/>
      <c r="C897" s="55"/>
      <c r="D897" s="55"/>
      <c r="E897" s="55"/>
      <c r="F897" s="186"/>
      <c r="G897" s="55"/>
      <c r="H897" s="55"/>
      <c r="I897" s="55"/>
      <c r="J897" s="65"/>
      <c r="K897" s="55"/>
      <c r="L897" s="55"/>
      <c r="M897" s="63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 spans="1:28" ht="15" x14ac:dyDescent="0.25">
      <c r="A898" s="55"/>
      <c r="B898" s="55"/>
      <c r="C898" s="55"/>
      <c r="D898" s="55"/>
      <c r="E898" s="55"/>
      <c r="F898" s="186"/>
      <c r="G898" s="55"/>
      <c r="H898" s="55"/>
      <c r="I898" s="55"/>
      <c r="J898" s="65"/>
      <c r="K898" s="55"/>
      <c r="L898" s="55"/>
      <c r="M898" s="63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 spans="1:28" ht="15" x14ac:dyDescent="0.25">
      <c r="A899" s="55"/>
      <c r="B899" s="55"/>
      <c r="C899" s="55"/>
      <c r="D899" s="55"/>
      <c r="E899" s="55"/>
      <c r="F899" s="186"/>
      <c r="G899" s="55"/>
      <c r="H899" s="55"/>
      <c r="I899" s="55"/>
      <c r="J899" s="65"/>
      <c r="K899" s="55"/>
      <c r="L899" s="55"/>
      <c r="M899" s="63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 spans="1:28" ht="15" x14ac:dyDescent="0.25">
      <c r="A900" s="55"/>
      <c r="B900" s="55"/>
      <c r="C900" s="55"/>
      <c r="D900" s="55"/>
      <c r="E900" s="55"/>
      <c r="F900" s="186"/>
      <c r="G900" s="55"/>
      <c r="H900" s="55"/>
      <c r="I900" s="55"/>
      <c r="J900" s="65"/>
      <c r="K900" s="55"/>
      <c r="L900" s="55"/>
      <c r="M900" s="63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 spans="1:28" ht="15" x14ac:dyDescent="0.25">
      <c r="A901" s="55"/>
      <c r="B901" s="55"/>
      <c r="C901" s="55"/>
      <c r="D901" s="55"/>
      <c r="E901" s="55"/>
      <c r="F901" s="186"/>
      <c r="G901" s="55"/>
      <c r="H901" s="55"/>
      <c r="I901" s="55"/>
      <c r="J901" s="65"/>
      <c r="K901" s="55"/>
      <c r="L901" s="55"/>
      <c r="M901" s="63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 spans="1:28" ht="15" x14ac:dyDescent="0.25">
      <c r="A902" s="55"/>
      <c r="B902" s="55"/>
      <c r="C902" s="55"/>
      <c r="D902" s="55"/>
      <c r="E902" s="55"/>
      <c r="F902" s="186"/>
      <c r="G902" s="55"/>
      <c r="H902" s="55"/>
      <c r="I902" s="55"/>
      <c r="J902" s="65"/>
      <c r="K902" s="55"/>
      <c r="L902" s="55"/>
      <c r="M902" s="63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 spans="1:28" ht="15" x14ac:dyDescent="0.25">
      <c r="A903" s="55"/>
      <c r="B903" s="55"/>
      <c r="C903" s="55"/>
      <c r="D903" s="55"/>
      <c r="E903" s="55"/>
      <c r="F903" s="186"/>
      <c r="G903" s="55"/>
      <c r="H903" s="55"/>
      <c r="I903" s="55"/>
      <c r="J903" s="65"/>
      <c r="K903" s="55"/>
      <c r="L903" s="55"/>
      <c r="M903" s="63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 spans="1:28" ht="15" x14ac:dyDescent="0.25">
      <c r="A904" s="55"/>
      <c r="B904" s="55"/>
      <c r="C904" s="55"/>
      <c r="D904" s="55"/>
      <c r="E904" s="55"/>
      <c r="F904" s="186"/>
      <c r="G904" s="55"/>
      <c r="H904" s="55"/>
      <c r="I904" s="55"/>
      <c r="J904" s="65"/>
      <c r="K904" s="55"/>
      <c r="L904" s="55"/>
      <c r="M904" s="63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 spans="1:28" ht="15" x14ac:dyDescent="0.25">
      <c r="A905" s="55"/>
      <c r="B905" s="55"/>
      <c r="C905" s="55"/>
      <c r="D905" s="55"/>
      <c r="E905" s="55"/>
      <c r="F905" s="186"/>
      <c r="G905" s="55"/>
      <c r="H905" s="55"/>
      <c r="I905" s="55"/>
      <c r="J905" s="65"/>
      <c r="K905" s="55"/>
      <c r="L905" s="55"/>
      <c r="M905" s="63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 spans="1:28" ht="15" x14ac:dyDescent="0.25">
      <c r="A906" s="55"/>
      <c r="B906" s="55"/>
      <c r="C906" s="55"/>
      <c r="D906" s="55"/>
      <c r="E906" s="55"/>
      <c r="F906" s="186"/>
      <c r="G906" s="55"/>
      <c r="H906" s="55"/>
      <c r="I906" s="55"/>
      <c r="J906" s="65"/>
      <c r="K906" s="55"/>
      <c r="L906" s="55"/>
      <c r="M906" s="63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 spans="1:28" ht="15" x14ac:dyDescent="0.25">
      <c r="A907" s="55"/>
      <c r="B907" s="55"/>
      <c r="C907" s="55"/>
      <c r="D907" s="55"/>
      <c r="E907" s="55"/>
      <c r="F907" s="186"/>
      <c r="G907" s="55"/>
      <c r="H907" s="55"/>
      <c r="I907" s="55"/>
      <c r="J907" s="65"/>
      <c r="K907" s="55"/>
      <c r="L907" s="55"/>
      <c r="M907" s="63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 spans="1:28" ht="15" x14ac:dyDescent="0.25">
      <c r="A908" s="55"/>
      <c r="B908" s="55"/>
      <c r="C908" s="55"/>
      <c r="D908" s="55"/>
      <c r="E908" s="55"/>
      <c r="F908" s="186"/>
      <c r="G908" s="55"/>
      <c r="H908" s="55"/>
      <c r="I908" s="55"/>
      <c r="J908" s="65"/>
      <c r="K908" s="55"/>
      <c r="L908" s="55"/>
      <c r="M908" s="63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 spans="1:28" ht="15" x14ac:dyDescent="0.25">
      <c r="A909" s="55"/>
      <c r="B909" s="55"/>
      <c r="C909" s="55"/>
      <c r="D909" s="55"/>
      <c r="E909" s="55"/>
      <c r="F909" s="186"/>
      <c r="G909" s="55"/>
      <c r="H909" s="55"/>
      <c r="I909" s="55"/>
      <c r="J909" s="65"/>
      <c r="K909" s="55"/>
      <c r="L909" s="55"/>
      <c r="M909" s="63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 spans="1:28" ht="15" x14ac:dyDescent="0.25">
      <c r="A910" s="55"/>
      <c r="B910" s="55"/>
      <c r="C910" s="55"/>
      <c r="D910" s="55"/>
      <c r="E910" s="55"/>
      <c r="F910" s="186"/>
      <c r="G910" s="55"/>
      <c r="H910" s="55"/>
      <c r="I910" s="55"/>
      <c r="J910" s="65"/>
      <c r="K910" s="55"/>
      <c r="L910" s="55"/>
      <c r="M910" s="63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 spans="1:28" ht="15" x14ac:dyDescent="0.25">
      <c r="A911" s="55"/>
      <c r="B911" s="55"/>
      <c r="C911" s="55"/>
      <c r="D911" s="55"/>
      <c r="E911" s="55"/>
      <c r="F911" s="186"/>
      <c r="G911" s="55"/>
      <c r="H911" s="55"/>
      <c r="I911" s="55"/>
      <c r="J911" s="65"/>
      <c r="K911" s="55"/>
      <c r="L911" s="55"/>
      <c r="M911" s="63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 spans="1:28" ht="15" x14ac:dyDescent="0.25">
      <c r="A912" s="55"/>
      <c r="B912" s="55"/>
      <c r="C912" s="55"/>
      <c r="D912" s="55"/>
      <c r="E912" s="55"/>
      <c r="F912" s="186"/>
      <c r="G912" s="55"/>
      <c r="H912" s="55"/>
      <c r="I912" s="55"/>
      <c r="J912" s="65"/>
      <c r="K912" s="55"/>
      <c r="L912" s="55"/>
      <c r="M912" s="63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 spans="1:28" ht="15" x14ac:dyDescent="0.25">
      <c r="A913" s="55"/>
      <c r="B913" s="55"/>
      <c r="C913" s="55"/>
      <c r="D913" s="55"/>
      <c r="E913" s="55"/>
      <c r="F913" s="186"/>
      <c r="G913" s="55"/>
      <c r="H913" s="55"/>
      <c r="I913" s="55"/>
      <c r="J913" s="65"/>
      <c r="K913" s="55"/>
      <c r="L913" s="55"/>
      <c r="M913" s="63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 spans="1:28" ht="15" x14ac:dyDescent="0.25">
      <c r="A914" s="55"/>
      <c r="B914" s="55"/>
      <c r="C914" s="55"/>
      <c r="D914" s="55"/>
      <c r="E914" s="55"/>
      <c r="F914" s="186"/>
      <c r="G914" s="55"/>
      <c r="H914" s="55"/>
      <c r="I914" s="55"/>
      <c r="J914" s="65"/>
      <c r="K914" s="55"/>
      <c r="L914" s="55"/>
      <c r="M914" s="63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 spans="1:28" ht="15" x14ac:dyDescent="0.25">
      <c r="A915" s="55"/>
      <c r="B915" s="55"/>
      <c r="C915" s="55"/>
      <c r="D915" s="55"/>
      <c r="E915" s="55"/>
      <c r="F915" s="186"/>
      <c r="G915" s="55"/>
      <c r="H915" s="55"/>
      <c r="I915" s="55"/>
      <c r="J915" s="65"/>
      <c r="K915" s="55"/>
      <c r="L915" s="55"/>
      <c r="M915" s="63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 spans="1:28" ht="15" x14ac:dyDescent="0.25">
      <c r="A916" s="55"/>
      <c r="B916" s="55"/>
      <c r="C916" s="55"/>
      <c r="D916" s="55"/>
      <c r="E916" s="55"/>
      <c r="F916" s="186"/>
      <c r="G916" s="55"/>
      <c r="H916" s="55"/>
      <c r="I916" s="55"/>
      <c r="J916" s="65"/>
      <c r="K916" s="55"/>
      <c r="L916" s="55"/>
      <c r="M916" s="63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 spans="1:28" ht="15" x14ac:dyDescent="0.25">
      <c r="A917" s="55"/>
      <c r="B917" s="55"/>
      <c r="C917" s="55"/>
      <c r="D917" s="55"/>
      <c r="E917" s="55"/>
      <c r="F917" s="186"/>
      <c r="G917" s="55"/>
      <c r="H917" s="55"/>
      <c r="I917" s="55"/>
      <c r="J917" s="65"/>
      <c r="K917" s="55"/>
      <c r="L917" s="55"/>
      <c r="M917" s="63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 spans="1:28" ht="15" x14ac:dyDescent="0.25">
      <c r="A918" s="55"/>
      <c r="B918" s="55"/>
      <c r="C918" s="55"/>
      <c r="D918" s="55"/>
      <c r="E918" s="55"/>
      <c r="F918" s="186"/>
      <c r="G918" s="55"/>
      <c r="H918" s="55"/>
      <c r="I918" s="55"/>
      <c r="J918" s="65"/>
      <c r="K918" s="55"/>
      <c r="L918" s="55"/>
      <c r="M918" s="63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 spans="1:28" ht="15" x14ac:dyDescent="0.25">
      <c r="A919" s="55"/>
      <c r="B919" s="55"/>
      <c r="C919" s="55"/>
      <c r="D919" s="55"/>
      <c r="E919" s="55"/>
      <c r="F919" s="186"/>
      <c r="G919" s="55"/>
      <c r="H919" s="55"/>
      <c r="I919" s="55"/>
      <c r="J919" s="65"/>
      <c r="K919" s="55"/>
      <c r="L919" s="55"/>
      <c r="M919" s="63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 spans="1:28" ht="15" x14ac:dyDescent="0.25">
      <c r="A920" s="55"/>
      <c r="B920" s="55"/>
      <c r="C920" s="55"/>
      <c r="D920" s="55"/>
      <c r="E920" s="55"/>
      <c r="F920" s="186"/>
      <c r="G920" s="55"/>
      <c r="H920" s="55"/>
      <c r="I920" s="55"/>
      <c r="J920" s="65"/>
      <c r="K920" s="55"/>
      <c r="L920" s="55"/>
      <c r="M920" s="63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 spans="1:28" ht="15" x14ac:dyDescent="0.25">
      <c r="A921" s="55"/>
      <c r="B921" s="55"/>
      <c r="C921" s="55"/>
      <c r="D921" s="55"/>
      <c r="E921" s="55"/>
      <c r="F921" s="186"/>
      <c r="G921" s="55"/>
      <c r="H921" s="55"/>
      <c r="I921" s="55"/>
      <c r="J921" s="65"/>
      <c r="K921" s="55"/>
      <c r="L921" s="55"/>
      <c r="M921" s="63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 spans="1:28" ht="15" x14ac:dyDescent="0.25">
      <c r="A922" s="55"/>
      <c r="B922" s="55"/>
      <c r="C922" s="55"/>
      <c r="D922" s="55"/>
      <c r="E922" s="55"/>
      <c r="F922" s="186"/>
      <c r="G922" s="55"/>
      <c r="H922" s="55"/>
      <c r="I922" s="55"/>
      <c r="J922" s="65"/>
      <c r="K922" s="55"/>
      <c r="L922" s="55"/>
      <c r="M922" s="63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 spans="1:28" ht="15" x14ac:dyDescent="0.25">
      <c r="A923" s="55"/>
      <c r="B923" s="55"/>
      <c r="C923" s="55"/>
      <c r="D923" s="55"/>
      <c r="E923" s="55"/>
      <c r="F923" s="186"/>
      <c r="G923" s="55"/>
      <c r="H923" s="55"/>
      <c r="I923" s="55"/>
      <c r="J923" s="65"/>
      <c r="K923" s="55"/>
      <c r="L923" s="55"/>
      <c r="M923" s="63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 spans="1:28" ht="15" x14ac:dyDescent="0.25">
      <c r="A924" s="55"/>
      <c r="B924" s="55"/>
      <c r="C924" s="55"/>
      <c r="D924" s="55"/>
      <c r="E924" s="55"/>
      <c r="F924" s="186"/>
      <c r="G924" s="55"/>
      <c r="H924" s="55"/>
      <c r="I924" s="55"/>
      <c r="J924" s="65"/>
      <c r="K924" s="55"/>
      <c r="L924" s="55"/>
      <c r="M924" s="63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 spans="1:28" ht="15" x14ac:dyDescent="0.25">
      <c r="A925" s="55"/>
      <c r="B925" s="55"/>
      <c r="C925" s="55"/>
      <c r="D925" s="55"/>
      <c r="E925" s="55"/>
      <c r="F925" s="186"/>
      <c r="G925" s="55"/>
      <c r="H925" s="55"/>
      <c r="I925" s="55"/>
      <c r="J925" s="65"/>
      <c r="K925" s="55"/>
      <c r="L925" s="55"/>
      <c r="M925" s="63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 spans="1:28" ht="15" x14ac:dyDescent="0.25">
      <c r="A926" s="55"/>
      <c r="B926" s="55"/>
      <c r="C926" s="55"/>
      <c r="D926" s="55"/>
      <c r="E926" s="55"/>
      <c r="F926" s="186"/>
      <c r="G926" s="55"/>
      <c r="H926" s="55"/>
      <c r="I926" s="55"/>
      <c r="J926" s="65"/>
      <c r="K926" s="55"/>
      <c r="L926" s="55"/>
      <c r="M926" s="63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 spans="1:28" ht="15" x14ac:dyDescent="0.25">
      <c r="A927" s="55"/>
      <c r="B927" s="55"/>
      <c r="C927" s="55"/>
      <c r="D927" s="55"/>
      <c r="E927" s="55"/>
      <c r="F927" s="186"/>
      <c r="G927" s="55"/>
      <c r="H927" s="55"/>
      <c r="I927" s="55"/>
      <c r="J927" s="65"/>
      <c r="K927" s="55"/>
      <c r="L927" s="55"/>
      <c r="M927" s="63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 spans="1:28" ht="15" x14ac:dyDescent="0.25">
      <c r="A928" s="55"/>
      <c r="B928" s="55"/>
      <c r="C928" s="55"/>
      <c r="D928" s="55"/>
      <c r="E928" s="55"/>
      <c r="F928" s="186"/>
      <c r="G928" s="55"/>
      <c r="H928" s="55"/>
      <c r="I928" s="55"/>
      <c r="J928" s="65"/>
      <c r="K928" s="55"/>
      <c r="L928" s="55"/>
      <c r="M928" s="63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 spans="1:28" ht="15" x14ac:dyDescent="0.25">
      <c r="A929" s="55"/>
      <c r="B929" s="55"/>
      <c r="C929" s="55"/>
      <c r="D929" s="55"/>
      <c r="E929" s="55"/>
      <c r="F929" s="186"/>
      <c r="G929" s="55"/>
      <c r="H929" s="55"/>
      <c r="I929" s="55"/>
      <c r="J929" s="65"/>
      <c r="K929" s="55"/>
      <c r="L929" s="55"/>
      <c r="M929" s="63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 spans="1:28" ht="15" x14ac:dyDescent="0.25">
      <c r="A930" s="55"/>
      <c r="B930" s="55"/>
      <c r="C930" s="55"/>
      <c r="D930" s="55"/>
      <c r="E930" s="55"/>
      <c r="F930" s="186"/>
      <c r="G930" s="55"/>
      <c r="H930" s="55"/>
      <c r="I930" s="55"/>
      <c r="J930" s="65"/>
      <c r="K930" s="55"/>
      <c r="L930" s="55"/>
      <c r="M930" s="63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 spans="1:28" ht="15" x14ac:dyDescent="0.25">
      <c r="A931" s="55"/>
      <c r="B931" s="55"/>
      <c r="C931" s="55"/>
      <c r="D931" s="55"/>
      <c r="E931" s="55"/>
      <c r="F931" s="186"/>
      <c r="G931" s="55"/>
      <c r="H931" s="55"/>
      <c r="I931" s="55"/>
      <c r="J931" s="65"/>
      <c r="K931" s="55"/>
      <c r="L931" s="55"/>
      <c r="M931" s="63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 spans="1:28" ht="15" x14ac:dyDescent="0.25">
      <c r="A932" s="55"/>
      <c r="B932" s="55"/>
      <c r="C932" s="55"/>
      <c r="D932" s="55"/>
      <c r="E932" s="55"/>
      <c r="F932" s="186"/>
      <c r="G932" s="55"/>
      <c r="H932" s="55"/>
      <c r="I932" s="55"/>
      <c r="J932" s="65"/>
      <c r="K932" s="55"/>
      <c r="L932" s="55"/>
      <c r="M932" s="63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 spans="1:28" ht="15" x14ac:dyDescent="0.25">
      <c r="A933" s="55"/>
      <c r="B933" s="55"/>
      <c r="C933" s="55"/>
      <c r="D933" s="55"/>
      <c r="E933" s="55"/>
      <c r="F933" s="186"/>
      <c r="G933" s="55"/>
      <c r="H933" s="55"/>
      <c r="I933" s="55"/>
      <c r="J933" s="65"/>
      <c r="K933" s="55"/>
      <c r="L933" s="55"/>
      <c r="M933" s="63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 spans="1:28" ht="15" x14ac:dyDescent="0.25">
      <c r="A934" s="55"/>
      <c r="B934" s="55"/>
      <c r="C934" s="55"/>
      <c r="D934" s="55"/>
      <c r="E934" s="55"/>
      <c r="F934" s="186"/>
      <c r="G934" s="55"/>
      <c r="H934" s="55"/>
      <c r="I934" s="55"/>
      <c r="J934" s="65"/>
      <c r="K934" s="55"/>
      <c r="L934" s="55"/>
      <c r="M934" s="63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 spans="1:28" ht="15" x14ac:dyDescent="0.25">
      <c r="A935" s="55"/>
      <c r="B935" s="55"/>
      <c r="C935" s="55"/>
      <c r="D935" s="55"/>
      <c r="E935" s="55"/>
      <c r="F935" s="186"/>
      <c r="G935" s="55"/>
      <c r="H935" s="55"/>
      <c r="I935" s="55"/>
      <c r="J935" s="65"/>
      <c r="K935" s="55"/>
      <c r="L935" s="55"/>
      <c r="M935" s="63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 spans="1:28" ht="15" x14ac:dyDescent="0.25">
      <c r="A936" s="55"/>
      <c r="B936" s="55"/>
      <c r="C936" s="55"/>
      <c r="D936" s="55"/>
      <c r="E936" s="55"/>
      <c r="F936" s="186"/>
      <c r="G936" s="55"/>
      <c r="H936" s="55"/>
      <c r="I936" s="55"/>
      <c r="J936" s="65"/>
      <c r="K936" s="55"/>
      <c r="L936" s="55"/>
      <c r="M936" s="63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 spans="1:28" ht="15" x14ac:dyDescent="0.25">
      <c r="A937" s="55"/>
      <c r="B937" s="55"/>
      <c r="C937" s="55"/>
      <c r="D937" s="55"/>
      <c r="E937" s="55"/>
      <c r="F937" s="186"/>
      <c r="G937" s="55"/>
      <c r="H937" s="55"/>
      <c r="I937" s="55"/>
      <c r="J937" s="65"/>
      <c r="K937" s="55"/>
      <c r="L937" s="55"/>
      <c r="M937" s="63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 spans="1:28" ht="15" x14ac:dyDescent="0.25">
      <c r="A938" s="55"/>
      <c r="B938" s="55"/>
      <c r="C938" s="55"/>
      <c r="D938" s="55"/>
      <c r="E938" s="55"/>
      <c r="F938" s="186"/>
      <c r="G938" s="55"/>
      <c r="H938" s="55"/>
      <c r="I938" s="55"/>
      <c r="J938" s="65"/>
      <c r="K938" s="55"/>
      <c r="L938" s="55"/>
      <c r="M938" s="63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 spans="1:28" ht="15" x14ac:dyDescent="0.25">
      <c r="A939" s="55"/>
      <c r="B939" s="55"/>
      <c r="C939" s="55"/>
      <c r="D939" s="55"/>
      <c r="E939" s="55"/>
      <c r="F939" s="186"/>
      <c r="G939" s="55"/>
      <c r="H939" s="55"/>
      <c r="I939" s="55"/>
      <c r="J939" s="65"/>
      <c r="K939" s="55"/>
      <c r="L939" s="55"/>
      <c r="M939" s="63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 spans="1:28" ht="15" x14ac:dyDescent="0.25">
      <c r="A940" s="55"/>
      <c r="B940" s="55"/>
      <c r="C940" s="55"/>
      <c r="D940" s="55"/>
      <c r="E940" s="55"/>
      <c r="F940" s="186"/>
      <c r="G940" s="55"/>
      <c r="H940" s="55"/>
      <c r="I940" s="55"/>
      <c r="J940" s="65"/>
      <c r="K940" s="55"/>
      <c r="L940" s="55"/>
      <c r="M940" s="63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 spans="1:28" ht="15" x14ac:dyDescent="0.25">
      <c r="A941" s="55"/>
      <c r="B941" s="55"/>
      <c r="C941" s="55"/>
      <c r="D941" s="55"/>
      <c r="E941" s="55"/>
      <c r="F941" s="186"/>
      <c r="G941" s="55"/>
      <c r="H941" s="55"/>
      <c r="I941" s="55"/>
      <c r="J941" s="65"/>
      <c r="K941" s="55"/>
      <c r="L941" s="55"/>
      <c r="M941" s="63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 spans="1:28" ht="15" x14ac:dyDescent="0.25">
      <c r="A942" s="55"/>
      <c r="B942" s="55"/>
      <c r="C942" s="55"/>
      <c r="D942" s="55"/>
      <c r="E942" s="55"/>
      <c r="F942" s="186"/>
      <c r="G942" s="55"/>
      <c r="H942" s="55"/>
      <c r="I942" s="55"/>
      <c r="J942" s="65"/>
      <c r="K942" s="55"/>
      <c r="L942" s="55"/>
      <c r="M942" s="63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 spans="1:28" ht="15" x14ac:dyDescent="0.25">
      <c r="A943" s="55"/>
      <c r="B943" s="55"/>
      <c r="C943" s="55"/>
      <c r="D943" s="55"/>
      <c r="E943" s="55"/>
      <c r="F943" s="186"/>
      <c r="G943" s="55"/>
      <c r="H943" s="55"/>
      <c r="I943" s="55"/>
      <c r="J943" s="65"/>
      <c r="K943" s="55"/>
      <c r="L943" s="55"/>
      <c r="M943" s="63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 spans="1:28" ht="15" x14ac:dyDescent="0.25">
      <c r="A944" s="55"/>
      <c r="B944" s="55"/>
      <c r="C944" s="55"/>
      <c r="D944" s="55"/>
      <c r="E944" s="55"/>
      <c r="F944" s="186"/>
      <c r="G944" s="55"/>
      <c r="H944" s="55"/>
      <c r="I944" s="55"/>
      <c r="J944" s="65"/>
      <c r="K944" s="55"/>
      <c r="L944" s="55"/>
      <c r="M944" s="63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 spans="1:28" ht="15" x14ac:dyDescent="0.25">
      <c r="A945" s="55"/>
      <c r="B945" s="55"/>
      <c r="C945" s="55"/>
      <c r="D945" s="55"/>
      <c r="E945" s="55"/>
      <c r="F945" s="186"/>
      <c r="G945" s="55"/>
      <c r="H945" s="55"/>
      <c r="I945" s="55"/>
      <c r="J945" s="65"/>
      <c r="K945" s="55"/>
      <c r="L945" s="55"/>
      <c r="M945" s="63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 spans="1:28" ht="15" x14ac:dyDescent="0.25">
      <c r="A946" s="55"/>
      <c r="B946" s="55"/>
      <c r="C946" s="55"/>
      <c r="D946" s="55"/>
      <c r="E946" s="55"/>
      <c r="F946" s="186"/>
      <c r="G946" s="55"/>
      <c r="H946" s="55"/>
      <c r="I946" s="55"/>
      <c r="J946" s="65"/>
      <c r="K946" s="55"/>
      <c r="L946" s="55"/>
      <c r="M946" s="63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 spans="1:28" ht="15" x14ac:dyDescent="0.25">
      <c r="A947" s="55"/>
      <c r="B947" s="55"/>
      <c r="C947" s="55"/>
      <c r="D947" s="55"/>
      <c r="E947" s="55"/>
      <c r="F947" s="186"/>
      <c r="G947" s="55"/>
      <c r="H947" s="55"/>
      <c r="I947" s="55"/>
      <c r="J947" s="65"/>
      <c r="K947" s="55"/>
      <c r="L947" s="55"/>
      <c r="M947" s="63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 spans="1:28" ht="15" x14ac:dyDescent="0.25">
      <c r="A948" s="55"/>
      <c r="B948" s="55"/>
      <c r="C948" s="55"/>
      <c r="D948" s="55"/>
      <c r="E948" s="55"/>
      <c r="F948" s="186"/>
      <c r="G948" s="55"/>
      <c r="H948" s="55"/>
      <c r="I948" s="55"/>
      <c r="J948" s="65"/>
      <c r="K948" s="55"/>
      <c r="L948" s="55"/>
      <c r="M948" s="63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 spans="1:28" ht="15" x14ac:dyDescent="0.25">
      <c r="A949" s="55"/>
      <c r="B949" s="55"/>
      <c r="C949" s="55"/>
      <c r="D949" s="55"/>
      <c r="E949" s="55"/>
      <c r="F949" s="186"/>
      <c r="G949" s="55"/>
      <c r="H949" s="55"/>
      <c r="I949" s="55"/>
      <c r="J949" s="65"/>
      <c r="K949" s="55"/>
      <c r="L949" s="55"/>
      <c r="M949" s="63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 spans="1:28" ht="15" x14ac:dyDescent="0.25">
      <c r="A950" s="55"/>
      <c r="B950" s="55"/>
      <c r="C950" s="55"/>
      <c r="D950" s="55"/>
      <c r="E950" s="55"/>
      <c r="F950" s="186"/>
      <c r="G950" s="55"/>
      <c r="H950" s="55"/>
      <c r="I950" s="55"/>
      <c r="J950" s="65"/>
      <c r="K950" s="55"/>
      <c r="L950" s="55"/>
      <c r="M950" s="63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 spans="1:28" ht="15" x14ac:dyDescent="0.25">
      <c r="A951" s="55"/>
      <c r="B951" s="55"/>
      <c r="C951" s="55"/>
      <c r="D951" s="55"/>
      <c r="E951" s="55"/>
      <c r="F951" s="186"/>
      <c r="G951" s="55"/>
      <c r="H951" s="55"/>
      <c r="I951" s="55"/>
      <c r="J951" s="65"/>
      <c r="K951" s="55"/>
      <c r="L951" s="55"/>
      <c r="M951" s="63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 spans="1:28" ht="15" x14ac:dyDescent="0.25">
      <c r="A952" s="55"/>
      <c r="B952" s="55"/>
      <c r="C952" s="55"/>
      <c r="D952" s="55"/>
      <c r="E952" s="55"/>
      <c r="F952" s="186"/>
      <c r="G952" s="55"/>
      <c r="H952" s="55"/>
      <c r="I952" s="55"/>
      <c r="J952" s="65"/>
      <c r="K952" s="55"/>
      <c r="L952" s="55"/>
      <c r="M952" s="63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 spans="1:28" ht="15" x14ac:dyDescent="0.25">
      <c r="A953" s="55"/>
      <c r="B953" s="55"/>
      <c r="C953" s="55"/>
      <c r="D953" s="55"/>
      <c r="E953" s="55"/>
      <c r="F953" s="186"/>
      <c r="G953" s="55"/>
      <c r="H953" s="55"/>
      <c r="I953" s="55"/>
      <c r="J953" s="65"/>
      <c r="K953" s="55"/>
      <c r="L953" s="55"/>
      <c r="M953" s="63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 spans="1:28" ht="15" x14ac:dyDescent="0.25">
      <c r="A954" s="55"/>
      <c r="B954" s="55"/>
      <c r="C954" s="55"/>
      <c r="D954" s="55"/>
      <c r="E954" s="55"/>
      <c r="F954" s="186"/>
      <c r="G954" s="55"/>
      <c r="H954" s="55"/>
      <c r="I954" s="55"/>
      <c r="J954" s="65"/>
      <c r="K954" s="55"/>
      <c r="L954" s="55"/>
      <c r="M954" s="63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 spans="1:28" ht="15" x14ac:dyDescent="0.25">
      <c r="A955" s="55"/>
      <c r="B955" s="55"/>
      <c r="C955" s="55"/>
      <c r="D955" s="55"/>
      <c r="E955" s="55"/>
      <c r="F955" s="186"/>
      <c r="G955" s="55"/>
      <c r="H955" s="55"/>
      <c r="I955" s="55"/>
      <c r="J955" s="65"/>
      <c r="K955" s="55"/>
      <c r="L955" s="55"/>
      <c r="M955" s="63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 spans="1:28" ht="15" x14ac:dyDescent="0.25">
      <c r="A956" s="55"/>
      <c r="B956" s="55"/>
      <c r="C956" s="55"/>
      <c r="D956" s="55"/>
      <c r="E956" s="55"/>
      <c r="F956" s="186"/>
      <c r="G956" s="55"/>
      <c r="H956" s="55"/>
      <c r="I956" s="55"/>
      <c r="J956" s="65"/>
      <c r="K956" s="55"/>
      <c r="L956" s="55"/>
      <c r="M956" s="63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 spans="1:28" ht="15" x14ac:dyDescent="0.25">
      <c r="A957" s="55"/>
      <c r="B957" s="55"/>
      <c r="C957" s="55"/>
      <c r="D957" s="55"/>
      <c r="E957" s="55"/>
      <c r="F957" s="186"/>
      <c r="G957" s="55"/>
      <c r="H957" s="55"/>
      <c r="I957" s="55"/>
      <c r="J957" s="65"/>
      <c r="K957" s="55"/>
      <c r="L957" s="55"/>
      <c r="M957" s="63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 spans="1:28" ht="15" x14ac:dyDescent="0.25">
      <c r="A958" s="55"/>
      <c r="B958" s="55"/>
      <c r="C958" s="55"/>
      <c r="D958" s="55"/>
      <c r="E958" s="55"/>
      <c r="F958" s="186"/>
      <c r="G958" s="55"/>
      <c r="H958" s="55"/>
      <c r="I958" s="55"/>
      <c r="J958" s="65"/>
      <c r="K958" s="55"/>
      <c r="L958" s="55"/>
      <c r="M958" s="63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 spans="1:28" ht="15" x14ac:dyDescent="0.25">
      <c r="A959" s="55"/>
      <c r="B959" s="55"/>
      <c r="C959" s="55"/>
      <c r="D959" s="55"/>
      <c r="E959" s="55"/>
      <c r="F959" s="186"/>
      <c r="G959" s="55"/>
      <c r="H959" s="55"/>
      <c r="I959" s="55"/>
      <c r="J959" s="65"/>
      <c r="K959" s="55"/>
      <c r="L959" s="55"/>
      <c r="M959" s="63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 spans="1:28" ht="15" x14ac:dyDescent="0.25">
      <c r="A960" s="55"/>
      <c r="B960" s="55"/>
      <c r="C960" s="55"/>
      <c r="D960" s="55"/>
      <c r="E960" s="55"/>
      <c r="F960" s="186"/>
      <c r="G960" s="55"/>
      <c r="H960" s="55"/>
      <c r="I960" s="55"/>
      <c r="J960" s="65"/>
      <c r="K960" s="55"/>
      <c r="L960" s="55"/>
      <c r="M960" s="63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 spans="1:28" ht="15" x14ac:dyDescent="0.25">
      <c r="A961" s="55"/>
      <c r="B961" s="55"/>
      <c r="C961" s="55"/>
      <c r="D961" s="55"/>
      <c r="E961" s="55"/>
      <c r="F961" s="186"/>
      <c r="G961" s="55"/>
      <c r="H961" s="55"/>
      <c r="I961" s="55"/>
      <c r="J961" s="65"/>
      <c r="K961" s="55"/>
      <c r="L961" s="55"/>
      <c r="M961" s="63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 spans="1:28" ht="15" x14ac:dyDescent="0.25">
      <c r="A962" s="55"/>
      <c r="B962" s="55"/>
      <c r="C962" s="55"/>
      <c r="D962" s="55"/>
      <c r="E962" s="55"/>
      <c r="F962" s="186"/>
      <c r="G962" s="55"/>
      <c r="H962" s="55"/>
      <c r="I962" s="55"/>
      <c r="J962" s="65"/>
      <c r="K962" s="55"/>
      <c r="L962" s="55"/>
      <c r="M962" s="63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 spans="1:28" ht="15" x14ac:dyDescent="0.25">
      <c r="A963" s="55"/>
      <c r="B963" s="55"/>
      <c r="C963" s="55"/>
      <c r="D963" s="55"/>
      <c r="E963" s="55"/>
      <c r="F963" s="186"/>
      <c r="G963" s="55"/>
      <c r="H963" s="55"/>
      <c r="I963" s="55"/>
      <c r="J963" s="65"/>
      <c r="K963" s="55"/>
      <c r="L963" s="55"/>
      <c r="M963" s="63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 spans="1:28" ht="15" x14ac:dyDescent="0.25">
      <c r="A964" s="55"/>
      <c r="B964" s="55"/>
      <c r="C964" s="55"/>
      <c r="D964" s="55"/>
      <c r="E964" s="55"/>
      <c r="F964" s="186"/>
      <c r="G964" s="55"/>
      <c r="H964" s="55"/>
      <c r="I964" s="55"/>
      <c r="J964" s="65"/>
      <c r="K964" s="55"/>
      <c r="L964" s="55"/>
      <c r="M964" s="63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 spans="1:28" ht="15" x14ac:dyDescent="0.25">
      <c r="A965" s="55"/>
      <c r="B965" s="55"/>
      <c r="C965" s="55"/>
      <c r="D965" s="55"/>
      <c r="E965" s="55"/>
      <c r="F965" s="186"/>
      <c r="G965" s="55"/>
      <c r="H965" s="55"/>
      <c r="I965" s="55"/>
      <c r="J965" s="65"/>
      <c r="K965" s="55"/>
      <c r="L965" s="55"/>
      <c r="M965" s="63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 spans="1:28" ht="15" x14ac:dyDescent="0.25">
      <c r="A966" s="55"/>
      <c r="B966" s="55"/>
      <c r="C966" s="55"/>
      <c r="D966" s="55"/>
      <c r="E966" s="55"/>
      <c r="F966" s="186"/>
      <c r="G966" s="55"/>
      <c r="H966" s="55"/>
      <c r="I966" s="55"/>
      <c r="J966" s="65"/>
      <c r="K966" s="55"/>
      <c r="L966" s="55"/>
      <c r="M966" s="63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 spans="1:28" ht="15" x14ac:dyDescent="0.25">
      <c r="A967" s="55"/>
      <c r="B967" s="55"/>
      <c r="C967" s="55"/>
      <c r="D967" s="55"/>
      <c r="E967" s="55"/>
      <c r="F967" s="186"/>
      <c r="G967" s="55"/>
      <c r="H967" s="55"/>
      <c r="I967" s="55"/>
      <c r="J967" s="65"/>
      <c r="K967" s="55"/>
      <c r="L967" s="55"/>
      <c r="M967" s="63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 spans="1:28" ht="15" x14ac:dyDescent="0.25">
      <c r="A968" s="55"/>
      <c r="B968" s="55"/>
      <c r="C968" s="55"/>
      <c r="D968" s="55"/>
      <c r="E968" s="55"/>
      <c r="F968" s="186"/>
      <c r="G968" s="55"/>
      <c r="H968" s="55"/>
      <c r="I968" s="55"/>
      <c r="J968" s="65"/>
      <c r="K968" s="55"/>
      <c r="L968" s="55"/>
      <c r="M968" s="63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 spans="1:28" ht="15" x14ac:dyDescent="0.25">
      <c r="A969" s="55"/>
      <c r="B969" s="55"/>
      <c r="C969" s="55"/>
      <c r="D969" s="55"/>
      <c r="E969" s="55"/>
      <c r="F969" s="186"/>
      <c r="G969" s="55"/>
      <c r="H969" s="55"/>
      <c r="I969" s="55"/>
      <c r="J969" s="65"/>
      <c r="K969" s="55"/>
      <c r="L969" s="55"/>
      <c r="M969" s="63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 spans="1:28" ht="15" x14ac:dyDescent="0.25">
      <c r="A970" s="55"/>
      <c r="B970" s="55"/>
      <c r="C970" s="55"/>
      <c r="D970" s="55"/>
      <c r="E970" s="55"/>
      <c r="F970" s="186"/>
      <c r="G970" s="55"/>
      <c r="H970" s="55"/>
      <c r="I970" s="55"/>
      <c r="J970" s="65"/>
      <c r="K970" s="55"/>
      <c r="L970" s="55"/>
      <c r="M970" s="63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 spans="1:28" ht="15" x14ac:dyDescent="0.25">
      <c r="A971" s="55"/>
      <c r="B971" s="55"/>
      <c r="C971" s="55"/>
      <c r="D971" s="55"/>
      <c r="E971" s="55"/>
      <c r="F971" s="186"/>
      <c r="G971" s="55"/>
      <c r="H971" s="55"/>
      <c r="I971" s="55"/>
      <c r="J971" s="65"/>
      <c r="K971" s="55"/>
      <c r="L971" s="55"/>
      <c r="M971" s="63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 spans="1:28" ht="15" x14ac:dyDescent="0.25">
      <c r="A972" s="55"/>
      <c r="B972" s="55"/>
      <c r="C972" s="55"/>
      <c r="D972" s="55"/>
      <c r="E972" s="55"/>
      <c r="F972" s="186"/>
      <c r="G972" s="55"/>
      <c r="H972" s="55"/>
      <c r="I972" s="55"/>
      <c r="J972" s="65"/>
      <c r="K972" s="55"/>
      <c r="L972" s="55"/>
      <c r="M972" s="63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 spans="1:28" ht="15" x14ac:dyDescent="0.25">
      <c r="A973" s="55"/>
      <c r="B973" s="55"/>
      <c r="C973" s="55"/>
      <c r="D973" s="55"/>
      <c r="E973" s="55"/>
      <c r="F973" s="186"/>
      <c r="G973" s="55"/>
      <c r="H973" s="55"/>
      <c r="I973" s="55"/>
      <c r="J973" s="65"/>
      <c r="K973" s="55"/>
      <c r="L973" s="55"/>
      <c r="M973" s="63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 spans="1:28" ht="15" x14ac:dyDescent="0.25">
      <c r="A974" s="55"/>
      <c r="B974" s="55"/>
      <c r="C974" s="55"/>
      <c r="D974" s="55"/>
      <c r="E974" s="55"/>
      <c r="F974" s="186"/>
      <c r="G974" s="55"/>
      <c r="H974" s="55"/>
      <c r="I974" s="55"/>
      <c r="J974" s="65"/>
      <c r="K974" s="55"/>
      <c r="L974" s="55"/>
      <c r="M974" s="63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 spans="1:28" ht="15" x14ac:dyDescent="0.25">
      <c r="A975" s="55"/>
      <c r="B975" s="55"/>
      <c r="C975" s="55"/>
      <c r="D975" s="55"/>
      <c r="E975" s="55"/>
      <c r="F975" s="186"/>
      <c r="G975" s="55"/>
      <c r="H975" s="55"/>
      <c r="I975" s="55"/>
      <c r="J975" s="65"/>
      <c r="K975" s="55"/>
      <c r="L975" s="55"/>
      <c r="M975" s="63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 spans="1:28" ht="15" x14ac:dyDescent="0.25">
      <c r="A976" s="55"/>
      <c r="B976" s="55"/>
      <c r="C976" s="55"/>
      <c r="D976" s="55"/>
      <c r="E976" s="55"/>
      <c r="F976" s="186"/>
      <c r="G976" s="55"/>
      <c r="H976" s="55"/>
      <c r="I976" s="55"/>
      <c r="J976" s="65"/>
      <c r="K976" s="55"/>
      <c r="L976" s="55"/>
      <c r="M976" s="63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 spans="1:28" ht="15" x14ac:dyDescent="0.25">
      <c r="A977" s="55"/>
      <c r="B977" s="55"/>
      <c r="C977" s="55"/>
      <c r="D977" s="55"/>
      <c r="E977" s="55"/>
      <c r="F977" s="186"/>
      <c r="G977" s="55"/>
      <c r="H977" s="55"/>
      <c r="I977" s="55"/>
      <c r="J977" s="65"/>
      <c r="K977" s="55"/>
      <c r="L977" s="55"/>
      <c r="M977" s="63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 spans="1:28" ht="15" x14ac:dyDescent="0.25">
      <c r="A978" s="55"/>
      <c r="B978" s="55"/>
      <c r="C978" s="55"/>
      <c r="D978" s="55"/>
      <c r="E978" s="55"/>
      <c r="F978" s="186"/>
      <c r="G978" s="55"/>
      <c r="H978" s="55"/>
      <c r="I978" s="55"/>
      <c r="J978" s="65"/>
      <c r="K978" s="55"/>
      <c r="L978" s="55"/>
      <c r="M978" s="63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 spans="1:28" ht="15" x14ac:dyDescent="0.25">
      <c r="A979" s="55"/>
      <c r="B979" s="55"/>
      <c r="C979" s="55"/>
      <c r="D979" s="55"/>
      <c r="E979" s="55"/>
      <c r="F979" s="186"/>
      <c r="G979" s="55"/>
      <c r="H979" s="55"/>
      <c r="I979" s="55"/>
      <c r="J979" s="65"/>
      <c r="K979" s="55"/>
      <c r="L979" s="55"/>
      <c r="M979" s="63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 spans="1:28" ht="15" x14ac:dyDescent="0.25">
      <c r="A980" s="55"/>
      <c r="B980" s="55"/>
      <c r="C980" s="55"/>
      <c r="D980" s="55"/>
      <c r="E980" s="55"/>
      <c r="F980" s="186"/>
      <c r="G980" s="55"/>
      <c r="H980" s="55"/>
      <c r="I980" s="55"/>
      <c r="J980" s="65"/>
      <c r="K980" s="55"/>
      <c r="L980" s="55"/>
      <c r="M980" s="63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 spans="1:28" ht="15" x14ac:dyDescent="0.25">
      <c r="A981" s="55"/>
      <c r="B981" s="55"/>
      <c r="C981" s="55"/>
      <c r="D981" s="55"/>
      <c r="E981" s="55"/>
      <c r="F981" s="186"/>
      <c r="G981" s="55"/>
      <c r="H981" s="55"/>
      <c r="I981" s="55"/>
      <c r="J981" s="65"/>
      <c r="K981" s="55"/>
      <c r="L981" s="55"/>
      <c r="M981" s="63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 spans="1:28" ht="15" x14ac:dyDescent="0.25">
      <c r="A982" s="55"/>
      <c r="B982" s="55"/>
      <c r="C982" s="55"/>
      <c r="D982" s="55"/>
      <c r="E982" s="55"/>
      <c r="F982" s="186"/>
      <c r="G982" s="55"/>
      <c r="H982" s="55"/>
      <c r="I982" s="55"/>
      <c r="J982" s="65"/>
      <c r="K982" s="55"/>
      <c r="L982" s="55"/>
      <c r="M982" s="63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 spans="1:28" ht="15" x14ac:dyDescent="0.25">
      <c r="A983" s="55"/>
      <c r="B983" s="55"/>
      <c r="C983" s="55"/>
      <c r="D983" s="55"/>
      <c r="E983" s="55"/>
      <c r="F983" s="186"/>
      <c r="G983" s="55"/>
      <c r="H983" s="55"/>
      <c r="I983" s="55"/>
      <c r="J983" s="65"/>
      <c r="K983" s="55"/>
      <c r="L983" s="55"/>
      <c r="M983" s="63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 spans="1:28" ht="15" x14ac:dyDescent="0.25">
      <c r="A984" s="55"/>
      <c r="B984" s="55"/>
      <c r="C984" s="55"/>
      <c r="D984" s="55"/>
      <c r="E984" s="55"/>
      <c r="F984" s="186"/>
      <c r="G984" s="55"/>
      <c r="H984" s="55"/>
      <c r="I984" s="55"/>
      <c r="J984" s="65"/>
      <c r="K984" s="55"/>
      <c r="L984" s="55"/>
      <c r="M984" s="63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 spans="1:28" ht="15" x14ac:dyDescent="0.25">
      <c r="A985" s="55"/>
      <c r="B985" s="55"/>
      <c r="C985" s="55"/>
      <c r="D985" s="55"/>
      <c r="E985" s="55"/>
      <c r="F985" s="186"/>
      <c r="G985" s="55"/>
      <c r="H985" s="55"/>
      <c r="I985" s="55"/>
      <c r="J985" s="65"/>
      <c r="K985" s="55"/>
      <c r="L985" s="55"/>
      <c r="M985" s="63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 spans="1:28" ht="15" x14ac:dyDescent="0.25">
      <c r="A986" s="55"/>
      <c r="B986" s="55"/>
      <c r="C986" s="55"/>
      <c r="D986" s="55"/>
      <c r="E986" s="55"/>
      <c r="F986" s="186"/>
      <c r="G986" s="55"/>
      <c r="H986" s="55"/>
      <c r="I986" s="55"/>
      <c r="J986" s="65"/>
      <c r="K986" s="55"/>
      <c r="L986" s="55"/>
      <c r="M986" s="63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 spans="1:28" ht="15" x14ac:dyDescent="0.25">
      <c r="A987" s="55"/>
      <c r="B987" s="55"/>
      <c r="C987" s="55"/>
      <c r="D987" s="55"/>
      <c r="E987" s="55"/>
      <c r="F987" s="186"/>
      <c r="G987" s="55"/>
      <c r="H987" s="55"/>
      <c r="I987" s="55"/>
      <c r="J987" s="65"/>
      <c r="K987" s="55"/>
      <c r="L987" s="55"/>
      <c r="M987" s="63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 spans="1:28" ht="15" x14ac:dyDescent="0.25">
      <c r="A988" s="55"/>
      <c r="B988" s="55"/>
      <c r="C988" s="55"/>
      <c r="D988" s="55"/>
      <c r="E988" s="55"/>
      <c r="F988" s="186"/>
      <c r="G988" s="55"/>
      <c r="H988" s="55"/>
      <c r="I988" s="55"/>
      <c r="J988" s="65"/>
      <c r="K988" s="55"/>
      <c r="L988" s="55"/>
      <c r="M988" s="63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 spans="1:28" ht="15" x14ac:dyDescent="0.25">
      <c r="A989" s="55"/>
      <c r="B989" s="55"/>
      <c r="C989" s="55"/>
      <c r="D989" s="55"/>
      <c r="E989" s="55"/>
      <c r="F989" s="186"/>
      <c r="G989" s="55"/>
      <c r="H989" s="55"/>
      <c r="I989" s="55"/>
      <c r="J989" s="65"/>
      <c r="K989" s="55"/>
      <c r="L989" s="55"/>
      <c r="M989" s="63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 spans="1:28" ht="15" x14ac:dyDescent="0.25">
      <c r="A990" s="55"/>
      <c r="B990" s="55"/>
      <c r="C990" s="55"/>
      <c r="D990" s="55"/>
      <c r="E990" s="55"/>
      <c r="F990" s="186"/>
      <c r="G990" s="55"/>
      <c r="H990" s="55"/>
      <c r="I990" s="55"/>
      <c r="J990" s="65"/>
      <c r="K990" s="55"/>
      <c r="L990" s="55"/>
      <c r="M990" s="63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 spans="1:28" ht="15" x14ac:dyDescent="0.25">
      <c r="A991" s="55"/>
      <c r="B991" s="55"/>
      <c r="C991" s="55"/>
      <c r="D991" s="55"/>
      <c r="E991" s="55"/>
      <c r="F991" s="186"/>
      <c r="G991" s="55"/>
      <c r="H991" s="55"/>
      <c r="I991" s="55"/>
      <c r="J991" s="65"/>
      <c r="K991" s="55"/>
      <c r="L991" s="55"/>
      <c r="M991" s="63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 spans="1:28" ht="15" x14ac:dyDescent="0.25">
      <c r="A992" s="55"/>
      <c r="B992" s="55"/>
      <c r="C992" s="55"/>
      <c r="D992" s="55"/>
      <c r="E992" s="55"/>
      <c r="F992" s="186"/>
      <c r="G992" s="55"/>
      <c r="H992" s="55"/>
      <c r="I992" s="55"/>
      <c r="J992" s="65"/>
      <c r="K992" s="55"/>
      <c r="L992" s="55"/>
      <c r="M992" s="63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 spans="1:28" ht="15" x14ac:dyDescent="0.25">
      <c r="A993" s="55"/>
      <c r="B993" s="55"/>
      <c r="C993" s="55"/>
      <c r="D993" s="55"/>
      <c r="E993" s="55"/>
      <c r="F993" s="186"/>
      <c r="G993" s="55"/>
      <c r="H993" s="55"/>
      <c r="I993" s="55"/>
      <c r="J993" s="65"/>
      <c r="K993" s="55"/>
      <c r="L993" s="55"/>
      <c r="M993" s="63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 spans="1:28" ht="15" x14ac:dyDescent="0.25">
      <c r="A994" s="55"/>
      <c r="B994" s="55"/>
      <c r="C994" s="55"/>
      <c r="D994" s="55"/>
      <c r="E994" s="55"/>
      <c r="F994" s="186"/>
      <c r="G994" s="55"/>
      <c r="H994" s="55"/>
      <c r="I994" s="55"/>
      <c r="J994" s="65"/>
      <c r="K994" s="55"/>
      <c r="L994" s="55"/>
      <c r="M994" s="63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 spans="1:28" ht="15" x14ac:dyDescent="0.25">
      <c r="A995" s="55"/>
      <c r="B995" s="55"/>
      <c r="C995" s="55"/>
      <c r="D995" s="55"/>
      <c r="E995" s="55"/>
      <c r="F995" s="186"/>
      <c r="G995" s="55"/>
      <c r="H995" s="55"/>
      <c r="I995" s="55"/>
      <c r="J995" s="65"/>
      <c r="K995" s="55"/>
      <c r="L995" s="55"/>
      <c r="M995" s="63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 spans="1:28" ht="15" x14ac:dyDescent="0.25">
      <c r="A996" s="55"/>
      <c r="B996" s="55"/>
      <c r="C996" s="55"/>
      <c r="D996" s="55"/>
      <c r="E996" s="55"/>
      <c r="F996" s="186"/>
      <c r="G996" s="55"/>
      <c r="H996" s="55"/>
      <c r="I996" s="55"/>
      <c r="J996" s="65"/>
      <c r="K996" s="55"/>
      <c r="L996" s="55"/>
      <c r="M996" s="63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 spans="1:28" ht="15" x14ac:dyDescent="0.25">
      <c r="A997" s="55"/>
      <c r="B997" s="55"/>
      <c r="C997" s="55"/>
      <c r="D997" s="55"/>
      <c r="E997" s="55"/>
      <c r="F997" s="186"/>
      <c r="G997" s="55"/>
      <c r="H997" s="55"/>
      <c r="I997" s="55"/>
      <c r="J997" s="65"/>
      <c r="K997" s="55"/>
      <c r="L997" s="55"/>
      <c r="M997" s="63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 spans="1:28" ht="15" x14ac:dyDescent="0.25">
      <c r="A998" s="55"/>
      <c r="B998" s="55"/>
      <c r="C998" s="55"/>
      <c r="D998" s="55"/>
      <c r="E998" s="55"/>
      <c r="F998" s="186"/>
      <c r="G998" s="55"/>
      <c r="H998" s="55"/>
      <c r="I998" s="55"/>
      <c r="J998" s="65"/>
      <c r="K998" s="55"/>
      <c r="L998" s="55"/>
      <c r="M998" s="63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  <row r="999" spans="1:28" ht="15" x14ac:dyDescent="0.25">
      <c r="A999" s="55"/>
      <c r="B999" s="55"/>
      <c r="C999" s="55"/>
      <c r="D999" s="55"/>
      <c r="E999" s="55"/>
      <c r="F999" s="186"/>
      <c r="G999" s="55"/>
      <c r="H999" s="55"/>
      <c r="I999" s="55"/>
      <c r="J999" s="65"/>
      <c r="K999" s="55"/>
      <c r="L999" s="55"/>
      <c r="M999" s="63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</row>
    <row r="1000" spans="1:28" ht="15" x14ac:dyDescent="0.25">
      <c r="A1000" s="55"/>
      <c r="B1000" s="55"/>
      <c r="C1000" s="55"/>
      <c r="D1000" s="55"/>
      <c r="E1000" s="55"/>
      <c r="F1000" s="186"/>
      <c r="G1000" s="55"/>
      <c r="H1000" s="55"/>
      <c r="I1000" s="55"/>
      <c r="J1000" s="65"/>
      <c r="K1000" s="55"/>
      <c r="L1000" s="55"/>
      <c r="M1000" s="63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</row>
    <row r="1001" spans="1:28" ht="15" x14ac:dyDescent="0.25">
      <c r="A1001" s="55"/>
      <c r="B1001" s="55"/>
      <c r="C1001" s="55"/>
      <c r="D1001" s="55"/>
      <c r="E1001" s="55"/>
      <c r="F1001" s="186"/>
      <c r="G1001" s="55"/>
      <c r="H1001" s="55"/>
      <c r="I1001" s="55"/>
      <c r="J1001" s="65"/>
      <c r="K1001" s="55"/>
      <c r="L1001" s="55"/>
      <c r="M1001" s="63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B999"/>
  <sheetViews>
    <sheetView workbookViewId="0"/>
  </sheetViews>
  <sheetFormatPr defaultColWidth="12.5703125" defaultRowHeight="15.75" customHeight="1" x14ac:dyDescent="0.2"/>
  <cols>
    <col min="1" max="28" width="15.28515625" customWidth="1"/>
  </cols>
  <sheetData>
    <row r="1" spans="1:28" ht="15.75" customHeight="1" x14ac:dyDescent="0.25">
      <c r="A1" s="55" t="s">
        <v>44</v>
      </c>
      <c r="B1" s="55">
        <v>0</v>
      </c>
      <c r="C1" s="161">
        <f>SUM('Duchies Secret Sheet'!C$16:C$20)</f>
        <v>25946</v>
      </c>
      <c r="D1" s="65">
        <f t="shared" ref="D1:D6" si="0">C1</f>
        <v>25946</v>
      </c>
      <c r="E1" s="161">
        <f>SUM('Duchies Secret Sheet'!E$16:E$20)</f>
        <v>31718.415000000001</v>
      </c>
      <c r="F1" s="65">
        <f t="shared" ref="F1:F6" si="1">SUM(G1:I1)</f>
        <v>0</v>
      </c>
      <c r="G1" s="161">
        <f>SUM('Duchies Secret Sheet'!H$16:H$20)</f>
        <v>0</v>
      </c>
      <c r="H1" s="161">
        <f>SUM('Duchies Secret Sheet'!I$16:I$20)</f>
        <v>0</v>
      </c>
      <c r="I1" s="161">
        <f>SUM('Duchies Secret Sheet'!J$16:J$20)</f>
        <v>0</v>
      </c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15.75" customHeight="1" x14ac:dyDescent="0.25">
      <c r="A2" s="55" t="s">
        <v>50</v>
      </c>
      <c r="B2" s="55">
        <v>0</v>
      </c>
      <c r="C2" s="161">
        <f>SUM('Duchies Secret Sheet'!C$4,'Duchies Secret Sheet'!C20:C$26)</f>
        <v>27554.640840560391</v>
      </c>
      <c r="D2" s="65">
        <f t="shared" si="0"/>
        <v>27554.640840560391</v>
      </c>
      <c r="E2" s="161">
        <f>SUM('Duchies Secret Sheet'!E$4,'Duchies Secret Sheet'!E20:E$26)</f>
        <v>51040.660448650466</v>
      </c>
      <c r="F2" s="65">
        <f t="shared" si="1"/>
        <v>15783.40955134953</v>
      </c>
      <c r="G2" s="161">
        <f>SUM('Duchies Secret Sheet'!H$4,'Duchies Secret Sheet'!H20:H$26)</f>
        <v>8908.4095513495304</v>
      </c>
      <c r="H2" s="161">
        <f>SUM('Duchies Secret Sheet'!I$4,'Duchies Secret Sheet'!I20:I$26)</f>
        <v>6175</v>
      </c>
      <c r="I2" s="161">
        <f>SUM('Duchies Secret Sheet'!J$4,'Duchies Secret Sheet'!J20:J$26)</f>
        <v>700</v>
      </c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spans="1:28" ht="15.75" customHeight="1" x14ac:dyDescent="0.25">
      <c r="A3" s="55" t="s">
        <v>54</v>
      </c>
      <c r="B3" s="55">
        <v>0.25</v>
      </c>
      <c r="C3" s="161">
        <f>SUM('Duchies Secret Sheet'!C$41:C$45,'Duchies Secret Sheet'!C$3)</f>
        <v>0</v>
      </c>
      <c r="D3" s="65">
        <f t="shared" si="0"/>
        <v>0</v>
      </c>
      <c r="E3" s="161">
        <f>SUM('Duchies Secret Sheet'!E$41:E$45,'Duchies Secret Sheet'!E$3)</f>
        <v>18735.285</v>
      </c>
      <c r="F3" s="65">
        <f t="shared" si="1"/>
        <v>0</v>
      </c>
      <c r="G3" s="161">
        <f>SUM('Duchies Secret Sheet'!H$41:H$45,'Duchies Secret Sheet'!H$3)</f>
        <v>0</v>
      </c>
      <c r="H3" s="161">
        <f>SUM('Duchies Secret Sheet'!I$41:I$45,'Duchies Secret Sheet'!I$3)</f>
        <v>0</v>
      </c>
      <c r="I3" s="161">
        <f>SUM('Duchies Secret Sheet'!J$41:J$45,'Duchies Secret Sheet'!J$3)</f>
        <v>0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1:28" ht="15.75" customHeight="1" x14ac:dyDescent="0.25">
      <c r="A4" s="55" t="s">
        <v>58</v>
      </c>
      <c r="B4" s="55">
        <v>0.25</v>
      </c>
      <c r="C4" s="161">
        <f>SUM('Duchies Secret Sheet'!C$6,'Duchies Secret Sheet'!C$13:C$15)</f>
        <v>15833</v>
      </c>
      <c r="D4" s="65">
        <f t="shared" si="0"/>
        <v>15833</v>
      </c>
      <c r="E4" s="161">
        <f>SUM('Duchies Secret Sheet'!E$6,'Duchies Secret Sheet'!E$13:E$15)</f>
        <v>38065.035000000003</v>
      </c>
      <c r="F4" s="65">
        <f t="shared" si="1"/>
        <v>0</v>
      </c>
      <c r="G4" s="161">
        <f>SUM('Duchies Secret Sheet'!H$6,'Duchies Secret Sheet'!H$13:H$15)</f>
        <v>0</v>
      </c>
      <c r="H4" s="161">
        <f>SUM('Duchies Secret Sheet'!I$6,'Duchies Secret Sheet'!I$13:I$15)</f>
        <v>0</v>
      </c>
      <c r="I4" s="161">
        <f>SUM('Duchies Secret Sheet'!J$6,'Duchies Secret Sheet'!J$13:J$15)</f>
        <v>0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28" ht="15.75" customHeight="1" x14ac:dyDescent="0.25">
      <c r="A5" s="55" t="s">
        <v>61</v>
      </c>
      <c r="B5" s="55">
        <v>0.25</v>
      </c>
      <c r="C5" s="161">
        <f>SUM('Duchies Secret Sheet'!C$5,'Duchies Secret Sheet'!C$7:C$12)</f>
        <v>41000</v>
      </c>
      <c r="D5" s="65">
        <f t="shared" si="0"/>
        <v>41000</v>
      </c>
      <c r="E5" s="161">
        <f>SUM('Duchies Secret Sheet'!E$5,'Duchies Secret Sheet'!E$7:E$12)</f>
        <v>79877.904999999999</v>
      </c>
      <c r="F5" s="65">
        <f t="shared" si="1"/>
        <v>0</v>
      </c>
      <c r="G5" s="161">
        <f>SUM('Duchies Secret Sheet'!H$5,'Duchies Secret Sheet'!H$7:H$12)</f>
        <v>0</v>
      </c>
      <c r="H5" s="161">
        <f>SUM('Duchies Secret Sheet'!I$5,'Duchies Secret Sheet'!I$7:I$12)</f>
        <v>0</v>
      </c>
      <c r="I5" s="161">
        <f>SUM('Duchies Secret Sheet'!J$5,'Duchies Secret Sheet'!J$7:J$12)</f>
        <v>0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1:28" ht="15.75" customHeight="1" x14ac:dyDescent="0.25">
      <c r="A6" s="55" t="s">
        <v>64</v>
      </c>
      <c r="B6" s="55">
        <v>0</v>
      </c>
      <c r="C6" s="161">
        <f>SUM('Duchies Secret Sheet'!C$2,'Duchies Secret Sheet'!C$27:C$40)</f>
        <v>21849.359853615821</v>
      </c>
      <c r="D6" s="65">
        <f t="shared" si="0"/>
        <v>21849.359853615821</v>
      </c>
      <c r="E6" s="161">
        <f>SUM('Duchies Secret Sheet'!E$2,'Duchies Secret Sheet'!E$27:E$40)</f>
        <v>83562.374853615824</v>
      </c>
      <c r="F6" s="65">
        <f t="shared" si="1"/>
        <v>1540.6401463841798</v>
      </c>
      <c r="G6" s="161">
        <f>SUM('Duchies Secret Sheet'!H$2,'Duchies Secret Sheet'!H$27:H$40)</f>
        <v>686.64014638417973</v>
      </c>
      <c r="H6" s="161">
        <f>SUM('Duchies Secret Sheet'!I$2,'Duchies Secret Sheet'!I$27:I$40)</f>
        <v>854</v>
      </c>
      <c r="I6" s="161">
        <f>SUM('Duchies Secret Sheet'!J$2,'Duchies Secret Sheet'!J$27:J$40)</f>
        <v>0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 spans="1:28" ht="15.75" customHeight="1" x14ac:dyDescent="0.25">
      <c r="A7" s="55"/>
      <c r="B7" s="55" t="s">
        <v>163</v>
      </c>
      <c r="C7" s="55" t="s">
        <v>25</v>
      </c>
      <c r="D7" s="55" t="s">
        <v>164</v>
      </c>
      <c r="E7" s="55" t="s">
        <v>165</v>
      </c>
      <c r="F7" s="55" t="s">
        <v>166</v>
      </c>
      <c r="G7" s="55" t="s">
        <v>167</v>
      </c>
      <c r="H7" s="55" t="s">
        <v>49</v>
      </c>
      <c r="I7" s="65" t="s">
        <v>168</v>
      </c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 spans="1:28" ht="15.75" customHeight="1" x14ac:dyDescent="0.25">
      <c r="A8" s="55"/>
      <c r="B8" s="55"/>
      <c r="C8" s="55"/>
      <c r="D8" s="55"/>
      <c r="E8" s="55"/>
      <c r="F8" s="55"/>
      <c r="G8" s="55"/>
      <c r="H8" s="55"/>
      <c r="I8" s="6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 spans="1:28" ht="15.75" customHeight="1" x14ac:dyDescent="0.25">
      <c r="A9" s="55"/>
      <c r="B9" s="55"/>
      <c r="C9" s="55"/>
      <c r="D9" s="55"/>
      <c r="E9" s="55"/>
      <c r="F9" s="55"/>
      <c r="G9" s="55"/>
      <c r="H9" s="55"/>
      <c r="I9" s="6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 spans="1:28" ht="15.75" customHeight="1" x14ac:dyDescent="0.25">
      <c r="A10" s="55"/>
      <c r="B10" s="55"/>
      <c r="C10" s="55"/>
      <c r="D10" s="55"/>
      <c r="E10" s="55"/>
      <c r="F10" s="55"/>
      <c r="G10" s="55"/>
      <c r="H10" s="55"/>
      <c r="I10" s="6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</row>
    <row r="11" spans="1:28" ht="15.75" customHeight="1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</row>
    <row r="12" spans="1:28" ht="15.75" customHeight="1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</row>
    <row r="13" spans="1:28" ht="15.75" customHeight="1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</row>
    <row r="14" spans="1:28" ht="15.75" customHeight="1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 spans="1:28" ht="15.75" customHeight="1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 spans="1:28" ht="1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 spans="1:28" ht="15.75" customHeight="1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 spans="1:28" ht="15.7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 spans="1:28" ht="15.75" customHeight="1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 spans="1:28" ht="15.75" customHeight="1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 spans="1:28" ht="15.75" customHeight="1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 spans="1:28" ht="15.75" customHeight="1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 spans="1:28" ht="15.75" customHeight="1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 spans="1:28" ht="15.75" customHeight="1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 spans="1:28" ht="15.75" customHeight="1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 spans="1:28" ht="15.7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spans="1:28" ht="15.75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pans="1:28" ht="15.7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pans="1:28" ht="15.7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pans="1:28" ht="15.7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pans="1:28" ht="15.7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pans="1:28" ht="15.7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pans="1:28" ht="15.7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pans="1:28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pans="1:28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pans="1:28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pans="1:28" ht="15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pans="1:28" ht="15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pans="1:28" ht="15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pans="1:28" ht="15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pans="1:28" ht="15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pans="1:28" ht="15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pans="1:28" ht="15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pans="1:28" ht="15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pans="1:28" ht="15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pans="1:28" ht="15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pans="1:28" ht="15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pans="1:28" ht="15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pans="1:28" ht="15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pans="1:28" ht="15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pans="1:28" ht="15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pans="1:28" ht="15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pans="1:28" ht="15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pans="1:28" ht="15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pans="1:28" ht="15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pans="1:28" ht="15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pans="1:28" ht="15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pans="1:28" ht="15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pans="1:28" ht="15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pans="1:28" ht="15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pans="1:28" ht="15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pans="1:28" ht="15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pans="1:28" ht="15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pans="1:28" ht="15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pans="1:28" ht="15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pans="1:28" ht="15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pans="1:28" ht="15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pans="1:28" ht="15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pans="1:28" ht="15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pans="1:28" ht="15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pans="1:28" ht="15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pans="1:28" ht="15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pans="1:28" ht="15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pans="1:28" ht="15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pans="1:28" ht="15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pans="1:28" ht="15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pans="1:28" ht="15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pans="1:28" ht="15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pans="1:28" ht="15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pans="1:28" ht="15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pans="1:28" ht="15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pans="1:28" ht="15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pans="1:28" ht="15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pans="1:28" ht="15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pans="1:28" ht="15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pans="1:28" ht="15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spans="1:28" ht="15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 spans="1:28" ht="15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 spans="1:28" ht="15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 spans="1:28" ht="15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 spans="1:28" ht="15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 spans="1:28" ht="15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 spans="1:28" ht="15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 spans="1:28" ht="15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</row>
    <row r="95" spans="1:28" ht="15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</row>
    <row r="96" spans="1:28" ht="15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</row>
    <row r="97" spans="1:28" ht="15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</row>
    <row r="98" spans="1:28" ht="15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</row>
    <row r="99" spans="1:28" ht="15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</row>
    <row r="100" spans="1:28" ht="15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</row>
    <row r="101" spans="1:28" ht="15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</row>
    <row r="102" spans="1:28" ht="15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</row>
    <row r="103" spans="1:28" ht="15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</row>
    <row r="104" spans="1:28" ht="15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</row>
    <row r="105" spans="1:28" ht="15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</row>
    <row r="106" spans="1:28" ht="15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</row>
    <row r="107" spans="1:28" ht="15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</row>
    <row r="108" spans="1:28" ht="15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</row>
    <row r="109" spans="1:28" ht="15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</row>
    <row r="110" spans="1:28" ht="15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</row>
    <row r="111" spans="1:28" ht="15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</row>
    <row r="112" spans="1:28" ht="15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</row>
    <row r="113" spans="1:28" ht="15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</row>
    <row r="114" spans="1:28" ht="15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</row>
    <row r="115" spans="1:28" ht="15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</row>
    <row r="116" spans="1:28" ht="15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</row>
    <row r="117" spans="1:28" ht="15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</row>
    <row r="118" spans="1:28" ht="15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</row>
    <row r="119" spans="1:28" ht="15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</row>
    <row r="120" spans="1:28" ht="15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</row>
    <row r="121" spans="1:28" ht="15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</row>
    <row r="122" spans="1:28" ht="15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</row>
    <row r="123" spans="1:28" ht="15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</row>
    <row r="124" spans="1:28" ht="15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</row>
    <row r="125" spans="1:28" ht="15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</row>
    <row r="126" spans="1:28" ht="15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</row>
    <row r="127" spans="1:28" ht="15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</row>
    <row r="128" spans="1:28" ht="15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</row>
    <row r="129" spans="1:28" ht="15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</row>
    <row r="130" spans="1:28" ht="15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</row>
    <row r="131" spans="1:28" ht="15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</row>
    <row r="132" spans="1:28" ht="15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</row>
    <row r="133" spans="1:28" ht="15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</row>
    <row r="134" spans="1:28" ht="15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</row>
    <row r="135" spans="1:28" ht="15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</row>
    <row r="136" spans="1:28" ht="15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</row>
    <row r="137" spans="1:28" ht="15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</row>
    <row r="138" spans="1:28" ht="15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</row>
    <row r="139" spans="1:28" ht="15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</row>
    <row r="140" spans="1:28" ht="15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</row>
    <row r="141" spans="1:28" ht="15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</row>
    <row r="142" spans="1:28" ht="15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</row>
    <row r="143" spans="1:28" ht="15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</row>
    <row r="144" spans="1:28" ht="15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</row>
    <row r="145" spans="1:28" ht="15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</row>
    <row r="146" spans="1:28" ht="15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</row>
    <row r="147" spans="1:28" ht="15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</row>
    <row r="148" spans="1:28" ht="15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</row>
    <row r="149" spans="1:28" ht="15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</row>
    <row r="150" spans="1:28" ht="15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</row>
    <row r="151" spans="1:28" ht="15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</row>
    <row r="152" spans="1:28" ht="15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</row>
    <row r="153" spans="1:28" ht="15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</row>
    <row r="154" spans="1:28" ht="15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</row>
    <row r="155" spans="1:28" ht="15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</row>
    <row r="156" spans="1:28" ht="15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</row>
    <row r="157" spans="1:28" ht="15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</row>
    <row r="158" spans="1:28" ht="15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</row>
    <row r="159" spans="1:28" ht="15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</row>
    <row r="160" spans="1:28" ht="15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</row>
    <row r="161" spans="1:28" ht="15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</row>
    <row r="162" spans="1:28" ht="15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</row>
    <row r="163" spans="1:28" ht="15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</row>
    <row r="164" spans="1:28" ht="15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</row>
    <row r="165" spans="1:28" ht="15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</row>
    <row r="166" spans="1:28" ht="15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</row>
    <row r="167" spans="1:28" ht="15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</row>
    <row r="168" spans="1:28" ht="15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</row>
    <row r="169" spans="1:28" ht="15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</row>
    <row r="170" spans="1:28" ht="15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</row>
    <row r="171" spans="1:28" ht="15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</row>
    <row r="172" spans="1:28" ht="15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</row>
    <row r="173" spans="1:28" ht="15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</row>
    <row r="174" spans="1:28" ht="15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</row>
    <row r="175" spans="1:28" ht="15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</row>
    <row r="176" spans="1:28" ht="15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</row>
    <row r="177" spans="1:28" ht="15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</row>
    <row r="178" spans="1:28" ht="15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</row>
    <row r="179" spans="1:28" ht="15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</row>
    <row r="180" spans="1:28" ht="15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</row>
    <row r="181" spans="1:28" ht="15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</row>
    <row r="182" spans="1:28" ht="15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</row>
    <row r="183" spans="1:28" ht="15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</row>
    <row r="184" spans="1:28" ht="15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</row>
    <row r="185" spans="1:28" ht="15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</row>
    <row r="186" spans="1:28" ht="15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</row>
    <row r="187" spans="1:28" ht="15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</row>
    <row r="188" spans="1:28" ht="15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</row>
    <row r="189" spans="1:28" ht="15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</row>
    <row r="190" spans="1:28" ht="15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</row>
    <row r="191" spans="1:28" ht="15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</row>
    <row r="192" spans="1:28" ht="15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</row>
    <row r="193" spans="1:28" ht="15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</row>
    <row r="194" spans="1:28" ht="15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</row>
    <row r="195" spans="1:28" ht="15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</row>
    <row r="196" spans="1:28" ht="15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</row>
    <row r="197" spans="1:28" ht="15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</row>
    <row r="198" spans="1:28" ht="15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</row>
    <row r="199" spans="1:28" ht="15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</row>
    <row r="200" spans="1:28" ht="15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</row>
    <row r="201" spans="1:28" ht="15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</row>
    <row r="202" spans="1:28" ht="15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</row>
    <row r="203" spans="1:28" ht="15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</row>
    <row r="204" spans="1:28" ht="15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</row>
    <row r="205" spans="1:28" ht="15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</row>
    <row r="206" spans="1:28" ht="15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</row>
    <row r="207" spans="1:28" ht="15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</row>
    <row r="208" spans="1:28" ht="15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</row>
    <row r="209" spans="1:28" ht="15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</row>
    <row r="210" spans="1:28" ht="15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</row>
    <row r="211" spans="1:28" ht="15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</row>
    <row r="212" spans="1:28" ht="15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</row>
    <row r="213" spans="1:28" ht="15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</row>
    <row r="214" spans="1:28" ht="15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</row>
    <row r="215" spans="1:28" ht="15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</row>
    <row r="216" spans="1:28" ht="15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</row>
    <row r="217" spans="1:28" ht="15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</row>
    <row r="218" spans="1:28" ht="15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</row>
    <row r="219" spans="1:28" ht="15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</row>
    <row r="220" spans="1:28" ht="15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</row>
    <row r="221" spans="1:28" ht="15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</row>
    <row r="222" spans="1:28" ht="15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</row>
    <row r="223" spans="1:28" ht="15" x14ac:dyDescent="0.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</row>
    <row r="224" spans="1:28" ht="15" x14ac:dyDescent="0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</row>
    <row r="225" spans="1:28" ht="15" x14ac:dyDescent="0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</row>
    <row r="226" spans="1:28" ht="15" x14ac:dyDescent="0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</row>
    <row r="227" spans="1:28" ht="15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</row>
    <row r="228" spans="1:28" ht="15" x14ac:dyDescent="0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</row>
    <row r="229" spans="1:28" ht="15" x14ac:dyDescent="0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</row>
    <row r="230" spans="1:28" ht="15" x14ac:dyDescent="0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</row>
    <row r="231" spans="1:28" ht="15" x14ac:dyDescent="0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</row>
    <row r="232" spans="1:28" ht="15" x14ac:dyDescent="0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</row>
    <row r="233" spans="1:28" ht="15" x14ac:dyDescent="0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</row>
    <row r="234" spans="1:28" ht="15" x14ac:dyDescent="0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</row>
    <row r="235" spans="1:28" ht="15" x14ac:dyDescent="0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</row>
    <row r="236" spans="1:28" ht="15" x14ac:dyDescent="0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</row>
    <row r="237" spans="1:28" ht="15" x14ac:dyDescent="0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</row>
    <row r="238" spans="1:28" ht="15" x14ac:dyDescent="0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</row>
    <row r="239" spans="1:28" ht="15" x14ac:dyDescent="0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</row>
    <row r="240" spans="1:28" ht="15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</row>
    <row r="241" spans="1:28" ht="15" x14ac:dyDescent="0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</row>
    <row r="242" spans="1:28" ht="15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</row>
    <row r="243" spans="1:28" ht="15" x14ac:dyDescent="0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</row>
    <row r="244" spans="1:28" ht="15" x14ac:dyDescent="0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</row>
    <row r="245" spans="1:28" ht="15" x14ac:dyDescent="0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</row>
    <row r="246" spans="1:28" ht="15" x14ac:dyDescent="0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</row>
    <row r="247" spans="1:28" ht="15" x14ac:dyDescent="0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</row>
    <row r="248" spans="1:28" ht="15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</row>
    <row r="249" spans="1:28" ht="15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</row>
    <row r="250" spans="1:28" ht="15" x14ac:dyDescent="0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</row>
    <row r="251" spans="1:28" ht="15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</row>
    <row r="252" spans="1:28" ht="15" x14ac:dyDescent="0.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</row>
    <row r="253" spans="1:28" ht="15" x14ac:dyDescent="0.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 spans="1:28" ht="15" x14ac:dyDescent="0.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 spans="1:28" ht="15" x14ac:dyDescent="0.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 spans="1:28" ht="15" x14ac:dyDescent="0.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 spans="1:28" ht="15" x14ac:dyDescent="0.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 spans="1:28" ht="15" x14ac:dyDescent="0.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 spans="1:28" ht="15" x14ac:dyDescent="0.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 spans="1:28" ht="15" x14ac:dyDescent="0.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 spans="1:28" ht="15" x14ac:dyDescent="0.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 spans="1:28" ht="15" x14ac:dyDescent="0.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 spans="1:28" ht="15" x14ac:dyDescent="0.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 spans="1:28" ht="15" x14ac:dyDescent="0.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 spans="1:28" ht="15" x14ac:dyDescent="0.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 spans="1:28" ht="15" x14ac:dyDescent="0.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 spans="1:28" ht="15" x14ac:dyDescent="0.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 spans="1:28" ht="15" x14ac:dyDescent="0.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 spans="1:28" ht="15" x14ac:dyDescent="0.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 spans="1:28" ht="15" x14ac:dyDescent="0.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 spans="1:28" ht="15" x14ac:dyDescent="0.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 spans="1:28" ht="15" x14ac:dyDescent="0.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 spans="1:28" ht="15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 spans="1:28" ht="15" x14ac:dyDescent="0.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 spans="1:28" ht="15" x14ac:dyDescent="0.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 spans="1:28" ht="15" x14ac:dyDescent="0.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 spans="1:28" ht="15" x14ac:dyDescent="0.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 spans="1:28" ht="15" x14ac:dyDescent="0.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 spans="1:28" ht="15" x14ac:dyDescent="0.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 spans="1:28" ht="15" x14ac:dyDescent="0.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 spans="1:28" ht="15" x14ac:dyDescent="0.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 spans="1:28" ht="15" x14ac:dyDescent="0.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 spans="1:28" ht="15" x14ac:dyDescent="0.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 spans="1:28" ht="15" x14ac:dyDescent="0.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 spans="1:28" ht="15" x14ac:dyDescent="0.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 spans="1:28" ht="15" x14ac:dyDescent="0.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 spans="1:28" ht="15" x14ac:dyDescent="0.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 spans="1:28" ht="15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 spans="1:28" ht="15" x14ac:dyDescent="0.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 spans="1:28" ht="15" x14ac:dyDescent="0.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 spans="1:28" ht="15" x14ac:dyDescent="0.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 spans="1:28" ht="15" x14ac:dyDescent="0.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 spans="1:28" ht="15" x14ac:dyDescent="0.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 spans="1:28" ht="15" x14ac:dyDescent="0.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 spans="1:28" ht="15" x14ac:dyDescent="0.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 spans="1:28" ht="15" x14ac:dyDescent="0.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 spans="1:28" ht="15" x14ac:dyDescent="0.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 spans="1:28" ht="15" x14ac:dyDescent="0.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 spans="1:28" ht="15" x14ac:dyDescent="0.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 spans="1:28" ht="15" x14ac:dyDescent="0.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 spans="1:28" ht="15" x14ac:dyDescent="0.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 spans="1:28" ht="15" x14ac:dyDescent="0.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 spans="1:28" ht="15" x14ac:dyDescent="0.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 spans="1:28" ht="15" x14ac:dyDescent="0.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 spans="1:28" ht="15" x14ac:dyDescent="0.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 spans="1:28" ht="15" x14ac:dyDescent="0.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 spans="1:28" ht="15" x14ac:dyDescent="0.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 spans="1:28" ht="15" x14ac:dyDescent="0.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 spans="1:28" ht="15" x14ac:dyDescent="0.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 spans="1:28" ht="15" x14ac:dyDescent="0.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 spans="1:28" ht="15" x14ac:dyDescent="0.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 spans="1:28" ht="15" x14ac:dyDescent="0.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 spans="1:28" ht="15" x14ac:dyDescent="0.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 spans="1:28" ht="15" x14ac:dyDescent="0.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 spans="1:28" ht="15" x14ac:dyDescent="0.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 spans="1:28" ht="15" x14ac:dyDescent="0.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 spans="1:28" ht="15" x14ac:dyDescent="0.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 spans="1:28" ht="15" x14ac:dyDescent="0.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 spans="1:28" ht="15" x14ac:dyDescent="0.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 spans="1:28" ht="15" x14ac:dyDescent="0.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 spans="1:28" ht="15" x14ac:dyDescent="0.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 spans="1:28" ht="15" x14ac:dyDescent="0.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 spans="1:28" ht="15" x14ac:dyDescent="0.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 spans="1:28" ht="15" x14ac:dyDescent="0.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 spans="1:28" ht="15" x14ac:dyDescent="0.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 spans="1:28" ht="15" x14ac:dyDescent="0.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 spans="1:28" ht="15" x14ac:dyDescent="0.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 spans="1:28" ht="15" x14ac:dyDescent="0.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 spans="1:28" ht="15" x14ac:dyDescent="0.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 spans="1:28" ht="15" x14ac:dyDescent="0.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 spans="1:28" ht="15" x14ac:dyDescent="0.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 spans="1:28" ht="15" x14ac:dyDescent="0.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 spans="1:28" ht="15" x14ac:dyDescent="0.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 spans="1:28" ht="15" x14ac:dyDescent="0.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 spans="1:28" ht="15" x14ac:dyDescent="0.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 spans="1:28" ht="15" x14ac:dyDescent="0.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 spans="1:28" ht="15" x14ac:dyDescent="0.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 spans="1:28" ht="15" x14ac:dyDescent="0.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 spans="1:28" ht="15" x14ac:dyDescent="0.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 spans="1:28" ht="15" x14ac:dyDescent="0.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 spans="1:28" ht="15" x14ac:dyDescent="0.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 spans="1:28" ht="15" x14ac:dyDescent="0.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 spans="1:28" ht="15" x14ac:dyDescent="0.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 spans="1:28" ht="15" x14ac:dyDescent="0.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 spans="1:28" ht="15" x14ac:dyDescent="0.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 spans="1:28" ht="15" x14ac:dyDescent="0.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 spans="1:28" ht="15" x14ac:dyDescent="0.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 spans="1:28" ht="15" x14ac:dyDescent="0.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 spans="1:28" ht="15" x14ac:dyDescent="0.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 spans="1:28" ht="15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 spans="1:28" ht="15" x14ac:dyDescent="0.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 spans="1:28" ht="15" x14ac:dyDescent="0.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 spans="1:28" ht="15" x14ac:dyDescent="0.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 spans="1:28" ht="15" x14ac:dyDescent="0.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 spans="1:28" ht="15" x14ac:dyDescent="0.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 spans="1:28" ht="15" x14ac:dyDescent="0.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 spans="1:28" ht="15" x14ac:dyDescent="0.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 spans="1:28" ht="15" x14ac:dyDescent="0.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 spans="1:28" ht="15" x14ac:dyDescent="0.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 spans="1:28" ht="15" x14ac:dyDescent="0.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 spans="1:28" ht="15" x14ac:dyDescent="0.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 spans="1:28" ht="15" x14ac:dyDescent="0.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 spans="1:28" ht="15" x14ac:dyDescent="0.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 spans="1:28" ht="15" x14ac:dyDescent="0.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 spans="1:28" ht="15" x14ac:dyDescent="0.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 spans="1:28" ht="15" x14ac:dyDescent="0.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 spans="1:28" ht="15" x14ac:dyDescent="0.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 spans="1:28" ht="15" x14ac:dyDescent="0.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 spans="1:28" ht="15" x14ac:dyDescent="0.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 spans="1:28" ht="15" x14ac:dyDescent="0.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 spans="1:28" ht="15" x14ac:dyDescent="0.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 spans="1:28" ht="15" x14ac:dyDescent="0.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 spans="1:28" ht="15" x14ac:dyDescent="0.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 spans="1:28" ht="15" x14ac:dyDescent="0.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 spans="1:28" ht="15" x14ac:dyDescent="0.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 spans="1:28" ht="15" x14ac:dyDescent="0.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 spans="1:28" ht="15" x14ac:dyDescent="0.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 spans="1:28" ht="15" x14ac:dyDescent="0.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 spans="1:28" ht="15" x14ac:dyDescent="0.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 spans="1:28" ht="15" x14ac:dyDescent="0.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 spans="1:28" ht="15" x14ac:dyDescent="0.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 spans="1:28" ht="15" x14ac:dyDescent="0.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 spans="1:28" ht="15" x14ac:dyDescent="0.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 spans="1:28" ht="15" x14ac:dyDescent="0.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 spans="1:28" ht="15" x14ac:dyDescent="0.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 spans="1:28" ht="15" x14ac:dyDescent="0.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 spans="1:28" ht="15" x14ac:dyDescent="0.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 spans="1:28" ht="15" x14ac:dyDescent="0.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 spans="1:28" ht="15" x14ac:dyDescent="0.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 spans="1:28" ht="15" x14ac:dyDescent="0.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 spans="1:28" ht="15" x14ac:dyDescent="0.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 spans="1:28" ht="15" x14ac:dyDescent="0.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 spans="1:28" ht="15" x14ac:dyDescent="0.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 spans="1:28" ht="15" x14ac:dyDescent="0.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 spans="1:28" ht="15" x14ac:dyDescent="0.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 spans="1:28" ht="15" x14ac:dyDescent="0.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 spans="1:28" ht="15" x14ac:dyDescent="0.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 spans="1:28" ht="15" x14ac:dyDescent="0.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 spans="1:28" ht="15" x14ac:dyDescent="0.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 spans="1:28" ht="15" x14ac:dyDescent="0.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 spans="1:28" ht="15" x14ac:dyDescent="0.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 spans="1:28" ht="15" x14ac:dyDescent="0.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 spans="1:28" ht="15" x14ac:dyDescent="0.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 spans="1:28" ht="15" x14ac:dyDescent="0.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 spans="1:28" ht="15" x14ac:dyDescent="0.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 spans="1:28" ht="15" x14ac:dyDescent="0.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 spans="1:28" ht="15" x14ac:dyDescent="0.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 spans="1:28" ht="15" x14ac:dyDescent="0.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 spans="1:28" ht="15" x14ac:dyDescent="0.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 spans="1:28" ht="15" x14ac:dyDescent="0.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 spans="1:28" ht="15" x14ac:dyDescent="0.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 spans="1:28" ht="15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 spans="1:28" ht="15" x14ac:dyDescent="0.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 spans="1:28" ht="15" x14ac:dyDescent="0.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 spans="1:28" ht="15" x14ac:dyDescent="0.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 spans="1:28" ht="15" x14ac:dyDescent="0.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 spans="1:28" ht="15" x14ac:dyDescent="0.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 spans="1:28" ht="15" x14ac:dyDescent="0.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 spans="1:28" ht="15" x14ac:dyDescent="0.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 spans="1:28" ht="15" x14ac:dyDescent="0.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 spans="1:28" ht="15" x14ac:dyDescent="0.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 spans="1:28" ht="15" x14ac:dyDescent="0.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 spans="1:28" ht="15" x14ac:dyDescent="0.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 spans="1:28" ht="15" x14ac:dyDescent="0.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 spans="1:28" ht="15" x14ac:dyDescent="0.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 spans="1:28" ht="15" x14ac:dyDescent="0.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 spans="1:28" ht="15" x14ac:dyDescent="0.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 spans="1:28" ht="15" x14ac:dyDescent="0.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 spans="1:28" ht="15" x14ac:dyDescent="0.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 spans="1:28" ht="15" x14ac:dyDescent="0.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 spans="1:28" ht="15" x14ac:dyDescent="0.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 spans="1:28" ht="15" x14ac:dyDescent="0.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 spans="1:28" ht="15" x14ac:dyDescent="0.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 spans="1:28" ht="15" x14ac:dyDescent="0.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 spans="1:28" ht="15" x14ac:dyDescent="0.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 spans="1:28" ht="15" x14ac:dyDescent="0.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 spans="1:28" ht="15" x14ac:dyDescent="0.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 spans="1:28" ht="15" x14ac:dyDescent="0.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 spans="1:28" ht="15" x14ac:dyDescent="0.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 spans="1:28" ht="15" x14ac:dyDescent="0.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 spans="1:28" ht="15" x14ac:dyDescent="0.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 spans="1:28" ht="15" x14ac:dyDescent="0.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 spans="1:28" ht="15" x14ac:dyDescent="0.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 spans="1:28" ht="15" x14ac:dyDescent="0.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 spans="1:28" ht="15" x14ac:dyDescent="0.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 spans="1:28" ht="15" x14ac:dyDescent="0.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 spans="1:28" ht="15" x14ac:dyDescent="0.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 spans="1:28" ht="15" x14ac:dyDescent="0.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 spans="1:28" ht="15" x14ac:dyDescent="0.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 spans="1:28" ht="15" x14ac:dyDescent="0.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 spans="1:28" ht="15" x14ac:dyDescent="0.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 spans="1:28" ht="15" x14ac:dyDescent="0.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 spans="1:28" ht="15" x14ac:dyDescent="0.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 spans="1:28" ht="15" x14ac:dyDescent="0.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 spans="1:28" ht="15" x14ac:dyDescent="0.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 spans="1:28" ht="15" x14ac:dyDescent="0.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 spans="1:28" ht="15" x14ac:dyDescent="0.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 spans="1:28" ht="15" x14ac:dyDescent="0.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 spans="1:28" ht="15" x14ac:dyDescent="0.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 spans="1:28" ht="15" x14ac:dyDescent="0.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 spans="1:28" ht="15" x14ac:dyDescent="0.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 spans="1:28" ht="15" x14ac:dyDescent="0.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 spans="1:28" ht="15" x14ac:dyDescent="0.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 spans="1:28" ht="15" x14ac:dyDescent="0.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 spans="1:28" ht="15" x14ac:dyDescent="0.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 spans="1:28" ht="15" x14ac:dyDescent="0.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 spans="1:28" ht="15" x14ac:dyDescent="0.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 spans="1:28" ht="15" x14ac:dyDescent="0.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 spans="1:28" ht="15" x14ac:dyDescent="0.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 spans="1:28" ht="15" x14ac:dyDescent="0.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 spans="1:28" ht="15" x14ac:dyDescent="0.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 spans="1:28" ht="15" x14ac:dyDescent="0.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 spans="1:28" ht="15" x14ac:dyDescent="0.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 spans="1:28" ht="15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 spans="1:28" ht="15" x14ac:dyDescent="0.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 spans="1:28" ht="15" x14ac:dyDescent="0.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 spans="1:28" ht="15" x14ac:dyDescent="0.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 spans="1:28" ht="15" x14ac:dyDescent="0.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 spans="1:28" ht="15" x14ac:dyDescent="0.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 spans="1:28" ht="15" x14ac:dyDescent="0.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 spans="1:28" ht="15" x14ac:dyDescent="0.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 spans="1:28" ht="15" x14ac:dyDescent="0.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 spans="1:28" ht="15" x14ac:dyDescent="0.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 spans="1:28" ht="15" x14ac:dyDescent="0.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 spans="1:28" ht="15" x14ac:dyDescent="0.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 spans="1:28" ht="15" x14ac:dyDescent="0.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 spans="1:28" ht="15" x14ac:dyDescent="0.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 spans="1:28" ht="15" x14ac:dyDescent="0.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 spans="1:28" ht="15" x14ac:dyDescent="0.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 spans="1:28" ht="15" x14ac:dyDescent="0.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 spans="1:28" ht="15" x14ac:dyDescent="0.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 spans="1:28" ht="15" x14ac:dyDescent="0.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 spans="1:28" ht="15" x14ac:dyDescent="0.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 spans="1:28" ht="15" x14ac:dyDescent="0.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 spans="1:28" ht="15" x14ac:dyDescent="0.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 spans="1:28" ht="15" x14ac:dyDescent="0.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 spans="1:28" ht="15" x14ac:dyDescent="0.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 spans="1:28" ht="15" x14ac:dyDescent="0.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 spans="1:28" ht="15" x14ac:dyDescent="0.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 spans="1:28" ht="15" x14ac:dyDescent="0.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 spans="1:28" ht="15" x14ac:dyDescent="0.2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 spans="1:28" ht="15" x14ac:dyDescent="0.2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 spans="1:28" ht="15" x14ac:dyDescent="0.2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 spans="1:28" ht="15" x14ac:dyDescent="0.2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 spans="1:28" ht="15" x14ac:dyDescent="0.2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 spans="1:28" ht="15" x14ac:dyDescent="0.2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 spans="1:28" ht="15" x14ac:dyDescent="0.2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 spans="1:28" ht="15" x14ac:dyDescent="0.2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 spans="1:28" ht="15" x14ac:dyDescent="0.2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 spans="1:28" ht="15" x14ac:dyDescent="0.2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 spans="1:28" ht="15" x14ac:dyDescent="0.2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 spans="1:28" ht="15" x14ac:dyDescent="0.2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 spans="1:28" ht="15" x14ac:dyDescent="0.2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 spans="1:28" ht="15" x14ac:dyDescent="0.2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 spans="1:28" ht="15" x14ac:dyDescent="0.2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 spans="1:28" ht="15" x14ac:dyDescent="0.2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 spans="1:28" ht="15" x14ac:dyDescent="0.2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 spans="1:28" ht="15" x14ac:dyDescent="0.2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 spans="1:28" ht="15" x14ac:dyDescent="0.2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 spans="1:28" ht="15" x14ac:dyDescent="0.2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 spans="1:28" ht="15" x14ac:dyDescent="0.2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 spans="1:28" ht="15" x14ac:dyDescent="0.2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 spans="1:28" ht="15" x14ac:dyDescent="0.2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 spans="1:28" ht="15" x14ac:dyDescent="0.2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 spans="1:28" ht="15" x14ac:dyDescent="0.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 spans="1:28" ht="15" x14ac:dyDescent="0.2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 spans="1:28" ht="15" x14ac:dyDescent="0.2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 spans="1:28" ht="15" x14ac:dyDescent="0.2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 spans="1:28" ht="15" x14ac:dyDescent="0.2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 spans="1:28" ht="15" x14ac:dyDescent="0.2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 spans="1:28" ht="15" x14ac:dyDescent="0.2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 spans="1:28" ht="15" x14ac:dyDescent="0.2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 spans="1:28" ht="15" x14ac:dyDescent="0.2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 spans="1:28" ht="15" x14ac:dyDescent="0.2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 spans="1:28" ht="15" x14ac:dyDescent="0.2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 spans="1:28" ht="15" x14ac:dyDescent="0.2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 spans="1:28" ht="15" x14ac:dyDescent="0.2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 spans="1:28" ht="15" x14ac:dyDescent="0.2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 spans="1:28" ht="15" x14ac:dyDescent="0.2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 spans="1:28" ht="15" x14ac:dyDescent="0.2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 spans="1:28" ht="15" x14ac:dyDescent="0.2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 spans="1:28" ht="15" x14ac:dyDescent="0.2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 spans="1:28" ht="15" x14ac:dyDescent="0.2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 spans="1:28" ht="15" x14ac:dyDescent="0.2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 spans="1:28" ht="15" x14ac:dyDescent="0.2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 spans="1:28" ht="15" x14ac:dyDescent="0.2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 spans="1:28" ht="15" x14ac:dyDescent="0.2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 spans="1:28" ht="15" x14ac:dyDescent="0.2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 spans="1:28" ht="15" x14ac:dyDescent="0.2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 spans="1:28" ht="15" x14ac:dyDescent="0.2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 spans="1:28" ht="15" x14ac:dyDescent="0.2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 spans="1:28" ht="15" x14ac:dyDescent="0.2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 spans="1:28" ht="15" x14ac:dyDescent="0.2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 spans="1:28" ht="15" x14ac:dyDescent="0.2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 spans="1:28" ht="15" x14ac:dyDescent="0.2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 spans="1:28" ht="15" x14ac:dyDescent="0.2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 spans="1:28" ht="15" x14ac:dyDescent="0.2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 spans="1:28" ht="15" x14ac:dyDescent="0.2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 spans="1:28" ht="15" x14ac:dyDescent="0.2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 spans="1:28" ht="15" x14ac:dyDescent="0.2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 spans="1:28" ht="15" x14ac:dyDescent="0.2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 spans="1:28" ht="15" x14ac:dyDescent="0.2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 spans="1:28" ht="15" x14ac:dyDescent="0.2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 spans="1:28" ht="15" x14ac:dyDescent="0.2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 spans="1:28" ht="15" x14ac:dyDescent="0.2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 spans="1:28" ht="15" x14ac:dyDescent="0.2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 spans="1:28" ht="15" x14ac:dyDescent="0.2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 spans="1:28" ht="15" x14ac:dyDescent="0.2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 spans="1:28" ht="15" x14ac:dyDescent="0.2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 spans="1:28" ht="15" x14ac:dyDescent="0.2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 spans="1:28" ht="15" x14ac:dyDescent="0.2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 spans="1:28" ht="15" x14ac:dyDescent="0.2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 spans="1:28" ht="15" x14ac:dyDescent="0.2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 spans="1:28" ht="15" x14ac:dyDescent="0.2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 spans="1:28" ht="15" x14ac:dyDescent="0.2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 spans="1:28" ht="15" x14ac:dyDescent="0.2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 spans="1:28" ht="15" x14ac:dyDescent="0.2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 spans="1:28" ht="15" x14ac:dyDescent="0.2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 spans="1:28" ht="15" x14ac:dyDescent="0.2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 spans="1:28" ht="15" x14ac:dyDescent="0.2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 spans="1:28" ht="15" x14ac:dyDescent="0.2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 spans="1:28" ht="15" x14ac:dyDescent="0.2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 spans="1:28" ht="15" x14ac:dyDescent="0.2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 spans="1:28" ht="15" x14ac:dyDescent="0.2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 spans="1:28" ht="15" x14ac:dyDescent="0.2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 spans="1:28" ht="15" x14ac:dyDescent="0.2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 spans="1:28" ht="15" x14ac:dyDescent="0.2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 spans="1:28" ht="15" x14ac:dyDescent="0.2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 spans="1:28" ht="15" x14ac:dyDescent="0.2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 spans="1:28" ht="15" x14ac:dyDescent="0.2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 spans="1:28" ht="15" x14ac:dyDescent="0.2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 spans="1:28" ht="15" x14ac:dyDescent="0.2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 spans="1:28" ht="15" x14ac:dyDescent="0.2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 spans="1:28" ht="15" x14ac:dyDescent="0.2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 spans="1:28" ht="15" x14ac:dyDescent="0.2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 spans="1:28" ht="15" x14ac:dyDescent="0.2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 spans="1:28" ht="15" x14ac:dyDescent="0.2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 spans="1:28" ht="15" x14ac:dyDescent="0.2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 spans="1:28" ht="15" x14ac:dyDescent="0.2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 spans="1:28" ht="15" x14ac:dyDescent="0.2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 spans="1:28" ht="15" x14ac:dyDescent="0.2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 spans="1:28" ht="15" x14ac:dyDescent="0.2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 spans="1:28" ht="15" x14ac:dyDescent="0.2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 spans="1:28" ht="15" x14ac:dyDescent="0.2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 spans="1:28" ht="15" x14ac:dyDescent="0.2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 spans="1:28" ht="15" x14ac:dyDescent="0.2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 spans="1:28" ht="15" x14ac:dyDescent="0.2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 spans="1:28" ht="15" x14ac:dyDescent="0.2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 spans="1:28" ht="15" x14ac:dyDescent="0.2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 spans="1:28" ht="15" x14ac:dyDescent="0.2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 spans="1:28" ht="15" x14ac:dyDescent="0.2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 spans="1:28" ht="15" x14ac:dyDescent="0.2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 spans="1:28" ht="15" x14ac:dyDescent="0.2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 spans="1:28" ht="15" x14ac:dyDescent="0.2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 spans="1:28" ht="15" x14ac:dyDescent="0.2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 spans="1:28" ht="15" x14ac:dyDescent="0.2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 spans="1:28" ht="15" x14ac:dyDescent="0.2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 spans="1:28" ht="15" x14ac:dyDescent="0.2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 spans="1:28" ht="15" x14ac:dyDescent="0.2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 spans="1:28" ht="15" x14ac:dyDescent="0.2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 spans="1:28" ht="15" x14ac:dyDescent="0.2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 spans="1:28" ht="15" x14ac:dyDescent="0.2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 spans="1:28" ht="15" x14ac:dyDescent="0.2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 spans="1:28" ht="15" x14ac:dyDescent="0.2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 spans="1:28" ht="15" x14ac:dyDescent="0.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 spans="1:28" ht="15" x14ac:dyDescent="0.2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 spans="1:28" ht="15" x14ac:dyDescent="0.2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 spans="1:28" ht="15" x14ac:dyDescent="0.2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 spans="1:28" ht="15" x14ac:dyDescent="0.2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 spans="1:28" ht="15" x14ac:dyDescent="0.2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 spans="1:28" ht="15" x14ac:dyDescent="0.2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 spans="1:28" ht="15" x14ac:dyDescent="0.2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 spans="1:28" ht="15" x14ac:dyDescent="0.2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 spans="1:28" ht="15" x14ac:dyDescent="0.2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 spans="1:28" ht="15" x14ac:dyDescent="0.2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 spans="1:28" ht="15" x14ac:dyDescent="0.2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 spans="1:28" ht="15" x14ac:dyDescent="0.2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 spans="1:28" ht="15" x14ac:dyDescent="0.2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 spans="1:28" ht="15" x14ac:dyDescent="0.2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 spans="1:28" ht="15" x14ac:dyDescent="0.2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 spans="1:28" ht="15" x14ac:dyDescent="0.2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 spans="1:28" ht="15" x14ac:dyDescent="0.2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 spans="1:28" ht="15" x14ac:dyDescent="0.2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 spans="1:28" ht="15" x14ac:dyDescent="0.2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 spans="1:28" ht="15" x14ac:dyDescent="0.2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 spans="1:28" ht="15" x14ac:dyDescent="0.2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 spans="1:28" ht="15" x14ac:dyDescent="0.2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 spans="1:28" ht="15" x14ac:dyDescent="0.2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 spans="1:28" ht="15" x14ac:dyDescent="0.2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 spans="1:28" ht="15" x14ac:dyDescent="0.2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 spans="1:28" ht="15" x14ac:dyDescent="0.2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 spans="1:28" ht="15" x14ac:dyDescent="0.2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 spans="1:28" ht="15" x14ac:dyDescent="0.2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 spans="1:28" ht="15" x14ac:dyDescent="0.2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 spans="1:28" ht="15" x14ac:dyDescent="0.2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 spans="1:28" ht="15" x14ac:dyDescent="0.2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 spans="1:28" ht="15" x14ac:dyDescent="0.2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 spans="1:28" ht="15" x14ac:dyDescent="0.2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 spans="1:28" ht="15" x14ac:dyDescent="0.2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 spans="1:28" ht="15" x14ac:dyDescent="0.2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 spans="1:28" ht="15" x14ac:dyDescent="0.2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 spans="1:28" ht="15" x14ac:dyDescent="0.2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 spans="1:28" ht="15" x14ac:dyDescent="0.2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 spans="1:28" ht="15" x14ac:dyDescent="0.2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 spans="1:28" ht="15" x14ac:dyDescent="0.2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 spans="1:28" ht="15" x14ac:dyDescent="0.2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 spans="1:28" ht="15" x14ac:dyDescent="0.2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 spans="1:28" ht="15" x14ac:dyDescent="0.2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 spans="1:28" ht="15" x14ac:dyDescent="0.2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 spans="1:28" ht="15" x14ac:dyDescent="0.2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 spans="1:28" ht="15" x14ac:dyDescent="0.2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 spans="1:28" ht="15" x14ac:dyDescent="0.2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 spans="1:28" ht="15" x14ac:dyDescent="0.2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 spans="1:28" ht="15" x14ac:dyDescent="0.2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 spans="1:28" ht="15" x14ac:dyDescent="0.2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 spans="1:28" ht="15" x14ac:dyDescent="0.2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 spans="1:28" ht="15" x14ac:dyDescent="0.2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 spans="1:28" ht="15" x14ac:dyDescent="0.2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 spans="1:28" ht="15" x14ac:dyDescent="0.2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 spans="1:28" ht="15" x14ac:dyDescent="0.2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 spans="1:28" ht="15" x14ac:dyDescent="0.2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 spans="1:28" ht="15" x14ac:dyDescent="0.2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 spans="1:28" ht="15" x14ac:dyDescent="0.2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 spans="1:28" ht="15" x14ac:dyDescent="0.2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 spans="1:28" ht="15" x14ac:dyDescent="0.2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 spans="1:28" ht="15" x14ac:dyDescent="0.2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 spans="1:28" ht="15" x14ac:dyDescent="0.2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 spans="1:28" ht="15" x14ac:dyDescent="0.2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 spans="1:28" ht="15" x14ac:dyDescent="0.2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 spans="1:28" ht="15" x14ac:dyDescent="0.2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 spans="1:28" ht="15" x14ac:dyDescent="0.2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 spans="1:28" ht="15" x14ac:dyDescent="0.2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 spans="1:28" ht="15" x14ac:dyDescent="0.2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 spans="1:28" ht="15" x14ac:dyDescent="0.2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 spans="1:28" ht="15" x14ac:dyDescent="0.2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 spans="1:28" ht="15" x14ac:dyDescent="0.2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 spans="1:28" ht="15" x14ac:dyDescent="0.2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 spans="1:28" ht="15" x14ac:dyDescent="0.2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 spans="1:28" ht="15" x14ac:dyDescent="0.2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 spans="1:28" ht="15" x14ac:dyDescent="0.2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 spans="1:28" ht="15" x14ac:dyDescent="0.2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 spans="1:28" ht="15" x14ac:dyDescent="0.2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 spans="1:28" ht="15" x14ac:dyDescent="0.2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 spans="1:28" ht="15" x14ac:dyDescent="0.2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 spans="1:28" ht="15" x14ac:dyDescent="0.2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 spans="1:28" ht="15" x14ac:dyDescent="0.2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 spans="1:28" ht="15" x14ac:dyDescent="0.2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 spans="1:28" ht="15" x14ac:dyDescent="0.2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 spans="1:28" ht="15" x14ac:dyDescent="0.2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 spans="1:28" ht="15" x14ac:dyDescent="0.2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 spans="1:28" ht="15" x14ac:dyDescent="0.2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 spans="1:28" ht="15" x14ac:dyDescent="0.2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 spans="1:28" ht="15" x14ac:dyDescent="0.2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 spans="1:28" ht="15" x14ac:dyDescent="0.2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 spans="1:28" ht="15" x14ac:dyDescent="0.2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 spans="1:28" ht="15" x14ac:dyDescent="0.2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 spans="1:28" ht="15" x14ac:dyDescent="0.2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 spans="1:28" ht="15" x14ac:dyDescent="0.2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 spans="1:28" ht="15" x14ac:dyDescent="0.2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 spans="1:28" ht="15" x14ac:dyDescent="0.2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 spans="1:28" ht="15" x14ac:dyDescent="0.2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 spans="1:28" ht="15" x14ac:dyDescent="0.2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 spans="1:28" ht="15" x14ac:dyDescent="0.2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 spans="1:28" ht="15" x14ac:dyDescent="0.2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 spans="1:28" ht="15" x14ac:dyDescent="0.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 spans="1:28" ht="15" x14ac:dyDescent="0.2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 spans="1:28" ht="15" x14ac:dyDescent="0.2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 spans="1:28" ht="15" x14ac:dyDescent="0.2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 spans="1:28" ht="15" x14ac:dyDescent="0.2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 spans="1:28" ht="15" x14ac:dyDescent="0.2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 spans="1:28" ht="15" x14ac:dyDescent="0.2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 spans="1:28" ht="15" x14ac:dyDescent="0.2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 spans="1:28" ht="15" x14ac:dyDescent="0.2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 spans="1:28" ht="15" x14ac:dyDescent="0.2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 spans="1:28" ht="15" x14ac:dyDescent="0.2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 spans="1:28" ht="15" x14ac:dyDescent="0.2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 spans="1:28" ht="15" x14ac:dyDescent="0.2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 spans="1:28" ht="15" x14ac:dyDescent="0.2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 spans="1:28" ht="15" x14ac:dyDescent="0.2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 spans="1:28" ht="15" x14ac:dyDescent="0.2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 spans="1:28" ht="15" x14ac:dyDescent="0.2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 spans="1:28" ht="15" x14ac:dyDescent="0.2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 spans="1:28" ht="15" x14ac:dyDescent="0.2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 spans="1:28" ht="15" x14ac:dyDescent="0.2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 spans="1:28" ht="15" x14ac:dyDescent="0.2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 spans="1:28" ht="15" x14ac:dyDescent="0.2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 spans="1:28" ht="15" x14ac:dyDescent="0.2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 spans="1:28" ht="15" x14ac:dyDescent="0.2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 spans="1:28" ht="15" x14ac:dyDescent="0.2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 spans="1:28" ht="15" x14ac:dyDescent="0.2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 spans="1:28" ht="15" x14ac:dyDescent="0.2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 spans="1:28" ht="15" x14ac:dyDescent="0.2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 spans="1:28" ht="15" x14ac:dyDescent="0.2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 spans="1:28" ht="15" x14ac:dyDescent="0.2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 spans="1:28" ht="15" x14ac:dyDescent="0.2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 spans="1:28" ht="15" x14ac:dyDescent="0.2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 spans="1:28" ht="15" x14ac:dyDescent="0.2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 spans="1:28" ht="15" x14ac:dyDescent="0.2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 spans="1:28" ht="15" x14ac:dyDescent="0.2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 spans="1:28" ht="15" x14ac:dyDescent="0.2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 spans="1:28" ht="15" x14ac:dyDescent="0.2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 spans="1:28" ht="15" x14ac:dyDescent="0.2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 spans="1:28" ht="15" x14ac:dyDescent="0.2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 spans="1:28" ht="15" x14ac:dyDescent="0.2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 spans="1:28" ht="15" x14ac:dyDescent="0.2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 spans="1:28" ht="15" x14ac:dyDescent="0.2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 spans="1:28" ht="15" x14ac:dyDescent="0.2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 spans="1:28" ht="15" x14ac:dyDescent="0.2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 spans="1:28" ht="15" x14ac:dyDescent="0.2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 spans="1:28" ht="15" x14ac:dyDescent="0.2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 spans="1:28" ht="15" x14ac:dyDescent="0.2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 spans="1:28" ht="15" x14ac:dyDescent="0.2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 spans="1:28" ht="15" x14ac:dyDescent="0.2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 spans="1:28" ht="15" x14ac:dyDescent="0.2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 spans="1:28" ht="15" x14ac:dyDescent="0.2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 spans="1:28" ht="15" x14ac:dyDescent="0.2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 spans="1:28" ht="15" x14ac:dyDescent="0.2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 spans="1:28" ht="15" x14ac:dyDescent="0.2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 spans="1:28" ht="15" x14ac:dyDescent="0.2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 spans="1:28" ht="15" x14ac:dyDescent="0.2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 spans="1:28" ht="15" x14ac:dyDescent="0.2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 spans="1:28" ht="15" x14ac:dyDescent="0.2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 spans="1:28" ht="15" x14ac:dyDescent="0.2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 spans="1:28" ht="15" x14ac:dyDescent="0.2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 spans="1:28" ht="15" x14ac:dyDescent="0.2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 spans="1:28" ht="15" x14ac:dyDescent="0.2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 spans="1:28" ht="15" x14ac:dyDescent="0.2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 spans="1:28" ht="15" x14ac:dyDescent="0.2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 spans="1:28" ht="15" x14ac:dyDescent="0.2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 spans="1:28" ht="15" x14ac:dyDescent="0.2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 spans="1:28" ht="15" x14ac:dyDescent="0.2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 spans="1:28" ht="15" x14ac:dyDescent="0.2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 spans="1:28" ht="15" x14ac:dyDescent="0.2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 spans="1:28" ht="15" x14ac:dyDescent="0.2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 spans="1:28" ht="15" x14ac:dyDescent="0.2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 spans="1:28" ht="15" x14ac:dyDescent="0.2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 spans="1:28" ht="15" x14ac:dyDescent="0.2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 spans="1:28" ht="15" x14ac:dyDescent="0.2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 spans="1:28" ht="15" x14ac:dyDescent="0.2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 spans="1:28" ht="15" x14ac:dyDescent="0.2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 spans="1:28" ht="15" x14ac:dyDescent="0.2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 spans="1:28" ht="15" x14ac:dyDescent="0.2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 spans="1:28" ht="15" x14ac:dyDescent="0.2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 spans="1:28" ht="15" x14ac:dyDescent="0.2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 spans="1:28" ht="15" x14ac:dyDescent="0.2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 spans="1:28" ht="15" x14ac:dyDescent="0.2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 spans="1:28" ht="15" x14ac:dyDescent="0.2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 spans="1:28" ht="15" x14ac:dyDescent="0.2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 spans="1:28" ht="15" x14ac:dyDescent="0.2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 spans="1:28" ht="15" x14ac:dyDescent="0.2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 spans="1:28" ht="15" x14ac:dyDescent="0.2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 spans="1:28" ht="15" x14ac:dyDescent="0.2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 spans="1:28" ht="15" x14ac:dyDescent="0.2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 spans="1:28" ht="15" x14ac:dyDescent="0.2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 spans="1:28" ht="15" x14ac:dyDescent="0.2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 spans="1:28" ht="15" x14ac:dyDescent="0.2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 spans="1:28" ht="15" x14ac:dyDescent="0.2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 spans="1:28" ht="15" x14ac:dyDescent="0.2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 spans="1:28" ht="15" x14ac:dyDescent="0.2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 spans="1:28" ht="15" x14ac:dyDescent="0.2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 spans="1:28" ht="15" x14ac:dyDescent="0.2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 spans="1:28" ht="15" x14ac:dyDescent="0.2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 spans="1:28" ht="15" x14ac:dyDescent="0.2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 spans="1:28" ht="15" x14ac:dyDescent="0.2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 spans="1:28" ht="15" x14ac:dyDescent="0.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 spans="1:28" ht="15" x14ac:dyDescent="0.2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 spans="1:28" ht="15" x14ac:dyDescent="0.2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 spans="1:28" ht="15" x14ac:dyDescent="0.2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 spans="1:28" ht="15" x14ac:dyDescent="0.2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 spans="1:28" ht="15" x14ac:dyDescent="0.2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 spans="1:28" ht="15" x14ac:dyDescent="0.2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 spans="1:28" ht="15" x14ac:dyDescent="0.2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 spans="1:28" ht="15" x14ac:dyDescent="0.2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 spans="1:28" ht="15" x14ac:dyDescent="0.2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 spans="1:28" ht="15" x14ac:dyDescent="0.2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 spans="1:28" ht="15" x14ac:dyDescent="0.2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 spans="1:28" ht="15" x14ac:dyDescent="0.2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 spans="1:28" ht="15" x14ac:dyDescent="0.2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 spans="1:28" ht="15" x14ac:dyDescent="0.2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 spans="1:28" ht="15" x14ac:dyDescent="0.2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 spans="1:28" ht="15" x14ac:dyDescent="0.2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 spans="1:28" ht="15" x14ac:dyDescent="0.2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 spans="1:28" ht="15" x14ac:dyDescent="0.2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 spans="1:28" ht="15" x14ac:dyDescent="0.2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 spans="1:28" ht="15" x14ac:dyDescent="0.2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 spans="1:28" ht="15" x14ac:dyDescent="0.2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 spans="1:28" ht="15" x14ac:dyDescent="0.2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 spans="1:28" ht="15" x14ac:dyDescent="0.2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 spans="1:28" ht="15" x14ac:dyDescent="0.2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 spans="1:28" ht="15" x14ac:dyDescent="0.2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 spans="1:28" ht="15" x14ac:dyDescent="0.2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 spans="1:28" ht="15" x14ac:dyDescent="0.2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 spans="1:28" ht="15" x14ac:dyDescent="0.2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 spans="1:28" ht="15" x14ac:dyDescent="0.2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 spans="1:28" ht="15" x14ac:dyDescent="0.2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 spans="1:28" ht="15" x14ac:dyDescent="0.2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 spans="1:28" ht="15" x14ac:dyDescent="0.2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 spans="1:28" ht="15" x14ac:dyDescent="0.2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 spans="1:28" ht="15" x14ac:dyDescent="0.2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 spans="1:28" ht="15" x14ac:dyDescent="0.2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 spans="1:28" ht="15" x14ac:dyDescent="0.2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 spans="1:28" ht="15" x14ac:dyDescent="0.2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 spans="1:28" ht="15" x14ac:dyDescent="0.2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 spans="1:28" ht="15" x14ac:dyDescent="0.2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 spans="1:28" ht="15" x14ac:dyDescent="0.2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 spans="1:28" ht="15" x14ac:dyDescent="0.2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 spans="1:28" ht="15" x14ac:dyDescent="0.2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 spans="1:28" ht="15" x14ac:dyDescent="0.2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 spans="1:28" ht="15" x14ac:dyDescent="0.2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 spans="1:28" ht="15" x14ac:dyDescent="0.2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 spans="1:28" ht="15" x14ac:dyDescent="0.2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 spans="1:28" ht="15" x14ac:dyDescent="0.2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 spans="1:28" ht="15" x14ac:dyDescent="0.2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 spans="1:28" ht="15" x14ac:dyDescent="0.2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 spans="1:28" ht="15" x14ac:dyDescent="0.2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 spans="1:28" ht="15" x14ac:dyDescent="0.2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 spans="1:28" ht="15" x14ac:dyDescent="0.2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 spans="1:28" ht="15" x14ac:dyDescent="0.2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 spans="1:28" ht="15" x14ac:dyDescent="0.2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 spans="1:28" ht="15" x14ac:dyDescent="0.2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 spans="1:28" ht="15" x14ac:dyDescent="0.2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 spans="1:28" ht="15" x14ac:dyDescent="0.2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 spans="1:28" ht="15" x14ac:dyDescent="0.2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 spans="1:28" ht="15" x14ac:dyDescent="0.2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 spans="1:28" ht="15" x14ac:dyDescent="0.2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 spans="1:28" ht="15" x14ac:dyDescent="0.2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 spans="1:28" ht="15" x14ac:dyDescent="0.2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 spans="1:28" ht="15" x14ac:dyDescent="0.2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 spans="1:28" ht="15" x14ac:dyDescent="0.2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 spans="1:28" ht="15" x14ac:dyDescent="0.2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 spans="1:28" ht="15" x14ac:dyDescent="0.2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 spans="1:28" ht="15" x14ac:dyDescent="0.2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 spans="1:28" ht="15" x14ac:dyDescent="0.2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 spans="1:28" ht="15" x14ac:dyDescent="0.2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 spans="1:28" ht="15" x14ac:dyDescent="0.2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 spans="1:28" ht="15" x14ac:dyDescent="0.2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 spans="1:28" ht="15" x14ac:dyDescent="0.2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 spans="1:28" ht="15" x14ac:dyDescent="0.2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 spans="1:28" ht="15" x14ac:dyDescent="0.2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 spans="1:28" ht="15" x14ac:dyDescent="0.2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 spans="1:28" ht="15" x14ac:dyDescent="0.2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 spans="1:28" ht="15" x14ac:dyDescent="0.2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 spans="1:28" ht="15" x14ac:dyDescent="0.2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 spans="1:28" ht="15" x14ac:dyDescent="0.2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 spans="1:28" ht="15" x14ac:dyDescent="0.2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 spans="1:28" ht="15" x14ac:dyDescent="0.2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 spans="1:28" ht="15" x14ac:dyDescent="0.2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 spans="1:28" ht="15" x14ac:dyDescent="0.2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 spans="1:28" ht="15" x14ac:dyDescent="0.2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 spans="1:28" ht="15" x14ac:dyDescent="0.2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 spans="1:28" ht="15" x14ac:dyDescent="0.2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 spans="1:28" ht="15" x14ac:dyDescent="0.2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 spans="1:28" ht="15" x14ac:dyDescent="0.2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 spans="1:28" ht="15" x14ac:dyDescent="0.2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 spans="1:28" ht="15" x14ac:dyDescent="0.2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 spans="1:28" ht="15" x14ac:dyDescent="0.2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 spans="1:28" ht="15" x14ac:dyDescent="0.2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 spans="1:28" ht="15" x14ac:dyDescent="0.2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 spans="1:28" ht="15" x14ac:dyDescent="0.2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 spans="1:28" ht="15" x14ac:dyDescent="0.2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 spans="1:28" ht="15" x14ac:dyDescent="0.2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 spans="1:28" ht="15" x14ac:dyDescent="0.2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 spans="1:28" ht="15" x14ac:dyDescent="0.2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 spans="1:28" ht="15" x14ac:dyDescent="0.2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 spans="1:28" ht="15" x14ac:dyDescent="0.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 spans="1:28" ht="15" x14ac:dyDescent="0.2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 spans="1:28" ht="15" x14ac:dyDescent="0.2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 spans="1:28" ht="15" x14ac:dyDescent="0.2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 spans="1:28" ht="15" x14ac:dyDescent="0.2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 spans="1:28" ht="15" x14ac:dyDescent="0.2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 spans="1:28" ht="15" x14ac:dyDescent="0.2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 spans="1:28" ht="15" x14ac:dyDescent="0.2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 spans="1:28" ht="15" x14ac:dyDescent="0.2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 spans="1:28" ht="15" x14ac:dyDescent="0.2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 spans="1:28" ht="15" x14ac:dyDescent="0.2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 spans="1:28" ht="15" x14ac:dyDescent="0.2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 spans="1:28" ht="15" x14ac:dyDescent="0.2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 spans="1:28" ht="15" x14ac:dyDescent="0.2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 spans="1:28" ht="15" x14ac:dyDescent="0.2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 spans="1:28" ht="15" x14ac:dyDescent="0.2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 spans="1:28" ht="15" x14ac:dyDescent="0.2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 spans="1:28" ht="15" x14ac:dyDescent="0.2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 spans="1:28" ht="15" x14ac:dyDescent="0.2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 spans="1:28" ht="15" x14ac:dyDescent="0.2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 spans="1:28" ht="15" x14ac:dyDescent="0.2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 spans="1:28" ht="15" x14ac:dyDescent="0.2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 spans="1:28" ht="15" x14ac:dyDescent="0.2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 spans="1:28" ht="15" x14ac:dyDescent="0.2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 spans="1:28" ht="15" x14ac:dyDescent="0.2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 spans="1:28" ht="15" x14ac:dyDescent="0.2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 spans="1:28" ht="15" x14ac:dyDescent="0.2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 spans="1:28" ht="15" x14ac:dyDescent="0.2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 spans="1:28" ht="15" x14ac:dyDescent="0.2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 spans="1:28" ht="15" x14ac:dyDescent="0.2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 spans="1:28" ht="15" x14ac:dyDescent="0.2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 spans="1:28" ht="15" x14ac:dyDescent="0.2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 spans="1:28" ht="15" x14ac:dyDescent="0.2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 spans="1:28" ht="15" x14ac:dyDescent="0.2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 spans="1:28" ht="15" x14ac:dyDescent="0.2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 spans="1:28" ht="15" x14ac:dyDescent="0.2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 spans="1:28" ht="15" x14ac:dyDescent="0.2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 spans="1:28" ht="15" x14ac:dyDescent="0.2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 spans="1:28" ht="15" x14ac:dyDescent="0.2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 spans="1:28" ht="15" x14ac:dyDescent="0.2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 spans="1:28" ht="15" x14ac:dyDescent="0.2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 spans="1:28" ht="15" x14ac:dyDescent="0.2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 spans="1:28" ht="15" x14ac:dyDescent="0.2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 spans="1:28" ht="15" x14ac:dyDescent="0.2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 spans="1:28" ht="15" x14ac:dyDescent="0.2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 spans="1:28" ht="15" x14ac:dyDescent="0.2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 spans="1:28" ht="15" x14ac:dyDescent="0.2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 spans="1:28" ht="15" x14ac:dyDescent="0.2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 spans="1:28" ht="15" x14ac:dyDescent="0.2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 spans="1:28" ht="15" x14ac:dyDescent="0.2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 spans="1:28" ht="15" x14ac:dyDescent="0.2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 spans="1:28" ht="15" x14ac:dyDescent="0.2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 spans="1:28" ht="15" x14ac:dyDescent="0.2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 spans="1:28" ht="15" x14ac:dyDescent="0.2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 spans="1:28" ht="15" x14ac:dyDescent="0.2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 spans="1:28" ht="15" x14ac:dyDescent="0.2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 spans="1:28" ht="15" x14ac:dyDescent="0.2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 spans="1:28" ht="15" x14ac:dyDescent="0.2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 spans="1:28" ht="15" x14ac:dyDescent="0.2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 spans="1:28" ht="15" x14ac:dyDescent="0.2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 spans="1:28" ht="15" x14ac:dyDescent="0.2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 spans="1:28" ht="15" x14ac:dyDescent="0.2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 spans="1:28" ht="15" x14ac:dyDescent="0.2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 spans="1:28" ht="15" x14ac:dyDescent="0.2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 spans="1:28" ht="15" x14ac:dyDescent="0.2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 spans="1:28" ht="15" x14ac:dyDescent="0.2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 spans="1:28" ht="15" x14ac:dyDescent="0.2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 spans="1:28" ht="15" x14ac:dyDescent="0.2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 spans="1:28" ht="15" x14ac:dyDescent="0.2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 spans="1:28" ht="15" x14ac:dyDescent="0.2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 spans="1:28" ht="15" x14ac:dyDescent="0.2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 spans="1:28" ht="15" x14ac:dyDescent="0.2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 spans="1:28" ht="15" x14ac:dyDescent="0.2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 spans="1:28" ht="15" x14ac:dyDescent="0.2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  <row r="999" spans="1:28" ht="15" x14ac:dyDescent="0.25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7" max="7" width="17.42578125" customWidth="1"/>
  </cols>
  <sheetData>
    <row r="1" spans="1:7" x14ac:dyDescent="0.2">
      <c r="A1" s="162" t="s">
        <v>14</v>
      </c>
      <c r="B1" s="163" t="s">
        <v>201</v>
      </c>
      <c r="C1" s="163" t="s">
        <v>227</v>
      </c>
      <c r="D1" s="163" t="s">
        <v>228</v>
      </c>
      <c r="E1" s="163" t="s">
        <v>229</v>
      </c>
      <c r="F1" s="163" t="s">
        <v>230</v>
      </c>
      <c r="G1" s="163" t="s">
        <v>231</v>
      </c>
    </row>
    <row r="2" spans="1:7" x14ac:dyDescent="0.2">
      <c r="A2" s="164" t="s">
        <v>48</v>
      </c>
      <c r="B2" s="35">
        <v>50</v>
      </c>
      <c r="C2" s="165" t="str">
        <f ca="1">IFERROR(__xludf.DUMMYFUNCTION("TO_TEXT((E2/50)*10)&amp;(TO_TEXT(""/10""))"),"8/10")</f>
        <v>8/10</v>
      </c>
      <c r="D2" s="35">
        <v>2000</v>
      </c>
      <c r="E2" s="35">
        <f t="shared" ref="E2:E6" si="0">D2/B2</f>
        <v>40</v>
      </c>
      <c r="F2" s="35">
        <v>3</v>
      </c>
      <c r="G2" s="166">
        <f t="shared" ref="G2:G6" si="1">B2/F2</f>
        <v>16.666666666666668</v>
      </c>
    </row>
    <row r="3" spans="1:7" x14ac:dyDescent="0.2">
      <c r="A3" s="164" t="s">
        <v>232</v>
      </c>
      <c r="B3" s="35">
        <v>50</v>
      </c>
      <c r="C3" s="165" t="str">
        <f ca="1">IFERROR(__xludf.DUMMYFUNCTION("TO_TEXT((E3/50)*10)&amp;(TO_TEXT(""/10""))"),"8/10")</f>
        <v>8/10</v>
      </c>
      <c r="D3" s="35">
        <v>2000</v>
      </c>
      <c r="E3" s="35">
        <f t="shared" si="0"/>
        <v>40</v>
      </c>
      <c r="F3" s="35">
        <v>3</v>
      </c>
      <c r="G3" s="166">
        <f t="shared" si="1"/>
        <v>16.666666666666668</v>
      </c>
    </row>
    <row r="4" spans="1:7" x14ac:dyDescent="0.2">
      <c r="A4" s="164" t="s">
        <v>233</v>
      </c>
      <c r="B4" s="35">
        <v>50</v>
      </c>
      <c r="C4" s="165" t="str">
        <f ca="1">IFERROR(__xludf.DUMMYFUNCTION("TO_TEXT((E4/50)*10)&amp;(TO_TEXT(""/10""))"),"8/10")</f>
        <v>8/10</v>
      </c>
      <c r="D4" s="35">
        <v>2000</v>
      </c>
      <c r="E4" s="35">
        <f t="shared" si="0"/>
        <v>40</v>
      </c>
      <c r="F4" s="35">
        <v>6</v>
      </c>
      <c r="G4" s="166">
        <f t="shared" si="1"/>
        <v>8.3333333333333339</v>
      </c>
    </row>
    <row r="5" spans="1:7" x14ac:dyDescent="0.2">
      <c r="A5" s="164" t="s">
        <v>79</v>
      </c>
      <c r="B5" s="35">
        <v>50</v>
      </c>
      <c r="C5" s="165" t="str">
        <f ca="1">IFERROR(__xludf.DUMMYFUNCTION("TO_TEXT((E5/50)*10)&amp;(TO_TEXT(""/10""))"),"8/10")</f>
        <v>8/10</v>
      </c>
      <c r="D5" s="35">
        <v>2000</v>
      </c>
      <c r="E5" s="35">
        <f t="shared" si="0"/>
        <v>40</v>
      </c>
      <c r="F5" s="35">
        <v>5</v>
      </c>
      <c r="G5" s="166">
        <f t="shared" si="1"/>
        <v>10</v>
      </c>
    </row>
    <row r="6" spans="1:7" x14ac:dyDescent="0.2">
      <c r="A6" s="164" t="s">
        <v>234</v>
      </c>
      <c r="B6" s="35">
        <v>50</v>
      </c>
      <c r="C6" s="165" t="str">
        <f ca="1">IFERROR(__xludf.DUMMYFUNCTION("TO_TEXT((E6/50)*10)&amp;(TO_TEXT(""/10""))"),"8/10")</f>
        <v>8/10</v>
      </c>
      <c r="D6" s="35">
        <v>2000</v>
      </c>
      <c r="E6" s="35">
        <f t="shared" si="0"/>
        <v>40</v>
      </c>
      <c r="F6" s="35">
        <v>3</v>
      </c>
      <c r="G6" s="166">
        <f t="shared" si="1"/>
        <v>16.666666666666668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T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166"/>
    </sheetView>
  </sheetViews>
  <sheetFormatPr defaultColWidth="12.5703125" defaultRowHeight="15.75" customHeight="1" x14ac:dyDescent="0.2"/>
  <cols>
    <col min="2" max="2" width="15.140625" customWidth="1"/>
    <col min="4" max="4" width="13.42578125" customWidth="1"/>
    <col min="15" max="15" width="13" customWidth="1"/>
    <col min="19" max="19" width="11.7109375" customWidth="1"/>
    <col min="20" max="20" width="15.28515625" customWidth="1"/>
  </cols>
  <sheetData>
    <row r="1" spans="1:20" ht="29.25" customHeight="1" x14ac:dyDescent="0.2">
      <c r="A1" s="167" t="s">
        <v>0</v>
      </c>
      <c r="B1" s="168" t="s">
        <v>235</v>
      </c>
      <c r="C1" s="169" t="s">
        <v>236</v>
      </c>
      <c r="D1" s="168" t="s">
        <v>237</v>
      </c>
      <c r="E1" s="168" t="s">
        <v>238</v>
      </c>
      <c r="F1" s="167" t="s">
        <v>239</v>
      </c>
      <c r="G1" s="170" t="s">
        <v>240</v>
      </c>
      <c r="H1" s="167" t="str">
        <f t="array" ref="H1:N166">'New Cities Filter'!Q1:W166</f>
        <v>Capital</v>
      </c>
      <c r="I1" s="167" t="str">
        <v>Port</v>
      </c>
      <c r="J1" s="167" t="str">
        <v>Citadel</v>
      </c>
      <c r="K1" s="167" t="str">
        <v>Walls</v>
      </c>
      <c r="L1" s="167" t="str">
        <v>Plaza</v>
      </c>
      <c r="M1" s="167" t="str">
        <v>Temple</v>
      </c>
      <c r="N1" s="171" t="str">
        <v>Shanty Town</v>
      </c>
      <c r="O1" s="172" t="s">
        <v>247</v>
      </c>
      <c r="P1" s="173" t="s">
        <v>248</v>
      </c>
      <c r="Q1" s="174" t="s">
        <v>249</v>
      </c>
      <c r="R1" s="167" t="s">
        <v>250</v>
      </c>
      <c r="S1" s="167" t="s">
        <v>251</v>
      </c>
      <c r="T1" s="167" t="s">
        <v>252</v>
      </c>
    </row>
    <row r="2" spans="1:20" ht="29.25" customHeight="1" x14ac:dyDescent="0.2">
      <c r="A2" s="175" t="str">
        <f>'New Cities Filter'!C2</f>
        <v>Amber Shores</v>
      </c>
      <c r="B2" s="176">
        <f>SUM(C2:C5)</f>
        <v>371.79166666666663</v>
      </c>
      <c r="C2" s="177" cm="1">
        <f t="array" ref="C2">Q2*('Price Sheet (Ignore)'!$H$2+_xlfn.IFS(O2="dirt",0.15,O2="gravel",0.3,O2="paved",0.4,O2="none",0))*(G2/3)</f>
        <v>41.3</v>
      </c>
      <c r="D2" s="178" t="str">
        <f>'New Cities Filter'!B:B</f>
        <v>Belldedagon</v>
      </c>
      <c r="E2" s="178" t="str">
        <f t="array" ref="E2:E166">'New Cities Filter'!G2:G166</f>
        <v>Central Shavian</v>
      </c>
      <c r="F2" s="178" t="str">
        <f t="array" ref="F2:F166">'New Cities Filter'!H2:H166</f>
        <v>Path of Guiding Light</v>
      </c>
      <c r="G2" s="179">
        <f t="array" ref="G2:G166">'New Cities Filter'!I2:I166</f>
        <v>1652</v>
      </c>
      <c r="H2" s="178" t="str">
        <v/>
      </c>
      <c r="I2" s="178" t="str">
        <v/>
      </c>
      <c r="J2" s="178" t="str">
        <v/>
      </c>
      <c r="K2" s="178" t="str">
        <v/>
      </c>
      <c r="L2" s="178" t="str">
        <v/>
      </c>
      <c r="M2" s="178" t="str">
        <v/>
      </c>
      <c r="N2" s="180" t="str">
        <v/>
      </c>
      <c r="O2" s="177" t="s">
        <v>254</v>
      </c>
      <c r="P2" s="180">
        <f t="shared" ref="P2:P166" si="0">IF(H2="capital",0.1)+IF(I2="port",0.1)+IF(J2="citadel",0.05)+IF(K2="walls",-0.07)+IF(L2="plaza",0.05)+IF(M2="temple",0.01)+IF(N2="shanty town",0.05)</f>
        <v>0</v>
      </c>
      <c r="Q2" s="181">
        <f>IF(P2&gt;0.25,P2,P2+'Price Sheet (Ignore)'!$G$2)</f>
        <v>0.15</v>
      </c>
      <c r="R2" s="176">
        <f t="shared" ref="R2:R166" si="1">((G2*0.012)+IF(G2*0.012&lt;100,100))+(S2-T2)</f>
        <v>119.824</v>
      </c>
      <c r="S2" s="178"/>
      <c r="T2" s="178"/>
    </row>
    <row r="3" spans="1:20" ht="29.25" customHeight="1" x14ac:dyDescent="0.2">
      <c r="A3" s="175" t="str">
        <f>'New Cities Filter'!C3</f>
        <v>Amber Shores</v>
      </c>
      <c r="B3" s="178"/>
      <c r="C3" s="177" cm="1">
        <f t="array" ref="C3">Q3*('Price Sheet (Ignore)'!$H$2+_xlfn.IFS(O3="dirt",0.15,O3="gravel",0.3,O3="paved",0.4,O3="none",0))*(G3/3)</f>
        <v>172.91666666666666</v>
      </c>
      <c r="D3" s="178" t="str">
        <f>'New Cities Filter'!B:B</f>
        <v>Cryspide</v>
      </c>
      <c r="E3" s="178" t="str">
        <v>Central Shavian</v>
      </c>
      <c r="F3" s="178" t="str">
        <v>Path of Guiding Light</v>
      </c>
      <c r="G3" s="179">
        <v>4150</v>
      </c>
      <c r="H3" s="178" t="str">
        <v/>
      </c>
      <c r="I3" s="178" t="str">
        <v/>
      </c>
      <c r="J3" s="178" t="str">
        <v>citadel</v>
      </c>
      <c r="K3" s="178" t="str">
        <v/>
      </c>
      <c r="L3" s="178" t="str">
        <v>plaza</v>
      </c>
      <c r="M3" s="178" t="str">
        <v/>
      </c>
      <c r="N3" s="180" t="str">
        <v/>
      </c>
      <c r="O3" s="177" t="s">
        <v>254</v>
      </c>
      <c r="P3" s="180">
        <f t="shared" si="0"/>
        <v>0.1</v>
      </c>
      <c r="Q3" s="182">
        <f>IF(P3&gt;0.25,P3,P3+'Price Sheet (Ignore)'!$G$2)</f>
        <v>0.25</v>
      </c>
      <c r="R3" s="176">
        <f t="shared" si="1"/>
        <v>149.80000000000001</v>
      </c>
      <c r="S3" s="178"/>
      <c r="T3" s="178"/>
    </row>
    <row r="4" spans="1:20" ht="29.25" customHeight="1" x14ac:dyDescent="0.2">
      <c r="A4" s="175" t="str">
        <f>'New Cities Filter'!C4</f>
        <v>Amber Shores</v>
      </c>
      <c r="B4" s="178"/>
      <c r="C4" s="177" cm="1">
        <f t="array" ref="C4">Q4*('Price Sheet (Ignore)'!$H$2+_xlfn.IFS(O4="dirt",0.15,O4="gravel",0.3,O4="paved",0.4,O4="none",0))*(G4/3)</f>
        <v>108.55000000000001</v>
      </c>
      <c r="D4" s="178" t="str">
        <f>'New Cities Filter'!B:B</f>
        <v>Amber Waters</v>
      </c>
      <c r="E4" s="178" t="str">
        <v>Central Shavian</v>
      </c>
      <c r="F4" s="178" t="str">
        <v>Path of Guiding Light</v>
      </c>
      <c r="G4" s="179">
        <v>2171</v>
      </c>
      <c r="H4" s="178" t="str">
        <v/>
      </c>
      <c r="I4" s="178" t="str">
        <v>port</v>
      </c>
      <c r="J4" s="178" t="str">
        <v>citadel</v>
      </c>
      <c r="K4" s="178" t="str">
        <v/>
      </c>
      <c r="L4" s="178" t="str">
        <v/>
      </c>
      <c r="M4" s="178" t="str">
        <v/>
      </c>
      <c r="N4" s="180" t="str">
        <v/>
      </c>
      <c r="O4" s="177" t="s">
        <v>254</v>
      </c>
      <c r="P4" s="180">
        <f t="shared" si="0"/>
        <v>0.15000000000000002</v>
      </c>
      <c r="Q4" s="183">
        <f>IF(P4&gt;0.25,P4,P4+'Price Sheet (Ignore)'!$G$2)</f>
        <v>0.30000000000000004</v>
      </c>
      <c r="R4" s="176">
        <f t="shared" si="1"/>
        <v>126.05199999999999</v>
      </c>
      <c r="S4" s="178"/>
      <c r="T4" s="178"/>
    </row>
    <row r="5" spans="1:20" ht="29.25" customHeight="1" x14ac:dyDescent="0.2">
      <c r="A5" s="175" t="str">
        <f>'New Cities Filter'!C5</f>
        <v>Amber Shores</v>
      </c>
      <c r="B5" s="178"/>
      <c r="C5" s="177" cm="1">
        <f t="array" ref="C5">Q5*('Price Sheet (Ignore)'!$H$2+_xlfn.IFS(O5="dirt",0.15,O5="gravel",0.3,O5="paved",0.4,O5="none",0))*(G5/3)</f>
        <v>49.024999999999999</v>
      </c>
      <c r="D5" s="178" t="str">
        <f>'New Cities Filter'!B:B</f>
        <v>Snavenbell</v>
      </c>
      <c r="E5" s="178" t="str">
        <v>Central Shavian</v>
      </c>
      <c r="F5" s="178" t="str">
        <v>Path of Guiding Light</v>
      </c>
      <c r="G5" s="179">
        <v>1961</v>
      </c>
      <c r="H5" s="178" t="str">
        <v/>
      </c>
      <c r="I5" s="178" t="str">
        <v/>
      </c>
      <c r="J5" s="178" t="str">
        <v/>
      </c>
      <c r="K5" s="178" t="str">
        <v/>
      </c>
      <c r="L5" s="178" t="str">
        <v/>
      </c>
      <c r="M5" s="178" t="str">
        <v/>
      </c>
      <c r="N5" s="180" t="str">
        <v/>
      </c>
      <c r="O5" s="177" t="s">
        <v>254</v>
      </c>
      <c r="P5" s="180">
        <f t="shared" si="0"/>
        <v>0</v>
      </c>
      <c r="Q5" s="181">
        <f>IF(P5&gt;0.25,P5,P5+'Price Sheet (Ignore)'!$G$2)</f>
        <v>0.15</v>
      </c>
      <c r="R5" s="176">
        <f t="shared" si="1"/>
        <v>123.532</v>
      </c>
      <c r="S5" s="178"/>
      <c r="T5" s="178"/>
    </row>
    <row r="6" spans="1:20" ht="29.25" customHeight="1" x14ac:dyDescent="0.2">
      <c r="A6" s="175" t="str">
        <f>'New Cities Filter'!C6</f>
        <v>Blackstone</v>
      </c>
      <c r="B6" s="176">
        <f>SUM(C6:C8)</f>
        <v>2335.2950000000001</v>
      </c>
      <c r="C6" s="177" cm="1">
        <f t="array" ref="C6">Q6*('Price Sheet (Ignore)'!$H$2+_xlfn.IFS(O6="dirt",0.15,O6="gravel",0.3,O6="paved",0.4,O6="none",0))*(G6/3)</f>
        <v>1316.9916666666666</v>
      </c>
      <c r="D6" s="178" t="str">
        <f>'New Cities Filter'!B:B</f>
        <v>Blackstone</v>
      </c>
      <c r="E6" s="178" t="str">
        <v>Eastern Shavian</v>
      </c>
      <c r="F6" s="178" t="str">
        <v>Path of Guiding Light</v>
      </c>
      <c r="G6" s="179">
        <v>22577</v>
      </c>
      <c r="H6" s="178" t="str">
        <v/>
      </c>
      <c r="I6" s="178" t="str">
        <v>port</v>
      </c>
      <c r="J6" s="178" t="str">
        <v>citadel</v>
      </c>
      <c r="K6" s="178" t="str">
        <v/>
      </c>
      <c r="L6" s="178" t="str">
        <v>plaza</v>
      </c>
      <c r="M6" s="178" t="str">
        <v/>
      </c>
      <c r="N6" s="180" t="str">
        <v/>
      </c>
      <c r="O6" s="177" t="s">
        <v>254</v>
      </c>
      <c r="P6" s="180">
        <f t="shared" si="0"/>
        <v>0.2</v>
      </c>
      <c r="Q6" s="181">
        <f>IF(P6&gt;0.25,P6,P6+'Price Sheet (Ignore)'!$G$2)</f>
        <v>0.35</v>
      </c>
      <c r="R6" s="176">
        <f t="shared" si="1"/>
        <v>270.92399999999998</v>
      </c>
      <c r="S6" s="178"/>
      <c r="T6" s="178"/>
    </row>
    <row r="7" spans="1:20" ht="29.25" customHeight="1" x14ac:dyDescent="0.2">
      <c r="A7" s="175" t="str">
        <f>'New Cities Filter'!C7</f>
        <v>Blackstone</v>
      </c>
      <c r="B7" s="178"/>
      <c r="C7" s="177" cm="1">
        <f t="array" ref="C7">Q7*('Price Sheet (Ignore)'!$H$2+_xlfn.IFS(O7="dirt",0.15,O7="gravel",0.3,O7="paved",0.4,O7="none",0))*(G7/3)</f>
        <v>591.16666666666663</v>
      </c>
      <c r="D7" s="178" t="str">
        <f>'New Cities Filter'!B:B</f>
        <v>Anhelm</v>
      </c>
      <c r="E7" s="178" t="str">
        <v>Eastern Shavian</v>
      </c>
      <c r="F7" s="178" t="str">
        <v>Path of Guiding Light</v>
      </c>
      <c r="G7" s="179">
        <v>14188</v>
      </c>
      <c r="H7" s="178" t="str">
        <v/>
      </c>
      <c r="I7" s="178" t="str">
        <v/>
      </c>
      <c r="J7" s="178" t="str">
        <v>citadel</v>
      </c>
      <c r="K7" s="178" t="str">
        <v/>
      </c>
      <c r="L7" s="178" t="str">
        <v>plaza</v>
      </c>
      <c r="M7" s="178" t="str">
        <v/>
      </c>
      <c r="N7" s="180" t="str">
        <v/>
      </c>
      <c r="O7" s="177" t="s">
        <v>254</v>
      </c>
      <c r="P7" s="180">
        <f t="shared" si="0"/>
        <v>0.1</v>
      </c>
      <c r="Q7" s="181">
        <f>IF(P7&gt;0.25,P7,P7+'Price Sheet (Ignore)'!$G$2)</f>
        <v>0.25</v>
      </c>
      <c r="R7" s="176">
        <f t="shared" si="1"/>
        <v>170.256</v>
      </c>
      <c r="S7" s="178"/>
      <c r="T7" s="178"/>
    </row>
    <row r="8" spans="1:20" ht="29.25" customHeight="1" x14ac:dyDescent="0.2">
      <c r="A8" s="175" t="str">
        <f>'New Cities Filter'!C8</f>
        <v>Blackstone</v>
      </c>
      <c r="B8" s="178"/>
      <c r="C8" s="177" cm="1">
        <f t="array" ref="C8">Q8*('Price Sheet (Ignore)'!$H$2+_xlfn.IFS(O8="dirt",0.15,O8="gravel",0.3,O8="paved",0.4,O8="none",0))*(G8/3)</f>
        <v>427.13666666666666</v>
      </c>
      <c r="D8" s="178" t="str">
        <f>'New Cities Filter'!B:B</f>
        <v>Sprinkeep</v>
      </c>
      <c r="E8" s="178" t="str">
        <v>Eastern Shavian</v>
      </c>
      <c r="F8" s="178" t="str">
        <v>Path of Guiding Light</v>
      </c>
      <c r="G8" s="179">
        <v>19714</v>
      </c>
      <c r="H8" s="178" t="str">
        <v/>
      </c>
      <c r="I8" s="178" t="str">
        <v/>
      </c>
      <c r="J8" s="178" t="str">
        <v/>
      </c>
      <c r="K8" s="178" t="str">
        <v>walls</v>
      </c>
      <c r="L8" s="178" t="str">
        <v>plaza</v>
      </c>
      <c r="M8" s="178" t="str">
        <v/>
      </c>
      <c r="N8" s="180" t="str">
        <v/>
      </c>
      <c r="O8" s="177" t="s">
        <v>254</v>
      </c>
      <c r="P8" s="180">
        <f t="shared" si="0"/>
        <v>-2.0000000000000004E-2</v>
      </c>
      <c r="Q8" s="181">
        <f>IF(P8&gt;0.25,P8,P8+'Price Sheet (Ignore)'!$G$2)</f>
        <v>0.13</v>
      </c>
      <c r="R8" s="176">
        <f t="shared" si="1"/>
        <v>236.56800000000001</v>
      </c>
      <c r="S8" s="178"/>
      <c r="T8" s="178"/>
    </row>
    <row r="9" spans="1:20" ht="29.25" customHeight="1" x14ac:dyDescent="0.2">
      <c r="A9" s="175" t="str">
        <f>'New Cities Filter'!C9</f>
        <v>Briduan</v>
      </c>
      <c r="B9" s="176">
        <f>SUM(C9)</f>
        <v>46.675000000000004</v>
      </c>
      <c r="C9" s="177" cm="1">
        <f t="array" ref="C9">Q9*('Price Sheet (Ignore)'!$H$2+_xlfn.IFS(O9="dirt",0.15,O9="gravel",0.3,O9="paved",0.4,O9="none",0))*(G9/3)</f>
        <v>46.675000000000004</v>
      </c>
      <c r="D9" s="178" t="str">
        <f>'New Cities Filter'!B:B</f>
        <v>Brid</v>
      </c>
      <c r="E9" s="178" t="str">
        <v>Madinglian</v>
      </c>
      <c r="F9" s="178" t="str">
        <v>Children of Stone</v>
      </c>
      <c r="G9" s="179">
        <v>1867</v>
      </c>
      <c r="H9" s="178" t="str">
        <v/>
      </c>
      <c r="I9" s="178" t="str">
        <v/>
      </c>
      <c r="J9" s="178" t="str">
        <v/>
      </c>
      <c r="K9" s="178" t="str">
        <v/>
      </c>
      <c r="L9" s="178" t="str">
        <v/>
      </c>
      <c r="M9" s="178" t="str">
        <v/>
      </c>
      <c r="N9" s="180" t="str">
        <v/>
      </c>
      <c r="O9" s="177" t="s">
        <v>254</v>
      </c>
      <c r="P9" s="180">
        <f t="shared" si="0"/>
        <v>0</v>
      </c>
      <c r="Q9" s="181">
        <f>IF(P9&gt;0.25,P9,P9+'Price Sheet (Ignore)'!$G$2)</f>
        <v>0.15</v>
      </c>
      <c r="R9" s="176">
        <f t="shared" si="1"/>
        <v>122.404</v>
      </c>
      <c r="S9" s="178"/>
      <c r="T9" s="178"/>
    </row>
    <row r="10" spans="1:20" ht="29.25" customHeight="1" x14ac:dyDescent="0.2">
      <c r="A10" s="175" t="str">
        <f>'New Cities Filter'!C10</f>
        <v>Brookward</v>
      </c>
      <c r="B10" s="176">
        <f>SUM(C10:C12)</f>
        <v>3750.5166666666664</v>
      </c>
      <c r="C10" s="177" cm="1">
        <f t="array" ref="C10">Q10*('Price Sheet (Ignore)'!$H$2+_xlfn.IFS(O10="dirt",0.15,O10="gravel",0.3,O10="paved",0.4,O10="none",0))*(G10/3)</f>
        <v>63.166666666666664</v>
      </c>
      <c r="D10" s="178" t="str">
        <f>'New Cities Filter'!B:B</f>
        <v>Direlight</v>
      </c>
      <c r="E10" s="178" t="str">
        <v>Ralimers</v>
      </c>
      <c r="F10" s="178" t="str">
        <v>Path of Guiding Light</v>
      </c>
      <c r="G10" s="179">
        <v>1895</v>
      </c>
      <c r="H10" s="178" t="str">
        <v/>
      </c>
      <c r="I10" s="178" t="str">
        <v/>
      </c>
      <c r="J10" s="178" t="str">
        <v>citadel</v>
      </c>
      <c r="K10" s="178" t="str">
        <v/>
      </c>
      <c r="L10" s="178" t="str">
        <v/>
      </c>
      <c r="M10" s="178" t="str">
        <v/>
      </c>
      <c r="N10" s="180" t="str">
        <v/>
      </c>
      <c r="O10" s="177" t="s">
        <v>254</v>
      </c>
      <c r="P10" s="180">
        <f t="shared" si="0"/>
        <v>0.05</v>
      </c>
      <c r="Q10" s="181">
        <f>IF(P10&gt;0.25,P10,P10+'Price Sheet (Ignore)'!$G$2)</f>
        <v>0.2</v>
      </c>
      <c r="R10" s="176">
        <f t="shared" si="1"/>
        <v>122.74000000000001</v>
      </c>
      <c r="S10" s="178"/>
      <c r="T10" s="178"/>
    </row>
    <row r="11" spans="1:20" ht="29.25" customHeight="1" x14ac:dyDescent="0.2">
      <c r="A11" s="175" t="str">
        <f>'New Cities Filter'!C11</f>
        <v>Brookward</v>
      </c>
      <c r="B11" s="178"/>
      <c r="C11" s="177" cm="1">
        <f t="array" ref="C11">Q11*('Price Sheet (Ignore)'!$H$2+_xlfn.IFS(O11="dirt",0.15,O11="gravel",0.3,O11="paved",0.4,O11="none",0))*(G11/3)</f>
        <v>549.25</v>
      </c>
      <c r="D11" s="178" t="str">
        <f>'New Cities Filter'!B:B</f>
        <v>Heartle</v>
      </c>
      <c r="E11" s="178" t="str">
        <v>Ralimers</v>
      </c>
      <c r="F11" s="178" t="str">
        <v>Path of Guiding Light</v>
      </c>
      <c r="G11" s="179">
        <v>25350</v>
      </c>
      <c r="H11" s="178" t="str">
        <v/>
      </c>
      <c r="I11" s="178" t="str">
        <v/>
      </c>
      <c r="J11" s="178" t="str">
        <v/>
      </c>
      <c r="K11" s="178" t="str">
        <v>walls</v>
      </c>
      <c r="L11" s="178" t="str">
        <v>plaza</v>
      </c>
      <c r="M11" s="178" t="str">
        <v/>
      </c>
      <c r="N11" s="180" t="str">
        <v/>
      </c>
      <c r="O11" s="177" t="s">
        <v>254</v>
      </c>
      <c r="P11" s="180">
        <f t="shared" si="0"/>
        <v>-2.0000000000000004E-2</v>
      </c>
      <c r="Q11" s="181">
        <f>IF(P11&gt;0.25,P11,P11+'Price Sheet (Ignore)'!$G$2)</f>
        <v>0.13</v>
      </c>
      <c r="R11" s="176">
        <f t="shared" si="1"/>
        <v>304.2</v>
      </c>
      <c r="S11" s="178"/>
      <c r="T11" s="178"/>
    </row>
    <row r="12" spans="1:20" ht="29.25" customHeight="1" x14ac:dyDescent="0.2">
      <c r="A12" s="175" t="str">
        <f>'New Cities Filter'!C12</f>
        <v>Brookward</v>
      </c>
      <c r="B12" s="178"/>
      <c r="C12" s="177" cm="1">
        <f t="array" ref="C12">Q12*('Price Sheet (Ignore)'!$H$2+_xlfn.IFS(O12="dirt",0.15,O12="gravel",0.3,O12="paved",0.4,O12="none",0))*(G12/3)</f>
        <v>3138.1</v>
      </c>
      <c r="D12" s="178" t="str">
        <f>'New Cities Filter'!B:B</f>
        <v>Brookward</v>
      </c>
      <c r="E12" s="178" t="str">
        <v>Ralimers</v>
      </c>
      <c r="F12" s="178" t="str">
        <v>Path of Guiding Light</v>
      </c>
      <c r="G12" s="179">
        <v>53796</v>
      </c>
      <c r="H12" s="178" t="str">
        <v/>
      </c>
      <c r="I12" s="178" t="str">
        <v>port</v>
      </c>
      <c r="J12" s="178" t="str">
        <v>citadel</v>
      </c>
      <c r="K12" s="178" t="str">
        <v/>
      </c>
      <c r="L12" s="178" t="str">
        <v>plaza</v>
      </c>
      <c r="M12" s="178" t="str">
        <v/>
      </c>
      <c r="N12" s="180" t="str">
        <v/>
      </c>
      <c r="O12" s="177" t="s">
        <v>254</v>
      </c>
      <c r="P12" s="180">
        <f t="shared" si="0"/>
        <v>0.2</v>
      </c>
      <c r="Q12" s="181">
        <f>IF(P12&gt;0.25,P12,P12+'Price Sheet (Ignore)'!$G$2)</f>
        <v>0.35</v>
      </c>
      <c r="R12" s="176">
        <f t="shared" si="1"/>
        <v>645.55200000000002</v>
      </c>
      <c r="S12" s="178"/>
      <c r="T12" s="178"/>
    </row>
    <row r="13" spans="1:20" ht="29.25" customHeight="1" x14ac:dyDescent="0.2">
      <c r="A13" s="175" t="str">
        <f>'New Cities Filter'!C13</f>
        <v>Dreghold</v>
      </c>
      <c r="B13" s="176">
        <f>SUM(C13:C18)</f>
        <v>3925.4283333333333</v>
      </c>
      <c r="C13" s="177" cm="1">
        <f t="array" ref="C13">Q13*('Price Sheet (Ignore)'!$H$2+_xlfn.IFS(O13="dirt",0.15,O13="gravel",0.3,O13="paved",0.4,O13="none",0))*(G13/3)</f>
        <v>255.32000000000002</v>
      </c>
      <c r="D13" s="178" t="str">
        <f>'New Cities Filter'!B:B</f>
        <v>Nehalle</v>
      </c>
      <c r="E13" s="178" t="str">
        <v>Baymen</v>
      </c>
      <c r="F13" s="178" t="str">
        <v>Path of Guiding Light</v>
      </c>
      <c r="G13" s="179">
        <v>11784</v>
      </c>
      <c r="H13" s="178" t="str">
        <v/>
      </c>
      <c r="I13" s="178" t="str">
        <v/>
      </c>
      <c r="J13" s="178" t="str">
        <v>citadel</v>
      </c>
      <c r="K13" s="178" t="str">
        <v>walls</v>
      </c>
      <c r="L13" s="178" t="str">
        <v/>
      </c>
      <c r="M13" s="178" t="str">
        <v/>
      </c>
      <c r="N13" s="180" t="str">
        <v/>
      </c>
      <c r="O13" s="177" t="s">
        <v>254</v>
      </c>
      <c r="P13" s="180">
        <f t="shared" si="0"/>
        <v>-2.0000000000000004E-2</v>
      </c>
      <c r="Q13" s="181">
        <f>IF(P13&gt;0.25,P13,P13+'Price Sheet (Ignore)'!$G$2)</f>
        <v>0.13</v>
      </c>
      <c r="R13" s="176">
        <f t="shared" si="1"/>
        <v>141.40800000000002</v>
      </c>
      <c r="S13" s="178"/>
      <c r="T13" s="178"/>
    </row>
    <row r="14" spans="1:20" ht="29.25" customHeight="1" x14ac:dyDescent="0.2">
      <c r="A14" s="175" t="str">
        <f>'New Cities Filter'!C14</f>
        <v>Dreghold</v>
      </c>
      <c r="B14" s="178"/>
      <c r="C14" s="177" cm="1">
        <f t="array" ref="C14">Q14*('Price Sheet (Ignore)'!$H$2+_xlfn.IFS(O14="dirt",0.15,O14="gravel",0.3,O14="paved",0.4,O14="none",0))*(G14/3)</f>
        <v>1868.7083333333333</v>
      </c>
      <c r="D14" s="178" t="str">
        <f>'New Cities Filter'!B:B</f>
        <v>Dreghold</v>
      </c>
      <c r="E14" s="178" t="str">
        <v>Baymen</v>
      </c>
      <c r="F14" s="178" t="str">
        <v>Path of Guiding Light</v>
      </c>
      <c r="G14" s="179">
        <v>32035</v>
      </c>
      <c r="H14" s="178" t="str">
        <v/>
      </c>
      <c r="I14" s="178" t="str">
        <v>port</v>
      </c>
      <c r="J14" s="178" t="str">
        <v>citadel</v>
      </c>
      <c r="K14" s="178" t="str">
        <v/>
      </c>
      <c r="L14" s="178" t="str">
        <v>plaza</v>
      </c>
      <c r="M14" s="178" t="str">
        <v/>
      </c>
      <c r="N14" s="180" t="str">
        <v/>
      </c>
      <c r="O14" s="177" t="s">
        <v>254</v>
      </c>
      <c r="P14" s="180">
        <f t="shared" si="0"/>
        <v>0.2</v>
      </c>
      <c r="Q14" s="181">
        <f>IF(P14&gt;0.25,P14,P14+'Price Sheet (Ignore)'!$G$2)</f>
        <v>0.35</v>
      </c>
      <c r="R14" s="176">
        <f t="shared" si="1"/>
        <v>384.42</v>
      </c>
      <c r="S14" s="178"/>
      <c r="T14" s="178"/>
    </row>
    <row r="15" spans="1:20" ht="29.25" customHeight="1" x14ac:dyDescent="0.2">
      <c r="A15" s="175" t="str">
        <f>'New Cities Filter'!C15</f>
        <v>Dreghold</v>
      </c>
      <c r="B15" s="178"/>
      <c r="C15" s="177" cm="1">
        <f t="array" ref="C15">Q15*('Price Sheet (Ignore)'!$H$2+_xlfn.IFS(O15="dirt",0.15,O15="gravel",0.3,O15="paved",0.4,O15="none",0))*(G15/3)</f>
        <v>44.974999999999994</v>
      </c>
      <c r="D15" s="178" t="str">
        <f>'New Cities Filter'!B:B</f>
        <v>Clearse</v>
      </c>
      <c r="E15" s="178" t="str">
        <v>Baymen</v>
      </c>
      <c r="F15" s="178" t="str">
        <v>Path of Guiding Light</v>
      </c>
      <c r="G15" s="179">
        <v>1799</v>
      </c>
      <c r="H15" s="178" t="str">
        <v/>
      </c>
      <c r="I15" s="178" t="str">
        <v/>
      </c>
      <c r="J15" s="178" t="str">
        <v/>
      </c>
      <c r="K15" s="178" t="str">
        <v/>
      </c>
      <c r="L15" s="178" t="str">
        <v/>
      </c>
      <c r="M15" s="178" t="str">
        <v/>
      </c>
      <c r="N15" s="180" t="str">
        <v/>
      </c>
      <c r="O15" s="177" t="s">
        <v>254</v>
      </c>
      <c r="P15" s="180">
        <f t="shared" si="0"/>
        <v>0</v>
      </c>
      <c r="Q15" s="181">
        <f>IF(P15&gt;0.25,P15,P15+'Price Sheet (Ignore)'!$G$2)</f>
        <v>0.15</v>
      </c>
      <c r="R15" s="176">
        <f t="shared" si="1"/>
        <v>121.58799999999999</v>
      </c>
      <c r="S15" s="178"/>
      <c r="T15" s="178"/>
    </row>
    <row r="16" spans="1:20" ht="29.25" customHeight="1" x14ac:dyDescent="0.2">
      <c r="A16" s="175" t="str">
        <f>'New Cities Filter'!C16</f>
        <v>Dreghold</v>
      </c>
      <c r="B16" s="178"/>
      <c r="C16" s="177" cm="1">
        <f t="array" ref="C16">Q16*('Price Sheet (Ignore)'!$H$2+_xlfn.IFS(O16="dirt",0.15,O16="gravel",0.3,O16="paved",0.4,O16="none",0))*(G16/3)</f>
        <v>1278.6849999999999</v>
      </c>
      <c r="D16" s="178" t="str">
        <f>'New Cities Filter'!B:B</f>
        <v>Eagrasp</v>
      </c>
      <c r="E16" s="178" t="str">
        <v>Baymen</v>
      </c>
      <c r="F16" s="178" t="str">
        <v>Path of Guiding Light</v>
      </c>
      <c r="G16" s="179">
        <v>33357</v>
      </c>
      <c r="H16" s="178" t="str">
        <v/>
      </c>
      <c r="I16" s="178" t="str">
        <v/>
      </c>
      <c r="J16" s="178" t="str">
        <v>citadel</v>
      </c>
      <c r="K16" s="178" t="str">
        <v>walls</v>
      </c>
      <c r="L16" s="178" t="str">
        <v>plaza</v>
      </c>
      <c r="M16" s="178" t="str">
        <v/>
      </c>
      <c r="N16" s="180" t="str">
        <v>shanty town</v>
      </c>
      <c r="O16" s="177" t="s">
        <v>254</v>
      </c>
      <c r="P16" s="180">
        <f t="shared" si="0"/>
        <v>0.08</v>
      </c>
      <c r="Q16" s="181">
        <f>IF(P16&gt;0.25,P16,P16+'Price Sheet (Ignore)'!$G$2)</f>
        <v>0.22999999999999998</v>
      </c>
      <c r="R16" s="176">
        <f t="shared" si="1"/>
        <v>400.28399999999999</v>
      </c>
      <c r="S16" s="178"/>
      <c r="T16" s="178"/>
    </row>
    <row r="17" spans="1:20" ht="29.25" customHeight="1" x14ac:dyDescent="0.2">
      <c r="A17" s="175" t="str">
        <f>'New Cities Filter'!C17</f>
        <v>Dreghold</v>
      </c>
      <c r="B17" s="178"/>
      <c r="C17" s="177" cm="1">
        <f t="array" ref="C17">Q17*('Price Sheet (Ignore)'!$H$2+_xlfn.IFS(O17="dirt",0.15,O17="gravel",0.3,O17="paved",0.4,O17="none",0))*(G17/3)</f>
        <v>419.315</v>
      </c>
      <c r="D17" s="178" t="str">
        <f>'New Cities Filter'!B:B</f>
        <v>Curcairn</v>
      </c>
      <c r="E17" s="178" t="str">
        <v>Baymen</v>
      </c>
      <c r="F17" s="178" t="str">
        <v>Path of Guiding Light</v>
      </c>
      <c r="G17" s="179">
        <v>19353</v>
      </c>
      <c r="H17" s="178" t="str">
        <v/>
      </c>
      <c r="I17" s="178" t="str">
        <v/>
      </c>
      <c r="J17" s="178" t="str">
        <v>citadel</v>
      </c>
      <c r="K17" s="178" t="str">
        <v>walls</v>
      </c>
      <c r="L17" s="178" t="str">
        <v/>
      </c>
      <c r="M17" s="178" t="str">
        <v/>
      </c>
      <c r="N17" s="180" t="str">
        <v/>
      </c>
      <c r="O17" s="177" t="s">
        <v>254</v>
      </c>
      <c r="P17" s="180">
        <f t="shared" si="0"/>
        <v>-2.0000000000000004E-2</v>
      </c>
      <c r="Q17" s="181">
        <f>IF(P17&gt;0.25,P17,P17+'Price Sheet (Ignore)'!$G$2)</f>
        <v>0.13</v>
      </c>
      <c r="R17" s="176">
        <f t="shared" si="1"/>
        <v>232.23600000000002</v>
      </c>
      <c r="S17" s="178"/>
      <c r="T17" s="178"/>
    </row>
    <row r="18" spans="1:20" ht="29.25" customHeight="1" x14ac:dyDescent="0.2">
      <c r="A18" s="175" t="str">
        <f>'New Cities Filter'!C18</f>
        <v>Dreghold</v>
      </c>
      <c r="B18" s="178"/>
      <c r="C18" s="177" cm="1">
        <f t="array" ref="C18">Q18*('Price Sheet (Ignore)'!$H$2+_xlfn.IFS(O18="dirt",0.15,O18="gravel",0.3,O18="paved",0.4,O18="none",0))*(G18/3)</f>
        <v>58.424999999999997</v>
      </c>
      <c r="D18" s="178" t="str">
        <f>'New Cities Filter'!B:B</f>
        <v>Grirevein</v>
      </c>
      <c r="E18" s="178" t="str">
        <v>Baymen</v>
      </c>
      <c r="F18" s="178" t="str">
        <v>Path of Guiding Light</v>
      </c>
      <c r="G18" s="179">
        <v>2337</v>
      </c>
      <c r="H18" s="178" t="str">
        <v/>
      </c>
      <c r="I18" s="178" t="str">
        <v/>
      </c>
      <c r="J18" s="178" t="str">
        <v/>
      </c>
      <c r="K18" s="178" t="str">
        <v/>
      </c>
      <c r="L18" s="178" t="str">
        <v/>
      </c>
      <c r="M18" s="178" t="str">
        <v/>
      </c>
      <c r="N18" s="180" t="str">
        <v/>
      </c>
      <c r="O18" s="177" t="s">
        <v>254</v>
      </c>
      <c r="P18" s="180">
        <f t="shared" si="0"/>
        <v>0</v>
      </c>
      <c r="Q18" s="181">
        <f>IF(P18&gt;0.25,P18,P18+'Price Sheet (Ignore)'!$G$2)</f>
        <v>0.15</v>
      </c>
      <c r="R18" s="176">
        <f t="shared" si="1"/>
        <v>128.04400000000001</v>
      </c>
      <c r="S18" s="178"/>
      <c r="T18" s="178"/>
    </row>
    <row r="19" spans="1:20" ht="29.25" customHeight="1" x14ac:dyDescent="0.2">
      <c r="A19" s="175" t="str">
        <f>'New Cities Filter'!C19</f>
        <v>Dregsten Bay</v>
      </c>
      <c r="B19" s="176">
        <f>SUM(C19:C24)</f>
        <v>2613.6683333333335</v>
      </c>
      <c r="C19" s="177" cm="1">
        <f t="array" ref="C19">Q19*('Price Sheet (Ignore)'!$H$2+_xlfn.IFS(O19="dirt",0.15,O19="gravel",0.3,O19="paved",0.4,O19="none",0))*(G19/3)</f>
        <v>164.61666666666665</v>
      </c>
      <c r="D19" s="178" t="str">
        <f>'New Cities Filter'!B:B</f>
        <v>Goldbrook</v>
      </c>
      <c r="E19" s="178" t="str">
        <v>Baymen</v>
      </c>
      <c r="F19" s="178" t="str">
        <v>Path of Guiding Light</v>
      </c>
      <c r="G19" s="179">
        <v>2822</v>
      </c>
      <c r="H19" s="178" t="str">
        <v/>
      </c>
      <c r="I19" s="178" t="str">
        <v>port</v>
      </c>
      <c r="J19" s="178" t="str">
        <v>citadel</v>
      </c>
      <c r="K19" s="178" t="str">
        <v/>
      </c>
      <c r="L19" s="178" t="str">
        <v>plaza</v>
      </c>
      <c r="M19" s="178" t="str">
        <v/>
      </c>
      <c r="N19" s="180" t="str">
        <v/>
      </c>
      <c r="O19" s="177" t="s">
        <v>254</v>
      </c>
      <c r="P19" s="180">
        <f t="shared" si="0"/>
        <v>0.2</v>
      </c>
      <c r="Q19" s="181">
        <f>IF(P19&gt;0.25,P19,P19+'Price Sheet (Ignore)'!$G$2)</f>
        <v>0.35</v>
      </c>
      <c r="R19" s="176">
        <f t="shared" si="1"/>
        <v>133.864</v>
      </c>
      <c r="S19" s="178"/>
      <c r="T19" s="178"/>
    </row>
    <row r="20" spans="1:20" ht="29.25" customHeight="1" x14ac:dyDescent="0.2">
      <c r="A20" s="175" t="str">
        <f>'New Cities Filter'!C20</f>
        <v>Dregsten Bay</v>
      </c>
      <c r="B20" s="178"/>
      <c r="C20" s="177" cm="1">
        <f t="array" ref="C20">Q20*('Price Sheet (Ignore)'!$H$2+_xlfn.IFS(O20="dirt",0.15,O20="gravel",0.3,O20="paved",0.4,O20="none",0))*(G20/3)</f>
        <v>25.399999999999995</v>
      </c>
      <c r="D20" s="178" t="str">
        <f>'New Cities Filter'!B:B</f>
        <v>Wolfpasstar</v>
      </c>
      <c r="E20" s="178" t="str">
        <v>Central Shavian</v>
      </c>
      <c r="F20" s="178" t="str">
        <v>Path of Guiding Light</v>
      </c>
      <c r="G20" s="179">
        <v>1905</v>
      </c>
      <c r="H20" s="178" t="str">
        <v/>
      </c>
      <c r="I20" s="178" t="str">
        <v/>
      </c>
      <c r="J20" s="178" t="str">
        <v/>
      </c>
      <c r="K20" s="178" t="str">
        <v>walls</v>
      </c>
      <c r="L20" s="178" t="str">
        <v/>
      </c>
      <c r="M20" s="178" t="str">
        <v/>
      </c>
      <c r="N20" s="180" t="str">
        <v/>
      </c>
      <c r="O20" s="177" t="s">
        <v>254</v>
      </c>
      <c r="P20" s="180">
        <f t="shared" si="0"/>
        <v>-7.0000000000000007E-2</v>
      </c>
      <c r="Q20" s="181">
        <f>IF(P20&gt;0.25,P20,P20+'Price Sheet (Ignore)'!$G$2)</f>
        <v>7.9999999999999988E-2</v>
      </c>
      <c r="R20" s="176">
        <f t="shared" si="1"/>
        <v>122.86</v>
      </c>
      <c r="S20" s="178"/>
      <c r="T20" s="178"/>
    </row>
    <row r="21" spans="1:20" ht="29.25" customHeight="1" x14ac:dyDescent="0.2">
      <c r="A21" s="175" t="str">
        <f>'New Cities Filter'!C21</f>
        <v>Dregsten Bay</v>
      </c>
      <c r="B21" s="178"/>
      <c r="C21" s="177" cm="1">
        <f t="array" ref="C21">Q21*('Price Sheet (Ignore)'!$H$2+_xlfn.IFS(O21="dirt",0.15,O21="gravel",0.3,O21="paved",0.4,O21="none",0))*(G21/3)</f>
        <v>88.375</v>
      </c>
      <c r="D21" s="178" t="str">
        <f>'New Cities Filter'!B:B</f>
        <v>Southtligh</v>
      </c>
      <c r="E21" s="178" t="str">
        <v>Central Shavian</v>
      </c>
      <c r="F21" s="178" t="str">
        <v>Path of Guiding Light</v>
      </c>
      <c r="G21" s="179">
        <v>2121</v>
      </c>
      <c r="H21" s="178" t="str">
        <v/>
      </c>
      <c r="I21" s="178" t="str">
        <v/>
      </c>
      <c r="J21" s="178" t="str">
        <v>citadel</v>
      </c>
      <c r="K21" s="178" t="str">
        <v/>
      </c>
      <c r="L21" s="178" t="str">
        <v>plaza</v>
      </c>
      <c r="M21" s="178" t="str">
        <v/>
      </c>
      <c r="N21" s="180" t="str">
        <v/>
      </c>
      <c r="O21" s="177" t="s">
        <v>254</v>
      </c>
      <c r="P21" s="180">
        <f t="shared" si="0"/>
        <v>0.1</v>
      </c>
      <c r="Q21" s="181">
        <f>IF(P21&gt;0.25,P21,P21+'Price Sheet (Ignore)'!$G$2)</f>
        <v>0.25</v>
      </c>
      <c r="R21" s="176">
        <f t="shared" si="1"/>
        <v>125.452</v>
      </c>
      <c r="S21" s="178"/>
      <c r="T21" s="178"/>
    </row>
    <row r="22" spans="1:20" ht="29.25" customHeight="1" x14ac:dyDescent="0.2">
      <c r="A22" s="175" t="str">
        <f>'New Cities Filter'!C22</f>
        <v>Dregsten Bay</v>
      </c>
      <c r="B22" s="178"/>
      <c r="C22" s="177" cm="1">
        <f t="array" ref="C22">Q22*('Price Sheet (Ignore)'!$H$2+_xlfn.IFS(O22="dirt",0.15,O22="gravel",0.3,O22="paved",0.4,O22="none",0))*(G22/3)</f>
        <v>483.4666666666667</v>
      </c>
      <c r="D22" s="178" t="str">
        <f>'New Cities Filter'!B:B</f>
        <v>Mondhol</v>
      </c>
      <c r="E22" s="178" t="str">
        <v>Central Shavian</v>
      </c>
      <c r="F22" s="178" t="str">
        <v>Path of Guiding Light</v>
      </c>
      <c r="G22" s="179">
        <v>14504</v>
      </c>
      <c r="H22" s="178" t="str">
        <v/>
      </c>
      <c r="I22" s="178" t="str">
        <v/>
      </c>
      <c r="J22" s="178" t="str">
        <v>citadel</v>
      </c>
      <c r="K22" s="178" t="str">
        <v/>
      </c>
      <c r="L22" s="178" t="str">
        <v/>
      </c>
      <c r="M22" s="178" t="str">
        <v/>
      </c>
      <c r="N22" s="180" t="str">
        <v/>
      </c>
      <c r="O22" s="177" t="s">
        <v>254</v>
      </c>
      <c r="P22" s="180">
        <f t="shared" si="0"/>
        <v>0.05</v>
      </c>
      <c r="Q22" s="181">
        <f>IF(P22&gt;0.25,P22,P22+'Price Sheet (Ignore)'!$G$2)</f>
        <v>0.2</v>
      </c>
      <c r="R22" s="176">
        <f t="shared" si="1"/>
        <v>174.048</v>
      </c>
      <c r="S22" s="178"/>
      <c r="T22" s="178"/>
    </row>
    <row r="23" spans="1:20" ht="29.25" customHeight="1" x14ac:dyDescent="0.2">
      <c r="A23" s="175" t="str">
        <f>'New Cities Filter'!C23</f>
        <v>Dregsten Bay</v>
      </c>
      <c r="B23" s="178"/>
      <c r="C23" s="177" cm="1">
        <f t="array" ref="C23">Q23*('Price Sheet (Ignore)'!$H$2+_xlfn.IFS(O23="dirt",0.15,O23="gravel",0.3,O23="paved",0.4,O23="none",0))*(G23/3)</f>
        <v>260.14999999999998</v>
      </c>
      <c r="D23" s="178" t="str">
        <f>'New Cities Filter'!B:B</f>
        <v>Shimhand</v>
      </c>
      <c r="E23" s="178" t="str">
        <v>Central Shavian</v>
      </c>
      <c r="F23" s="178" t="str">
        <v>Path of Guiding Light</v>
      </c>
      <c r="G23" s="179">
        <v>10406</v>
      </c>
      <c r="H23" s="178" t="str">
        <v/>
      </c>
      <c r="I23" s="178" t="str">
        <v/>
      </c>
      <c r="J23" s="178" t="str">
        <v/>
      </c>
      <c r="K23" s="178" t="str">
        <v/>
      </c>
      <c r="L23" s="178" t="str">
        <v/>
      </c>
      <c r="M23" s="178" t="str">
        <v/>
      </c>
      <c r="N23" s="180" t="str">
        <v/>
      </c>
      <c r="O23" s="177" t="s">
        <v>254</v>
      </c>
      <c r="P23" s="180">
        <f t="shared" si="0"/>
        <v>0</v>
      </c>
      <c r="Q23" s="181">
        <f>IF(P23&gt;0.25,P23,P23+'Price Sheet (Ignore)'!$G$2)</f>
        <v>0.15</v>
      </c>
      <c r="R23" s="176">
        <f t="shared" si="1"/>
        <v>124.872</v>
      </c>
      <c r="S23" s="178"/>
      <c r="T23" s="178"/>
    </row>
    <row r="24" spans="1:20" ht="29.25" customHeight="1" x14ac:dyDescent="0.2">
      <c r="A24" s="175" t="str">
        <f>'New Cities Filter'!C24</f>
        <v>Dregsten Bay</v>
      </c>
      <c r="B24" s="178"/>
      <c r="C24" s="177" cm="1">
        <f t="array" ref="C24">Q24*('Price Sheet (Ignore)'!$H$2+_xlfn.IFS(O24="dirt",0.15,O24="gravel",0.3,O24="paved",0.4,O24="none",0))*(G24/3)</f>
        <v>1591.66</v>
      </c>
      <c r="D24" s="178" t="str">
        <f>'New Cities Filter'!B:B</f>
        <v>Dryvaterga</v>
      </c>
      <c r="E24" s="178" t="str">
        <v>Baymen</v>
      </c>
      <c r="F24" s="178" t="str">
        <v>Path of Guiding Light</v>
      </c>
      <c r="G24" s="179">
        <v>34107</v>
      </c>
      <c r="H24" s="178" t="str">
        <v/>
      </c>
      <c r="I24" s="178" t="str">
        <v>port</v>
      </c>
      <c r="J24" s="178" t="str">
        <v/>
      </c>
      <c r="K24" s="178" t="str">
        <v>walls</v>
      </c>
      <c r="L24" s="178" t="str">
        <v>plaza</v>
      </c>
      <c r="M24" s="178" t="str">
        <v/>
      </c>
      <c r="N24" s="180" t="str">
        <v>shanty town</v>
      </c>
      <c r="O24" s="177" t="s">
        <v>254</v>
      </c>
      <c r="P24" s="180">
        <f t="shared" si="0"/>
        <v>0.13</v>
      </c>
      <c r="Q24" s="181">
        <f>IF(P24&gt;0.25,P24,P24+'Price Sheet (Ignore)'!$G$2)</f>
        <v>0.28000000000000003</v>
      </c>
      <c r="R24" s="176">
        <f t="shared" si="1"/>
        <v>409.28399999999999</v>
      </c>
      <c r="S24" s="178"/>
      <c r="T24" s="178"/>
    </row>
    <row r="25" spans="1:20" ht="29.25" customHeight="1" x14ac:dyDescent="0.2">
      <c r="A25" s="175" t="str">
        <f>'New Cities Filter'!C25</f>
        <v>Drelme</v>
      </c>
      <c r="B25" s="176">
        <f>SUM(C25:C28)</f>
        <v>1165.53</v>
      </c>
      <c r="C25" s="177" cm="1">
        <f t="array" ref="C25">Q25*('Price Sheet (Ignore)'!$H$2+_xlfn.IFS(O25="dirt",0.15,O25="gravel",0.3,O25="paved",0.4,O25="none",0))*(G25/3)</f>
        <v>239.48166666666668</v>
      </c>
      <c r="D25" s="178" t="str">
        <f>'New Cities Filter'!B:B</f>
        <v>Drelme</v>
      </c>
      <c r="E25" s="178" t="str">
        <v>Ralimers</v>
      </c>
      <c r="F25" s="178" t="str">
        <v>Path of Guiding Light</v>
      </c>
      <c r="G25" s="179">
        <v>11053</v>
      </c>
      <c r="H25" s="178" t="str">
        <v/>
      </c>
      <c r="I25" s="178" t="str">
        <v/>
      </c>
      <c r="J25" s="178" t="str">
        <v/>
      </c>
      <c r="K25" s="178" t="str">
        <v>walls</v>
      </c>
      <c r="L25" s="178" t="str">
        <v>plaza</v>
      </c>
      <c r="M25" s="178" t="str">
        <v/>
      </c>
      <c r="N25" s="180" t="str">
        <v/>
      </c>
      <c r="O25" s="177" t="s">
        <v>254</v>
      </c>
      <c r="P25" s="180">
        <f t="shared" si="0"/>
        <v>-2.0000000000000004E-2</v>
      </c>
      <c r="Q25" s="181">
        <f>IF(P25&gt;0.25,P25,P25+'Price Sheet (Ignore)'!$G$2)</f>
        <v>0.13</v>
      </c>
      <c r="R25" s="176">
        <f t="shared" si="1"/>
        <v>132.636</v>
      </c>
      <c r="S25" s="178"/>
      <c r="T25" s="178"/>
    </row>
    <row r="26" spans="1:20" ht="29.25" customHeight="1" x14ac:dyDescent="0.2">
      <c r="A26" s="175" t="str">
        <f>'New Cities Filter'!C26</f>
        <v>Drelme</v>
      </c>
      <c r="B26" s="178"/>
      <c r="C26" s="177" cm="1">
        <f t="array" ref="C26">Q26*('Price Sheet (Ignore)'!$H$2+_xlfn.IFS(O26="dirt",0.15,O26="gravel",0.3,O26="paved",0.4,O26="none",0))*(G26/3)</f>
        <v>481.375</v>
      </c>
      <c r="D26" s="178" t="str">
        <f>'New Cities Filter'!B:B</f>
        <v>Dawnsites</v>
      </c>
      <c r="E26" s="178" t="str">
        <v>Central Shavian</v>
      </c>
      <c r="F26" s="178" t="str">
        <v>Path of Guiding Light</v>
      </c>
      <c r="G26" s="179">
        <v>11553</v>
      </c>
      <c r="H26" s="178" t="str">
        <v/>
      </c>
      <c r="I26" s="178" t="str">
        <v>port</v>
      </c>
      <c r="J26" s="178" t="str">
        <v/>
      </c>
      <c r="K26" s="178" t="str">
        <v/>
      </c>
      <c r="L26" s="178" t="str">
        <v/>
      </c>
      <c r="M26" s="178" t="str">
        <v/>
      </c>
      <c r="N26" s="180" t="str">
        <v/>
      </c>
      <c r="O26" s="177" t="s">
        <v>254</v>
      </c>
      <c r="P26" s="180">
        <f t="shared" si="0"/>
        <v>0.1</v>
      </c>
      <c r="Q26" s="181">
        <f>IF(P26&gt;0.25,P26,P26+'Price Sheet (Ignore)'!$G$2)</f>
        <v>0.25</v>
      </c>
      <c r="R26" s="176">
        <f t="shared" si="1"/>
        <v>138.636</v>
      </c>
      <c r="S26" s="178"/>
      <c r="T26" s="178"/>
    </row>
    <row r="27" spans="1:20" ht="29.25" customHeight="1" x14ac:dyDescent="0.2">
      <c r="A27" s="175" t="str">
        <f>'New Cities Filter'!C27</f>
        <v>Drelme</v>
      </c>
      <c r="B27" s="178"/>
      <c r="C27" s="177" cm="1">
        <f t="array" ref="C27">Q27*('Price Sheet (Ignore)'!$H$2+_xlfn.IFS(O27="dirt",0.15,O27="gravel",0.3,O27="paved",0.4,O27="none",0))*(G27/3)</f>
        <v>42.423333333333332</v>
      </c>
      <c r="D27" s="178" t="str">
        <f>'New Cities Filter'!B:B</f>
        <v>Metagith</v>
      </c>
      <c r="E27" s="178" t="str">
        <v>Ralimers</v>
      </c>
      <c r="F27" s="178" t="str">
        <v>Path of Guiding Light</v>
      </c>
      <c r="G27" s="179">
        <v>1958</v>
      </c>
      <c r="H27" s="178" t="str">
        <v/>
      </c>
      <c r="I27" s="178" t="str">
        <v/>
      </c>
      <c r="J27" s="178" t="str">
        <v/>
      </c>
      <c r="K27" s="178" t="str">
        <v>walls</v>
      </c>
      <c r="L27" s="178" t="str">
        <v>plaza</v>
      </c>
      <c r="M27" s="178" t="str">
        <v/>
      </c>
      <c r="N27" s="180" t="str">
        <v/>
      </c>
      <c r="O27" s="177" t="s">
        <v>254</v>
      </c>
      <c r="P27" s="180">
        <f t="shared" si="0"/>
        <v>-2.0000000000000004E-2</v>
      </c>
      <c r="Q27" s="181">
        <f>IF(P27&gt;0.25,P27,P27+'Price Sheet (Ignore)'!$G$2)</f>
        <v>0.13</v>
      </c>
      <c r="R27" s="176">
        <f t="shared" si="1"/>
        <v>123.49600000000001</v>
      </c>
      <c r="S27" s="178"/>
      <c r="T27" s="178"/>
    </row>
    <row r="28" spans="1:20" ht="29.25" customHeight="1" x14ac:dyDescent="0.2">
      <c r="A28" s="175" t="str">
        <f>'New Cities Filter'!C28</f>
        <v>Drelme</v>
      </c>
      <c r="B28" s="178"/>
      <c r="C28" s="177" cm="1">
        <f t="array" ref="C28">Q28*('Price Sheet (Ignore)'!$H$2+_xlfn.IFS(O28="dirt",0.15,O28="gravel",0.3,O28="paved",0.4,O28="none",0))*(G28/3)</f>
        <v>402.25</v>
      </c>
      <c r="D28" s="178" t="str">
        <f>'New Cities Filter'!B:B</f>
        <v>Vojhamenz</v>
      </c>
      <c r="E28" s="178" t="str">
        <v>Ralimers</v>
      </c>
      <c r="F28" s="178" t="str">
        <v>Path of Guiding Light</v>
      </c>
      <c r="G28" s="179">
        <v>9654</v>
      </c>
      <c r="H28" s="178" t="str">
        <v/>
      </c>
      <c r="I28" s="178" t="str">
        <v>port</v>
      </c>
      <c r="J28" s="178" t="str">
        <v/>
      </c>
      <c r="K28" s="178" t="str">
        <v/>
      </c>
      <c r="L28" s="178" t="str">
        <v/>
      </c>
      <c r="M28" s="178" t="str">
        <v/>
      </c>
      <c r="N28" s="180" t="str">
        <v/>
      </c>
      <c r="O28" s="177" t="s">
        <v>254</v>
      </c>
      <c r="P28" s="180">
        <f t="shared" si="0"/>
        <v>0.1</v>
      </c>
      <c r="Q28" s="181">
        <f>IF(P28&gt;0.25,P28,P28+'Price Sheet (Ignore)'!$G$2)</f>
        <v>0.25</v>
      </c>
      <c r="R28" s="176">
        <f t="shared" si="1"/>
        <v>115.848</v>
      </c>
      <c r="S28" s="178"/>
      <c r="T28" s="178"/>
    </row>
    <row r="29" spans="1:20" ht="29.25" customHeight="1" x14ac:dyDescent="0.2">
      <c r="A29" s="175" t="str">
        <f>'New Cities Filter'!C29</f>
        <v>Eguard</v>
      </c>
      <c r="B29" s="176">
        <f>SUM(C29:C30)</f>
        <v>1651.1750000000002</v>
      </c>
      <c r="C29" s="177" cm="1">
        <f t="array" ref="C29">Q29*('Price Sheet (Ignore)'!$H$2+_xlfn.IFS(O29="dirt",0.15,O29="gravel",0.3,O29="paved",0.4,O29="none",0))*(G29/3)</f>
        <v>147.76666666666668</v>
      </c>
      <c r="D29" s="178" t="str">
        <f>'New Cities Filter'!B:B</f>
        <v>Mudband</v>
      </c>
      <c r="E29" s="178" t="str">
        <v>Swanmen</v>
      </c>
      <c r="F29" s="178" t="str">
        <v>Path of Guiding Light</v>
      </c>
      <c r="G29" s="179">
        <v>4433</v>
      </c>
      <c r="H29" s="178" t="str">
        <v/>
      </c>
      <c r="I29" s="178" t="str">
        <v/>
      </c>
      <c r="J29" s="178" t="str">
        <v>citadel</v>
      </c>
      <c r="K29" s="178" t="str">
        <v/>
      </c>
      <c r="L29" s="178" t="str">
        <v/>
      </c>
      <c r="M29" s="178" t="str">
        <v/>
      </c>
      <c r="N29" s="180" t="str">
        <v/>
      </c>
      <c r="O29" s="177" t="s">
        <v>254</v>
      </c>
      <c r="P29" s="180">
        <f t="shared" si="0"/>
        <v>0.05</v>
      </c>
      <c r="Q29" s="181">
        <f>IF(P29&gt;0.25,P29,P29+'Price Sheet (Ignore)'!$G$2)</f>
        <v>0.2</v>
      </c>
      <c r="R29" s="176">
        <f t="shared" si="1"/>
        <v>153.196</v>
      </c>
      <c r="S29" s="178"/>
      <c r="T29" s="178"/>
    </row>
    <row r="30" spans="1:20" ht="29.25" customHeight="1" x14ac:dyDescent="0.2">
      <c r="A30" s="175" t="str">
        <f>'New Cities Filter'!C30</f>
        <v>Eguard</v>
      </c>
      <c r="B30" s="178"/>
      <c r="C30" s="177" cm="1">
        <f t="array" ref="C30">Q30*('Price Sheet (Ignore)'!$H$2+_xlfn.IFS(O30="dirt",0.15,O30="gravel",0.3,O30="paved",0.4,O30="none",0))*(G30/3)</f>
        <v>1503.4083333333335</v>
      </c>
      <c r="D30" s="178" t="str">
        <f>'New Cities Filter'!B:B</f>
        <v>Eguard</v>
      </c>
      <c r="E30" s="178" t="str">
        <v>Swanmen</v>
      </c>
      <c r="F30" s="178" t="str">
        <v>Path of Guiding Light</v>
      </c>
      <c r="G30" s="179">
        <v>31105</v>
      </c>
      <c r="H30" s="178" t="str">
        <v/>
      </c>
      <c r="I30" s="178" t="str">
        <v>port</v>
      </c>
      <c r="J30" s="178" t="str">
        <v/>
      </c>
      <c r="K30" s="178" t="str">
        <v>walls</v>
      </c>
      <c r="L30" s="178" t="str">
        <v>plaza</v>
      </c>
      <c r="M30" s="178" t="str">
        <v>temple</v>
      </c>
      <c r="N30" s="180" t="str">
        <v>shanty town</v>
      </c>
      <c r="O30" s="177" t="s">
        <v>254</v>
      </c>
      <c r="P30" s="180">
        <f t="shared" si="0"/>
        <v>0.14000000000000001</v>
      </c>
      <c r="Q30" s="181">
        <f>IF(P30&gt;0.25,P30,P30+'Price Sheet (Ignore)'!$G$2)</f>
        <v>0.29000000000000004</v>
      </c>
      <c r="R30" s="176">
        <f t="shared" si="1"/>
        <v>373.26</v>
      </c>
      <c r="S30" s="178"/>
      <c r="T30" s="178"/>
    </row>
    <row r="31" spans="1:20" ht="29.25" customHeight="1" x14ac:dyDescent="0.2">
      <c r="A31" s="175" t="str">
        <f>'New Cities Filter'!C31</f>
        <v>Elreach</v>
      </c>
      <c r="B31" s="176">
        <f>SUM(C31:C33)</f>
        <v>1061.2033333333334</v>
      </c>
      <c r="C31" s="177" cm="1">
        <f t="array" ref="C31">Q31*('Price Sheet (Ignore)'!$H$2+_xlfn.IFS(O31="dirt",0.15,O31="gravel",0.3,O31="paved",0.4,O31="none",0))*(G31/3)</f>
        <v>345.93333333333339</v>
      </c>
      <c r="D31" s="178" t="str">
        <f>'New Cities Filter'!B:B</f>
        <v>Elreach</v>
      </c>
      <c r="E31" s="178" t="str">
        <v>Swanmen</v>
      </c>
      <c r="F31" s="178" t="str">
        <v>Path of Guiding Light</v>
      </c>
      <c r="G31" s="179">
        <v>10378</v>
      </c>
      <c r="H31" s="178" t="str">
        <v/>
      </c>
      <c r="I31" s="178" t="str">
        <v/>
      </c>
      <c r="J31" s="178" t="str">
        <v>citadel</v>
      </c>
      <c r="K31" s="178" t="str">
        <v/>
      </c>
      <c r="L31" s="178" t="str">
        <v/>
      </c>
      <c r="M31" s="178" t="str">
        <v/>
      </c>
      <c r="N31" s="180" t="str">
        <v/>
      </c>
      <c r="O31" s="177" t="s">
        <v>254</v>
      </c>
      <c r="P31" s="180">
        <f t="shared" si="0"/>
        <v>0.05</v>
      </c>
      <c r="Q31" s="181">
        <f>IF(P31&gt;0.25,P31,P31+'Price Sheet (Ignore)'!$G$2)</f>
        <v>0.2</v>
      </c>
      <c r="R31" s="176">
        <f t="shared" si="1"/>
        <v>124.536</v>
      </c>
      <c r="S31" s="178"/>
      <c r="T31" s="178"/>
    </row>
    <row r="32" spans="1:20" ht="29.25" customHeight="1" x14ac:dyDescent="0.2">
      <c r="A32" s="175" t="str">
        <f>'New Cities Filter'!C32</f>
        <v>Elreach</v>
      </c>
      <c r="B32" s="178"/>
      <c r="C32" s="177" cm="1">
        <f t="array" ref="C32">Q32*('Price Sheet (Ignore)'!$H$2+_xlfn.IFS(O32="dirt",0.15,O32="gravel",0.3,O32="paved",0.4,O32="none",0))*(G32/3)</f>
        <v>586.495</v>
      </c>
      <c r="D32" s="178" t="str">
        <f>'New Cities Filter'!B:B</f>
        <v>Clifpass</v>
      </c>
      <c r="E32" s="178" t="str">
        <v>Swanmen</v>
      </c>
      <c r="F32" s="178" t="str">
        <v>Path of Guiding Light</v>
      </c>
      <c r="G32" s="179">
        <v>27069</v>
      </c>
      <c r="H32" s="178" t="str">
        <v/>
      </c>
      <c r="I32" s="178" t="str">
        <v/>
      </c>
      <c r="J32" s="178" t="str">
        <v/>
      </c>
      <c r="K32" s="178" t="str">
        <v>walls</v>
      </c>
      <c r="L32" s="178" t="str">
        <v>plaza</v>
      </c>
      <c r="M32" s="178" t="str">
        <v/>
      </c>
      <c r="N32" s="180" t="str">
        <v/>
      </c>
      <c r="O32" s="177" t="s">
        <v>254</v>
      </c>
      <c r="P32" s="180">
        <f t="shared" si="0"/>
        <v>-2.0000000000000004E-2</v>
      </c>
      <c r="Q32" s="181">
        <f>IF(P32&gt;0.25,P32,P32+'Price Sheet (Ignore)'!$G$2)</f>
        <v>0.13</v>
      </c>
      <c r="R32" s="176">
        <f t="shared" si="1"/>
        <v>324.82800000000003</v>
      </c>
      <c r="S32" s="178"/>
      <c r="T32" s="178"/>
    </row>
    <row r="33" spans="1:20" ht="29.25" customHeight="1" x14ac:dyDescent="0.2">
      <c r="A33" s="175" t="str">
        <f>'New Cities Filter'!C33</f>
        <v>Elreach</v>
      </c>
      <c r="B33" s="178"/>
      <c r="C33" s="177" cm="1">
        <f t="array" ref="C33">Q33*('Price Sheet (Ignore)'!$H$2+_xlfn.IFS(O33="dirt",0.15,O33="gravel",0.3,O33="paved",0.4,O33="none",0))*(G33/3)</f>
        <v>128.77500000000001</v>
      </c>
      <c r="D33" s="178" t="str">
        <f>'New Cities Filter'!B:B</f>
        <v>Edenhelmer</v>
      </c>
      <c r="E33" s="178" t="str">
        <v>Swanmen</v>
      </c>
      <c r="F33" s="178" t="str">
        <v>Path of Guiding Light</v>
      </c>
      <c r="G33" s="179">
        <v>5151</v>
      </c>
      <c r="H33" s="178" t="str">
        <v/>
      </c>
      <c r="I33" s="178" t="str">
        <v/>
      </c>
      <c r="J33" s="178" t="str">
        <v/>
      </c>
      <c r="K33" s="178" t="str">
        <v/>
      </c>
      <c r="L33" s="178" t="str">
        <v/>
      </c>
      <c r="M33" s="178" t="str">
        <v/>
      </c>
      <c r="N33" s="180" t="str">
        <v/>
      </c>
      <c r="O33" s="177" t="s">
        <v>254</v>
      </c>
      <c r="P33" s="180">
        <f t="shared" si="0"/>
        <v>0</v>
      </c>
      <c r="Q33" s="181">
        <f>IF(P33&gt;0.25,P33,P33+'Price Sheet (Ignore)'!$G$2)</f>
        <v>0.15</v>
      </c>
      <c r="R33" s="176">
        <f t="shared" si="1"/>
        <v>161.81200000000001</v>
      </c>
      <c r="S33" s="178"/>
      <c r="T33" s="178"/>
    </row>
    <row r="34" spans="1:20" ht="29.25" customHeight="1" x14ac:dyDescent="0.2">
      <c r="A34" s="175" t="str">
        <f>'New Cities Filter'!C34</f>
        <v>Griffin's Bay</v>
      </c>
      <c r="B34" s="176">
        <f>SUM(C34:C44)</f>
        <v>3612.0866666666666</v>
      </c>
      <c r="C34" s="177" cm="1">
        <f t="array" ref="C34">Q34*('Price Sheet (Ignore)'!$H$2+_xlfn.IFS(O34="dirt",0.15,O34="gravel",0.3,O34="paved",0.4,O34="none",0))*(G34/3)</f>
        <v>212.67499999999998</v>
      </c>
      <c r="D34" s="178" t="str">
        <f>'New Cities Filter'!B:B</f>
        <v>Barondrith</v>
      </c>
      <c r="E34" s="178" t="str">
        <v>Westerling</v>
      </c>
      <c r="F34" s="178" t="str">
        <v>Path of Guiding Light</v>
      </c>
      <c r="G34" s="179">
        <v>8507</v>
      </c>
      <c r="H34" s="178" t="str">
        <v/>
      </c>
      <c r="I34" s="178" t="str">
        <v/>
      </c>
      <c r="J34" s="178" t="str">
        <v/>
      </c>
      <c r="K34" s="178" t="str">
        <v/>
      </c>
      <c r="L34" s="178" t="str">
        <v/>
      </c>
      <c r="M34" s="178" t="str">
        <v/>
      </c>
      <c r="N34" s="180" t="str">
        <v/>
      </c>
      <c r="O34" s="177" t="s">
        <v>254</v>
      </c>
      <c r="P34" s="180">
        <f t="shared" si="0"/>
        <v>0</v>
      </c>
      <c r="Q34" s="181">
        <f>IF(P34&gt;0.25,P34,P34+'Price Sheet (Ignore)'!$G$2)</f>
        <v>0.15</v>
      </c>
      <c r="R34" s="176">
        <f t="shared" si="1"/>
        <v>102.084</v>
      </c>
      <c r="S34" s="178"/>
      <c r="T34" s="178"/>
    </row>
    <row r="35" spans="1:20" ht="29.25" customHeight="1" x14ac:dyDescent="0.2">
      <c r="A35" s="175" t="str">
        <f>'New Cities Filter'!C35</f>
        <v>Griffin's Bay</v>
      </c>
      <c r="B35" s="178"/>
      <c r="C35" s="177" cm="1">
        <f t="array" ref="C35">Q35*('Price Sheet (Ignore)'!$H$2+_xlfn.IFS(O35="dirt",0.15,O35="gravel",0.3,O35="paved",0.4,O35="none",0))*(G35/3)</f>
        <v>976.08</v>
      </c>
      <c r="D35" s="178" t="str">
        <f>'New Cities Filter'!B:B</f>
        <v>Retha</v>
      </c>
      <c r="E35" s="178" t="str">
        <v>Westerling</v>
      </c>
      <c r="F35" s="178" t="str">
        <v>Path of Guiding Light</v>
      </c>
      <c r="G35" s="179">
        <v>32536</v>
      </c>
      <c r="H35" s="178" t="str">
        <v/>
      </c>
      <c r="I35" s="178" t="str">
        <v/>
      </c>
      <c r="J35" s="178" t="str">
        <v>citadel</v>
      </c>
      <c r="K35" s="178" t="str">
        <v>walls</v>
      </c>
      <c r="L35" s="178" t="str">
        <v>plaza</v>
      </c>
      <c r="M35" s="178" t="str">
        <v/>
      </c>
      <c r="N35" s="180" t="str">
        <v/>
      </c>
      <c r="O35" s="177" t="s">
        <v>254</v>
      </c>
      <c r="P35" s="180">
        <f t="shared" si="0"/>
        <v>0.03</v>
      </c>
      <c r="Q35" s="181">
        <f>IF(P35&gt;0.25,P35,P35+'Price Sheet (Ignore)'!$G$2)</f>
        <v>0.18</v>
      </c>
      <c r="R35" s="176">
        <f t="shared" si="1"/>
        <v>390.43200000000002</v>
      </c>
      <c r="S35" s="178"/>
      <c r="T35" s="178"/>
    </row>
    <row r="36" spans="1:20" ht="29.25" customHeight="1" x14ac:dyDescent="0.2">
      <c r="A36" s="175" t="str">
        <f>'New Cities Filter'!C36</f>
        <v>Griffin's Bay</v>
      </c>
      <c r="B36" s="178"/>
      <c r="C36" s="177" cm="1">
        <f t="array" ref="C36">Q36*('Price Sheet (Ignore)'!$H$2+_xlfn.IFS(O36="dirt",0.15,O36="gravel",0.3,O36="paved",0.4,O36="none",0))*(G36/3)</f>
        <v>808.89333333333332</v>
      </c>
      <c r="D36" s="178" t="str">
        <f>'New Cities Filter'!B:B</f>
        <v>Jaallugausthei</v>
      </c>
      <c r="E36" s="178" t="str">
        <v>Westerling</v>
      </c>
      <c r="F36" s="178" t="str">
        <v>Path of Guiding Light</v>
      </c>
      <c r="G36" s="179">
        <v>25544</v>
      </c>
      <c r="H36" s="178" t="str">
        <v/>
      </c>
      <c r="I36" s="178" t="str">
        <v/>
      </c>
      <c r="J36" s="178" t="str">
        <v>citadel</v>
      </c>
      <c r="K36" s="178" t="str">
        <v>walls</v>
      </c>
      <c r="L36" s="178" t="str">
        <v/>
      </c>
      <c r="M36" s="178" t="str">
        <v>temple</v>
      </c>
      <c r="N36" s="180" t="str">
        <v>shanty town</v>
      </c>
      <c r="O36" s="177" t="s">
        <v>254</v>
      </c>
      <c r="P36" s="180">
        <f t="shared" si="0"/>
        <v>0.04</v>
      </c>
      <c r="Q36" s="181">
        <f>IF(P36&gt;0.25,P36,P36+'Price Sheet (Ignore)'!$G$2)</f>
        <v>0.19</v>
      </c>
      <c r="R36" s="176">
        <f t="shared" si="1"/>
        <v>306.52800000000002</v>
      </c>
      <c r="S36" s="178"/>
      <c r="T36" s="178"/>
    </row>
    <row r="37" spans="1:20" ht="29.25" customHeight="1" x14ac:dyDescent="0.2">
      <c r="A37" s="175" t="str">
        <f>'New Cities Filter'!C37</f>
        <v>Griffin's Bay</v>
      </c>
      <c r="B37" s="178"/>
      <c r="C37" s="177" cm="1">
        <f t="array" ref="C37">Q37*('Price Sheet (Ignore)'!$H$2+_xlfn.IFS(O37="dirt",0.15,O37="gravel",0.3,O37="paved",0.4,O37="none",0))*(G37/3)</f>
        <v>719.77499999999998</v>
      </c>
      <c r="D37" s="178" t="str">
        <f>'New Cities Filter'!B:B</f>
        <v>Eldhembenlean</v>
      </c>
      <c r="E37" s="178" t="str">
        <v>Golden Men</v>
      </c>
      <c r="F37" s="178" t="str">
        <v>Path of Guiding Light</v>
      </c>
      <c r="G37" s="179">
        <v>12339</v>
      </c>
      <c r="H37" s="178" t="str">
        <v/>
      </c>
      <c r="I37" s="178" t="str">
        <v>port</v>
      </c>
      <c r="J37" s="178" t="str">
        <v>citadel</v>
      </c>
      <c r="K37" s="178" t="str">
        <v/>
      </c>
      <c r="L37" s="178" t="str">
        <v>plaza</v>
      </c>
      <c r="M37" s="178" t="str">
        <v/>
      </c>
      <c r="N37" s="180" t="str">
        <v/>
      </c>
      <c r="O37" s="177" t="s">
        <v>254</v>
      </c>
      <c r="P37" s="180">
        <f t="shared" si="0"/>
        <v>0.2</v>
      </c>
      <c r="Q37" s="181">
        <f>IF(P37&gt;0.25,P37,P37+'Price Sheet (Ignore)'!$G$2)</f>
        <v>0.35</v>
      </c>
      <c r="R37" s="176">
        <f t="shared" si="1"/>
        <v>148.06800000000001</v>
      </c>
      <c r="S37" s="178"/>
      <c r="T37" s="178"/>
    </row>
    <row r="38" spans="1:20" ht="29.25" customHeight="1" x14ac:dyDescent="0.2">
      <c r="A38" s="175" t="str">
        <f>'New Cities Filter'!C38</f>
        <v>Griffin's Bay</v>
      </c>
      <c r="B38" s="178"/>
      <c r="C38" s="177" cm="1">
        <f t="array" ref="C38">Q38*('Price Sheet (Ignore)'!$H$2+_xlfn.IFS(O38="dirt",0.15,O38="gravel",0.3,O38="paved",0.4,O38="none",0))*(G38/3)</f>
        <v>81.416666666666671</v>
      </c>
      <c r="D38" s="178" t="str">
        <f>'New Cities Filter'!B:B</f>
        <v>Houndwell</v>
      </c>
      <c r="E38" s="178" t="str">
        <v>Central Shavian</v>
      </c>
      <c r="F38" s="178" t="str">
        <v>Path of Guiding Light</v>
      </c>
      <c r="G38" s="179">
        <v>1954</v>
      </c>
      <c r="H38" s="178" t="str">
        <v/>
      </c>
      <c r="I38" s="178" t="str">
        <v/>
      </c>
      <c r="J38" s="178" t="str">
        <v>citadel</v>
      </c>
      <c r="K38" s="178" t="str">
        <v/>
      </c>
      <c r="L38" s="178" t="str">
        <v>plaza</v>
      </c>
      <c r="M38" s="178" t="str">
        <v/>
      </c>
      <c r="N38" s="180" t="str">
        <v/>
      </c>
      <c r="O38" s="177" t="s">
        <v>254</v>
      </c>
      <c r="P38" s="180">
        <f t="shared" si="0"/>
        <v>0.1</v>
      </c>
      <c r="Q38" s="181">
        <f>IF(P38&gt;0.25,P38,P38+'Price Sheet (Ignore)'!$G$2)</f>
        <v>0.25</v>
      </c>
      <c r="R38" s="176">
        <f t="shared" si="1"/>
        <v>123.44800000000001</v>
      </c>
      <c r="S38" s="178"/>
      <c r="T38" s="178"/>
    </row>
    <row r="39" spans="1:20" ht="29.25" customHeight="1" x14ac:dyDescent="0.2">
      <c r="A39" s="175" t="str">
        <f>'New Cities Filter'!C39</f>
        <v>Griffin's Bay</v>
      </c>
      <c r="B39" s="178"/>
      <c r="C39" s="177" cm="1">
        <f t="array" ref="C39">Q39*('Price Sheet (Ignore)'!$H$2+_xlfn.IFS(O39="dirt",0.15,O39="gravel",0.3,O39="paved",0.4,O39="none",0))*(G39/3)</f>
        <v>66.319999999999993</v>
      </c>
      <c r="D39" s="178" t="str">
        <f>'New Cities Filter'!B:B</f>
        <v>Chaunzandyn</v>
      </c>
      <c r="E39" s="178" t="str">
        <v>Westerling</v>
      </c>
      <c r="F39" s="178" t="str">
        <v>Path of Guiding Light</v>
      </c>
      <c r="G39" s="179">
        <v>4974</v>
      </c>
      <c r="H39" s="178" t="str">
        <v/>
      </c>
      <c r="I39" s="178" t="str">
        <v/>
      </c>
      <c r="J39" s="178" t="str">
        <v/>
      </c>
      <c r="K39" s="178" t="str">
        <v>walls</v>
      </c>
      <c r="L39" s="178" t="str">
        <v/>
      </c>
      <c r="M39" s="178" t="str">
        <v/>
      </c>
      <c r="N39" s="180" t="str">
        <v/>
      </c>
      <c r="O39" s="177" t="s">
        <v>254</v>
      </c>
      <c r="P39" s="180">
        <f t="shared" si="0"/>
        <v>-7.0000000000000007E-2</v>
      </c>
      <c r="Q39" s="181">
        <f>IF(P39&gt;0.25,P39,P39+'Price Sheet (Ignore)'!$G$2)</f>
        <v>7.9999999999999988E-2</v>
      </c>
      <c r="R39" s="176">
        <f t="shared" si="1"/>
        <v>159.68799999999999</v>
      </c>
      <c r="S39" s="178"/>
      <c r="T39" s="178"/>
    </row>
    <row r="40" spans="1:20" ht="29.25" customHeight="1" x14ac:dyDescent="0.2">
      <c r="A40" s="175" t="str">
        <f>'New Cities Filter'!C40</f>
        <v>Griffin's Bay</v>
      </c>
      <c r="B40" s="178"/>
      <c r="C40" s="177" cm="1">
        <f t="array" ref="C40">Q40*('Price Sheet (Ignore)'!$H$2+_xlfn.IFS(O40="dirt",0.15,O40="gravel",0.3,O40="paved",0.4,O40="none",0))*(G40/3)</f>
        <v>235.67999999999995</v>
      </c>
      <c r="D40" s="178" t="str">
        <f>'New Cities Filter'!B:B</f>
        <v>Dewgronac</v>
      </c>
      <c r="E40" s="178" t="str">
        <v>Westerling</v>
      </c>
      <c r="F40" s="178" t="str">
        <v>Path of Guiding Light</v>
      </c>
      <c r="G40" s="179">
        <v>17676</v>
      </c>
      <c r="H40" s="178" t="str">
        <v/>
      </c>
      <c r="I40" s="178" t="str">
        <v/>
      </c>
      <c r="J40" s="178" t="str">
        <v/>
      </c>
      <c r="K40" s="178" t="str">
        <v>walls</v>
      </c>
      <c r="L40" s="178" t="str">
        <v/>
      </c>
      <c r="M40" s="178" t="str">
        <v/>
      </c>
      <c r="N40" s="180" t="str">
        <v/>
      </c>
      <c r="O40" s="177" t="s">
        <v>254</v>
      </c>
      <c r="P40" s="180">
        <f t="shared" si="0"/>
        <v>-7.0000000000000007E-2</v>
      </c>
      <c r="Q40" s="181">
        <f>IF(P40&gt;0.25,P40,P40+'Price Sheet (Ignore)'!$G$2)</f>
        <v>7.9999999999999988E-2</v>
      </c>
      <c r="R40" s="176">
        <f t="shared" si="1"/>
        <v>212.11199999999999</v>
      </c>
      <c r="S40" s="178"/>
      <c r="T40" s="178"/>
    </row>
    <row r="41" spans="1:20" ht="29.25" customHeight="1" x14ac:dyDescent="0.2">
      <c r="A41" s="175" t="str">
        <f>'New Cities Filter'!C41</f>
        <v>Griffin's Bay</v>
      </c>
      <c r="B41" s="178"/>
      <c r="C41" s="177" cm="1">
        <f t="array" ref="C41">Q41*('Price Sheet (Ignore)'!$H$2+_xlfn.IFS(O41="dirt",0.15,O41="gravel",0.3,O41="paved",0.4,O41="none",0))*(G41/3)</f>
        <v>73.033333333333346</v>
      </c>
      <c r="D41" s="178" t="str">
        <f>'New Cities Filter'!B:B</f>
        <v>Vidanntyr</v>
      </c>
      <c r="E41" s="178" t="str">
        <v>Westerling</v>
      </c>
      <c r="F41" s="178" t="str">
        <v>Path of Guiding Light</v>
      </c>
      <c r="G41" s="179">
        <v>2191</v>
      </c>
      <c r="H41" s="178" t="str">
        <v/>
      </c>
      <c r="I41" s="178" t="str">
        <v/>
      </c>
      <c r="J41" s="178" t="str">
        <v>citadel</v>
      </c>
      <c r="K41" s="178" t="str">
        <v/>
      </c>
      <c r="L41" s="178" t="str">
        <v/>
      </c>
      <c r="M41" s="178" t="str">
        <v/>
      </c>
      <c r="N41" s="180" t="str">
        <v/>
      </c>
      <c r="O41" s="177" t="s">
        <v>254</v>
      </c>
      <c r="P41" s="180">
        <f t="shared" si="0"/>
        <v>0.05</v>
      </c>
      <c r="Q41" s="181">
        <f>IF(P41&gt;0.25,P41,P41+'Price Sheet (Ignore)'!$G$2)</f>
        <v>0.2</v>
      </c>
      <c r="R41" s="176">
        <f t="shared" si="1"/>
        <v>126.292</v>
      </c>
      <c r="S41" s="178"/>
      <c r="T41" s="178"/>
    </row>
    <row r="42" spans="1:20" ht="29.25" customHeight="1" x14ac:dyDescent="0.2">
      <c r="A42" s="175" t="str">
        <f>'New Cities Filter'!C42</f>
        <v>Griffin's Bay</v>
      </c>
      <c r="B42" s="178"/>
      <c r="C42" s="177" cm="1">
        <f t="array" ref="C42">Q42*('Price Sheet (Ignore)'!$H$2+_xlfn.IFS(O42="dirt",0.15,O42="gravel",0.3,O42="paved",0.4,O42="none",0))*(G42/3)</f>
        <v>65.7</v>
      </c>
      <c r="D42" s="178" t="str">
        <f>'New Cities Filter'!B:B</f>
        <v>Shaven</v>
      </c>
      <c r="E42" s="178" t="str">
        <v>Westerling</v>
      </c>
      <c r="F42" s="178" t="str">
        <v>Path of Guiding Light</v>
      </c>
      <c r="G42" s="179">
        <v>1971</v>
      </c>
      <c r="H42" s="178" t="str">
        <v/>
      </c>
      <c r="I42" s="178" t="str">
        <v/>
      </c>
      <c r="J42" s="178" t="str">
        <v>citadel</v>
      </c>
      <c r="K42" s="178" t="str">
        <v/>
      </c>
      <c r="L42" s="178" t="str">
        <v/>
      </c>
      <c r="M42" s="178" t="str">
        <v/>
      </c>
      <c r="N42" s="180" t="str">
        <v/>
      </c>
      <c r="O42" s="177" t="s">
        <v>254</v>
      </c>
      <c r="P42" s="180">
        <f t="shared" si="0"/>
        <v>0.05</v>
      </c>
      <c r="Q42" s="181">
        <f>IF(P42&gt;0.25,P42,P42+'Price Sheet (Ignore)'!$G$2)</f>
        <v>0.2</v>
      </c>
      <c r="R42" s="176">
        <f t="shared" si="1"/>
        <v>123.652</v>
      </c>
      <c r="S42" s="178"/>
      <c r="T42" s="178"/>
    </row>
    <row r="43" spans="1:20" ht="29.25" customHeight="1" x14ac:dyDescent="0.2">
      <c r="A43" s="175" t="str">
        <f>'New Cities Filter'!C43</f>
        <v>Griffin's Bay</v>
      </c>
      <c r="B43" s="178"/>
      <c r="C43" s="177" cm="1">
        <f t="array" ref="C43">Q43*('Price Sheet (Ignore)'!$H$2+_xlfn.IFS(O43="dirt",0.15,O43="gravel",0.3,O43="paved",0.4,O43="none",0))*(G43/3)</f>
        <v>186.7833333333333</v>
      </c>
      <c r="D43" s="178" t="str">
        <f>'New Cities Filter'!B:B</f>
        <v>Ulport</v>
      </c>
      <c r="E43" s="178" t="str">
        <v>Westerling</v>
      </c>
      <c r="F43" s="178" t="str">
        <v>Path of Guiding Light</v>
      </c>
      <c r="G43" s="179">
        <v>3202</v>
      </c>
      <c r="H43" s="178" t="str">
        <v/>
      </c>
      <c r="I43" s="178" t="str">
        <v>port</v>
      </c>
      <c r="J43" s="178" t="str">
        <v>citadel</v>
      </c>
      <c r="K43" s="178" t="str">
        <v/>
      </c>
      <c r="L43" s="178" t="str">
        <v>plaza</v>
      </c>
      <c r="M43" s="178" t="str">
        <v/>
      </c>
      <c r="N43" s="180" t="str">
        <v/>
      </c>
      <c r="O43" s="177" t="s">
        <v>254</v>
      </c>
      <c r="P43" s="180">
        <f t="shared" si="0"/>
        <v>0.2</v>
      </c>
      <c r="Q43" s="181">
        <f>IF(P43&gt;0.25,P43,P43+'Price Sheet (Ignore)'!$G$2)</f>
        <v>0.35</v>
      </c>
      <c r="R43" s="176">
        <f t="shared" si="1"/>
        <v>138.42400000000001</v>
      </c>
      <c r="S43" s="178"/>
      <c r="T43" s="178"/>
    </row>
    <row r="44" spans="1:20" ht="29.25" customHeight="1" x14ac:dyDescent="0.2">
      <c r="A44" s="175" t="str">
        <f>'New Cities Filter'!C44</f>
        <v>Griffin's Bay</v>
      </c>
      <c r="B44" s="178"/>
      <c r="C44" s="177" cm="1">
        <f t="array" ref="C44">Q44*('Price Sheet (Ignore)'!$H$2+_xlfn.IFS(O44="dirt",0.15,O44="gravel",0.3,O44="paved",0.4,O44="none",0))*(G44/3)</f>
        <v>185.73</v>
      </c>
      <c r="D44" s="178" t="str">
        <f>'New Cities Filter'!B:B</f>
        <v>Dregrefrant</v>
      </c>
      <c r="E44" s="178" t="str">
        <v>Westerling</v>
      </c>
      <c r="F44" s="178" t="str">
        <v>Path of Guiding Light</v>
      </c>
      <c r="G44" s="179">
        <v>6191</v>
      </c>
      <c r="H44" s="178" t="str">
        <v/>
      </c>
      <c r="I44" s="178" t="str">
        <v/>
      </c>
      <c r="J44" s="178" t="str">
        <v>citadel</v>
      </c>
      <c r="K44" s="178" t="str">
        <v>walls</v>
      </c>
      <c r="L44" s="178" t="str">
        <v>plaza</v>
      </c>
      <c r="M44" s="178" t="str">
        <v/>
      </c>
      <c r="N44" s="180" t="str">
        <v/>
      </c>
      <c r="O44" s="177" t="s">
        <v>254</v>
      </c>
      <c r="P44" s="180">
        <f t="shared" si="0"/>
        <v>0.03</v>
      </c>
      <c r="Q44" s="181">
        <f>IF(P44&gt;0.25,P44,P44+'Price Sheet (Ignore)'!$G$2)</f>
        <v>0.18</v>
      </c>
      <c r="R44" s="176">
        <f t="shared" si="1"/>
        <v>174.292</v>
      </c>
      <c r="S44" s="178"/>
      <c r="T44" s="178"/>
    </row>
    <row r="45" spans="1:20" ht="29.25" customHeight="1" x14ac:dyDescent="0.2">
      <c r="A45" s="175" t="str">
        <f>'New Cities Filter'!C45</f>
        <v>Heartwell</v>
      </c>
      <c r="B45" s="176">
        <f>SUM(C45)</f>
        <v>4838.6016666666656</v>
      </c>
      <c r="C45" s="177" cm="1">
        <f t="array" ref="C45">Q45*('Price Sheet (Ignore)'!$H$2+_xlfn.IFS(O45="dirt",0.15,O45="gravel",0.3,O45="paved",0.4,O45="none",0))*(G45/3)</f>
        <v>4838.6016666666656</v>
      </c>
      <c r="D45" s="178" t="str">
        <f>'New Cities Filter'!B:B</f>
        <v>Heartwell</v>
      </c>
      <c r="E45" s="178" t="str">
        <v>Central Shavian</v>
      </c>
      <c r="F45" s="178" t="str">
        <v>Path of Guiding Light</v>
      </c>
      <c r="G45" s="179">
        <v>100109</v>
      </c>
      <c r="H45" s="178" t="str">
        <v>capital</v>
      </c>
      <c r="I45" s="178" t="str">
        <v>port</v>
      </c>
      <c r="J45" s="178" t="str">
        <v>citadel</v>
      </c>
      <c r="K45" s="178" t="str">
        <v>walls</v>
      </c>
      <c r="L45" s="178" t="str">
        <v>plaza</v>
      </c>
      <c r="M45" s="178" t="str">
        <v>temple</v>
      </c>
      <c r="N45" s="180" t="str">
        <v>shanty town</v>
      </c>
      <c r="O45" s="177" t="s">
        <v>254</v>
      </c>
      <c r="P45" s="180">
        <f t="shared" si="0"/>
        <v>0.28999999999999998</v>
      </c>
      <c r="Q45" s="181">
        <f>IF(P45&gt;0.25,P45,P45+'Price Sheet (Ignore)'!$G$2)</f>
        <v>0.28999999999999998</v>
      </c>
      <c r="R45" s="176">
        <f t="shared" si="1"/>
        <v>1201.308</v>
      </c>
      <c r="S45" s="178"/>
      <c r="T45" s="178"/>
    </row>
    <row r="46" spans="1:20" ht="29.25" customHeight="1" x14ac:dyDescent="0.2">
      <c r="A46" s="175" t="str">
        <f>'New Cities Filter'!C46</f>
        <v>Lesserlands</v>
      </c>
      <c r="B46" s="176">
        <f>SUM(C46:C49)</f>
        <v>955.3416666666667</v>
      </c>
      <c r="C46" s="177" cm="1">
        <f t="array" ref="C46">Q46*('Price Sheet (Ignore)'!$H$2+_xlfn.IFS(O46="dirt",0.15,O46="gravel",0.3,O46="paved",0.4,O46="none",0))*(G46/3)</f>
        <v>108.575</v>
      </c>
      <c r="D46" s="178" t="str">
        <f>'New Cities Filter'!B:B</f>
        <v>Sirongrasp</v>
      </c>
      <c r="E46" s="178" t="str">
        <v>Westerling</v>
      </c>
      <c r="F46" s="178" t="str">
        <v>Path of Guiding Light</v>
      </c>
      <c r="G46" s="179">
        <v>4343</v>
      </c>
      <c r="H46" s="178" t="str">
        <v/>
      </c>
      <c r="I46" s="178" t="str">
        <v/>
      </c>
      <c r="J46" s="178" t="str">
        <v/>
      </c>
      <c r="K46" s="178" t="str">
        <v/>
      </c>
      <c r="L46" s="178" t="str">
        <v/>
      </c>
      <c r="M46" s="178" t="str">
        <v/>
      </c>
      <c r="N46" s="180" t="str">
        <v/>
      </c>
      <c r="O46" s="177" t="s">
        <v>254</v>
      </c>
      <c r="P46" s="180">
        <f t="shared" si="0"/>
        <v>0</v>
      </c>
      <c r="Q46" s="181">
        <f>IF(P46&gt;0.25,P46,P46+'Price Sheet (Ignore)'!$G$2)</f>
        <v>0.15</v>
      </c>
      <c r="R46" s="176">
        <f t="shared" si="1"/>
        <v>152.11599999999999</v>
      </c>
      <c r="S46" s="178"/>
      <c r="T46" s="178"/>
    </row>
    <row r="47" spans="1:20" ht="29.25" customHeight="1" x14ac:dyDescent="0.2">
      <c r="A47" s="175" t="str">
        <f>'New Cities Filter'!C47</f>
        <v>Lesserlands</v>
      </c>
      <c r="B47" s="178"/>
      <c r="C47" s="177" cm="1">
        <f t="array" ref="C47">Q47*('Price Sheet (Ignore)'!$H$2+_xlfn.IFS(O47="dirt",0.15,O47="gravel",0.3,O47="paved",0.4,O47="none",0))*(G47/3)</f>
        <v>140.53333333333333</v>
      </c>
      <c r="D47" s="178" t="str">
        <f>'New Cities Filter'!B:B</f>
        <v>Eldefones</v>
      </c>
      <c r="E47" s="178" t="str">
        <v>Central Shavian</v>
      </c>
      <c r="F47" s="178" t="str">
        <v>Path of Guiding Light</v>
      </c>
      <c r="G47" s="179">
        <v>4216</v>
      </c>
      <c r="H47" s="178" t="str">
        <v/>
      </c>
      <c r="I47" s="178" t="str">
        <v/>
      </c>
      <c r="J47" s="178" t="str">
        <v>citadel</v>
      </c>
      <c r="K47" s="178" t="str">
        <v/>
      </c>
      <c r="L47" s="178" t="str">
        <v/>
      </c>
      <c r="M47" s="178" t="str">
        <v/>
      </c>
      <c r="N47" s="180" t="str">
        <v/>
      </c>
      <c r="O47" s="177" t="s">
        <v>254</v>
      </c>
      <c r="P47" s="180">
        <f t="shared" si="0"/>
        <v>0.05</v>
      </c>
      <c r="Q47" s="181">
        <f>IF(P47&gt;0.25,P47,P47+'Price Sheet (Ignore)'!$G$2)</f>
        <v>0.2</v>
      </c>
      <c r="R47" s="176">
        <f t="shared" si="1"/>
        <v>150.59199999999998</v>
      </c>
      <c r="S47" s="178"/>
      <c r="T47" s="178"/>
    </row>
    <row r="48" spans="1:20" ht="29.25" customHeight="1" x14ac:dyDescent="0.2">
      <c r="A48" s="175" t="str">
        <f>'New Cities Filter'!C48</f>
        <v>Lesserlands</v>
      </c>
      <c r="B48" s="178"/>
      <c r="C48" s="177" cm="1">
        <f t="array" ref="C48">Q48*('Price Sheet (Ignore)'!$H$2+_xlfn.IFS(O48="dirt",0.15,O48="gravel",0.3,O48="paved",0.4,O48="none",0))*(G48/3)</f>
        <v>622.43333333333339</v>
      </c>
      <c r="D48" s="178" t="str">
        <f>'New Cities Filter'!B:B</f>
        <v>Casthclif</v>
      </c>
      <c r="E48" s="178" t="str">
        <v>Central Shavian</v>
      </c>
      <c r="F48" s="178" t="str">
        <v>Path of Guiding Light</v>
      </c>
      <c r="G48" s="179">
        <v>18673</v>
      </c>
      <c r="H48" s="178" t="str">
        <v/>
      </c>
      <c r="I48" s="178" t="str">
        <v/>
      </c>
      <c r="J48" s="178" t="str">
        <v>citadel</v>
      </c>
      <c r="K48" s="178" t="str">
        <v/>
      </c>
      <c r="L48" s="178" t="str">
        <v/>
      </c>
      <c r="M48" s="178" t="str">
        <v/>
      </c>
      <c r="N48" s="180" t="str">
        <v/>
      </c>
      <c r="O48" s="177" t="s">
        <v>254</v>
      </c>
      <c r="P48" s="180">
        <f t="shared" si="0"/>
        <v>0.05</v>
      </c>
      <c r="Q48" s="181">
        <f>IF(P48&gt;0.25,P48,P48+'Price Sheet (Ignore)'!$G$2)</f>
        <v>0.2</v>
      </c>
      <c r="R48" s="176">
        <f t="shared" si="1"/>
        <v>224.07599999999999</v>
      </c>
      <c r="S48" s="178"/>
      <c r="T48" s="178"/>
    </row>
    <row r="49" spans="1:20" ht="29.25" customHeight="1" x14ac:dyDescent="0.2">
      <c r="A49" s="175" t="str">
        <f>'New Cities Filter'!C49</f>
        <v>Lesserlands</v>
      </c>
      <c r="B49" s="178"/>
      <c r="C49" s="177" cm="1">
        <f t="array" ref="C49">Q49*('Price Sheet (Ignore)'!$H$2+_xlfn.IFS(O49="dirt",0.15,O49="gravel",0.3,O49="paved",0.4,O49="none",0))*(G49/3)</f>
        <v>83.800000000000011</v>
      </c>
      <c r="D49" s="178" t="str">
        <f>'New Cities Filter'!B:B</f>
        <v>Saltvaven</v>
      </c>
      <c r="E49" s="178" t="str">
        <v>Central Shavian</v>
      </c>
      <c r="F49" s="178" t="str">
        <v>Path of Guiding Light</v>
      </c>
      <c r="G49" s="179">
        <v>2514</v>
      </c>
      <c r="H49" s="178" t="str">
        <v/>
      </c>
      <c r="I49" s="178" t="str">
        <v/>
      </c>
      <c r="J49" s="178" t="str">
        <v>citadel</v>
      </c>
      <c r="K49" s="178" t="str">
        <v/>
      </c>
      <c r="L49" s="178" t="str">
        <v/>
      </c>
      <c r="M49" s="178" t="str">
        <v/>
      </c>
      <c r="N49" s="180" t="str">
        <v/>
      </c>
      <c r="O49" s="177" t="s">
        <v>254</v>
      </c>
      <c r="P49" s="180">
        <f t="shared" si="0"/>
        <v>0.05</v>
      </c>
      <c r="Q49" s="181">
        <f>IF(P49&gt;0.25,P49,P49+'Price Sheet (Ignore)'!$G$2)</f>
        <v>0.2</v>
      </c>
      <c r="R49" s="176">
        <f t="shared" si="1"/>
        <v>130.16800000000001</v>
      </c>
      <c r="S49" s="178"/>
      <c r="T49" s="178"/>
    </row>
    <row r="50" spans="1:20" ht="29.25" customHeight="1" x14ac:dyDescent="0.2">
      <c r="A50" s="175" t="str">
        <f>'New Cities Filter'!C50</f>
        <v>Lonely Light</v>
      </c>
      <c r="B50" s="176">
        <f>SUM(C50)</f>
        <v>288.53333333333336</v>
      </c>
      <c r="C50" s="177" cm="1">
        <f t="array" ref="C50">Q50*('Price Sheet (Ignore)'!$H$2+_xlfn.IFS(O50="dirt",0.15,O50="gravel",0.3,O50="paved",0.4,O50="none",0))*(G50/3)</f>
        <v>288.53333333333336</v>
      </c>
      <c r="D50" s="178" t="str">
        <f>'New Cities Filter'!B:B</f>
        <v>Lonely Light</v>
      </c>
      <c r="E50" s="178" t="str">
        <v>Dail</v>
      </c>
      <c r="F50" s="178" t="str">
        <v>Path of Guiding Light</v>
      </c>
      <c r="G50" s="179">
        <v>8656</v>
      </c>
      <c r="H50" s="178" t="str">
        <v/>
      </c>
      <c r="I50" s="178" t="str">
        <v/>
      </c>
      <c r="J50" s="178" t="str">
        <v>citadel</v>
      </c>
      <c r="K50" s="178" t="str">
        <v/>
      </c>
      <c r="L50" s="178" t="str">
        <v/>
      </c>
      <c r="M50" s="178" t="str">
        <v/>
      </c>
      <c r="N50" s="180" t="str">
        <v/>
      </c>
      <c r="O50" s="177" t="s">
        <v>254</v>
      </c>
      <c r="P50" s="180">
        <f t="shared" si="0"/>
        <v>0.05</v>
      </c>
      <c r="Q50" s="181">
        <f>IF(P50&gt;0.25,P50,P50+'Price Sheet (Ignore)'!$G$2)</f>
        <v>0.2</v>
      </c>
      <c r="R50" s="176">
        <f t="shared" si="1"/>
        <v>103.872</v>
      </c>
      <c r="S50" s="178"/>
      <c r="T50" s="178"/>
    </row>
    <row r="51" spans="1:20" ht="29.25" customHeight="1" x14ac:dyDescent="0.2">
      <c r="A51" s="175" t="str">
        <f>'New Cities Filter'!C51</f>
        <v>Malhold</v>
      </c>
      <c r="B51" s="176">
        <f>SUM(C51:C59)</f>
        <v>2118.2166666666662</v>
      </c>
      <c r="C51" s="177" cm="1">
        <f t="array" ref="C51">Q51*('Price Sheet (Ignore)'!$H$2+_xlfn.IFS(O51="dirt",0.15,O51="gravel",0.3,O51="paved",0.4,O51="none",0))*(G51/3)</f>
        <v>230.53333333333336</v>
      </c>
      <c r="D51" s="178" t="str">
        <f>'New Cities Filter'!B:B</f>
        <v>Timbergro</v>
      </c>
      <c r="E51" s="178" t="str">
        <v>Eastern Shavian</v>
      </c>
      <c r="F51" s="178" t="str">
        <v>Path of Guiding Light</v>
      </c>
      <c r="G51" s="179">
        <v>6916</v>
      </c>
      <c r="H51" s="178" t="str">
        <v/>
      </c>
      <c r="I51" s="178" t="str">
        <v/>
      </c>
      <c r="J51" s="178" t="str">
        <v>citadel</v>
      </c>
      <c r="K51" s="178" t="str">
        <v/>
      </c>
      <c r="L51" s="178" t="str">
        <v/>
      </c>
      <c r="M51" s="178" t="str">
        <v/>
      </c>
      <c r="N51" s="180" t="str">
        <v/>
      </c>
      <c r="O51" s="177" t="s">
        <v>254</v>
      </c>
      <c r="P51" s="180">
        <f t="shared" si="0"/>
        <v>0.05</v>
      </c>
      <c r="Q51" s="181">
        <f>IF(P51&gt;0.25,P51,P51+'Price Sheet (Ignore)'!$G$2)</f>
        <v>0.2</v>
      </c>
      <c r="R51" s="176">
        <f t="shared" si="1"/>
        <v>182.99200000000002</v>
      </c>
      <c r="S51" s="178"/>
      <c r="T51" s="178"/>
    </row>
    <row r="52" spans="1:20" ht="29.25" customHeight="1" x14ac:dyDescent="0.2">
      <c r="A52" s="175" t="str">
        <f>'New Cities Filter'!C52</f>
        <v>Malhold</v>
      </c>
      <c r="B52" s="178"/>
      <c r="C52" s="177" cm="1">
        <f t="array" ref="C52">Q52*('Price Sheet (Ignore)'!$H$2+_xlfn.IFS(O52="dirt",0.15,O52="gravel",0.3,O52="paved",0.4,O52="none",0))*(G52/3)</f>
        <v>91.666666666666671</v>
      </c>
      <c r="D52" s="178" t="str">
        <f>'New Cities Filter'!B:B</f>
        <v>Drakefair</v>
      </c>
      <c r="E52" s="178" t="str">
        <v>Eastern Shavian</v>
      </c>
      <c r="F52" s="178" t="str">
        <v>Path of Guiding Light</v>
      </c>
      <c r="G52" s="179">
        <v>2200</v>
      </c>
      <c r="H52" s="178" t="str">
        <v/>
      </c>
      <c r="I52" s="178" t="str">
        <v/>
      </c>
      <c r="J52" s="178" t="str">
        <v>citadel</v>
      </c>
      <c r="K52" s="178" t="str">
        <v/>
      </c>
      <c r="L52" s="178" t="str">
        <v>plaza</v>
      </c>
      <c r="M52" s="178" t="str">
        <v/>
      </c>
      <c r="N52" s="180" t="str">
        <v/>
      </c>
      <c r="O52" s="177" t="s">
        <v>254</v>
      </c>
      <c r="P52" s="180">
        <f t="shared" si="0"/>
        <v>0.1</v>
      </c>
      <c r="Q52" s="181">
        <f>IF(P52&gt;0.25,P52,P52+'Price Sheet (Ignore)'!$G$2)</f>
        <v>0.25</v>
      </c>
      <c r="R52" s="176">
        <f t="shared" si="1"/>
        <v>126.4</v>
      </c>
      <c r="S52" s="178"/>
      <c r="T52" s="178"/>
    </row>
    <row r="53" spans="1:20" ht="29.25" customHeight="1" x14ac:dyDescent="0.2">
      <c r="A53" s="175" t="str">
        <f>'New Cities Filter'!C53</f>
        <v>Malhold</v>
      </c>
      <c r="B53" s="178"/>
      <c r="C53" s="177" cm="1">
        <f t="array" ref="C53">Q53*('Price Sheet (Ignore)'!$H$2+_xlfn.IFS(O53="dirt",0.15,O53="gravel",0.3,O53="paved",0.4,O53="none",0))*(G53/3)</f>
        <v>348.91500000000002</v>
      </c>
      <c r="D53" s="178" t="str">
        <f>'New Cities Filter'!B:B</f>
        <v>Pondhol</v>
      </c>
      <c r="E53" s="178" t="str">
        <v>Eastern Shavian</v>
      </c>
      <c r="F53" s="178" t="str">
        <v>Path of Guiding Light</v>
      </c>
      <c r="G53" s="179">
        <v>23261</v>
      </c>
      <c r="H53" s="178" t="str">
        <v/>
      </c>
      <c r="I53" s="178" t="str">
        <v/>
      </c>
      <c r="J53" s="178" t="str">
        <v/>
      </c>
      <c r="K53" s="178" t="str">
        <v>walls</v>
      </c>
      <c r="L53" s="178" t="str">
        <v/>
      </c>
      <c r="M53" s="178" t="str">
        <v>temple</v>
      </c>
      <c r="N53" s="180" t="str">
        <v/>
      </c>
      <c r="O53" s="177" t="s">
        <v>254</v>
      </c>
      <c r="P53" s="180">
        <f t="shared" si="0"/>
        <v>-6.0000000000000005E-2</v>
      </c>
      <c r="Q53" s="181">
        <f>IF(P53&gt;0.25,P53,P53+'Price Sheet (Ignore)'!$G$2)</f>
        <v>0.09</v>
      </c>
      <c r="R53" s="176">
        <f t="shared" si="1"/>
        <v>279.13200000000001</v>
      </c>
      <c r="S53" s="178"/>
      <c r="T53" s="178"/>
    </row>
    <row r="54" spans="1:20" ht="29.25" customHeight="1" x14ac:dyDescent="0.2">
      <c r="A54" s="175" t="str">
        <f>'New Cities Filter'!C54</f>
        <v>Malhold</v>
      </c>
      <c r="B54" s="178"/>
      <c r="C54" s="177" cm="1">
        <f t="array" ref="C54">Q54*('Price Sheet (Ignore)'!$H$2+_xlfn.IFS(O54="dirt",0.15,O54="gravel",0.3,O54="paved",0.4,O54="none",0))*(G54/3)</f>
        <v>495.92499999999995</v>
      </c>
      <c r="D54" s="178" t="str">
        <f>'New Cities Filter'!B:B</f>
        <v>Brittvault</v>
      </c>
      <c r="E54" s="178" t="str">
        <v>Eastern Shavian</v>
      </c>
      <c r="F54" s="178" t="str">
        <v>Path of Guiding Light</v>
      </c>
      <c r="G54" s="179">
        <v>19837</v>
      </c>
      <c r="H54" s="178" t="str">
        <v/>
      </c>
      <c r="I54" s="178" t="str">
        <v/>
      </c>
      <c r="J54" s="178" t="str">
        <v/>
      </c>
      <c r="K54" s="178" t="str">
        <v/>
      </c>
      <c r="L54" s="178" t="str">
        <v/>
      </c>
      <c r="M54" s="178" t="str">
        <v/>
      </c>
      <c r="N54" s="180" t="str">
        <v/>
      </c>
      <c r="O54" s="177" t="s">
        <v>254</v>
      </c>
      <c r="P54" s="180">
        <f t="shared" si="0"/>
        <v>0</v>
      </c>
      <c r="Q54" s="181">
        <f>IF(P54&gt;0.25,P54,P54+'Price Sheet (Ignore)'!$G$2)</f>
        <v>0.15</v>
      </c>
      <c r="R54" s="176">
        <f t="shared" si="1"/>
        <v>238.04400000000001</v>
      </c>
      <c r="S54" s="178"/>
      <c r="T54" s="178"/>
    </row>
    <row r="55" spans="1:20" ht="29.25" customHeight="1" x14ac:dyDescent="0.2">
      <c r="A55" s="175" t="str">
        <f>'New Cities Filter'!C55</f>
        <v>Malhold</v>
      </c>
      <c r="B55" s="178"/>
      <c r="C55" s="177" cm="1">
        <f t="array" ref="C55">Q55*('Price Sheet (Ignore)'!$H$2+_xlfn.IFS(O55="dirt",0.15,O55="gravel",0.3,O55="paved",0.4,O55="none",0))*(G55/3)</f>
        <v>64.36666666666666</v>
      </c>
      <c r="D55" s="178" t="str">
        <f>'New Cities Filter'!B:B</f>
        <v>Bearowbay</v>
      </c>
      <c r="E55" s="178" t="str">
        <v>Eastern Shavian</v>
      </c>
      <c r="F55" s="178" t="str">
        <v>Path of Guiding Light</v>
      </c>
      <c r="G55" s="179">
        <v>1931</v>
      </c>
      <c r="H55" s="178" t="str">
        <v/>
      </c>
      <c r="I55" s="178" t="str">
        <v/>
      </c>
      <c r="J55" s="178" t="str">
        <v>citadel</v>
      </c>
      <c r="K55" s="178" t="str">
        <v/>
      </c>
      <c r="L55" s="178" t="str">
        <v/>
      </c>
      <c r="M55" s="178" t="str">
        <v/>
      </c>
      <c r="N55" s="180" t="str">
        <v/>
      </c>
      <c r="O55" s="177" t="s">
        <v>254</v>
      </c>
      <c r="P55" s="180">
        <f t="shared" si="0"/>
        <v>0.05</v>
      </c>
      <c r="Q55" s="181">
        <f>IF(P55&gt;0.25,P55,P55+'Price Sheet (Ignore)'!$G$2)</f>
        <v>0.2</v>
      </c>
      <c r="R55" s="176">
        <f t="shared" si="1"/>
        <v>123.172</v>
      </c>
      <c r="S55" s="178"/>
      <c r="T55" s="178"/>
    </row>
    <row r="56" spans="1:20" ht="29.25" customHeight="1" x14ac:dyDescent="0.2">
      <c r="A56" s="175" t="str">
        <f>'New Cities Filter'!C56</f>
        <v>Malhold</v>
      </c>
      <c r="B56" s="178"/>
      <c r="C56" s="177" cm="1">
        <f t="array" ref="C56">Q56*('Price Sheet (Ignore)'!$H$2+_xlfn.IFS(O56="dirt",0.15,O56="gravel",0.3,O56="paved",0.4,O56="none",0))*(G56/3)</f>
        <v>89.166666666666671</v>
      </c>
      <c r="D56" s="178" t="str">
        <f>'New Cities Filter'!B:B</f>
        <v>Malhold</v>
      </c>
      <c r="E56" s="178" t="str">
        <v>Baymen</v>
      </c>
      <c r="F56" s="178" t="str">
        <v>Path of Guiding Light</v>
      </c>
      <c r="G56" s="179">
        <v>2675</v>
      </c>
      <c r="H56" s="178" t="str">
        <v/>
      </c>
      <c r="I56" s="178" t="str">
        <v/>
      </c>
      <c r="J56" s="178" t="str">
        <v>citadel</v>
      </c>
      <c r="K56" s="178" t="str">
        <v/>
      </c>
      <c r="L56" s="178" t="str">
        <v/>
      </c>
      <c r="M56" s="178" t="str">
        <v/>
      </c>
      <c r="N56" s="180" t="str">
        <v/>
      </c>
      <c r="O56" s="177" t="s">
        <v>254</v>
      </c>
      <c r="P56" s="180">
        <f t="shared" si="0"/>
        <v>0.05</v>
      </c>
      <c r="Q56" s="181">
        <f>IF(P56&gt;0.25,P56,P56+'Price Sheet (Ignore)'!$G$2)</f>
        <v>0.2</v>
      </c>
      <c r="R56" s="176">
        <f t="shared" si="1"/>
        <v>132.1</v>
      </c>
      <c r="S56" s="178"/>
      <c r="T56" s="178"/>
    </row>
    <row r="57" spans="1:20" ht="29.25" customHeight="1" x14ac:dyDescent="0.2">
      <c r="A57" s="175" t="str">
        <f>'New Cities Filter'!C57</f>
        <v>Malhold</v>
      </c>
      <c r="B57" s="178"/>
      <c r="C57" s="177" cm="1">
        <f t="array" ref="C57">Q57*('Price Sheet (Ignore)'!$H$2+_xlfn.IFS(O57="dirt",0.15,O57="gravel",0.3,O57="paved",0.4,O57="none",0))*(G57/3)</f>
        <v>53.85</v>
      </c>
      <c r="D57" s="178" t="str">
        <f>'New Cities Filter'!B:B</f>
        <v>Sunrun</v>
      </c>
      <c r="E57" s="178" t="str">
        <v>Eastern Shavian</v>
      </c>
      <c r="F57" s="178" t="str">
        <v>Path of Guiding Light</v>
      </c>
      <c r="G57" s="179">
        <v>2154</v>
      </c>
      <c r="H57" s="178" t="str">
        <v/>
      </c>
      <c r="I57" s="178" t="str">
        <v/>
      </c>
      <c r="J57" s="178" t="str">
        <v/>
      </c>
      <c r="K57" s="178" t="str">
        <v/>
      </c>
      <c r="L57" s="178" t="str">
        <v/>
      </c>
      <c r="M57" s="178" t="str">
        <v/>
      </c>
      <c r="N57" s="180" t="str">
        <v/>
      </c>
      <c r="O57" s="177" t="s">
        <v>254</v>
      </c>
      <c r="P57" s="180">
        <f t="shared" si="0"/>
        <v>0</v>
      </c>
      <c r="Q57" s="181">
        <f>IF(P57&gt;0.25,P57,P57+'Price Sheet (Ignore)'!$G$2)</f>
        <v>0.15</v>
      </c>
      <c r="R57" s="176">
        <f t="shared" si="1"/>
        <v>125.848</v>
      </c>
      <c r="S57" s="178"/>
      <c r="T57" s="178"/>
    </row>
    <row r="58" spans="1:20" ht="29.25" customHeight="1" x14ac:dyDescent="0.2">
      <c r="A58" s="175" t="str">
        <f>'New Cities Filter'!C58</f>
        <v>Malhold</v>
      </c>
      <c r="B58" s="178"/>
      <c r="C58" s="177" cm="1">
        <f t="array" ref="C58">Q58*('Price Sheet (Ignore)'!$H$2+_xlfn.IFS(O58="dirt",0.15,O58="gravel",0.3,O58="paved",0.4,O58="none",0))*(G58/3)</f>
        <v>507.59333333333325</v>
      </c>
      <c r="D58" s="178" t="str">
        <f>'New Cities Filter'!B:B</f>
        <v>Brimegcoast</v>
      </c>
      <c r="E58" s="178" t="str">
        <v>Eastern Shavian</v>
      </c>
      <c r="F58" s="178" t="str">
        <v>Path of Guiding Light</v>
      </c>
      <c r="G58" s="179">
        <v>21754</v>
      </c>
      <c r="H58" s="178" t="str">
        <v/>
      </c>
      <c r="I58" s="178" t="str">
        <v/>
      </c>
      <c r="J58" s="178" t="str">
        <v>citadel</v>
      </c>
      <c r="K58" s="178" t="str">
        <v>walls</v>
      </c>
      <c r="L58" s="178" t="str">
        <v/>
      </c>
      <c r="M58" s="178" t="str">
        <v>temple</v>
      </c>
      <c r="N58" s="180" t="str">
        <v/>
      </c>
      <c r="O58" s="177" t="s">
        <v>254</v>
      </c>
      <c r="P58" s="180">
        <f t="shared" si="0"/>
        <v>-1.0000000000000004E-2</v>
      </c>
      <c r="Q58" s="181">
        <f>IF(P58&gt;0.25,P58,P58+'Price Sheet (Ignore)'!$G$2)</f>
        <v>0.13999999999999999</v>
      </c>
      <c r="R58" s="176">
        <f t="shared" si="1"/>
        <v>261.048</v>
      </c>
      <c r="S58" s="178"/>
      <c r="T58" s="178"/>
    </row>
    <row r="59" spans="1:20" ht="29.25" customHeight="1" x14ac:dyDescent="0.2">
      <c r="A59" s="175" t="str">
        <f>'New Cities Filter'!C59</f>
        <v>Malhold</v>
      </c>
      <c r="B59" s="178"/>
      <c r="C59" s="177" cm="1">
        <f t="array" ref="C59">Q59*('Price Sheet (Ignore)'!$H$2+_xlfn.IFS(O59="dirt",0.15,O59="gravel",0.3,O59="paved",0.4,O59="none",0))*(G59/3)</f>
        <v>236.2</v>
      </c>
      <c r="D59" s="178" t="str">
        <f>'New Cities Filter'!B:B</f>
        <v>Oatercoast</v>
      </c>
      <c r="E59" s="178" t="str">
        <v>Eastern Shavian</v>
      </c>
      <c r="F59" s="178" t="str">
        <v>Path of Guiding Light</v>
      </c>
      <c r="G59" s="179">
        <v>9448</v>
      </c>
      <c r="H59" s="178" t="str">
        <v/>
      </c>
      <c r="I59" s="178" t="str">
        <v/>
      </c>
      <c r="J59" s="178" t="str">
        <v/>
      </c>
      <c r="K59" s="178" t="str">
        <v/>
      </c>
      <c r="L59" s="178" t="str">
        <v/>
      </c>
      <c r="M59" s="178" t="str">
        <v/>
      </c>
      <c r="N59" s="180" t="str">
        <v/>
      </c>
      <c r="O59" s="177" t="s">
        <v>254</v>
      </c>
      <c r="P59" s="180">
        <f t="shared" si="0"/>
        <v>0</v>
      </c>
      <c r="Q59" s="181">
        <f>IF(P59&gt;0.25,P59,P59+'Price Sheet (Ignore)'!$G$2)</f>
        <v>0.15</v>
      </c>
      <c r="R59" s="176">
        <f t="shared" si="1"/>
        <v>113.376</v>
      </c>
      <c r="S59" s="178"/>
      <c r="T59" s="178"/>
    </row>
    <row r="60" spans="1:20" ht="29.25" customHeight="1" x14ac:dyDescent="0.2">
      <c r="A60" s="175" t="str">
        <f>'New Cities Filter'!C60</f>
        <v>Mightfall</v>
      </c>
      <c r="B60" s="176">
        <f>SUM(C60:C64)</f>
        <v>1040.6666666666665</v>
      </c>
      <c r="C60" s="177" cm="1">
        <f t="array" ref="C60">Q60*('Price Sheet (Ignore)'!$H$2+_xlfn.IFS(O60="dirt",0.15,O60="gravel",0.3,O60="paved",0.4,O60="none",0))*(G60/3)</f>
        <v>62.5</v>
      </c>
      <c r="D60" s="178" t="str">
        <f>'New Cities Filter'!B:B</f>
        <v>Drayvakec</v>
      </c>
      <c r="E60" s="178" t="str">
        <v>Swanmen</v>
      </c>
      <c r="F60" s="178" t="str">
        <v>Path of Guiding Light</v>
      </c>
      <c r="G60" s="179">
        <v>1875</v>
      </c>
      <c r="H60" s="178" t="str">
        <v/>
      </c>
      <c r="I60" s="178" t="str">
        <v/>
      </c>
      <c r="J60" s="178" t="str">
        <v/>
      </c>
      <c r="K60" s="178" t="str">
        <v/>
      </c>
      <c r="L60" s="178" t="str">
        <v>plaza</v>
      </c>
      <c r="M60" s="178" t="str">
        <v/>
      </c>
      <c r="N60" s="180" t="str">
        <v/>
      </c>
      <c r="O60" s="177" t="s">
        <v>254</v>
      </c>
      <c r="P60" s="180">
        <f t="shared" si="0"/>
        <v>0.05</v>
      </c>
      <c r="Q60" s="181">
        <f>IF(P60&gt;0.25,P60,P60+'Price Sheet (Ignore)'!$G$2)</f>
        <v>0.2</v>
      </c>
      <c r="R60" s="176">
        <f t="shared" si="1"/>
        <v>122.5</v>
      </c>
      <c r="S60" s="178"/>
      <c r="T60" s="178"/>
    </row>
    <row r="61" spans="1:20" ht="29.25" customHeight="1" x14ac:dyDescent="0.2">
      <c r="A61" s="175" t="str">
        <f>'New Cities Filter'!C61</f>
        <v>Mightfall</v>
      </c>
      <c r="B61" s="178"/>
      <c r="C61" s="177" cm="1">
        <f t="array" ref="C61">Q61*('Price Sheet (Ignore)'!$H$2+_xlfn.IFS(O61="dirt",0.15,O61="gravel",0.3,O61="paved",0.4,O61="none",0))*(G61/3)</f>
        <v>411.13333333333333</v>
      </c>
      <c r="D61" s="178" t="str">
        <f>'New Cities Filter'!B:B</f>
        <v>Dewbaymond</v>
      </c>
      <c r="E61" s="178" t="str">
        <v>Swanmen</v>
      </c>
      <c r="F61" s="178" t="str">
        <v>Path of Guiding Light</v>
      </c>
      <c r="G61" s="179">
        <v>12334</v>
      </c>
      <c r="H61" s="178" t="str">
        <v/>
      </c>
      <c r="I61" s="178" t="str">
        <v/>
      </c>
      <c r="J61" s="178" t="str">
        <v>citadel</v>
      </c>
      <c r="K61" s="178" t="str">
        <v/>
      </c>
      <c r="L61" s="178" t="str">
        <v/>
      </c>
      <c r="M61" s="178" t="str">
        <v/>
      </c>
      <c r="N61" s="180" t="str">
        <v/>
      </c>
      <c r="O61" s="177" t="s">
        <v>254</v>
      </c>
      <c r="P61" s="180">
        <f t="shared" si="0"/>
        <v>0.05</v>
      </c>
      <c r="Q61" s="181">
        <f>IF(P61&gt;0.25,P61,P61+'Price Sheet (Ignore)'!$G$2)</f>
        <v>0.2</v>
      </c>
      <c r="R61" s="176">
        <f t="shared" si="1"/>
        <v>148.00800000000001</v>
      </c>
      <c r="S61" s="178"/>
      <c r="T61" s="178"/>
    </row>
    <row r="62" spans="1:20" ht="29.25" customHeight="1" x14ac:dyDescent="0.2">
      <c r="A62" s="175" t="str">
        <f>'New Cities Filter'!C62</f>
        <v>Mightfall</v>
      </c>
      <c r="B62" s="178"/>
      <c r="C62" s="177" cm="1">
        <f t="array" ref="C62">Q62*('Price Sheet (Ignore)'!$H$2+_xlfn.IFS(O62="dirt",0.15,O62="gravel",0.3,O62="paved",0.4,O62="none",0))*(G62/3)</f>
        <v>65.813333333333318</v>
      </c>
      <c r="D62" s="178" t="str">
        <f>'New Cities Filter'!B:B</f>
        <v>Mudfpasstal</v>
      </c>
      <c r="E62" s="178" t="str">
        <v>Swanmen</v>
      </c>
      <c r="F62" s="178" t="str">
        <v>Path of Guiding Light</v>
      </c>
      <c r="G62" s="179">
        <v>4936</v>
      </c>
      <c r="H62" s="178" t="str">
        <v/>
      </c>
      <c r="I62" s="178" t="str">
        <v/>
      </c>
      <c r="J62" s="178" t="str">
        <v/>
      </c>
      <c r="K62" s="178" t="str">
        <v>walls</v>
      </c>
      <c r="L62" s="178" t="str">
        <v/>
      </c>
      <c r="M62" s="178" t="str">
        <v/>
      </c>
      <c r="N62" s="180" t="str">
        <v/>
      </c>
      <c r="O62" s="177" t="s">
        <v>254</v>
      </c>
      <c r="P62" s="180">
        <f t="shared" si="0"/>
        <v>-7.0000000000000007E-2</v>
      </c>
      <c r="Q62" s="181">
        <f>IF(P62&gt;0.25,P62,P62+'Price Sheet (Ignore)'!$G$2)</f>
        <v>7.9999999999999988E-2</v>
      </c>
      <c r="R62" s="176">
        <f t="shared" si="1"/>
        <v>159.232</v>
      </c>
      <c r="S62" s="178"/>
      <c r="T62" s="178"/>
    </row>
    <row r="63" spans="1:20" ht="29.25" customHeight="1" x14ac:dyDescent="0.2">
      <c r="A63" s="175" t="str">
        <f>'New Cities Filter'!C63</f>
        <v>Mightfall</v>
      </c>
      <c r="B63" s="178"/>
      <c r="C63" s="177" cm="1">
        <f t="array" ref="C63">Q63*('Price Sheet (Ignore)'!$H$2+_xlfn.IFS(O63="dirt",0.15,O63="gravel",0.3,O63="paved",0.4,O63="none",0))*(G63/3)</f>
        <v>322.48666666666668</v>
      </c>
      <c r="D63" s="178" t="str">
        <f>'New Cities Filter'!B:B</f>
        <v>Smallverne</v>
      </c>
      <c r="E63" s="178" t="str">
        <v>Swanmen</v>
      </c>
      <c r="F63" s="178" t="str">
        <v>Path of Guiding Light</v>
      </c>
      <c r="G63" s="179">
        <v>14884</v>
      </c>
      <c r="H63" s="178" t="str">
        <v/>
      </c>
      <c r="I63" s="178" t="str">
        <v/>
      </c>
      <c r="J63" s="178" t="str">
        <v>citadel</v>
      </c>
      <c r="K63" s="178" t="str">
        <v>walls</v>
      </c>
      <c r="L63" s="178" t="str">
        <v/>
      </c>
      <c r="M63" s="178" t="str">
        <v/>
      </c>
      <c r="N63" s="180" t="str">
        <v/>
      </c>
      <c r="O63" s="177" t="s">
        <v>254</v>
      </c>
      <c r="P63" s="180">
        <f t="shared" si="0"/>
        <v>-2.0000000000000004E-2</v>
      </c>
      <c r="Q63" s="181">
        <f>IF(P63&gt;0.25,P63,P63+'Price Sheet (Ignore)'!$G$2)</f>
        <v>0.13</v>
      </c>
      <c r="R63" s="176">
        <f t="shared" si="1"/>
        <v>178.608</v>
      </c>
      <c r="S63" s="178"/>
      <c r="T63" s="178"/>
    </row>
    <row r="64" spans="1:20" ht="29.25" customHeight="1" x14ac:dyDescent="0.2">
      <c r="A64" s="175" t="str">
        <f>'New Cities Filter'!C64</f>
        <v>Mightfall</v>
      </c>
      <c r="B64" s="178"/>
      <c r="C64" s="177" cm="1">
        <f t="array" ref="C64">Q64*('Price Sheet (Ignore)'!$H$2+_xlfn.IFS(O64="dirt",0.15,O64="gravel",0.3,O64="paved",0.4,O64="none",0))*(G64/3)</f>
        <v>178.73333333333335</v>
      </c>
      <c r="D64" s="178" t="str">
        <f>'New Cities Filter'!B:B</f>
        <v>Mightfall</v>
      </c>
      <c r="E64" s="178" t="str">
        <v>Swanmen</v>
      </c>
      <c r="F64" s="178" t="str">
        <v>Path of Guiding Light</v>
      </c>
      <c r="G64" s="179">
        <v>5362</v>
      </c>
      <c r="H64" s="178" t="str">
        <v/>
      </c>
      <c r="I64" s="178" t="str">
        <v/>
      </c>
      <c r="J64" s="178" t="str">
        <v>citadel</v>
      </c>
      <c r="K64" s="178" t="str">
        <v/>
      </c>
      <c r="L64" s="178" t="str">
        <v/>
      </c>
      <c r="M64" s="178" t="str">
        <v/>
      </c>
      <c r="N64" s="180" t="str">
        <v/>
      </c>
      <c r="O64" s="177" t="s">
        <v>254</v>
      </c>
      <c r="P64" s="180">
        <f t="shared" si="0"/>
        <v>0.05</v>
      </c>
      <c r="Q64" s="181">
        <f>IF(P64&gt;0.25,P64,P64+'Price Sheet (Ignore)'!$G$2)</f>
        <v>0.2</v>
      </c>
      <c r="R64" s="176">
        <f t="shared" si="1"/>
        <v>164.34399999999999</v>
      </c>
      <c r="S64" s="178"/>
      <c r="T64" s="178"/>
    </row>
    <row r="65" spans="1:20" ht="29.25" customHeight="1" x14ac:dyDescent="0.2">
      <c r="A65" s="175" t="str">
        <f>'New Cities Filter'!C65</f>
        <v>Mightkeep</v>
      </c>
      <c r="B65" s="176">
        <f>SUM(C65:C74)</f>
        <v>2855.2283333333335</v>
      </c>
      <c r="C65" s="177" cm="1">
        <f t="array" ref="C65">Q65*('Price Sheet (Ignore)'!$H$2+_xlfn.IFS(O65="dirt",0.15,O65="gravel",0.3,O65="paved",0.4,O65="none",0))*(G65/3)</f>
        <v>553.36666666666667</v>
      </c>
      <c r="D65" s="178" t="str">
        <f>'New Cities Filter'!B:B</f>
        <v>Whitegulf</v>
      </c>
      <c r="E65" s="178" t="str">
        <v>Swanmen</v>
      </c>
      <c r="F65" s="178" t="str">
        <v>Path of Guiding Light</v>
      </c>
      <c r="G65" s="179">
        <v>16601</v>
      </c>
      <c r="H65" s="178" t="str">
        <v/>
      </c>
      <c r="I65" s="178" t="str">
        <v/>
      </c>
      <c r="J65" s="178" t="str">
        <v>citadel</v>
      </c>
      <c r="K65" s="178" t="str">
        <v/>
      </c>
      <c r="L65" s="178" t="str">
        <v/>
      </c>
      <c r="M65" s="178" t="str">
        <v/>
      </c>
      <c r="N65" s="180" t="str">
        <v/>
      </c>
      <c r="O65" s="177" t="s">
        <v>254</v>
      </c>
      <c r="P65" s="180">
        <f t="shared" si="0"/>
        <v>0.05</v>
      </c>
      <c r="Q65" s="181">
        <f>IF(P65&gt;0.25,P65,P65+'Price Sheet (Ignore)'!$G$2)</f>
        <v>0.2</v>
      </c>
      <c r="R65" s="176">
        <f t="shared" si="1"/>
        <v>199.21200000000002</v>
      </c>
      <c r="S65" s="178"/>
      <c r="T65" s="178"/>
    </row>
    <row r="66" spans="1:20" ht="29.25" customHeight="1" x14ac:dyDescent="0.2">
      <c r="A66" s="175" t="str">
        <f>'New Cities Filter'!C66</f>
        <v>Mightkeep</v>
      </c>
      <c r="B66" s="178"/>
      <c r="C66" s="177" cm="1">
        <f t="array" ref="C66">Q66*('Price Sheet (Ignore)'!$H$2+_xlfn.IFS(O66="dirt",0.15,O66="gravel",0.3,O66="paved",0.4,O66="none",0))*(G66/3)</f>
        <v>43.174999999999997</v>
      </c>
      <c r="D66" s="178" t="str">
        <f>'New Cities Filter'!B:B</f>
        <v>Stagrasp</v>
      </c>
      <c r="E66" s="178" t="str">
        <v>Swanmen</v>
      </c>
      <c r="F66" s="178" t="str">
        <v>Path of Guiding Light</v>
      </c>
      <c r="G66" s="179">
        <v>1727</v>
      </c>
      <c r="H66" s="178" t="str">
        <v/>
      </c>
      <c r="I66" s="178" t="str">
        <v/>
      </c>
      <c r="J66" s="178" t="str">
        <v/>
      </c>
      <c r="K66" s="178" t="str">
        <v/>
      </c>
      <c r="L66" s="178" t="str">
        <v/>
      </c>
      <c r="M66" s="178" t="str">
        <v/>
      </c>
      <c r="N66" s="180" t="str">
        <v/>
      </c>
      <c r="O66" s="177" t="s">
        <v>254</v>
      </c>
      <c r="P66" s="180">
        <f t="shared" si="0"/>
        <v>0</v>
      </c>
      <c r="Q66" s="181">
        <f>IF(P66&gt;0.25,P66,P66+'Price Sheet (Ignore)'!$G$2)</f>
        <v>0.15</v>
      </c>
      <c r="R66" s="176">
        <f t="shared" si="1"/>
        <v>120.724</v>
      </c>
      <c r="S66" s="178"/>
      <c r="T66" s="178"/>
    </row>
    <row r="67" spans="1:20" ht="29.25" customHeight="1" x14ac:dyDescent="0.2">
      <c r="A67" s="175" t="str">
        <f>'New Cities Filter'!C67</f>
        <v>Mightkeep</v>
      </c>
      <c r="B67" s="178"/>
      <c r="C67" s="177" cm="1">
        <f t="array" ref="C67">Q67*('Price Sheet (Ignore)'!$H$2+_xlfn.IFS(O67="dirt",0.15,O67="gravel",0.3,O67="paved",0.4,O67="none",0))*(G67/3)</f>
        <v>318.4666666666667</v>
      </c>
      <c r="D67" s="178" t="str">
        <f>'New Cities Filter'!B:B</f>
        <v>Moonpasshi</v>
      </c>
      <c r="E67" s="178" t="str">
        <v>Swanmen</v>
      </c>
      <c r="F67" s="178" t="str">
        <v>Path of Guiding Light</v>
      </c>
      <c r="G67" s="179">
        <v>9554</v>
      </c>
      <c r="H67" s="178" t="str">
        <v/>
      </c>
      <c r="I67" s="178" t="str">
        <v/>
      </c>
      <c r="J67" s="178" t="str">
        <v/>
      </c>
      <c r="K67" s="178" t="str">
        <v/>
      </c>
      <c r="L67" s="178" t="str">
        <v>plaza</v>
      </c>
      <c r="M67" s="178" t="str">
        <v/>
      </c>
      <c r="N67" s="180" t="str">
        <v/>
      </c>
      <c r="O67" s="177" t="s">
        <v>254</v>
      </c>
      <c r="P67" s="180">
        <f t="shared" si="0"/>
        <v>0.05</v>
      </c>
      <c r="Q67" s="181">
        <f>IF(P67&gt;0.25,P67,P67+'Price Sheet (Ignore)'!$G$2)</f>
        <v>0.2</v>
      </c>
      <c r="R67" s="176">
        <f t="shared" si="1"/>
        <v>114.648</v>
      </c>
      <c r="S67" s="178"/>
      <c r="T67" s="178"/>
    </row>
    <row r="68" spans="1:20" ht="29.25" customHeight="1" x14ac:dyDescent="0.2">
      <c r="A68" s="175" t="str">
        <f>'New Cities Filter'!C68</f>
        <v>Mightkeep</v>
      </c>
      <c r="B68" s="178"/>
      <c r="C68" s="177" cm="1">
        <f t="array" ref="C68">Q68*('Price Sheet (Ignore)'!$H$2+_xlfn.IFS(O68="dirt",0.15,O68="gravel",0.3,O68="paved",0.4,O68="none",0))*(G68/3)</f>
        <v>150.33333333333334</v>
      </c>
      <c r="D68" s="178" t="str">
        <f>'New Cities Filter'!B:B</f>
        <v>Wingmire</v>
      </c>
      <c r="E68" s="178" t="str">
        <v>Swanmen</v>
      </c>
      <c r="F68" s="178" t="str">
        <v>Path of Guiding Light</v>
      </c>
      <c r="G68" s="179">
        <v>3608</v>
      </c>
      <c r="H68" s="178" t="str">
        <v/>
      </c>
      <c r="I68" s="178" t="str">
        <v/>
      </c>
      <c r="J68" s="178" t="str">
        <v>citadel</v>
      </c>
      <c r="K68" s="178" t="str">
        <v/>
      </c>
      <c r="L68" s="178" t="str">
        <v>plaza</v>
      </c>
      <c r="M68" s="178" t="str">
        <v/>
      </c>
      <c r="N68" s="180" t="str">
        <v/>
      </c>
      <c r="O68" s="177" t="s">
        <v>254</v>
      </c>
      <c r="P68" s="180">
        <f t="shared" si="0"/>
        <v>0.1</v>
      </c>
      <c r="Q68" s="181">
        <f>IF(P68&gt;0.25,P68,P68+'Price Sheet (Ignore)'!$G$2)</f>
        <v>0.25</v>
      </c>
      <c r="R68" s="176">
        <f t="shared" si="1"/>
        <v>143.29599999999999</v>
      </c>
      <c r="S68" s="178"/>
      <c r="T68" s="178"/>
    </row>
    <row r="69" spans="1:20" ht="29.25" customHeight="1" x14ac:dyDescent="0.2">
      <c r="A69" s="175" t="str">
        <f>'New Cities Filter'!C69</f>
        <v>Mightkeep</v>
      </c>
      <c r="B69" s="178"/>
      <c r="C69" s="177" cm="1">
        <f t="array" ref="C69">Q69*('Price Sheet (Ignore)'!$H$2+_xlfn.IFS(O69="dirt",0.15,O69="gravel",0.3,O69="paved",0.4,O69="none",0))*(G69/3)</f>
        <v>64.13333333333334</v>
      </c>
      <c r="D69" s="178" t="str">
        <f>'New Cities Filter'!B:B</f>
        <v>Mightkeep</v>
      </c>
      <c r="E69" s="178" t="str">
        <v>Swanmen</v>
      </c>
      <c r="F69" s="178" t="str">
        <v>Path of Guiding Light</v>
      </c>
      <c r="G69" s="179">
        <v>1924</v>
      </c>
      <c r="H69" s="178" t="str">
        <v/>
      </c>
      <c r="I69" s="178" t="str">
        <v/>
      </c>
      <c r="J69" s="178" t="str">
        <v/>
      </c>
      <c r="K69" s="178" t="str">
        <v/>
      </c>
      <c r="L69" s="178" t="str">
        <v>plaza</v>
      </c>
      <c r="M69" s="178" t="str">
        <v/>
      </c>
      <c r="N69" s="180" t="str">
        <v/>
      </c>
      <c r="O69" s="177" t="s">
        <v>254</v>
      </c>
      <c r="P69" s="180">
        <f t="shared" si="0"/>
        <v>0.05</v>
      </c>
      <c r="Q69" s="181">
        <f>IF(P69&gt;0.25,P69,P69+'Price Sheet (Ignore)'!$G$2)</f>
        <v>0.2</v>
      </c>
      <c r="R69" s="176">
        <f t="shared" si="1"/>
        <v>123.08799999999999</v>
      </c>
      <c r="S69" s="178"/>
      <c r="T69" s="178"/>
    </row>
    <row r="70" spans="1:20" ht="29.25" customHeight="1" x14ac:dyDescent="0.2">
      <c r="A70" s="175" t="str">
        <f>'New Cities Filter'!C70</f>
        <v>Mightkeep</v>
      </c>
      <c r="B70" s="178"/>
      <c r="C70" s="177" cm="1">
        <f t="array" ref="C70">Q70*('Price Sheet (Ignore)'!$H$2+_xlfn.IFS(O70="dirt",0.15,O70="gravel",0.3,O70="paved",0.4,O70="none",0))*(G70/3)</f>
        <v>568.6</v>
      </c>
      <c r="D70" s="178" t="str">
        <f>'New Cities Filter'!B:B</f>
        <v>Sungelrock</v>
      </c>
      <c r="E70" s="178" t="str">
        <v>Swanmen</v>
      </c>
      <c r="F70" s="178" t="str">
        <v>Path of Guiding Light</v>
      </c>
      <c r="G70" s="179">
        <v>17058</v>
      </c>
      <c r="H70" s="178" t="str">
        <v/>
      </c>
      <c r="I70" s="178" t="str">
        <v/>
      </c>
      <c r="J70" s="178" t="str">
        <v>citadel</v>
      </c>
      <c r="K70" s="178" t="str">
        <v/>
      </c>
      <c r="L70" s="178" t="str">
        <v/>
      </c>
      <c r="M70" s="178" t="str">
        <v/>
      </c>
      <c r="N70" s="180" t="str">
        <v/>
      </c>
      <c r="O70" s="177" t="s">
        <v>254</v>
      </c>
      <c r="P70" s="180">
        <f t="shared" si="0"/>
        <v>0.05</v>
      </c>
      <c r="Q70" s="181">
        <f>IF(P70&gt;0.25,P70,P70+'Price Sheet (Ignore)'!$G$2)</f>
        <v>0.2</v>
      </c>
      <c r="R70" s="176">
        <f t="shared" si="1"/>
        <v>204.696</v>
      </c>
      <c r="S70" s="178"/>
      <c r="T70" s="178"/>
    </row>
    <row r="71" spans="1:20" ht="29.25" customHeight="1" x14ac:dyDescent="0.2">
      <c r="A71" s="175" t="str">
        <f>'New Cities Filter'!C71</f>
        <v>Mightkeep</v>
      </c>
      <c r="B71" s="178"/>
      <c r="C71" s="177" cm="1">
        <f t="array" ref="C71">Q71*('Price Sheet (Ignore)'!$H$2+_xlfn.IFS(O71="dirt",0.15,O71="gravel",0.3,O71="paved",0.4,O71="none",0))*(G71/3)</f>
        <v>55.5</v>
      </c>
      <c r="D71" s="178" t="str">
        <f>'New Cities Filter'!B:B</f>
        <v>Houndford</v>
      </c>
      <c r="E71" s="178" t="str">
        <v>Swanmen</v>
      </c>
      <c r="F71" s="178" t="str">
        <v>Path of Guiding Light</v>
      </c>
      <c r="G71" s="179">
        <v>2220</v>
      </c>
      <c r="H71" s="178" t="str">
        <v/>
      </c>
      <c r="I71" s="178" t="str">
        <v/>
      </c>
      <c r="J71" s="178" t="str">
        <v/>
      </c>
      <c r="K71" s="178" t="str">
        <v/>
      </c>
      <c r="L71" s="178" t="str">
        <v/>
      </c>
      <c r="M71" s="178" t="str">
        <v/>
      </c>
      <c r="N71" s="180" t="str">
        <v/>
      </c>
      <c r="O71" s="177" t="s">
        <v>254</v>
      </c>
      <c r="P71" s="180">
        <f t="shared" si="0"/>
        <v>0</v>
      </c>
      <c r="Q71" s="181">
        <f>IF(P71&gt;0.25,P71,P71+'Price Sheet (Ignore)'!$G$2)</f>
        <v>0.15</v>
      </c>
      <c r="R71" s="176">
        <f t="shared" si="1"/>
        <v>126.64</v>
      </c>
      <c r="S71" s="178"/>
      <c r="T71" s="178"/>
    </row>
    <row r="72" spans="1:20" ht="29.25" customHeight="1" x14ac:dyDescent="0.2">
      <c r="A72" s="175" t="str">
        <f>'New Cities Filter'!C72</f>
        <v>Mightkeep</v>
      </c>
      <c r="B72" s="178"/>
      <c r="C72" s="177" cm="1">
        <f t="array" ref="C72">Q72*('Price Sheet (Ignore)'!$H$2+_xlfn.IFS(O72="dirt",0.15,O72="gravel",0.3,O72="paved",0.4,O72="none",0))*(G72/3)</f>
        <v>450.13333333333333</v>
      </c>
      <c r="D72" s="178" t="str">
        <f>'New Cities Filter'!B:B</f>
        <v>Bridtown</v>
      </c>
      <c r="E72" s="178" t="str">
        <v>Swanmen</v>
      </c>
      <c r="F72" s="178" t="str">
        <v>Path of Guiding Light</v>
      </c>
      <c r="G72" s="179">
        <v>13504</v>
      </c>
      <c r="H72" s="178" t="str">
        <v/>
      </c>
      <c r="I72" s="178" t="str">
        <v/>
      </c>
      <c r="J72" s="178" t="str">
        <v/>
      </c>
      <c r="K72" s="178" t="str">
        <v/>
      </c>
      <c r="L72" s="178" t="str">
        <v>plaza</v>
      </c>
      <c r="M72" s="178" t="str">
        <v/>
      </c>
      <c r="N72" s="180" t="str">
        <v/>
      </c>
      <c r="O72" s="177" t="s">
        <v>254</v>
      </c>
      <c r="P72" s="180">
        <f t="shared" si="0"/>
        <v>0.05</v>
      </c>
      <c r="Q72" s="181">
        <f>IF(P72&gt;0.25,P72,P72+'Price Sheet (Ignore)'!$G$2)</f>
        <v>0.2</v>
      </c>
      <c r="R72" s="176">
        <f t="shared" si="1"/>
        <v>162.048</v>
      </c>
      <c r="S72" s="178"/>
      <c r="T72" s="178"/>
    </row>
    <row r="73" spans="1:20" ht="29.25" customHeight="1" x14ac:dyDescent="0.2">
      <c r="A73" s="175" t="str">
        <f>'New Cities Filter'!C73</f>
        <v>Mightkeep</v>
      </c>
      <c r="B73" s="178"/>
      <c r="C73" s="177" cm="1">
        <f t="array" ref="C73">Q73*('Price Sheet (Ignore)'!$H$2+_xlfn.IFS(O73="dirt",0.15,O73="gravel",0.3,O73="paved",0.4,O73="none",0))*(G73/3)</f>
        <v>358.06666666666666</v>
      </c>
      <c r="D73" s="178" t="str">
        <f>'New Cities Filter'!B:B</f>
        <v>Mudfair</v>
      </c>
      <c r="E73" s="178" t="str">
        <v>Swanmen</v>
      </c>
      <c r="F73" s="178" t="str">
        <v>Path of Guiding Light</v>
      </c>
      <c r="G73" s="179">
        <v>10742</v>
      </c>
      <c r="H73" s="178" t="str">
        <v/>
      </c>
      <c r="I73" s="178" t="str">
        <v/>
      </c>
      <c r="J73" s="178" t="str">
        <v>citadel</v>
      </c>
      <c r="K73" s="178" t="str">
        <v/>
      </c>
      <c r="L73" s="178" t="str">
        <v/>
      </c>
      <c r="M73" s="178" t="str">
        <v/>
      </c>
      <c r="N73" s="180" t="str">
        <v/>
      </c>
      <c r="O73" s="177" t="s">
        <v>254</v>
      </c>
      <c r="P73" s="180">
        <f t="shared" si="0"/>
        <v>0.05</v>
      </c>
      <c r="Q73" s="181">
        <f>IF(P73&gt;0.25,P73,P73+'Price Sheet (Ignore)'!$G$2)</f>
        <v>0.2</v>
      </c>
      <c r="R73" s="176">
        <f t="shared" si="1"/>
        <v>128.904</v>
      </c>
      <c r="S73" s="178"/>
      <c r="T73" s="178"/>
    </row>
    <row r="74" spans="1:20" ht="29.25" customHeight="1" x14ac:dyDescent="0.2">
      <c r="A74" s="175" t="str">
        <f>'New Cities Filter'!C74</f>
        <v>Mightkeep</v>
      </c>
      <c r="B74" s="178"/>
      <c r="C74" s="177" cm="1">
        <f t="array" ref="C74">Q74*('Price Sheet (Ignore)'!$H$2+_xlfn.IFS(O74="dirt",0.15,O74="gravel",0.3,O74="paved",0.4,O74="none",0))*(G74/3)</f>
        <v>293.45333333333338</v>
      </c>
      <c r="D74" s="178" t="str">
        <f>'New Cities Filter'!B:B</f>
        <v>Mythspell</v>
      </c>
      <c r="E74" s="178" t="str">
        <v>Swanmen</v>
      </c>
      <c r="F74" s="178" t="str">
        <v>Path of Guiding Light</v>
      </c>
      <c r="G74" s="179">
        <v>13544</v>
      </c>
      <c r="H74" s="178" t="str">
        <v/>
      </c>
      <c r="I74" s="178" t="str">
        <v/>
      </c>
      <c r="J74" s="178" t="str">
        <v/>
      </c>
      <c r="K74" s="178" t="str">
        <v>walls</v>
      </c>
      <c r="L74" s="178" t="str">
        <v>plaza</v>
      </c>
      <c r="M74" s="178" t="str">
        <v/>
      </c>
      <c r="N74" s="180" t="str">
        <v/>
      </c>
      <c r="O74" s="177" t="s">
        <v>254</v>
      </c>
      <c r="P74" s="180">
        <f t="shared" si="0"/>
        <v>-2.0000000000000004E-2</v>
      </c>
      <c r="Q74" s="181">
        <f>IF(P74&gt;0.25,P74,P74+'Price Sheet (Ignore)'!$G$2)</f>
        <v>0.13</v>
      </c>
      <c r="R74" s="176">
        <f t="shared" si="1"/>
        <v>162.52799999999999</v>
      </c>
      <c r="S74" s="178"/>
      <c r="T74" s="178"/>
    </row>
    <row r="75" spans="1:20" ht="29.25" customHeight="1" x14ac:dyDescent="0.2">
      <c r="A75" s="175" t="str">
        <f>'New Cities Filter'!C75</f>
        <v>Mondwatch</v>
      </c>
      <c r="B75" s="176">
        <f>SUM(C75:C77)</f>
        <v>1413.7533333333333</v>
      </c>
      <c r="C75" s="177" cm="1">
        <f t="array" ref="C75">Q75*('Price Sheet (Ignore)'!$H$2+_xlfn.IFS(O75="dirt",0.15,O75="gravel",0.3,O75="paved",0.4,O75="none",0))*(G75/3)</f>
        <v>354.16666666666669</v>
      </c>
      <c r="D75" s="178" t="str">
        <f>'New Cities Filter'!B:B</f>
        <v>Heartmorest</v>
      </c>
      <c r="E75" s="178" t="str">
        <v>Westerling</v>
      </c>
      <c r="F75" s="178" t="str">
        <v>Path of Guiding Light</v>
      </c>
      <c r="G75" s="179">
        <v>8500</v>
      </c>
      <c r="H75" s="178" t="str">
        <v/>
      </c>
      <c r="I75" s="178" t="str">
        <v/>
      </c>
      <c r="J75" s="178" t="str">
        <v>citadel</v>
      </c>
      <c r="K75" s="178" t="str">
        <v/>
      </c>
      <c r="L75" s="178" t="str">
        <v>plaza</v>
      </c>
      <c r="M75" s="178" t="str">
        <v/>
      </c>
      <c r="N75" s="180" t="str">
        <v/>
      </c>
      <c r="O75" s="177" t="s">
        <v>254</v>
      </c>
      <c r="P75" s="180">
        <f t="shared" si="0"/>
        <v>0.1</v>
      </c>
      <c r="Q75" s="181">
        <f>IF(P75&gt;0.25,P75,P75+'Price Sheet (Ignore)'!$G$2)</f>
        <v>0.25</v>
      </c>
      <c r="R75" s="176">
        <f t="shared" si="1"/>
        <v>102</v>
      </c>
      <c r="S75" s="178"/>
      <c r="T75" s="178"/>
    </row>
    <row r="76" spans="1:20" ht="29.25" customHeight="1" x14ac:dyDescent="0.2">
      <c r="A76" s="175" t="str">
        <f>'New Cities Filter'!C76</f>
        <v>Mondwatch</v>
      </c>
      <c r="B76" s="178"/>
      <c r="C76" s="177" cm="1">
        <f t="array" ref="C76">Q76*('Price Sheet (Ignore)'!$H$2+_xlfn.IFS(O76="dirt",0.15,O76="gravel",0.3,O76="paved",0.4,O76="none",0))*(G76/3)</f>
        <v>909.2</v>
      </c>
      <c r="D76" s="178" t="str">
        <f>'New Cities Filter'!B:B</f>
        <v>Bear Hall</v>
      </c>
      <c r="E76" s="178" t="str">
        <v>Westerling</v>
      </c>
      <c r="F76" s="178" t="str">
        <v>Path of Guiding Light</v>
      </c>
      <c r="G76" s="179">
        <v>18184</v>
      </c>
      <c r="H76" s="178" t="str">
        <v/>
      </c>
      <c r="I76" s="178" t="str">
        <v>port</v>
      </c>
      <c r="J76" s="178" t="str">
        <v/>
      </c>
      <c r="K76" s="178" t="str">
        <v/>
      </c>
      <c r="L76" s="178" t="str">
        <v>plaza</v>
      </c>
      <c r="M76" s="178" t="str">
        <v/>
      </c>
      <c r="N76" s="180" t="str">
        <v/>
      </c>
      <c r="O76" s="177" t="s">
        <v>254</v>
      </c>
      <c r="P76" s="180">
        <f t="shared" si="0"/>
        <v>0.15000000000000002</v>
      </c>
      <c r="Q76" s="181">
        <f>IF(P76&gt;0.25,P76,P76+'Price Sheet (Ignore)'!$G$2)</f>
        <v>0.30000000000000004</v>
      </c>
      <c r="R76" s="176">
        <f t="shared" si="1"/>
        <v>218.208</v>
      </c>
      <c r="S76" s="178"/>
      <c r="T76" s="178"/>
    </row>
    <row r="77" spans="1:20" ht="29.25" customHeight="1" x14ac:dyDescent="0.2">
      <c r="A77" s="175" t="str">
        <f>'New Cities Filter'!C77</f>
        <v>Mondwatch</v>
      </c>
      <c r="B77" s="178"/>
      <c r="C77" s="177" cm="1">
        <f t="array" ref="C77">Q77*('Price Sheet (Ignore)'!$H$2+_xlfn.IFS(O77="dirt",0.15,O77="gravel",0.3,O77="paved",0.4,O77="none",0))*(G77/3)</f>
        <v>150.38666666666663</v>
      </c>
      <c r="D77" s="178" t="str">
        <f>'New Cities Filter'!B:B</f>
        <v>Mondbaymond</v>
      </c>
      <c r="E77" s="178" t="str">
        <v>Ralimers</v>
      </c>
      <c r="F77" s="178" t="str">
        <v>Path of Guiding Light</v>
      </c>
      <c r="G77" s="179">
        <v>11279</v>
      </c>
      <c r="H77" s="178" t="str">
        <v/>
      </c>
      <c r="I77" s="178" t="str">
        <v/>
      </c>
      <c r="J77" s="178" t="str">
        <v/>
      </c>
      <c r="K77" s="178" t="str">
        <v>walls</v>
      </c>
      <c r="L77" s="178" t="str">
        <v/>
      </c>
      <c r="M77" s="178" t="str">
        <v/>
      </c>
      <c r="N77" s="180" t="str">
        <v/>
      </c>
      <c r="O77" s="177" t="s">
        <v>254</v>
      </c>
      <c r="P77" s="180">
        <f t="shared" si="0"/>
        <v>-7.0000000000000007E-2</v>
      </c>
      <c r="Q77" s="181">
        <f>IF(P77&gt;0.25,P77,P77+'Price Sheet (Ignore)'!$G$2)</f>
        <v>7.9999999999999988E-2</v>
      </c>
      <c r="R77" s="176">
        <f t="shared" si="1"/>
        <v>135.34800000000001</v>
      </c>
      <c r="S77" s="178"/>
      <c r="T77" s="178"/>
    </row>
    <row r="78" spans="1:20" ht="29.25" customHeight="1" x14ac:dyDescent="0.2">
      <c r="A78" s="175" t="str">
        <f>'New Cities Filter'!C78</f>
        <v>Northfold</v>
      </c>
      <c r="B78" s="176">
        <f>SUM(C78)</f>
        <v>702.9</v>
      </c>
      <c r="C78" s="177" cm="1">
        <f t="array" ref="C78">Q78*('Price Sheet (Ignore)'!$H$2+_xlfn.IFS(O78="dirt",0.15,O78="gravel",0.3,O78="paved",0.4,O78="none",0))*(G78/3)</f>
        <v>702.9</v>
      </c>
      <c r="D78" s="178" t="str">
        <f>'New Cities Filter'!B:B</f>
        <v>Northfold Manor</v>
      </c>
      <c r="E78" s="178" t="str">
        <v>Eastern Shavian</v>
      </c>
      <c r="F78" s="178" t="str">
        <v>Path of Guiding Light</v>
      </c>
      <c r="G78" s="179">
        <v>23430</v>
      </c>
      <c r="H78" s="178" t="str">
        <v/>
      </c>
      <c r="I78" s="178" t="str">
        <v/>
      </c>
      <c r="J78" s="178" t="str">
        <v>citadel</v>
      </c>
      <c r="K78" s="178" t="str">
        <v>walls</v>
      </c>
      <c r="L78" s="178" t="str">
        <v>plaza</v>
      </c>
      <c r="M78" s="178" t="str">
        <v/>
      </c>
      <c r="N78" s="180" t="str">
        <v/>
      </c>
      <c r="O78" s="177" t="s">
        <v>254</v>
      </c>
      <c r="P78" s="180">
        <f t="shared" si="0"/>
        <v>0.03</v>
      </c>
      <c r="Q78" s="181">
        <f>IF(P78&gt;0.25,P78,P78+'Price Sheet (Ignore)'!$G$2)</f>
        <v>0.18</v>
      </c>
      <c r="R78" s="176">
        <f t="shared" si="1"/>
        <v>281.16000000000003</v>
      </c>
      <c r="S78" s="178"/>
      <c r="T78" s="178"/>
    </row>
    <row r="79" spans="1:20" ht="29.25" customHeight="1" x14ac:dyDescent="0.2">
      <c r="A79" s="175" t="str">
        <f>'New Cities Filter'!C79</f>
        <v>Oal's Reach</v>
      </c>
      <c r="B79" s="176">
        <f>SUM(C79:C81)</f>
        <v>465.20666666666659</v>
      </c>
      <c r="C79" s="177" cm="1">
        <f t="array" ref="C79">Q79*('Price Sheet (Ignore)'!$H$2+_xlfn.IFS(O79="dirt",0.15,O79="gravel",0.3,O79="paved",0.4,O79="none",0))*(G79/3)</f>
        <v>247.97333333333327</v>
      </c>
      <c r="D79" s="178" t="str">
        <f>'New Cities Filter'!B:B</f>
        <v>Oaledale</v>
      </c>
      <c r="E79" s="178" t="str">
        <v>Ralimers</v>
      </c>
      <c r="F79" s="178" t="str">
        <v>Path of Guiding Light</v>
      </c>
      <c r="G79" s="179">
        <v>18598</v>
      </c>
      <c r="H79" s="178" t="str">
        <v/>
      </c>
      <c r="I79" s="178" t="str">
        <v/>
      </c>
      <c r="J79" s="178" t="str">
        <v/>
      </c>
      <c r="K79" s="178" t="str">
        <v>walls</v>
      </c>
      <c r="L79" s="178" t="str">
        <v/>
      </c>
      <c r="M79" s="178" t="str">
        <v/>
      </c>
      <c r="N79" s="180" t="str">
        <v/>
      </c>
      <c r="O79" s="177" t="s">
        <v>254</v>
      </c>
      <c r="P79" s="180">
        <f t="shared" si="0"/>
        <v>-7.0000000000000007E-2</v>
      </c>
      <c r="Q79" s="181">
        <f>IF(P79&gt;0.25,P79,P79+'Price Sheet (Ignore)'!$G$2)</f>
        <v>7.9999999999999988E-2</v>
      </c>
      <c r="R79" s="176">
        <f t="shared" si="1"/>
        <v>223.17600000000002</v>
      </c>
      <c r="S79" s="178"/>
      <c r="T79" s="178"/>
    </row>
    <row r="80" spans="1:20" ht="29.25" customHeight="1" x14ac:dyDescent="0.2">
      <c r="A80" s="175" t="str">
        <f>'New Cities Filter'!C80</f>
        <v>Oal's Reach</v>
      </c>
      <c r="B80" s="178"/>
      <c r="C80" s="177" cm="1">
        <f t="array" ref="C80">Q80*('Price Sheet (Ignore)'!$H$2+_xlfn.IFS(O80="dirt",0.15,O80="gravel",0.3,O80="paved",0.4,O80="none",0))*(G80/3)</f>
        <v>59.1</v>
      </c>
      <c r="D80" s="178" t="str">
        <f>'New Cities Filter'!B:B</f>
        <v>Mistmorest</v>
      </c>
      <c r="E80" s="178" t="str">
        <v>Central Shavian</v>
      </c>
      <c r="F80" s="178" t="str">
        <v>Path of Guiding Light</v>
      </c>
      <c r="G80" s="179">
        <v>1773</v>
      </c>
      <c r="H80" s="178" t="str">
        <v/>
      </c>
      <c r="I80" s="178" t="str">
        <v/>
      </c>
      <c r="J80" s="178" t="str">
        <v>citadel</v>
      </c>
      <c r="K80" s="178" t="str">
        <v/>
      </c>
      <c r="L80" s="178" t="str">
        <v/>
      </c>
      <c r="M80" s="178" t="str">
        <v/>
      </c>
      <c r="N80" s="180" t="str">
        <v/>
      </c>
      <c r="O80" s="177" t="s">
        <v>254</v>
      </c>
      <c r="P80" s="180">
        <f t="shared" si="0"/>
        <v>0.05</v>
      </c>
      <c r="Q80" s="181">
        <f>IF(P80&gt;0.25,P80,P80+'Price Sheet (Ignore)'!$G$2)</f>
        <v>0.2</v>
      </c>
      <c r="R80" s="176">
        <f t="shared" si="1"/>
        <v>121.276</v>
      </c>
      <c r="S80" s="178"/>
      <c r="T80" s="178"/>
    </row>
    <row r="81" spans="1:20" ht="29.25" customHeight="1" x14ac:dyDescent="0.2">
      <c r="A81" s="175" t="str">
        <f>'New Cities Filter'!C81</f>
        <v>Oal's Reach</v>
      </c>
      <c r="B81" s="178"/>
      <c r="C81" s="177" cm="1">
        <f t="array" ref="C81">Q81*('Price Sheet (Ignore)'!$H$2+_xlfn.IFS(O81="dirt",0.15,O81="gravel",0.3,O81="paved",0.4,O81="none",0))*(G81/3)</f>
        <v>158.13333333333333</v>
      </c>
      <c r="D81" s="178" t="str">
        <f>'New Cities Filter'!B:B</f>
        <v>Shaledasinf</v>
      </c>
      <c r="E81" s="178" t="str">
        <v>Central Shavian</v>
      </c>
      <c r="F81" s="178" t="str">
        <v>Path of Guiding Light</v>
      </c>
      <c r="G81" s="179">
        <v>4744</v>
      </c>
      <c r="H81" s="178" t="str">
        <v/>
      </c>
      <c r="I81" s="178" t="str">
        <v/>
      </c>
      <c r="J81" s="178" t="str">
        <v>citadel</v>
      </c>
      <c r="K81" s="178" t="str">
        <v/>
      </c>
      <c r="L81" s="178" t="str">
        <v/>
      </c>
      <c r="M81" s="178" t="str">
        <v/>
      </c>
      <c r="N81" s="180" t="str">
        <v/>
      </c>
      <c r="O81" s="177" t="s">
        <v>254</v>
      </c>
      <c r="P81" s="180">
        <f t="shared" si="0"/>
        <v>0.05</v>
      </c>
      <c r="Q81" s="181">
        <f>IF(P81&gt;0.25,P81,P81+'Price Sheet (Ignore)'!$G$2)</f>
        <v>0.2</v>
      </c>
      <c r="R81" s="176">
        <f t="shared" si="1"/>
        <v>156.928</v>
      </c>
      <c r="S81" s="178"/>
      <c r="T81" s="178"/>
    </row>
    <row r="82" spans="1:20" ht="29.25" customHeight="1" x14ac:dyDescent="0.2">
      <c r="A82" s="175" t="str">
        <f>'New Cities Filter'!C82</f>
        <v>Pearlpass</v>
      </c>
      <c r="B82" s="176">
        <f>SUM(C82)</f>
        <v>987.70833333333337</v>
      </c>
      <c r="C82" s="177" cm="1">
        <f t="array" ref="C82">Q82*('Price Sheet (Ignore)'!$H$2+_xlfn.IFS(O82="dirt",0.15,O82="gravel",0.3,O82="paved",0.4,O82="none",0))*(G82/3)</f>
        <v>987.70833333333337</v>
      </c>
      <c r="D82" s="178" t="str">
        <f>'New Cities Filter'!B:B</f>
        <v>Pearlpass</v>
      </c>
      <c r="E82" s="178" t="str">
        <v>Northerners</v>
      </c>
      <c r="F82" s="178" t="str">
        <v>Path of Guiding Light</v>
      </c>
      <c r="G82" s="179">
        <v>23705</v>
      </c>
      <c r="H82" s="178" t="str">
        <v/>
      </c>
      <c r="I82" s="178" t="str">
        <v/>
      </c>
      <c r="J82" s="178" t="str">
        <v>citadel</v>
      </c>
      <c r="K82" s="178" t="str">
        <v/>
      </c>
      <c r="L82" s="178" t="str">
        <v>plaza</v>
      </c>
      <c r="M82" s="178" t="str">
        <v/>
      </c>
      <c r="N82" s="180" t="str">
        <v/>
      </c>
      <c r="O82" s="177" t="s">
        <v>254</v>
      </c>
      <c r="P82" s="180">
        <f t="shared" si="0"/>
        <v>0.1</v>
      </c>
      <c r="Q82" s="181">
        <f>IF(P82&gt;0.25,P82,P82+'Price Sheet (Ignore)'!$G$2)</f>
        <v>0.25</v>
      </c>
      <c r="R82" s="176">
        <f t="shared" si="1"/>
        <v>284.45999999999998</v>
      </c>
      <c r="S82" s="178"/>
      <c r="T82" s="178"/>
    </row>
    <row r="83" spans="1:20" ht="29.25" customHeight="1" x14ac:dyDescent="0.2">
      <c r="A83" s="175" t="str">
        <f>'New Cities Filter'!C83</f>
        <v>Persterton Pass</v>
      </c>
      <c r="B83" s="176">
        <f>SUM(C83:C86)</f>
        <v>197.96166666666667</v>
      </c>
      <c r="C83" s="177" cm="1">
        <f t="array" ref="C83">Q83*('Price Sheet (Ignore)'!$H$2+_xlfn.IFS(O83="dirt",0.15,O83="gravel",0.3,O83="paved",0.4,O83="none",0))*(G83/3)</f>
        <v>98.233333333333348</v>
      </c>
      <c r="D83" s="178" t="str">
        <f>'New Cities Filter'!B:B</f>
        <v>Nilbog</v>
      </c>
      <c r="E83" s="178" t="str">
        <v>Madinglian</v>
      </c>
      <c r="F83" s="178" t="str">
        <v>Children of Stone</v>
      </c>
      <c r="G83" s="179">
        <v>2947</v>
      </c>
      <c r="H83" s="178" t="str">
        <v/>
      </c>
      <c r="I83" s="178" t="str">
        <v/>
      </c>
      <c r="J83" s="178" t="str">
        <v/>
      </c>
      <c r="K83" s="178" t="str">
        <v/>
      </c>
      <c r="L83" s="178" t="str">
        <v>plaza</v>
      </c>
      <c r="M83" s="178" t="str">
        <v/>
      </c>
      <c r="N83" s="180" t="str">
        <v/>
      </c>
      <c r="O83" s="177" t="s">
        <v>254</v>
      </c>
      <c r="P83" s="180">
        <f t="shared" si="0"/>
        <v>0.05</v>
      </c>
      <c r="Q83" s="181">
        <f>IF(P83&gt;0.25,P83,P83+'Price Sheet (Ignore)'!$G$2)</f>
        <v>0.2</v>
      </c>
      <c r="R83" s="176">
        <f t="shared" si="1"/>
        <v>135.364</v>
      </c>
      <c r="S83" s="178"/>
      <c r="T83" s="178"/>
    </row>
    <row r="84" spans="1:20" ht="29.25" customHeight="1" x14ac:dyDescent="0.2">
      <c r="A84" s="175" t="str">
        <f>'New Cities Filter'!C84</f>
        <v>Persterton Pass</v>
      </c>
      <c r="B84" s="178"/>
      <c r="C84" s="177" cm="1">
        <f t="array" ref="C84">Q84*('Price Sheet (Ignore)'!$H$2+_xlfn.IFS(O84="dirt",0.15,O84="gravel",0.3,O84="paved",0.4,O84="none",0))*(G84/3)</f>
        <v>15.653333333333331</v>
      </c>
      <c r="D84" s="178" t="str">
        <f>'New Cities Filter'!B:B</f>
        <v>Persterton</v>
      </c>
      <c r="E84" s="178" t="str">
        <v>Wildlands</v>
      </c>
      <c r="F84" s="178" t="str">
        <v>Children of Stone</v>
      </c>
      <c r="G84" s="179">
        <v>1174</v>
      </c>
      <c r="H84" s="178" t="str">
        <v/>
      </c>
      <c r="I84" s="178" t="str">
        <v/>
      </c>
      <c r="J84" s="178" t="str">
        <v/>
      </c>
      <c r="K84" s="178" t="str">
        <v>walls</v>
      </c>
      <c r="L84" s="178" t="str">
        <v/>
      </c>
      <c r="M84" s="178" t="str">
        <v/>
      </c>
      <c r="N84" s="180" t="str">
        <v/>
      </c>
      <c r="O84" s="177" t="s">
        <v>254</v>
      </c>
      <c r="P84" s="180">
        <f t="shared" si="0"/>
        <v>-7.0000000000000007E-2</v>
      </c>
      <c r="Q84" s="181">
        <f>IF(P84&gt;0.25,P84,P84+'Price Sheet (Ignore)'!$G$2)</f>
        <v>7.9999999999999988E-2</v>
      </c>
      <c r="R84" s="176">
        <f t="shared" si="1"/>
        <v>114.08799999999999</v>
      </c>
      <c r="S84" s="178"/>
      <c r="T84" s="178"/>
    </row>
    <row r="85" spans="1:20" ht="29.25" customHeight="1" x14ac:dyDescent="0.2">
      <c r="A85" s="175" t="str">
        <f>'New Cities Filter'!C85</f>
        <v>Persterton Pass</v>
      </c>
      <c r="B85" s="178"/>
      <c r="C85" s="177" cm="1">
        <f t="array" ref="C85">Q85*('Price Sheet (Ignore)'!$H$2+_xlfn.IFS(O85="dirt",0.15,O85="gravel",0.3,O85="paved",0.4,O85="none",0))*(G85/3)</f>
        <v>46.424999999999997</v>
      </c>
      <c r="D85" s="178" t="str">
        <f>'New Cities Filter'!B:B</f>
        <v>Ishzit</v>
      </c>
      <c r="E85" s="178" t="str">
        <v>Madinglian</v>
      </c>
      <c r="F85" s="178" t="str">
        <v>Children of Stone</v>
      </c>
      <c r="G85" s="179">
        <v>1857</v>
      </c>
      <c r="H85" s="178" t="str">
        <v/>
      </c>
      <c r="I85" s="178" t="str">
        <v/>
      </c>
      <c r="J85" s="178" t="str">
        <v/>
      </c>
      <c r="K85" s="178" t="str">
        <v/>
      </c>
      <c r="L85" s="178" t="str">
        <v/>
      </c>
      <c r="M85" s="178" t="str">
        <v/>
      </c>
      <c r="N85" s="180" t="str">
        <v/>
      </c>
      <c r="O85" s="177" t="s">
        <v>254</v>
      </c>
      <c r="P85" s="180">
        <f t="shared" si="0"/>
        <v>0</v>
      </c>
      <c r="Q85" s="181">
        <f>IF(P85&gt;0.25,P85,P85+'Price Sheet (Ignore)'!$G$2)</f>
        <v>0.15</v>
      </c>
      <c r="R85" s="176">
        <f t="shared" si="1"/>
        <v>122.28399999999999</v>
      </c>
      <c r="S85" s="178"/>
      <c r="T85" s="178"/>
    </row>
    <row r="86" spans="1:20" ht="29.25" customHeight="1" x14ac:dyDescent="0.2">
      <c r="A86" s="175" t="str">
        <f>'New Cities Filter'!C86</f>
        <v>Persterton Pass</v>
      </c>
      <c r="B86" s="178"/>
      <c r="C86" s="177" cm="1">
        <f t="array" ref="C86">Q86*('Price Sheet (Ignore)'!$H$2+_xlfn.IFS(O86="dirt",0.15,O86="gravel",0.3,O86="paved",0.4,O86="none",0))*(G86/3)</f>
        <v>37.65</v>
      </c>
      <c r="D86" s="178" t="str">
        <f>'New Cities Filter'!B:B</f>
        <v>Buggalhob</v>
      </c>
      <c r="E86" s="178" t="str">
        <v>Madinglian</v>
      </c>
      <c r="F86" s="178" t="str">
        <v>Children of Stone</v>
      </c>
      <c r="G86" s="179">
        <v>1506</v>
      </c>
      <c r="H86" s="178" t="str">
        <v/>
      </c>
      <c r="I86" s="178" t="str">
        <v/>
      </c>
      <c r="J86" s="178" t="str">
        <v/>
      </c>
      <c r="K86" s="178" t="str">
        <v/>
      </c>
      <c r="L86" s="178" t="str">
        <v/>
      </c>
      <c r="M86" s="178" t="str">
        <v/>
      </c>
      <c r="N86" s="180" t="str">
        <v/>
      </c>
      <c r="O86" s="177" t="s">
        <v>254</v>
      </c>
      <c r="P86" s="180">
        <f t="shared" si="0"/>
        <v>0</v>
      </c>
      <c r="Q86" s="181">
        <f>IF(P86&gt;0.25,P86,P86+'Price Sheet (Ignore)'!$G$2)</f>
        <v>0.15</v>
      </c>
      <c r="R86" s="176">
        <f t="shared" si="1"/>
        <v>118.072</v>
      </c>
      <c r="S86" s="178"/>
      <c r="T86" s="178"/>
    </row>
    <row r="87" spans="1:20" ht="29.25" customHeight="1" x14ac:dyDescent="0.2">
      <c r="A87" s="175" t="str">
        <f>'New Cities Filter'!C87</f>
        <v>Prince's Boot</v>
      </c>
      <c r="B87" s="176">
        <f>SUM(C87)</f>
        <v>125.27333333333333</v>
      </c>
      <c r="C87" s="177" cm="1">
        <f t="array" ref="C87">Q87*('Price Sheet (Ignore)'!$H$2+_xlfn.IFS(O87="dirt",0.15,O87="gravel",0.3,O87="paved",0.4,O87="none",0))*(G87/3)</f>
        <v>125.27333333333333</v>
      </c>
      <c r="D87" s="178" t="str">
        <f>'New Cities Filter'!B:B</f>
        <v>Draven</v>
      </c>
      <c r="E87" s="178" t="str">
        <v>Northerners</v>
      </c>
      <c r="F87" s="178" t="str">
        <v>Path of Guiding Light</v>
      </c>
      <c r="G87" s="179">
        <v>3268</v>
      </c>
      <c r="H87" s="178" t="str">
        <v/>
      </c>
      <c r="I87" s="178" t="str">
        <v>port</v>
      </c>
      <c r="J87" s="178" t="str">
        <v>citadel</v>
      </c>
      <c r="K87" s="178" t="str">
        <v>walls</v>
      </c>
      <c r="L87" s="178" t="str">
        <v/>
      </c>
      <c r="M87" s="178" t="str">
        <v/>
      </c>
      <c r="N87" s="180" t="str">
        <v/>
      </c>
      <c r="O87" s="177" t="s">
        <v>254</v>
      </c>
      <c r="P87" s="180">
        <f t="shared" si="0"/>
        <v>8.0000000000000016E-2</v>
      </c>
      <c r="Q87" s="181">
        <f>IF(P87&gt;0.25,P87,P87+'Price Sheet (Ignore)'!$G$2)</f>
        <v>0.23</v>
      </c>
      <c r="R87" s="176">
        <f t="shared" si="1"/>
        <v>139.21600000000001</v>
      </c>
      <c r="S87" s="178"/>
      <c r="T87" s="178"/>
    </row>
    <row r="88" spans="1:20" ht="29.25" customHeight="1" x14ac:dyDescent="0.2">
      <c r="A88" s="175" t="str">
        <f>'New Cities Filter'!C88</f>
        <v>Quickwatch</v>
      </c>
      <c r="B88" s="176">
        <f>SUM(C88:C93)</f>
        <v>1190.365</v>
      </c>
      <c r="C88" s="177" cm="1">
        <f t="array" ref="C88">Q88*('Price Sheet (Ignore)'!$H$2+_xlfn.IFS(O88="dirt",0.15,O88="gravel",0.3,O88="paved",0.4,O88="none",0))*(G88/3)</f>
        <v>132.77333333333334</v>
      </c>
      <c r="D88" s="178" t="str">
        <f>'New Cities Filter'!B:B</f>
        <v>Quickwatch</v>
      </c>
      <c r="E88" s="178" t="str">
        <v>Eastern Shavian</v>
      </c>
      <c r="F88" s="178" t="str">
        <v>Path of Guiding Light</v>
      </c>
      <c r="G88" s="179">
        <v>6128</v>
      </c>
      <c r="H88" s="178" t="str">
        <v/>
      </c>
      <c r="I88" s="178" t="str">
        <v/>
      </c>
      <c r="J88" s="178" t="str">
        <v>citadel</v>
      </c>
      <c r="K88" s="178" t="str">
        <v>walls</v>
      </c>
      <c r="L88" s="178" t="str">
        <v/>
      </c>
      <c r="M88" s="178" t="str">
        <v/>
      </c>
      <c r="N88" s="180" t="str">
        <v/>
      </c>
      <c r="O88" s="177" t="s">
        <v>254</v>
      </c>
      <c r="P88" s="180">
        <f t="shared" si="0"/>
        <v>-2.0000000000000004E-2</v>
      </c>
      <c r="Q88" s="181">
        <f>IF(P88&gt;0.25,P88,P88+'Price Sheet (Ignore)'!$G$2)</f>
        <v>0.13</v>
      </c>
      <c r="R88" s="176">
        <f t="shared" si="1"/>
        <v>173.536</v>
      </c>
      <c r="S88" s="178"/>
      <c r="T88" s="178"/>
    </row>
    <row r="89" spans="1:20" ht="29.25" customHeight="1" x14ac:dyDescent="0.2">
      <c r="A89" s="175" t="str">
        <f>'New Cities Filter'!C89</f>
        <v>Quickwatch</v>
      </c>
      <c r="B89" s="178"/>
      <c r="C89" s="177" cm="1">
        <f t="array" ref="C89">Q89*('Price Sheet (Ignore)'!$H$2+_xlfn.IFS(O89="dirt",0.15,O89="gravel",0.3,O89="paved",0.4,O89="none",0))*(G89/3)</f>
        <v>59.466666666666669</v>
      </c>
      <c r="D89" s="178" t="str">
        <f>'New Cities Filter'!B:B</f>
        <v>Dustvalhave</v>
      </c>
      <c r="E89" s="178" t="str">
        <v>Eastern Shavian</v>
      </c>
      <c r="F89" s="178" t="str">
        <v>Path of Guiding Light</v>
      </c>
      <c r="G89" s="179">
        <v>1784</v>
      </c>
      <c r="H89" s="178" t="str">
        <v/>
      </c>
      <c r="I89" s="178" t="str">
        <v/>
      </c>
      <c r="J89" s="178" t="str">
        <v/>
      </c>
      <c r="K89" s="178" t="str">
        <v/>
      </c>
      <c r="L89" s="178" t="str">
        <v>plaza</v>
      </c>
      <c r="M89" s="178" t="str">
        <v/>
      </c>
      <c r="N89" s="180" t="str">
        <v/>
      </c>
      <c r="O89" s="177" t="s">
        <v>254</v>
      </c>
      <c r="P89" s="180">
        <f t="shared" si="0"/>
        <v>0.05</v>
      </c>
      <c r="Q89" s="181">
        <f>IF(P89&gt;0.25,P89,P89+'Price Sheet (Ignore)'!$G$2)</f>
        <v>0.2</v>
      </c>
      <c r="R89" s="176">
        <f t="shared" si="1"/>
        <v>121.408</v>
      </c>
      <c r="S89" s="178"/>
      <c r="T89" s="178"/>
    </row>
    <row r="90" spans="1:20" ht="29.25" customHeight="1" x14ac:dyDescent="0.2">
      <c r="A90" s="175" t="str">
        <f>'New Cities Filter'!C90</f>
        <v>Quickwatch</v>
      </c>
      <c r="B90" s="178"/>
      <c r="C90" s="177" cm="1">
        <f t="array" ref="C90">Q90*('Price Sheet (Ignore)'!$H$2+_xlfn.IFS(O90="dirt",0.15,O90="gravel",0.3,O90="paved",0.4,O90="none",0))*(G90/3)</f>
        <v>60.033333333333339</v>
      </c>
      <c r="D90" s="178" t="str">
        <f>'New Cities Filter'!B:B</f>
        <v>Clayard</v>
      </c>
      <c r="E90" s="178" t="str">
        <v>Eastern Shavian</v>
      </c>
      <c r="F90" s="178" t="str">
        <v>Path of Guiding Light</v>
      </c>
      <c r="G90" s="179">
        <v>1801</v>
      </c>
      <c r="H90" s="178" t="str">
        <v/>
      </c>
      <c r="I90" s="178" t="str">
        <v/>
      </c>
      <c r="J90" s="178" t="str">
        <v/>
      </c>
      <c r="K90" s="178" t="str">
        <v/>
      </c>
      <c r="L90" s="178" t="str">
        <v>plaza</v>
      </c>
      <c r="M90" s="178" t="str">
        <v/>
      </c>
      <c r="N90" s="180" t="str">
        <v/>
      </c>
      <c r="O90" s="177" t="s">
        <v>254</v>
      </c>
      <c r="P90" s="180">
        <f t="shared" si="0"/>
        <v>0.05</v>
      </c>
      <c r="Q90" s="181">
        <f>IF(P90&gt;0.25,P90,P90+'Price Sheet (Ignore)'!$G$2)</f>
        <v>0.2</v>
      </c>
      <c r="R90" s="176">
        <f t="shared" si="1"/>
        <v>121.61199999999999</v>
      </c>
      <c r="S90" s="178"/>
      <c r="T90" s="178"/>
    </row>
    <row r="91" spans="1:20" ht="29.25" customHeight="1" x14ac:dyDescent="0.2">
      <c r="A91" s="175" t="str">
        <f>'New Cities Filter'!C91</f>
        <v>Quickwatch</v>
      </c>
      <c r="B91" s="178"/>
      <c r="C91" s="177" cm="1">
        <f t="array" ref="C91">Q91*('Price Sheet (Ignore)'!$H$2+_xlfn.IFS(O91="dirt",0.15,O91="gravel",0.3,O91="paved",0.4,O91="none",0))*(G91/3)</f>
        <v>184.90000000000003</v>
      </c>
      <c r="D91" s="178" t="str">
        <f>'New Cities Filter'!B:B</f>
        <v>Houndreach</v>
      </c>
      <c r="E91" s="178" t="str">
        <v>Eastern Shavian</v>
      </c>
      <c r="F91" s="178" t="str">
        <v>Path of Guiding Light</v>
      </c>
      <c r="G91" s="179">
        <v>3698</v>
      </c>
      <c r="H91" s="178" t="str">
        <v/>
      </c>
      <c r="I91" s="178" t="str">
        <v>port</v>
      </c>
      <c r="J91" s="178" t="str">
        <v>citadel</v>
      </c>
      <c r="K91" s="178" t="str">
        <v/>
      </c>
      <c r="L91" s="178" t="str">
        <v/>
      </c>
      <c r="M91" s="178" t="str">
        <v/>
      </c>
      <c r="N91" s="180" t="str">
        <v/>
      </c>
      <c r="O91" s="177" t="s">
        <v>254</v>
      </c>
      <c r="P91" s="180">
        <f t="shared" si="0"/>
        <v>0.15000000000000002</v>
      </c>
      <c r="Q91" s="181">
        <f>IF(P91&gt;0.25,P91,P91+'Price Sheet (Ignore)'!$G$2)</f>
        <v>0.30000000000000004</v>
      </c>
      <c r="R91" s="176">
        <f t="shared" si="1"/>
        <v>144.376</v>
      </c>
      <c r="S91" s="178"/>
      <c r="T91" s="178"/>
    </row>
    <row r="92" spans="1:20" ht="29.25" customHeight="1" x14ac:dyDescent="0.2">
      <c r="A92" s="175" t="str">
        <f>'New Cities Filter'!C92</f>
        <v>Quickwatch</v>
      </c>
      <c r="B92" s="178"/>
      <c r="C92" s="177" cm="1">
        <f t="array" ref="C92">Q92*('Price Sheet (Ignore)'!$H$2+_xlfn.IFS(O92="dirt",0.15,O92="gravel",0.3,O92="paved",0.4,O92="none",0))*(G92/3)</f>
        <v>224.87833333333333</v>
      </c>
      <c r="D92" s="178" t="str">
        <f>'New Cities Filter'!B:B</f>
        <v>Roremice</v>
      </c>
      <c r="E92" s="178" t="str">
        <v>Eastern Shavian</v>
      </c>
      <c r="F92" s="178" t="str">
        <v>Path of Guiding Light</v>
      </c>
      <c r="G92" s="179">
        <v>10379</v>
      </c>
      <c r="H92" s="178" t="str">
        <v/>
      </c>
      <c r="I92" s="178" t="str">
        <v/>
      </c>
      <c r="J92" s="178" t="str">
        <v>citadel</v>
      </c>
      <c r="K92" s="178" t="str">
        <v>walls</v>
      </c>
      <c r="L92" s="178" t="str">
        <v/>
      </c>
      <c r="M92" s="178" t="str">
        <v/>
      </c>
      <c r="N92" s="180" t="str">
        <v/>
      </c>
      <c r="O92" s="177" t="s">
        <v>254</v>
      </c>
      <c r="P92" s="180">
        <f t="shared" si="0"/>
        <v>-2.0000000000000004E-2</v>
      </c>
      <c r="Q92" s="181">
        <f>IF(P92&gt;0.25,P92,P92+'Price Sheet (Ignore)'!$G$2)</f>
        <v>0.13</v>
      </c>
      <c r="R92" s="176">
        <f t="shared" si="1"/>
        <v>124.548</v>
      </c>
      <c r="S92" s="178"/>
      <c r="T92" s="178"/>
    </row>
    <row r="93" spans="1:20" ht="29.25" customHeight="1" x14ac:dyDescent="0.2">
      <c r="A93" s="175" t="str">
        <f>'New Cities Filter'!C93</f>
        <v>Quickwatch</v>
      </c>
      <c r="B93" s="178"/>
      <c r="C93" s="177" cm="1">
        <f t="array" ref="C93">Q93*('Price Sheet (Ignore)'!$H$2+_xlfn.IFS(O93="dirt",0.15,O93="gravel",0.3,O93="paved",0.4,O93="none",0))*(G93/3)</f>
        <v>528.31333333333328</v>
      </c>
      <c r="D93" s="178" t="str">
        <f>'New Cities Filter'!B:B</f>
        <v>Dewgcoast</v>
      </c>
      <c r="E93" s="178" t="str">
        <v>Eastern Shavian</v>
      </c>
      <c r="F93" s="178" t="str">
        <v>Path of Guiding Light</v>
      </c>
      <c r="G93" s="179">
        <v>22642</v>
      </c>
      <c r="H93" s="178" t="str">
        <v/>
      </c>
      <c r="I93" s="178" t="str">
        <v/>
      </c>
      <c r="J93" s="178" t="str">
        <v>citadel</v>
      </c>
      <c r="K93" s="178" t="str">
        <v>walls</v>
      </c>
      <c r="L93" s="178" t="str">
        <v/>
      </c>
      <c r="M93" s="178" t="str">
        <v>temple</v>
      </c>
      <c r="N93" s="180" t="str">
        <v/>
      </c>
      <c r="O93" s="177" t="s">
        <v>254</v>
      </c>
      <c r="P93" s="180">
        <f t="shared" si="0"/>
        <v>-1.0000000000000004E-2</v>
      </c>
      <c r="Q93" s="181">
        <f>IF(P93&gt;0.25,P93,P93+'Price Sheet (Ignore)'!$G$2)</f>
        <v>0.13999999999999999</v>
      </c>
      <c r="R93" s="176">
        <f t="shared" si="1"/>
        <v>271.70400000000001</v>
      </c>
      <c r="S93" s="178"/>
      <c r="T93" s="178"/>
    </row>
    <row r="94" spans="1:20" ht="29.25" customHeight="1" x14ac:dyDescent="0.2">
      <c r="A94" s="175" t="str">
        <f>'New Cities Filter'!C94</f>
        <v>Ratermarch</v>
      </c>
      <c r="B94" s="176">
        <f>SUM(C94:C97)</f>
        <v>726.33333333333337</v>
      </c>
      <c r="C94" s="177" cm="1">
        <f t="array" ref="C94">Q94*('Price Sheet (Ignore)'!$H$2+_xlfn.IFS(O94="dirt",0.15,O94="gravel",0.3,O94="paved",0.4,O94="none",0))*(G94/3)</f>
        <v>196.4</v>
      </c>
      <c r="D94" s="178" t="str">
        <f>'New Cities Filter'!B:B</f>
        <v>Banashel'lalos</v>
      </c>
      <c r="E94" s="178" t="str">
        <v>Ralimers</v>
      </c>
      <c r="F94" s="178" t="str">
        <v>Path of Guiding Light</v>
      </c>
      <c r="G94" s="179">
        <v>5892</v>
      </c>
      <c r="H94" s="178" t="str">
        <v/>
      </c>
      <c r="I94" s="178" t="str">
        <v/>
      </c>
      <c r="J94" s="178" t="str">
        <v>citadel</v>
      </c>
      <c r="K94" s="178" t="str">
        <v/>
      </c>
      <c r="L94" s="178" t="str">
        <v/>
      </c>
      <c r="M94" s="178" t="str">
        <v/>
      </c>
      <c r="N94" s="180" t="str">
        <v/>
      </c>
      <c r="O94" s="177" t="s">
        <v>254</v>
      </c>
      <c r="P94" s="180">
        <f t="shared" si="0"/>
        <v>0.05</v>
      </c>
      <c r="Q94" s="181">
        <f>IF(P94&gt;0.25,P94,P94+'Price Sheet (Ignore)'!$G$2)</f>
        <v>0.2</v>
      </c>
      <c r="R94" s="176">
        <f t="shared" si="1"/>
        <v>170.70400000000001</v>
      </c>
      <c r="S94" s="178"/>
      <c r="T94" s="178"/>
    </row>
    <row r="95" spans="1:20" ht="29.25" customHeight="1" x14ac:dyDescent="0.2">
      <c r="A95" s="175" t="str">
        <f>'New Cities Filter'!C95</f>
        <v>Ratermarch</v>
      </c>
      <c r="B95" s="178"/>
      <c r="C95" s="177" cm="1">
        <f t="array" ref="C95">Q95*('Price Sheet (Ignore)'!$H$2+_xlfn.IFS(O95="dirt",0.15,O95="gravel",0.3,O95="paved",0.4,O95="none",0))*(G95/3)</f>
        <v>59.466666666666669</v>
      </c>
      <c r="D95" s="178" t="str">
        <f>'New Cities Filter'!B:B</f>
        <v>Bearsimeg</v>
      </c>
      <c r="E95" s="178" t="str">
        <v>Ralimers</v>
      </c>
      <c r="F95" s="178" t="str">
        <v>Path of Guiding Light</v>
      </c>
      <c r="G95" s="179">
        <v>1784</v>
      </c>
      <c r="H95" s="178" t="str">
        <v/>
      </c>
      <c r="I95" s="178" t="str">
        <v/>
      </c>
      <c r="J95" s="178" t="str">
        <v>citadel</v>
      </c>
      <c r="K95" s="178" t="str">
        <v/>
      </c>
      <c r="L95" s="178" t="str">
        <v/>
      </c>
      <c r="M95" s="178" t="str">
        <v/>
      </c>
      <c r="N95" s="180" t="str">
        <v/>
      </c>
      <c r="O95" s="177" t="s">
        <v>254</v>
      </c>
      <c r="P95" s="180">
        <f t="shared" si="0"/>
        <v>0.05</v>
      </c>
      <c r="Q95" s="181">
        <f>IF(P95&gt;0.25,P95,P95+'Price Sheet (Ignore)'!$G$2)</f>
        <v>0.2</v>
      </c>
      <c r="R95" s="176">
        <f t="shared" si="1"/>
        <v>121.408</v>
      </c>
      <c r="S95" s="178"/>
      <c r="T95" s="178"/>
    </row>
    <row r="96" spans="1:20" ht="29.25" customHeight="1" x14ac:dyDescent="0.2">
      <c r="A96" s="175" t="str">
        <f>'New Cities Filter'!C96</f>
        <v>Ratermarch</v>
      </c>
      <c r="B96" s="178"/>
      <c r="C96" s="177" cm="1">
        <f t="array" ref="C96">Q96*('Price Sheet (Ignore)'!$H$2+_xlfn.IFS(O96="dirt",0.15,O96="gravel",0.3,O96="paved",0.4,O96="none",0))*(G96/3)</f>
        <v>69.433333333333337</v>
      </c>
      <c r="D96" s="178" t="str">
        <f>'New Cities Filter'!B:B</f>
        <v>Raterhall</v>
      </c>
      <c r="E96" s="178" t="str">
        <v>Ralimers</v>
      </c>
      <c r="F96" s="178" t="str">
        <v>Path of Guiding Light</v>
      </c>
      <c r="G96" s="179">
        <v>2083</v>
      </c>
      <c r="H96" s="178" t="str">
        <v/>
      </c>
      <c r="I96" s="178" t="str">
        <v/>
      </c>
      <c r="J96" s="178" t="str">
        <v>citadel</v>
      </c>
      <c r="K96" s="178" t="str">
        <v/>
      </c>
      <c r="L96" s="178" t="str">
        <v/>
      </c>
      <c r="M96" s="178" t="str">
        <v/>
      </c>
      <c r="N96" s="180" t="str">
        <v/>
      </c>
      <c r="O96" s="177" t="s">
        <v>254</v>
      </c>
      <c r="P96" s="180">
        <f t="shared" si="0"/>
        <v>0.05</v>
      </c>
      <c r="Q96" s="181">
        <f>IF(P96&gt;0.25,P96,P96+'Price Sheet (Ignore)'!$G$2)</f>
        <v>0.2</v>
      </c>
      <c r="R96" s="176">
        <f t="shared" si="1"/>
        <v>124.99600000000001</v>
      </c>
      <c r="S96" s="178"/>
      <c r="T96" s="178"/>
    </row>
    <row r="97" spans="1:20" ht="29.25" customHeight="1" x14ac:dyDescent="0.2">
      <c r="A97" s="175" t="str">
        <f>'New Cities Filter'!C97</f>
        <v>Ratermarch</v>
      </c>
      <c r="B97" s="178"/>
      <c r="C97" s="177" cm="1">
        <f t="array" ref="C97">Q97*('Price Sheet (Ignore)'!$H$2+_xlfn.IFS(O97="dirt",0.15,O97="gravel",0.3,O97="paved",0.4,O97="none",0))*(G97/3)</f>
        <v>401.03333333333336</v>
      </c>
      <c r="D97" s="178" t="str">
        <f>'New Cities Filter'!B:B</f>
        <v>Nauthmorcane</v>
      </c>
      <c r="E97" s="178" t="str">
        <v>Golden Men</v>
      </c>
      <c r="F97" s="178" t="str">
        <v>Path of Guiding Light</v>
      </c>
      <c r="G97" s="179">
        <v>12031</v>
      </c>
      <c r="H97" s="178" t="str">
        <v/>
      </c>
      <c r="I97" s="178" t="str">
        <v/>
      </c>
      <c r="J97" s="178" t="str">
        <v>citadel</v>
      </c>
      <c r="K97" s="178" t="str">
        <v/>
      </c>
      <c r="L97" s="178" t="str">
        <v/>
      </c>
      <c r="M97" s="178" t="str">
        <v/>
      </c>
      <c r="N97" s="180" t="str">
        <v/>
      </c>
      <c r="O97" s="177" t="s">
        <v>254</v>
      </c>
      <c r="P97" s="180">
        <f t="shared" si="0"/>
        <v>0.05</v>
      </c>
      <c r="Q97" s="181">
        <f>IF(P97&gt;0.25,P97,P97+'Price Sheet (Ignore)'!$G$2)</f>
        <v>0.2</v>
      </c>
      <c r="R97" s="176">
        <f t="shared" si="1"/>
        <v>144.37200000000001</v>
      </c>
      <c r="S97" s="178"/>
      <c r="T97" s="178"/>
    </row>
    <row r="98" spans="1:20" ht="29.25" customHeight="1" x14ac:dyDescent="0.2">
      <c r="A98" s="175" t="str">
        <f>'New Cities Filter'!C98</f>
        <v>Raven's Reach</v>
      </c>
      <c r="B98" s="176">
        <f>SUM(C98:C102)</f>
        <v>1744.5233333333335</v>
      </c>
      <c r="C98" s="177" cm="1">
        <f t="array" ref="C98">Q98*('Price Sheet (Ignore)'!$H$2+_xlfn.IFS(O98="dirt",0.15,O98="gravel",0.3,O98="paved",0.4,O98="none",0))*(G98/3)</f>
        <v>897.40000000000009</v>
      </c>
      <c r="D98" s="178" t="str">
        <f>'New Cities Filter'!B:B</f>
        <v>Westle</v>
      </c>
      <c r="E98" s="178" t="str">
        <v>Eastern Shavian</v>
      </c>
      <c r="F98" s="178" t="str">
        <v>Path of Guiding Light</v>
      </c>
      <c r="G98" s="179">
        <v>19230</v>
      </c>
      <c r="H98" s="178" t="str">
        <v/>
      </c>
      <c r="I98" s="178" t="str">
        <v>port</v>
      </c>
      <c r="J98" s="178" t="str">
        <v>citadel</v>
      </c>
      <c r="K98" s="178" t="str">
        <v>walls</v>
      </c>
      <c r="L98" s="178" t="str">
        <v>plaza</v>
      </c>
      <c r="M98" s="178" t="str">
        <v/>
      </c>
      <c r="N98" s="180" t="str">
        <v/>
      </c>
      <c r="O98" s="177" t="s">
        <v>254</v>
      </c>
      <c r="P98" s="180">
        <f t="shared" si="0"/>
        <v>0.13</v>
      </c>
      <c r="Q98" s="181">
        <f>IF(P98&gt;0.25,P98,P98+'Price Sheet (Ignore)'!$G$2)</f>
        <v>0.28000000000000003</v>
      </c>
      <c r="R98" s="176">
        <f t="shared" si="1"/>
        <v>230.76</v>
      </c>
      <c r="S98" s="178"/>
      <c r="T98" s="178"/>
    </row>
    <row r="99" spans="1:20" ht="29.25" customHeight="1" x14ac:dyDescent="0.2">
      <c r="A99" s="175" t="str">
        <f>'New Cities Filter'!C99</f>
        <v>Raven's Reach</v>
      </c>
      <c r="B99" s="178"/>
      <c r="C99" s="177" cm="1">
        <f t="array" ref="C99">Q99*('Price Sheet (Ignore)'!$H$2+_xlfn.IFS(O99="dirt",0.15,O99="gravel",0.3,O99="paved",0.4,O99="none",0))*(G99/3)</f>
        <v>61.666666666666664</v>
      </c>
      <c r="D99" s="178" t="str">
        <f>'New Cities Filter'!B:B</f>
        <v>Grideborn</v>
      </c>
      <c r="E99" s="178" t="str">
        <v>Eastern Shavian</v>
      </c>
      <c r="F99" s="178" t="str">
        <v>Path of Guiding Light</v>
      </c>
      <c r="G99" s="179">
        <v>1850</v>
      </c>
      <c r="H99" s="178" t="str">
        <v/>
      </c>
      <c r="I99" s="178" t="str">
        <v/>
      </c>
      <c r="J99" s="178" t="str">
        <v>citadel</v>
      </c>
      <c r="K99" s="178" t="str">
        <v/>
      </c>
      <c r="L99" s="178" t="str">
        <v/>
      </c>
      <c r="M99" s="178" t="str">
        <v/>
      </c>
      <c r="N99" s="180" t="str">
        <v/>
      </c>
      <c r="O99" s="177" t="s">
        <v>254</v>
      </c>
      <c r="P99" s="180">
        <f t="shared" si="0"/>
        <v>0.05</v>
      </c>
      <c r="Q99" s="181">
        <f>IF(P99&gt;0.25,P99,P99+'Price Sheet (Ignore)'!$G$2)</f>
        <v>0.2</v>
      </c>
      <c r="R99" s="176">
        <f t="shared" si="1"/>
        <v>122.2</v>
      </c>
      <c r="S99" s="178"/>
      <c r="T99" s="178"/>
    </row>
    <row r="100" spans="1:20" ht="29.25" customHeight="1" x14ac:dyDescent="0.2">
      <c r="A100" s="175" t="str">
        <f>'New Cities Filter'!C100</f>
        <v>Raven's Reach</v>
      </c>
      <c r="B100" s="178"/>
      <c r="C100" s="177" cm="1">
        <f t="array" ref="C100">Q100*('Price Sheet (Ignore)'!$H$2+_xlfn.IFS(O100="dirt",0.15,O100="gravel",0.3,O100="paved",0.4,O100="none",0))*(G100/3)</f>
        <v>65.8</v>
      </c>
      <c r="D100" s="178" t="str">
        <f>'New Cities Filter'!B:B</f>
        <v>Stagcoastle</v>
      </c>
      <c r="E100" s="178" t="str">
        <v>Eastern Shavian</v>
      </c>
      <c r="F100" s="178" t="str">
        <v>Path of Guiding Light</v>
      </c>
      <c r="G100" s="179">
        <v>1974</v>
      </c>
      <c r="H100" s="178" t="str">
        <v/>
      </c>
      <c r="I100" s="178" t="str">
        <v/>
      </c>
      <c r="J100" s="178" t="str">
        <v/>
      </c>
      <c r="K100" s="178" t="str">
        <v/>
      </c>
      <c r="L100" s="178" t="str">
        <v>plaza</v>
      </c>
      <c r="M100" s="178" t="str">
        <v/>
      </c>
      <c r="N100" s="180" t="str">
        <v/>
      </c>
      <c r="O100" s="177" t="s">
        <v>254</v>
      </c>
      <c r="P100" s="180">
        <f t="shared" si="0"/>
        <v>0.05</v>
      </c>
      <c r="Q100" s="181">
        <f>IF(P100&gt;0.25,P100,P100+'Price Sheet (Ignore)'!$G$2)</f>
        <v>0.2</v>
      </c>
      <c r="R100" s="176">
        <f t="shared" si="1"/>
        <v>123.688</v>
      </c>
      <c r="S100" s="178"/>
      <c r="T100" s="178"/>
    </row>
    <row r="101" spans="1:20" ht="29.25" customHeight="1" x14ac:dyDescent="0.2">
      <c r="A101" s="175" t="str">
        <f>'New Cities Filter'!C101</f>
        <v>Raven's Reach</v>
      </c>
      <c r="B101" s="178"/>
      <c r="C101" s="177" cm="1">
        <f t="array" ref="C101">Q101*('Price Sheet (Ignore)'!$H$2+_xlfn.IFS(O101="dirt",0.15,O101="gravel",0.3,O101="paved",0.4,O101="none",0))*(G101/3)</f>
        <v>691.75</v>
      </c>
      <c r="D101" s="178" t="str">
        <f>'New Cities Filter'!B:B</f>
        <v>Rusthtown</v>
      </c>
      <c r="E101" s="178" t="str">
        <v>Eastern Shavian</v>
      </c>
      <c r="F101" s="178" t="str">
        <v>Path of Guiding Light</v>
      </c>
      <c r="G101" s="179">
        <v>16602</v>
      </c>
      <c r="H101" s="178" t="str">
        <v/>
      </c>
      <c r="I101" s="178" t="str">
        <v/>
      </c>
      <c r="J101" s="178" t="str">
        <v>citadel</v>
      </c>
      <c r="K101" s="178" t="str">
        <v/>
      </c>
      <c r="L101" s="178" t="str">
        <v>plaza</v>
      </c>
      <c r="M101" s="178" t="str">
        <v/>
      </c>
      <c r="N101" s="180" t="str">
        <v/>
      </c>
      <c r="O101" s="177" t="s">
        <v>254</v>
      </c>
      <c r="P101" s="180">
        <f t="shared" si="0"/>
        <v>0.1</v>
      </c>
      <c r="Q101" s="181">
        <f>IF(P101&gt;0.25,P101,P101+'Price Sheet (Ignore)'!$G$2)</f>
        <v>0.25</v>
      </c>
      <c r="R101" s="176">
        <f t="shared" si="1"/>
        <v>199.22400000000002</v>
      </c>
      <c r="S101" s="178"/>
      <c r="T101" s="178"/>
    </row>
    <row r="102" spans="1:20" ht="29.25" customHeight="1" x14ac:dyDescent="0.2">
      <c r="A102" s="175" t="str">
        <f>'New Cities Filter'!C102</f>
        <v>Raven's Reach</v>
      </c>
      <c r="B102" s="178"/>
      <c r="C102" s="177" cm="1">
        <f t="array" ref="C102">Q102*('Price Sheet (Ignore)'!$H$2+_xlfn.IFS(O102="dirt",0.15,O102="gravel",0.3,O102="paved",0.4,O102="none",0))*(G102/3)</f>
        <v>27.906666666666659</v>
      </c>
      <c r="D102" s="178" t="str">
        <f>'New Cities Filter'!B:B</f>
        <v>Mondbaypond</v>
      </c>
      <c r="E102" s="178" t="str">
        <v>Eastern Shavian</v>
      </c>
      <c r="F102" s="178" t="str">
        <v>Path of Guiding Light</v>
      </c>
      <c r="G102" s="179">
        <v>2093</v>
      </c>
      <c r="H102" s="178" t="str">
        <v/>
      </c>
      <c r="I102" s="178" t="str">
        <v/>
      </c>
      <c r="J102" s="178" t="str">
        <v/>
      </c>
      <c r="K102" s="178" t="str">
        <v>walls</v>
      </c>
      <c r="L102" s="178" t="str">
        <v/>
      </c>
      <c r="M102" s="178" t="str">
        <v/>
      </c>
      <c r="N102" s="180" t="str">
        <v/>
      </c>
      <c r="O102" s="177" t="s">
        <v>254</v>
      </c>
      <c r="P102" s="180">
        <f t="shared" si="0"/>
        <v>-7.0000000000000007E-2</v>
      </c>
      <c r="Q102" s="181">
        <f>IF(P102&gt;0.25,P102,P102+'Price Sheet (Ignore)'!$G$2)</f>
        <v>7.9999999999999988E-2</v>
      </c>
      <c r="R102" s="176">
        <f t="shared" si="1"/>
        <v>125.116</v>
      </c>
      <c r="S102" s="178"/>
      <c r="T102" s="178"/>
    </row>
    <row r="103" spans="1:20" ht="29.25" customHeight="1" x14ac:dyDescent="0.2">
      <c r="A103" s="175" t="str">
        <f>'New Cities Filter'!C103</f>
        <v>Ravenmark</v>
      </c>
      <c r="B103" s="176">
        <f>SUM(C103:C107)</f>
        <v>809.59999999999991</v>
      </c>
      <c r="C103" s="177" cm="1">
        <f t="array" ref="C103">Q103*('Price Sheet (Ignore)'!$H$2+_xlfn.IFS(O103="dirt",0.15,O103="gravel",0.3,O103="paved",0.4,O103="none",0))*(G103/3)</f>
        <v>56.833333333333343</v>
      </c>
      <c r="D103" s="178" t="str">
        <f>'New Cities Filter'!B:B</f>
        <v>Griteshield</v>
      </c>
      <c r="E103" s="178" t="str">
        <v>Eastern Shavian</v>
      </c>
      <c r="F103" s="178" t="str">
        <v>Path of Guiding Light</v>
      </c>
      <c r="G103" s="179">
        <v>1705</v>
      </c>
      <c r="H103" s="178" t="str">
        <v/>
      </c>
      <c r="I103" s="178" t="str">
        <v/>
      </c>
      <c r="J103" s="178" t="str">
        <v>citadel</v>
      </c>
      <c r="K103" s="178" t="str">
        <v/>
      </c>
      <c r="L103" s="178" t="str">
        <v/>
      </c>
      <c r="M103" s="178" t="str">
        <v/>
      </c>
      <c r="N103" s="180" t="str">
        <v/>
      </c>
      <c r="O103" s="177" t="s">
        <v>254</v>
      </c>
      <c r="P103" s="180">
        <f t="shared" si="0"/>
        <v>0.05</v>
      </c>
      <c r="Q103" s="181">
        <f>IF(P103&gt;0.25,P103,P103+'Price Sheet (Ignore)'!$G$2)</f>
        <v>0.2</v>
      </c>
      <c r="R103" s="176">
        <f t="shared" si="1"/>
        <v>120.46000000000001</v>
      </c>
      <c r="S103" s="178"/>
      <c r="T103" s="178"/>
    </row>
    <row r="104" spans="1:20" ht="29.25" customHeight="1" x14ac:dyDescent="0.2">
      <c r="A104" s="175" t="str">
        <f>'New Cities Filter'!C104</f>
        <v>Ravenmark</v>
      </c>
      <c r="B104" s="178"/>
      <c r="C104" s="177" cm="1">
        <f t="array" ref="C104">Q104*('Price Sheet (Ignore)'!$H$2+_xlfn.IFS(O104="dirt",0.15,O104="gravel",0.3,O104="paved",0.4,O104="none",0))*(G104/3)</f>
        <v>206.70000000000002</v>
      </c>
      <c r="D104" s="178" t="str">
        <f>'New Cities Filter'!B:B</f>
        <v>Blackfeather Hall</v>
      </c>
      <c r="E104" s="178" t="str">
        <v>Eastern Shavian</v>
      </c>
      <c r="F104" s="178" t="str">
        <v>Path of Guiding Light</v>
      </c>
      <c r="G104" s="179">
        <v>4134</v>
      </c>
      <c r="H104" s="178" t="str">
        <v/>
      </c>
      <c r="I104" s="178" t="str">
        <v>port</v>
      </c>
      <c r="J104" s="178" t="str">
        <v>citadel</v>
      </c>
      <c r="K104" s="178" t="str">
        <v/>
      </c>
      <c r="L104" s="178" t="str">
        <v/>
      </c>
      <c r="M104" s="178" t="str">
        <v/>
      </c>
      <c r="N104" s="180" t="str">
        <v/>
      </c>
      <c r="O104" s="177" t="s">
        <v>254</v>
      </c>
      <c r="P104" s="180">
        <f t="shared" si="0"/>
        <v>0.15000000000000002</v>
      </c>
      <c r="Q104" s="181">
        <f>IF(P104&gt;0.25,P104,P104+'Price Sheet (Ignore)'!$G$2)</f>
        <v>0.30000000000000004</v>
      </c>
      <c r="R104" s="176">
        <f t="shared" si="1"/>
        <v>149.608</v>
      </c>
      <c r="S104" s="178"/>
      <c r="T104" s="178"/>
    </row>
    <row r="105" spans="1:20" ht="29.25" customHeight="1" x14ac:dyDescent="0.2">
      <c r="A105" s="175" t="str">
        <f>'New Cities Filter'!C105</f>
        <v>Ravenmark</v>
      </c>
      <c r="B105" s="178"/>
      <c r="C105" s="177" cm="1">
        <f t="array" ref="C105">Q105*('Price Sheet (Ignore)'!$H$2+_xlfn.IFS(O105="dirt",0.15,O105="gravel",0.3,O105="paved",0.4,O105="none",0))*(G105/3)</f>
        <v>46.4</v>
      </c>
      <c r="D105" s="178" t="str">
        <f>'New Cities Filter'!B:B</f>
        <v>Batereach</v>
      </c>
      <c r="E105" s="178" t="str">
        <v>Eastern Shavian</v>
      </c>
      <c r="F105" s="178" t="str">
        <v>Path of Guiding Light</v>
      </c>
      <c r="G105" s="179">
        <v>1856</v>
      </c>
      <c r="H105" s="178" t="str">
        <v/>
      </c>
      <c r="I105" s="178" t="str">
        <v/>
      </c>
      <c r="J105" s="178" t="str">
        <v/>
      </c>
      <c r="K105" s="178" t="str">
        <v/>
      </c>
      <c r="L105" s="178" t="str">
        <v/>
      </c>
      <c r="M105" s="178" t="str">
        <v/>
      </c>
      <c r="N105" s="180" t="str">
        <v/>
      </c>
      <c r="O105" s="177" t="s">
        <v>254</v>
      </c>
      <c r="P105" s="180">
        <f t="shared" si="0"/>
        <v>0</v>
      </c>
      <c r="Q105" s="181">
        <f>IF(P105&gt;0.25,P105,P105+'Price Sheet (Ignore)'!$G$2)</f>
        <v>0.15</v>
      </c>
      <c r="R105" s="176">
        <f t="shared" si="1"/>
        <v>122.27200000000001</v>
      </c>
      <c r="S105" s="178"/>
      <c r="T105" s="178"/>
    </row>
    <row r="106" spans="1:20" ht="29.25" customHeight="1" x14ac:dyDescent="0.2">
      <c r="A106" s="175" t="str">
        <f>'New Cities Filter'!C106</f>
        <v>Ravenmark</v>
      </c>
      <c r="B106" s="178"/>
      <c r="C106" s="177" cm="1">
        <f t="array" ref="C106">Q106*('Price Sheet (Ignore)'!$H$2+_xlfn.IFS(O106="dirt",0.15,O106="gravel",0.3,O106="paved",0.4,O106="none",0))*(G106/3)</f>
        <v>169.04166666666666</v>
      </c>
      <c r="D106" s="178" t="str">
        <f>'New Cities Filter'!B:B</f>
        <v>Applecross</v>
      </c>
      <c r="E106" s="178" t="str">
        <v>Eastern Shavian</v>
      </c>
      <c r="F106" s="178" t="str">
        <v>Path of Guiding Light</v>
      </c>
      <c r="G106" s="179">
        <v>4057</v>
      </c>
      <c r="H106" s="178" t="str">
        <v/>
      </c>
      <c r="I106" s="178" t="str">
        <v>port</v>
      </c>
      <c r="J106" s="178" t="str">
        <v/>
      </c>
      <c r="K106" s="178" t="str">
        <v/>
      </c>
      <c r="L106" s="178" t="str">
        <v/>
      </c>
      <c r="M106" s="178" t="str">
        <v/>
      </c>
      <c r="N106" s="180" t="str">
        <v/>
      </c>
      <c r="O106" s="177" t="s">
        <v>254</v>
      </c>
      <c r="P106" s="180">
        <f t="shared" si="0"/>
        <v>0.1</v>
      </c>
      <c r="Q106" s="181">
        <f>IF(P106&gt;0.25,P106,P106+'Price Sheet (Ignore)'!$G$2)</f>
        <v>0.25</v>
      </c>
      <c r="R106" s="176">
        <f t="shared" si="1"/>
        <v>148.684</v>
      </c>
      <c r="S106" s="178"/>
      <c r="T106" s="178"/>
    </row>
    <row r="107" spans="1:20" ht="29.25" customHeight="1" x14ac:dyDescent="0.2">
      <c r="A107" s="175" t="str">
        <f>'New Cities Filter'!C107</f>
        <v>Ravenmark</v>
      </c>
      <c r="B107" s="178"/>
      <c r="C107" s="177" cm="1">
        <f t="array" ref="C107">Q107*('Price Sheet (Ignore)'!$H$2+_xlfn.IFS(O107="dirt",0.15,O107="gravel",0.3,O107="paved",0.4,O107="none",0))*(G107/3)</f>
        <v>330.62499999999994</v>
      </c>
      <c r="D107" s="178" t="str">
        <f>'New Cities Filter'!B:B</f>
        <v>Earthtligh</v>
      </c>
      <c r="E107" s="178" t="str">
        <v>Eastern Shavian</v>
      </c>
      <c r="F107" s="178" t="str">
        <v>Path of Guiding Light</v>
      </c>
      <c r="G107" s="179">
        <v>13225</v>
      </c>
      <c r="H107" s="178" t="str">
        <v/>
      </c>
      <c r="I107" s="178" t="str">
        <v/>
      </c>
      <c r="J107" s="178" t="str">
        <v/>
      </c>
      <c r="K107" s="178" t="str">
        <v/>
      </c>
      <c r="L107" s="178" t="str">
        <v/>
      </c>
      <c r="M107" s="178" t="str">
        <v/>
      </c>
      <c r="N107" s="180" t="str">
        <v/>
      </c>
      <c r="O107" s="177" t="s">
        <v>254</v>
      </c>
      <c r="P107" s="180">
        <f t="shared" si="0"/>
        <v>0</v>
      </c>
      <c r="Q107" s="181">
        <f>IF(P107&gt;0.25,P107,P107+'Price Sheet (Ignore)'!$G$2)</f>
        <v>0.15</v>
      </c>
      <c r="R107" s="176">
        <f t="shared" si="1"/>
        <v>158.70000000000002</v>
      </c>
      <c r="S107" s="178"/>
      <c r="T107" s="178"/>
    </row>
    <row r="108" spans="1:20" ht="29.25" customHeight="1" x14ac:dyDescent="0.2">
      <c r="A108" s="175" t="str">
        <f>'New Cities Filter'!C108</f>
        <v>Rordgoz</v>
      </c>
      <c r="B108" s="176">
        <f t="shared" ref="B108:B109" si="2">SUM(C108)</f>
        <v>40.061666666666667</v>
      </c>
      <c r="C108" s="177" cm="1">
        <f t="array" ref="C108">Q108*('Price Sheet (Ignore)'!$H$2+_xlfn.IFS(O108="dirt",0.15,O108="gravel",0.3,O108="paved",0.4,O108="none",0))*(G108/3)</f>
        <v>40.061666666666667</v>
      </c>
      <c r="D108" s="178" t="str">
        <f>'New Cities Filter'!B:B</f>
        <v>Rordgoz</v>
      </c>
      <c r="E108" s="178" t="str">
        <v>Stovemea</v>
      </c>
      <c r="F108" s="178" t="str">
        <v>Elsevercism</v>
      </c>
      <c r="G108" s="179">
        <v>1849</v>
      </c>
      <c r="H108" s="178" t="str">
        <v/>
      </c>
      <c r="I108" s="178" t="str">
        <v/>
      </c>
      <c r="J108" s="178" t="str">
        <v>citadel</v>
      </c>
      <c r="K108" s="178" t="str">
        <v>walls</v>
      </c>
      <c r="L108" s="178" t="str">
        <v/>
      </c>
      <c r="M108" s="178" t="str">
        <v/>
      </c>
      <c r="N108" s="180" t="str">
        <v/>
      </c>
      <c r="O108" s="177" t="s">
        <v>254</v>
      </c>
      <c r="P108" s="180">
        <f t="shared" si="0"/>
        <v>-2.0000000000000004E-2</v>
      </c>
      <c r="Q108" s="181">
        <f>IF(P108&gt;0.25,P108,P108+'Price Sheet (Ignore)'!$G$2)</f>
        <v>0.13</v>
      </c>
      <c r="R108" s="176">
        <f t="shared" si="1"/>
        <v>122.188</v>
      </c>
      <c r="S108" s="178"/>
      <c r="T108" s="178"/>
    </row>
    <row r="109" spans="1:20" ht="29.25" customHeight="1" x14ac:dyDescent="0.2">
      <c r="A109" s="175" t="str">
        <f>'New Cities Filter'!C109</f>
        <v>ShadowWood</v>
      </c>
      <c r="B109" s="176">
        <f t="shared" si="2"/>
        <v>107.95000000000002</v>
      </c>
      <c r="C109" s="177" cm="1">
        <f t="array" ref="C109">Q109*('Price Sheet (Ignore)'!$H$2+_xlfn.IFS(O109="dirt",0.15,O109="gravel",0.3,O109="paved",0.4,O109="none",0))*(G109/3)</f>
        <v>107.95000000000002</v>
      </c>
      <c r="D109" s="178" t="str">
        <f>'New Cities Filter'!B:B</f>
        <v>Shadowtown</v>
      </c>
      <c r="E109" s="178" t="str">
        <v>Westerling</v>
      </c>
      <c r="F109" s="178" t="str">
        <v>Path of Guiding Light</v>
      </c>
      <c r="G109" s="179">
        <v>2159</v>
      </c>
      <c r="H109" s="178" t="str">
        <v/>
      </c>
      <c r="I109" s="178" t="str">
        <v>port</v>
      </c>
      <c r="J109" s="178" t="str">
        <v>citadel</v>
      </c>
      <c r="K109" s="178" t="str">
        <v/>
      </c>
      <c r="L109" s="178" t="str">
        <v/>
      </c>
      <c r="M109" s="178" t="str">
        <v/>
      </c>
      <c r="N109" s="180" t="str">
        <v/>
      </c>
      <c r="O109" s="177" t="s">
        <v>254</v>
      </c>
      <c r="P109" s="180">
        <f t="shared" si="0"/>
        <v>0.15000000000000002</v>
      </c>
      <c r="Q109" s="181">
        <f>IF(P109&gt;0.25,P109,P109+'Price Sheet (Ignore)'!$G$2)</f>
        <v>0.30000000000000004</v>
      </c>
      <c r="R109" s="176">
        <f t="shared" si="1"/>
        <v>125.908</v>
      </c>
      <c r="S109" s="178"/>
      <c r="T109" s="178"/>
    </row>
    <row r="110" spans="1:20" ht="29.25" customHeight="1" x14ac:dyDescent="0.2">
      <c r="A110" s="175" t="str">
        <f>'New Cities Filter'!C110</f>
        <v>Shurestar</v>
      </c>
      <c r="B110" s="176">
        <f>SUM(C110:C112)</f>
        <v>1070.0833333333335</v>
      </c>
      <c r="C110" s="177" cm="1">
        <f t="array" ref="C110">Q110*('Price Sheet (Ignore)'!$H$2+_xlfn.IFS(O110="dirt",0.15,O110="gravel",0.3,O110="paved",0.4,O110="none",0))*(G110/3)</f>
        <v>342.65833333333336</v>
      </c>
      <c r="D110" s="178" t="str">
        <f>'New Cities Filter'!B:B</f>
        <v>Lastspell</v>
      </c>
      <c r="E110" s="178" t="str">
        <v>Eastern Shavian</v>
      </c>
      <c r="F110" s="178" t="str">
        <v>Path of Guiding Light</v>
      </c>
      <c r="G110" s="179">
        <v>15815</v>
      </c>
      <c r="H110" s="178" t="str">
        <v/>
      </c>
      <c r="I110" s="178" t="str">
        <v/>
      </c>
      <c r="J110" s="178" t="str">
        <v>citadel</v>
      </c>
      <c r="K110" s="178" t="str">
        <v>walls</v>
      </c>
      <c r="L110" s="178" t="str">
        <v/>
      </c>
      <c r="M110" s="178" t="str">
        <v/>
      </c>
      <c r="N110" s="180" t="str">
        <v/>
      </c>
      <c r="O110" s="177" t="s">
        <v>254</v>
      </c>
      <c r="P110" s="180">
        <f t="shared" si="0"/>
        <v>-2.0000000000000004E-2</v>
      </c>
      <c r="Q110" s="181">
        <f>IF(P110&gt;0.25,P110,P110+'Price Sheet (Ignore)'!$G$2)</f>
        <v>0.13</v>
      </c>
      <c r="R110" s="176">
        <f t="shared" si="1"/>
        <v>189.78</v>
      </c>
      <c r="S110" s="178"/>
      <c r="T110" s="178"/>
    </row>
    <row r="111" spans="1:20" ht="29.25" customHeight="1" x14ac:dyDescent="0.2">
      <c r="A111" s="175" t="str">
        <f>'New Cities Filter'!C111</f>
        <v>Shurestar</v>
      </c>
      <c r="B111" s="178"/>
      <c r="C111" s="177" cm="1">
        <f t="array" ref="C111">Q111*('Price Sheet (Ignore)'!$H$2+_xlfn.IFS(O111="dirt",0.15,O111="gravel",0.3,O111="paved",0.4,O111="none",0))*(G111/3)</f>
        <v>468.52499999999998</v>
      </c>
      <c r="D111" s="178" t="str">
        <f>'New Cities Filter'!B:B</f>
        <v>Snagonb</v>
      </c>
      <c r="E111" s="178" t="str">
        <v>Central Shavian</v>
      </c>
      <c r="F111" s="178" t="str">
        <v>Path of Guiding Light</v>
      </c>
      <c r="G111" s="179">
        <v>18741</v>
      </c>
      <c r="H111" s="178" t="str">
        <v/>
      </c>
      <c r="I111" s="178" t="str">
        <v/>
      </c>
      <c r="J111" s="178" t="str">
        <v/>
      </c>
      <c r="K111" s="178" t="str">
        <v/>
      </c>
      <c r="L111" s="178" t="str">
        <v/>
      </c>
      <c r="M111" s="178" t="str">
        <v/>
      </c>
      <c r="N111" s="180" t="str">
        <v/>
      </c>
      <c r="O111" s="177" t="s">
        <v>254</v>
      </c>
      <c r="P111" s="180">
        <f t="shared" si="0"/>
        <v>0</v>
      </c>
      <c r="Q111" s="181">
        <f>IF(P111&gt;0.25,P111,P111+'Price Sheet (Ignore)'!$G$2)</f>
        <v>0.15</v>
      </c>
      <c r="R111" s="176">
        <f t="shared" si="1"/>
        <v>224.892</v>
      </c>
      <c r="S111" s="178"/>
      <c r="T111" s="178"/>
    </row>
    <row r="112" spans="1:20" ht="29.25" customHeight="1" x14ac:dyDescent="0.2">
      <c r="A112" s="175" t="str">
        <f>'New Cities Filter'!C112</f>
        <v>Shurestar</v>
      </c>
      <c r="B112" s="178"/>
      <c r="C112" s="177" cm="1">
        <f t="array" ref="C112">Q112*('Price Sheet (Ignore)'!$H$2+_xlfn.IFS(O112="dirt",0.15,O112="gravel",0.3,O112="paved",0.4,O112="none",0))*(G112/3)</f>
        <v>258.89999999999998</v>
      </c>
      <c r="D112" s="178" t="str">
        <f>'New Cities Filter'!B:B</f>
        <v>Shurestar</v>
      </c>
      <c r="E112" s="178" t="str">
        <v>Eastern Shavian</v>
      </c>
      <c r="F112" s="178" t="str">
        <v>Path of Guiding Light</v>
      </c>
      <c r="G112" s="179">
        <v>10356</v>
      </c>
      <c r="H112" s="178" t="str">
        <v/>
      </c>
      <c r="I112" s="178" t="str">
        <v/>
      </c>
      <c r="J112" s="178" t="str">
        <v/>
      </c>
      <c r="K112" s="178" t="str">
        <v/>
      </c>
      <c r="L112" s="178" t="str">
        <v/>
      </c>
      <c r="M112" s="178" t="str">
        <v/>
      </c>
      <c r="N112" s="180" t="str">
        <v/>
      </c>
      <c r="O112" s="177" t="s">
        <v>254</v>
      </c>
      <c r="P112" s="180">
        <f t="shared" si="0"/>
        <v>0</v>
      </c>
      <c r="Q112" s="181">
        <f>IF(P112&gt;0.25,P112,P112+'Price Sheet (Ignore)'!$G$2)</f>
        <v>0.15</v>
      </c>
      <c r="R112" s="176">
        <f t="shared" si="1"/>
        <v>124.27200000000001</v>
      </c>
      <c r="S112" s="178"/>
      <c r="T112" s="178"/>
    </row>
    <row r="113" spans="1:20" ht="29.25" customHeight="1" x14ac:dyDescent="0.2">
      <c r="A113" s="175" t="str">
        <f>'New Cities Filter'!C113</f>
        <v>Sirong</v>
      </c>
      <c r="B113" s="176">
        <f>SUM(C113:C115)</f>
        <v>2227.4333333333334</v>
      </c>
      <c r="C113" s="177" cm="1">
        <f t="array" ref="C113">Q113*('Price Sheet (Ignore)'!$H$2+_xlfn.IFS(O113="dirt",0.15,O113="gravel",0.3,O113="paved",0.4,O113="none",0))*(G113/3)</f>
        <v>1482.8500000000001</v>
      </c>
      <c r="D113" s="178" t="str">
        <f>'New Cities Filter'!B:B</f>
        <v>Sirong</v>
      </c>
      <c r="E113" s="178" t="str">
        <v>Central Shavian</v>
      </c>
      <c r="F113" s="178" t="str">
        <v>Path of Guiding Light</v>
      </c>
      <c r="G113" s="179">
        <v>29657</v>
      </c>
      <c r="H113" s="178" t="str">
        <v/>
      </c>
      <c r="I113" s="178" t="str">
        <v>port</v>
      </c>
      <c r="J113" s="178" t="str">
        <v>citadel</v>
      </c>
      <c r="K113" s="178" t="str">
        <v/>
      </c>
      <c r="L113" s="178" t="str">
        <v/>
      </c>
      <c r="M113" s="178" t="str">
        <v/>
      </c>
      <c r="N113" s="180" t="str">
        <v/>
      </c>
      <c r="O113" s="177" t="s">
        <v>254</v>
      </c>
      <c r="P113" s="180">
        <f t="shared" si="0"/>
        <v>0.15000000000000002</v>
      </c>
      <c r="Q113" s="181">
        <f>IF(P113&gt;0.25,P113,P113+'Price Sheet (Ignore)'!$G$2)</f>
        <v>0.30000000000000004</v>
      </c>
      <c r="R113" s="176">
        <f t="shared" si="1"/>
        <v>355.88400000000001</v>
      </c>
      <c r="S113" s="178"/>
      <c r="T113" s="178"/>
    </row>
    <row r="114" spans="1:20" ht="29.25" customHeight="1" x14ac:dyDescent="0.2">
      <c r="A114" s="175" t="str">
        <f>'New Cities Filter'!C114</f>
        <v>Sirong</v>
      </c>
      <c r="B114" s="178"/>
      <c r="C114" s="177" cm="1">
        <f t="array" ref="C114">Q114*('Price Sheet (Ignore)'!$H$2+_xlfn.IFS(O114="dirt",0.15,O114="gravel",0.3,O114="paved",0.4,O114="none",0))*(G114/3)</f>
        <v>179.56666666666669</v>
      </c>
      <c r="D114" s="178" t="str">
        <f>'New Cities Filter'!B:B</f>
        <v>Boceans</v>
      </c>
      <c r="E114" s="178" t="str">
        <v>Central Shavian</v>
      </c>
      <c r="F114" s="178" t="str">
        <v>Path of Guiding Light</v>
      </c>
      <c r="G114" s="179">
        <v>5387</v>
      </c>
      <c r="H114" s="178" t="str">
        <v/>
      </c>
      <c r="I114" s="178" t="str">
        <v/>
      </c>
      <c r="J114" s="178" t="str">
        <v>citadel</v>
      </c>
      <c r="K114" s="178" t="str">
        <v/>
      </c>
      <c r="L114" s="178" t="str">
        <v/>
      </c>
      <c r="M114" s="178" t="str">
        <v/>
      </c>
      <c r="N114" s="180" t="str">
        <v/>
      </c>
      <c r="O114" s="177" t="s">
        <v>254</v>
      </c>
      <c r="P114" s="180">
        <f t="shared" si="0"/>
        <v>0.05</v>
      </c>
      <c r="Q114" s="181">
        <f>IF(P114&gt;0.25,P114,P114+'Price Sheet (Ignore)'!$G$2)</f>
        <v>0.2</v>
      </c>
      <c r="R114" s="176">
        <f t="shared" si="1"/>
        <v>164.64400000000001</v>
      </c>
      <c r="S114" s="178"/>
      <c r="T114" s="178"/>
    </row>
    <row r="115" spans="1:20" ht="29.25" customHeight="1" x14ac:dyDescent="0.2">
      <c r="A115" s="175" t="str">
        <f>'New Cities Filter'!C115</f>
        <v>Sirong</v>
      </c>
      <c r="B115" s="178"/>
      <c r="C115" s="177" cm="1">
        <f t="array" ref="C115">Q115*('Price Sheet (Ignore)'!$H$2+_xlfn.IFS(O115="dirt",0.15,O115="gravel",0.3,O115="paved",0.4,O115="none",0))*(G115/3)</f>
        <v>565.01666666666665</v>
      </c>
      <c r="D115" s="178" t="str">
        <f>'New Cities Filter'!B:B</f>
        <v>Swangarmire</v>
      </c>
      <c r="E115" s="178" t="str">
        <v>Central Shavian</v>
      </c>
      <c r="F115" s="178" t="str">
        <v>Path of Guiding Light</v>
      </c>
      <c r="G115" s="179">
        <v>24215</v>
      </c>
      <c r="H115" s="178" t="str">
        <v/>
      </c>
      <c r="I115" s="178" t="str">
        <v/>
      </c>
      <c r="J115" s="178" t="str">
        <v/>
      </c>
      <c r="K115" s="178" t="str">
        <v>walls</v>
      </c>
      <c r="L115" s="178" t="str">
        <v>plaza</v>
      </c>
      <c r="M115" s="178" t="str">
        <v>temple</v>
      </c>
      <c r="N115" s="180" t="str">
        <v/>
      </c>
      <c r="O115" s="177" t="s">
        <v>254</v>
      </c>
      <c r="P115" s="180">
        <f t="shared" si="0"/>
        <v>-1.0000000000000004E-2</v>
      </c>
      <c r="Q115" s="181">
        <f>IF(P115&gt;0.25,P115,P115+'Price Sheet (Ignore)'!$G$2)</f>
        <v>0.13999999999999999</v>
      </c>
      <c r="R115" s="176">
        <f t="shared" si="1"/>
        <v>290.58</v>
      </c>
      <c r="S115" s="178"/>
      <c r="T115" s="178"/>
    </row>
    <row r="116" spans="1:20" ht="29.25" customHeight="1" x14ac:dyDescent="0.2">
      <c r="A116" s="175" t="str">
        <f>'New Cities Filter'!C116</f>
        <v>Slutiarm</v>
      </c>
      <c r="B116" s="176">
        <f>SUM(C116:C117)</f>
        <v>815.88666666666666</v>
      </c>
      <c r="C116" s="177" cm="1">
        <f t="array" ref="C116">Q116*('Price Sheet (Ignore)'!$H$2+_xlfn.IFS(O116="dirt",0.15,O116="gravel",0.3,O116="paved",0.4,O116="none",0))*(G116/3)</f>
        <v>766.81999999999994</v>
      </c>
      <c r="D116" s="178" t="str">
        <f>'New Cities Filter'!B:B</f>
        <v>Slutiarm</v>
      </c>
      <c r="E116" s="178" t="str">
        <v>Madinglian</v>
      </c>
      <c r="F116" s="178" t="str">
        <v>Children of Stone</v>
      </c>
      <c r="G116" s="179">
        <v>20004</v>
      </c>
      <c r="H116" s="178" t="str">
        <v/>
      </c>
      <c r="I116" s="178" t="str">
        <v/>
      </c>
      <c r="J116" s="178" t="str">
        <v>citadel</v>
      </c>
      <c r="K116" s="178" t="str">
        <v>walls</v>
      </c>
      <c r="L116" s="178" t="str">
        <v>plaza</v>
      </c>
      <c r="M116" s="178" t="str">
        <v/>
      </c>
      <c r="N116" s="180" t="str">
        <v>shanty town</v>
      </c>
      <c r="O116" s="177" t="s">
        <v>254</v>
      </c>
      <c r="P116" s="180">
        <f t="shared" si="0"/>
        <v>0.08</v>
      </c>
      <c r="Q116" s="181">
        <f>IF(P116&gt;0.25,P116,P116+'Price Sheet (Ignore)'!$G$2)</f>
        <v>0.22999999999999998</v>
      </c>
      <c r="R116" s="176">
        <f t="shared" si="1"/>
        <v>240.048</v>
      </c>
      <c r="S116" s="178"/>
      <c r="T116" s="178"/>
    </row>
    <row r="117" spans="1:20" ht="29.25" customHeight="1" x14ac:dyDescent="0.2">
      <c r="A117" s="175" t="str">
        <f>'New Cities Filter'!C117</f>
        <v>Slutiarm</v>
      </c>
      <c r="B117" s="178"/>
      <c r="C117" s="177" cm="1">
        <f t="array" ref="C117">Q117*('Price Sheet (Ignore)'!$H$2+_xlfn.IFS(O117="dirt",0.15,O117="gravel",0.3,O117="paved",0.4,O117="none",0))*(G117/3)</f>
        <v>49.06666666666667</v>
      </c>
      <c r="D117" s="178" t="str">
        <f>'New Cities Filter'!B:B</f>
        <v>Khuld</v>
      </c>
      <c r="E117" s="178" t="str">
        <v>Stovemea</v>
      </c>
      <c r="F117" s="178" t="str">
        <v>Children of Stone</v>
      </c>
      <c r="G117" s="179">
        <v>1472</v>
      </c>
      <c r="H117" s="178" t="str">
        <v/>
      </c>
      <c r="I117" s="178" t="str">
        <v/>
      </c>
      <c r="J117" s="178" t="str">
        <v>citadel</v>
      </c>
      <c r="K117" s="178" t="str">
        <v/>
      </c>
      <c r="L117" s="178" t="str">
        <v/>
      </c>
      <c r="M117" s="178" t="str">
        <v/>
      </c>
      <c r="N117" s="180" t="str">
        <v/>
      </c>
      <c r="O117" s="177" t="s">
        <v>254</v>
      </c>
      <c r="P117" s="180">
        <f t="shared" si="0"/>
        <v>0.05</v>
      </c>
      <c r="Q117" s="181">
        <f>IF(P117&gt;0.25,P117,P117+'Price Sheet (Ignore)'!$G$2)</f>
        <v>0.2</v>
      </c>
      <c r="R117" s="176">
        <f t="shared" si="1"/>
        <v>117.664</v>
      </c>
      <c r="S117" s="178"/>
      <c r="T117" s="178"/>
    </row>
    <row r="118" spans="1:20" ht="29.25" customHeight="1" x14ac:dyDescent="0.2">
      <c r="A118" s="175" t="str">
        <f>'New Cities Filter'!C118</f>
        <v>Southern Shores</v>
      </c>
      <c r="B118" s="176">
        <f>SUM(C118:C123)</f>
        <v>976.04499999999996</v>
      </c>
      <c r="C118" s="177" cm="1">
        <f t="array" ref="C118">Q118*('Price Sheet (Ignore)'!$H$2+_xlfn.IFS(O118="dirt",0.15,O118="gravel",0.3,O118="paved",0.4,O118="none",0))*(G118/3)</f>
        <v>128.80000000000001</v>
      </c>
      <c r="D118" s="178" t="str">
        <f>'New Cities Filter'!B:B</f>
        <v>Alhas</v>
      </c>
      <c r="E118" s="178" t="str">
        <v>Westerling</v>
      </c>
      <c r="F118" s="178" t="str">
        <v>Path of Guiding Light</v>
      </c>
      <c r="G118" s="179">
        <v>3360</v>
      </c>
      <c r="H118" s="178" t="str">
        <v/>
      </c>
      <c r="I118" s="178" t="str">
        <v>port</v>
      </c>
      <c r="J118" s="178" t="str">
        <v>citadel</v>
      </c>
      <c r="K118" s="178" t="str">
        <v>walls</v>
      </c>
      <c r="L118" s="178" t="str">
        <v/>
      </c>
      <c r="M118" s="178" t="str">
        <v/>
      </c>
      <c r="N118" s="180" t="str">
        <v/>
      </c>
      <c r="O118" s="177" t="s">
        <v>254</v>
      </c>
      <c r="P118" s="180">
        <f t="shared" si="0"/>
        <v>8.0000000000000016E-2</v>
      </c>
      <c r="Q118" s="181">
        <f>IF(P118&gt;0.25,P118,P118+'Price Sheet (Ignore)'!$G$2)</f>
        <v>0.23</v>
      </c>
      <c r="R118" s="176">
        <f t="shared" si="1"/>
        <v>140.32</v>
      </c>
      <c r="S118" s="178"/>
      <c r="T118" s="178"/>
    </row>
    <row r="119" spans="1:20" ht="29.25" customHeight="1" x14ac:dyDescent="0.2">
      <c r="A119" s="175" t="str">
        <f>'New Cities Filter'!C119</f>
        <v>Southern Shores</v>
      </c>
      <c r="B119" s="178"/>
      <c r="C119" s="177" cm="1">
        <f t="array" ref="C119">Q119*('Price Sheet (Ignore)'!$H$2+_xlfn.IFS(O119="dirt",0.15,O119="gravel",0.3,O119="paved",0.4,O119="none",0))*(G119/3)</f>
        <v>38.74</v>
      </c>
      <c r="D119" s="178" t="str">
        <f>'New Cities Filter'!B:B</f>
        <v>Rorestle</v>
      </c>
      <c r="E119" s="178" t="str">
        <v>Westerling</v>
      </c>
      <c r="F119" s="178" t="str">
        <v>Path of Guiding Light</v>
      </c>
      <c r="G119" s="179">
        <v>1788</v>
      </c>
      <c r="H119" s="178" t="str">
        <v/>
      </c>
      <c r="I119" s="178" t="str">
        <v/>
      </c>
      <c r="J119" s="178" t="str">
        <v>citadel</v>
      </c>
      <c r="K119" s="178" t="str">
        <v>walls</v>
      </c>
      <c r="L119" s="178" t="str">
        <v/>
      </c>
      <c r="M119" s="178" t="str">
        <v/>
      </c>
      <c r="N119" s="180" t="str">
        <v/>
      </c>
      <c r="O119" s="177" t="s">
        <v>254</v>
      </c>
      <c r="P119" s="180">
        <f t="shared" si="0"/>
        <v>-2.0000000000000004E-2</v>
      </c>
      <c r="Q119" s="181">
        <f>IF(P119&gt;0.25,P119,P119+'Price Sheet (Ignore)'!$G$2)</f>
        <v>0.13</v>
      </c>
      <c r="R119" s="176">
        <f t="shared" si="1"/>
        <v>121.456</v>
      </c>
      <c r="S119" s="178"/>
      <c r="T119" s="178"/>
    </row>
    <row r="120" spans="1:20" ht="29.25" customHeight="1" x14ac:dyDescent="0.2">
      <c r="A120" s="175" t="str">
        <f>'New Cities Filter'!C120</f>
        <v>Southern Shores</v>
      </c>
      <c r="B120" s="178"/>
      <c r="C120" s="177" cm="1">
        <f t="array" ref="C120">Q120*('Price Sheet (Ignore)'!$H$2+_xlfn.IFS(O120="dirt",0.15,O120="gravel",0.3,O120="paved",0.4,O120="none",0))*(G120/3)</f>
        <v>92.166666666666671</v>
      </c>
      <c r="D120" s="178" t="str">
        <f>'New Cities Filter'!B:B</f>
        <v>Scorchill</v>
      </c>
      <c r="E120" s="178" t="str">
        <v>Westerling</v>
      </c>
      <c r="F120" s="178" t="str">
        <v>Path of Guiding Light</v>
      </c>
      <c r="G120" s="179">
        <v>2212</v>
      </c>
      <c r="H120" s="178" t="str">
        <v/>
      </c>
      <c r="I120" s="178" t="str">
        <v/>
      </c>
      <c r="J120" s="178" t="str">
        <v>citadel</v>
      </c>
      <c r="K120" s="178" t="str">
        <v/>
      </c>
      <c r="L120" s="178" t="str">
        <v>plaza</v>
      </c>
      <c r="M120" s="178" t="str">
        <v/>
      </c>
      <c r="N120" s="180" t="str">
        <v/>
      </c>
      <c r="O120" s="177" t="s">
        <v>254</v>
      </c>
      <c r="P120" s="180">
        <f t="shared" si="0"/>
        <v>0.1</v>
      </c>
      <c r="Q120" s="181">
        <f>IF(P120&gt;0.25,P120,P120+'Price Sheet (Ignore)'!$G$2)</f>
        <v>0.25</v>
      </c>
      <c r="R120" s="176">
        <f t="shared" si="1"/>
        <v>126.544</v>
      </c>
      <c r="S120" s="178"/>
      <c r="T120" s="178"/>
    </row>
    <row r="121" spans="1:20" ht="29.25" customHeight="1" x14ac:dyDescent="0.2">
      <c r="A121" s="175" t="str">
        <f>'New Cities Filter'!C121</f>
        <v>Southern Shores</v>
      </c>
      <c r="B121" s="178"/>
      <c r="C121" s="177" cm="1">
        <f t="array" ref="C121">Q121*('Price Sheet (Ignore)'!$H$2+_xlfn.IFS(O121="dirt",0.15,O121="gravel",0.3,O121="paved",0.4,O121="none",0))*(G121/3)</f>
        <v>387.06666666666666</v>
      </c>
      <c r="D121" s="178" t="str">
        <f>'New Cities Filter'!B:B</f>
        <v>Storewell</v>
      </c>
      <c r="E121" s="178" t="str">
        <v>Westerling</v>
      </c>
      <c r="F121" s="178" t="str">
        <v>Path of Guiding Light</v>
      </c>
      <c r="G121" s="179">
        <v>11612</v>
      </c>
      <c r="H121" s="178" t="str">
        <v/>
      </c>
      <c r="I121" s="178" t="str">
        <v/>
      </c>
      <c r="J121" s="178" t="str">
        <v/>
      </c>
      <c r="K121" s="178" t="str">
        <v/>
      </c>
      <c r="L121" s="178" t="str">
        <v>plaza</v>
      </c>
      <c r="M121" s="178" t="str">
        <v/>
      </c>
      <c r="N121" s="180" t="str">
        <v/>
      </c>
      <c r="O121" s="177" t="s">
        <v>254</v>
      </c>
      <c r="P121" s="180">
        <f t="shared" si="0"/>
        <v>0.05</v>
      </c>
      <c r="Q121" s="181">
        <f>IF(P121&gt;0.25,P121,P121+'Price Sheet (Ignore)'!$G$2)</f>
        <v>0.2</v>
      </c>
      <c r="R121" s="176">
        <f t="shared" si="1"/>
        <v>139.34399999999999</v>
      </c>
      <c r="S121" s="178"/>
      <c r="T121" s="178"/>
    </row>
    <row r="122" spans="1:20" ht="29.25" customHeight="1" x14ac:dyDescent="0.2">
      <c r="A122" s="175" t="str">
        <f>'New Cities Filter'!C122</f>
        <v>Southern Shores</v>
      </c>
      <c r="B122" s="178"/>
      <c r="C122" s="177" cm="1">
        <f t="array" ref="C122">Q122*('Price Sheet (Ignore)'!$H$2+_xlfn.IFS(O122="dirt",0.15,O122="gravel",0.3,O122="paved",0.4,O122="none",0))*(G122/3)</f>
        <v>239.43833333333333</v>
      </c>
      <c r="D122" s="178" t="str">
        <f>'New Cities Filter'!B:B</f>
        <v>Dawngview</v>
      </c>
      <c r="E122" s="178" t="str">
        <v>Westerling</v>
      </c>
      <c r="F122" s="178" t="str">
        <v>Path of Guiding Light</v>
      </c>
      <c r="G122" s="179">
        <v>11051</v>
      </c>
      <c r="H122" s="178" t="str">
        <v/>
      </c>
      <c r="I122" s="178" t="str">
        <v/>
      </c>
      <c r="J122" s="178" t="str">
        <v>citadel</v>
      </c>
      <c r="K122" s="178" t="str">
        <v>walls</v>
      </c>
      <c r="L122" s="178" t="str">
        <v/>
      </c>
      <c r="M122" s="178" t="str">
        <v/>
      </c>
      <c r="N122" s="180" t="str">
        <v/>
      </c>
      <c r="O122" s="177" t="s">
        <v>254</v>
      </c>
      <c r="P122" s="180">
        <f t="shared" si="0"/>
        <v>-2.0000000000000004E-2</v>
      </c>
      <c r="Q122" s="181">
        <f>IF(P122&gt;0.25,P122,P122+'Price Sheet (Ignore)'!$G$2)</f>
        <v>0.13</v>
      </c>
      <c r="R122" s="176">
        <f t="shared" si="1"/>
        <v>132.61199999999999</v>
      </c>
      <c r="S122" s="178"/>
      <c r="T122" s="178"/>
    </row>
    <row r="123" spans="1:20" ht="29.25" customHeight="1" x14ac:dyDescent="0.2">
      <c r="A123" s="175" t="str">
        <f>'New Cities Filter'!C123</f>
        <v>Southern Shores</v>
      </c>
      <c r="B123" s="178"/>
      <c r="C123" s="177" cm="1">
        <f t="array" ref="C123">Q123*('Price Sheet (Ignore)'!$H$2+_xlfn.IFS(O123="dirt",0.15,O123="gravel",0.3,O123="paved",0.4,O123="none",0))*(G123/3)</f>
        <v>89.833333333333329</v>
      </c>
      <c r="D123" s="178" t="str">
        <f>'New Cities Filter'!B:B</f>
        <v>Lostswindge</v>
      </c>
      <c r="E123" s="178" t="str">
        <v>Central Shavian</v>
      </c>
      <c r="F123" s="178" t="str">
        <v>Path of Guiding Light</v>
      </c>
      <c r="G123" s="179">
        <v>2156</v>
      </c>
      <c r="H123" s="178" t="str">
        <v/>
      </c>
      <c r="I123" s="178" t="str">
        <v/>
      </c>
      <c r="J123" s="178" t="str">
        <v>citadel</v>
      </c>
      <c r="K123" s="178" t="str">
        <v/>
      </c>
      <c r="L123" s="178" t="str">
        <v>plaza</v>
      </c>
      <c r="M123" s="178" t="str">
        <v/>
      </c>
      <c r="N123" s="180" t="str">
        <v/>
      </c>
      <c r="O123" s="177" t="s">
        <v>254</v>
      </c>
      <c r="P123" s="180">
        <f t="shared" si="0"/>
        <v>0.1</v>
      </c>
      <c r="Q123" s="181">
        <f>IF(P123&gt;0.25,P123,P123+'Price Sheet (Ignore)'!$G$2)</f>
        <v>0.25</v>
      </c>
      <c r="R123" s="176">
        <f t="shared" si="1"/>
        <v>125.872</v>
      </c>
      <c r="S123" s="178"/>
      <c r="T123" s="178"/>
    </row>
    <row r="124" spans="1:20" ht="29.25" customHeight="1" x14ac:dyDescent="0.2">
      <c r="A124" s="175" t="str">
        <f>'New Cities Filter'!C124</f>
        <v>Swan's Reach</v>
      </c>
      <c r="B124" s="176">
        <f>SUM(C124:C125)</f>
        <v>899.55166666666673</v>
      </c>
      <c r="C124" s="177" cm="1">
        <f t="array" ref="C124">Q124*('Price Sheet (Ignore)'!$H$2+_xlfn.IFS(O124="dirt",0.15,O124="gravel",0.3,O124="paved",0.4,O124="none",0))*(G124/3)</f>
        <v>601.375</v>
      </c>
      <c r="D124" s="178" t="str">
        <f>'New Cities Filter'!B:B</f>
        <v>Dogport</v>
      </c>
      <c r="E124" s="178" t="str">
        <v>Baymen</v>
      </c>
      <c r="F124" s="178" t="str">
        <v>Path of Guiding Light</v>
      </c>
      <c r="G124" s="179">
        <v>14433</v>
      </c>
      <c r="H124" s="178" t="str">
        <v/>
      </c>
      <c r="I124" s="178" t="str">
        <v/>
      </c>
      <c r="J124" s="178" t="str">
        <v>citadel</v>
      </c>
      <c r="K124" s="178" t="str">
        <v/>
      </c>
      <c r="L124" s="178" t="str">
        <v>plaza</v>
      </c>
      <c r="M124" s="178" t="str">
        <v/>
      </c>
      <c r="N124" s="180" t="str">
        <v/>
      </c>
      <c r="O124" s="177" t="s">
        <v>254</v>
      </c>
      <c r="P124" s="180">
        <f t="shared" si="0"/>
        <v>0.1</v>
      </c>
      <c r="Q124" s="181">
        <f>IF(P124&gt;0.25,P124,P124+'Price Sheet (Ignore)'!$G$2)</f>
        <v>0.25</v>
      </c>
      <c r="R124" s="176">
        <f t="shared" si="1"/>
        <v>173.196</v>
      </c>
      <c r="S124" s="178"/>
      <c r="T124" s="178"/>
    </row>
    <row r="125" spans="1:20" ht="29.25" customHeight="1" x14ac:dyDescent="0.2">
      <c r="A125" s="175" t="str">
        <f>'New Cities Filter'!C125</f>
        <v>Swan's Reach</v>
      </c>
      <c r="B125" s="178"/>
      <c r="C125" s="177" cm="1">
        <f t="array" ref="C125">Q125*('Price Sheet (Ignore)'!$H$2+_xlfn.IFS(O125="dirt",0.15,O125="gravel",0.3,O125="paved",0.4,O125="none",0))*(G125/3)</f>
        <v>298.17666666666668</v>
      </c>
      <c r="D125" s="178" t="str">
        <f>'New Cities Filter'!B:B</f>
        <v>Swangeld</v>
      </c>
      <c r="E125" s="178" t="str">
        <v>Baymen</v>
      </c>
      <c r="F125" s="178" t="str">
        <v>Path of Guiding Light</v>
      </c>
      <c r="G125" s="179">
        <v>13762</v>
      </c>
      <c r="H125" s="178" t="str">
        <v/>
      </c>
      <c r="I125" s="178" t="str">
        <v/>
      </c>
      <c r="J125" s="178" t="str">
        <v>citadel</v>
      </c>
      <c r="K125" s="178" t="str">
        <v>walls</v>
      </c>
      <c r="L125" s="178" t="str">
        <v/>
      </c>
      <c r="M125" s="178" t="str">
        <v/>
      </c>
      <c r="N125" s="180" t="str">
        <v/>
      </c>
      <c r="O125" s="177" t="s">
        <v>254</v>
      </c>
      <c r="P125" s="180">
        <f t="shared" si="0"/>
        <v>-2.0000000000000004E-2</v>
      </c>
      <c r="Q125" s="181">
        <f>IF(P125&gt;0.25,P125,P125+'Price Sheet (Ignore)'!$G$2)</f>
        <v>0.13</v>
      </c>
      <c r="R125" s="176">
        <f t="shared" si="1"/>
        <v>165.14400000000001</v>
      </c>
      <c r="S125" s="178"/>
      <c r="T125" s="178"/>
    </row>
    <row r="126" spans="1:20" ht="29.25" customHeight="1" x14ac:dyDescent="0.2">
      <c r="A126" s="175" t="str">
        <f>'New Cities Filter'!C126</f>
        <v>Swan's Shoor</v>
      </c>
      <c r="B126" s="176">
        <f>SUM(C126:C131)</f>
        <v>2349.228333333333</v>
      </c>
      <c r="C126" s="177" cm="1">
        <f t="array" ref="C126">Q126*('Price Sheet (Ignore)'!$H$2+_xlfn.IFS(O126="dirt",0.15,O126="gravel",0.3,O126="paved",0.4,O126="none",0))*(G126/3)</f>
        <v>579.69333333333327</v>
      </c>
      <c r="D126" s="178" t="str">
        <f>'New Cities Filter'!B:B</f>
        <v>Wildcall</v>
      </c>
      <c r="E126" s="178" t="str">
        <v>Swanmen</v>
      </c>
      <c r="F126" s="178" t="str">
        <v>Path of Guiding Light</v>
      </c>
      <c r="G126" s="179">
        <v>24844</v>
      </c>
      <c r="H126" s="178" t="str">
        <v/>
      </c>
      <c r="I126" s="178" t="str">
        <v/>
      </c>
      <c r="J126" s="178" t="str">
        <v/>
      </c>
      <c r="K126" s="178" t="str">
        <v>walls</v>
      </c>
      <c r="L126" s="178" t="str">
        <v>plaza</v>
      </c>
      <c r="M126" s="178" t="str">
        <v>temple</v>
      </c>
      <c r="N126" s="180" t="str">
        <v/>
      </c>
      <c r="O126" s="177" t="s">
        <v>254</v>
      </c>
      <c r="P126" s="180">
        <f t="shared" si="0"/>
        <v>-1.0000000000000004E-2</v>
      </c>
      <c r="Q126" s="181">
        <f>IF(P126&gt;0.25,P126,P126+'Price Sheet (Ignore)'!$G$2)</f>
        <v>0.13999999999999999</v>
      </c>
      <c r="R126" s="176">
        <f t="shared" si="1"/>
        <v>298.12799999999999</v>
      </c>
      <c r="S126" s="178"/>
      <c r="T126" s="178"/>
    </row>
    <row r="127" spans="1:20" ht="29.25" customHeight="1" x14ac:dyDescent="0.2">
      <c r="A127" s="175" t="str">
        <f>'New Cities Filter'!C127</f>
        <v>Swan's Shoor</v>
      </c>
      <c r="B127" s="178"/>
      <c r="C127" s="177" cm="1">
        <f t="array" ref="C127">Q127*('Price Sheet (Ignore)'!$H$2+_xlfn.IFS(O127="dirt",0.15,O127="gravel",0.3,O127="paved",0.4,O127="none",0))*(G127/3)</f>
        <v>322.70999999999998</v>
      </c>
      <c r="D127" s="178" t="str">
        <f>'New Cities Filter'!B:B</f>
        <v>Borehelmber</v>
      </c>
      <c r="E127" s="178" t="str">
        <v>Swanmen</v>
      </c>
      <c r="F127" s="178" t="str">
        <v>Path of Guiding Light</v>
      </c>
      <c r="G127" s="179">
        <v>10757</v>
      </c>
      <c r="H127" s="178" t="str">
        <v/>
      </c>
      <c r="I127" s="178" t="str">
        <v/>
      </c>
      <c r="J127" s="178" t="str">
        <v>citadel</v>
      </c>
      <c r="K127" s="178" t="str">
        <v>walls</v>
      </c>
      <c r="L127" s="178" t="str">
        <v>plaza</v>
      </c>
      <c r="M127" s="178" t="str">
        <v/>
      </c>
      <c r="N127" s="180" t="str">
        <v/>
      </c>
      <c r="O127" s="177" t="s">
        <v>254</v>
      </c>
      <c r="P127" s="180">
        <f t="shared" si="0"/>
        <v>0.03</v>
      </c>
      <c r="Q127" s="181">
        <f>IF(P127&gt;0.25,P127,P127+'Price Sheet (Ignore)'!$G$2)</f>
        <v>0.18</v>
      </c>
      <c r="R127" s="176">
        <f t="shared" si="1"/>
        <v>129.084</v>
      </c>
      <c r="S127" s="178"/>
      <c r="T127" s="178"/>
    </row>
    <row r="128" spans="1:20" ht="29.25" customHeight="1" x14ac:dyDescent="0.2">
      <c r="A128" s="175" t="str">
        <f>'New Cities Filter'!C128</f>
        <v>Swan's Shoor</v>
      </c>
      <c r="B128" s="178"/>
      <c r="C128" s="177" cm="1">
        <f t="array" ref="C128">Q128*('Price Sheet (Ignore)'!$H$2+_xlfn.IFS(O128="dirt",0.15,O128="gravel",0.3,O128="paved",0.4,O128="none",0))*(G128/3)</f>
        <v>445.875</v>
      </c>
      <c r="D128" s="178" t="str">
        <f>'New Cities Filter'!B:B</f>
        <v>Lastshell</v>
      </c>
      <c r="E128" s="178" t="str">
        <v>Eastern Shavian</v>
      </c>
      <c r="F128" s="178" t="str">
        <v>Path of Guiding Light</v>
      </c>
      <c r="G128" s="179">
        <v>10701</v>
      </c>
      <c r="H128" s="178" t="str">
        <v/>
      </c>
      <c r="I128" s="178" t="str">
        <v/>
      </c>
      <c r="J128" s="178" t="str">
        <v>citadel</v>
      </c>
      <c r="K128" s="178" t="str">
        <v/>
      </c>
      <c r="L128" s="178" t="str">
        <v>plaza</v>
      </c>
      <c r="M128" s="178" t="str">
        <v/>
      </c>
      <c r="N128" s="180" t="str">
        <v/>
      </c>
      <c r="O128" s="177" t="s">
        <v>254</v>
      </c>
      <c r="P128" s="180">
        <f t="shared" si="0"/>
        <v>0.1</v>
      </c>
      <c r="Q128" s="181">
        <f>IF(P128&gt;0.25,P128,P128+'Price Sheet (Ignore)'!$G$2)</f>
        <v>0.25</v>
      </c>
      <c r="R128" s="176">
        <f t="shared" si="1"/>
        <v>128.41200000000001</v>
      </c>
      <c r="S128" s="178"/>
      <c r="T128" s="178"/>
    </row>
    <row r="129" spans="1:20" ht="29.25" customHeight="1" x14ac:dyDescent="0.2">
      <c r="A129" s="175" t="str">
        <f>'New Cities Filter'!C129</f>
        <v>Swan's Shoor</v>
      </c>
      <c r="B129" s="178"/>
      <c r="C129" s="177" cm="1">
        <f t="array" ref="C129">Q129*('Price Sheet (Ignore)'!$H$2+_xlfn.IFS(O129="dirt",0.15,O129="gravel",0.3,O129="paved",0.4,O129="none",0))*(G129/3)</f>
        <v>70.033333333333346</v>
      </c>
      <c r="D129" s="178" t="str">
        <f>'New Cities Filter'!B:B</f>
        <v>Belldyard</v>
      </c>
      <c r="E129" s="178" t="str">
        <v>Eastern Shavian</v>
      </c>
      <c r="F129" s="178" t="str">
        <v>Path of Guiding Light</v>
      </c>
      <c r="G129" s="179">
        <v>2101</v>
      </c>
      <c r="H129" s="178" t="str">
        <v/>
      </c>
      <c r="I129" s="178" t="str">
        <v/>
      </c>
      <c r="J129" s="178" t="str">
        <v>citadel</v>
      </c>
      <c r="K129" s="178" t="str">
        <v/>
      </c>
      <c r="L129" s="178" t="str">
        <v/>
      </c>
      <c r="M129" s="178" t="str">
        <v/>
      </c>
      <c r="N129" s="180" t="str">
        <v/>
      </c>
      <c r="O129" s="177" t="s">
        <v>254</v>
      </c>
      <c r="P129" s="180">
        <f t="shared" si="0"/>
        <v>0.05</v>
      </c>
      <c r="Q129" s="181">
        <f>IF(P129&gt;0.25,P129,P129+'Price Sheet (Ignore)'!$G$2)</f>
        <v>0.2</v>
      </c>
      <c r="R129" s="176">
        <f t="shared" si="1"/>
        <v>125.212</v>
      </c>
      <c r="S129" s="178"/>
      <c r="T129" s="178"/>
    </row>
    <row r="130" spans="1:20" ht="29.25" customHeight="1" x14ac:dyDescent="0.2">
      <c r="A130" s="175" t="str">
        <f>'New Cities Filter'!C130</f>
        <v>Swan's Shoor</v>
      </c>
      <c r="B130" s="178"/>
      <c r="C130" s="177" cm="1">
        <f t="array" ref="C130">Q130*('Price Sheet (Ignore)'!$H$2+_xlfn.IFS(O130="dirt",0.15,O130="gravel",0.3,O130="paved",0.4,O130="none",0))*(G130/3)</f>
        <v>804.41666666666663</v>
      </c>
      <c r="D130" s="178" t="str">
        <f>'New Cities Filter'!B:B</f>
        <v>Silcairn</v>
      </c>
      <c r="E130" s="178" t="str">
        <v>Swanmen</v>
      </c>
      <c r="F130" s="178" t="str">
        <v>Path of Guiding Light</v>
      </c>
      <c r="G130" s="179">
        <v>19306</v>
      </c>
      <c r="H130" s="178" t="str">
        <v/>
      </c>
      <c r="I130" s="178" t="str">
        <v/>
      </c>
      <c r="J130" s="178" t="str">
        <v>citadel</v>
      </c>
      <c r="K130" s="178" t="str">
        <v/>
      </c>
      <c r="L130" s="178" t="str">
        <v>plaza</v>
      </c>
      <c r="M130" s="178" t="str">
        <v/>
      </c>
      <c r="N130" s="180" t="str">
        <v/>
      </c>
      <c r="O130" s="177" t="s">
        <v>254</v>
      </c>
      <c r="P130" s="180">
        <f t="shared" si="0"/>
        <v>0.1</v>
      </c>
      <c r="Q130" s="181">
        <f>IF(P130&gt;0.25,P130,P130+'Price Sheet (Ignore)'!$G$2)</f>
        <v>0.25</v>
      </c>
      <c r="R130" s="176">
        <f t="shared" si="1"/>
        <v>231.672</v>
      </c>
      <c r="S130" s="178"/>
      <c r="T130" s="178"/>
    </row>
    <row r="131" spans="1:20" ht="29.25" customHeight="1" x14ac:dyDescent="0.2">
      <c r="A131" s="175" t="str">
        <f>'New Cities Filter'!C131</f>
        <v>Swan's Shoor</v>
      </c>
      <c r="B131" s="178"/>
      <c r="C131" s="177" cm="1">
        <f t="array" ref="C131">Q131*('Price Sheet (Ignore)'!$H$2+_xlfn.IFS(O131="dirt",0.15,O131="gravel",0.3,O131="paved",0.4,O131="none",0))*(G131/3)</f>
        <v>126.5</v>
      </c>
      <c r="D131" s="178" t="str">
        <f>'New Cities Filter'!B:B</f>
        <v>Bronholrock</v>
      </c>
      <c r="E131" s="178" t="str">
        <v>Swanmen</v>
      </c>
      <c r="F131" s="178" t="str">
        <v>Path of Guiding Light</v>
      </c>
      <c r="G131" s="179">
        <v>3795</v>
      </c>
      <c r="H131" s="178" t="str">
        <v/>
      </c>
      <c r="I131" s="178" t="str">
        <v/>
      </c>
      <c r="J131" s="178" t="str">
        <v>citadel</v>
      </c>
      <c r="K131" s="178" t="str">
        <v/>
      </c>
      <c r="L131" s="178" t="str">
        <v/>
      </c>
      <c r="M131" s="178" t="str">
        <v/>
      </c>
      <c r="N131" s="180" t="str">
        <v/>
      </c>
      <c r="O131" s="177" t="s">
        <v>254</v>
      </c>
      <c r="P131" s="180">
        <f t="shared" si="0"/>
        <v>0.05</v>
      </c>
      <c r="Q131" s="181">
        <f>IF(P131&gt;0.25,P131,P131+'Price Sheet (Ignore)'!$G$2)</f>
        <v>0.2</v>
      </c>
      <c r="R131" s="176">
        <f t="shared" si="1"/>
        <v>145.54</v>
      </c>
      <c r="S131" s="178"/>
      <c r="T131" s="178"/>
    </row>
    <row r="132" spans="1:20" ht="29.25" customHeight="1" x14ac:dyDescent="0.2">
      <c r="A132" s="175" t="str">
        <f>'New Cities Filter'!C132</f>
        <v>Swanhall</v>
      </c>
      <c r="B132" s="176">
        <f>SUM(C132:C135)</f>
        <v>1708.44</v>
      </c>
      <c r="C132" s="177" cm="1">
        <f t="array" ref="C132">Q132*('Price Sheet (Ignore)'!$H$2+_xlfn.IFS(O132="dirt",0.15,O132="gravel",0.3,O132="paved",0.4,O132="none",0))*(G132/3)</f>
        <v>551.34833333333336</v>
      </c>
      <c r="D132" s="178" t="str">
        <f>'New Cities Filter'!B:B</f>
        <v>Cademire</v>
      </c>
      <c r="E132" s="178" t="str">
        <v>Swanmen</v>
      </c>
      <c r="F132" s="178" t="str">
        <v>Path of Guiding Light</v>
      </c>
      <c r="G132" s="179">
        <v>14383</v>
      </c>
      <c r="H132" s="178" t="str">
        <v/>
      </c>
      <c r="I132" s="178" t="str">
        <v>port</v>
      </c>
      <c r="J132" s="178" t="str">
        <v>citadel</v>
      </c>
      <c r="K132" s="178" t="str">
        <v>walls</v>
      </c>
      <c r="L132" s="178" t="str">
        <v/>
      </c>
      <c r="M132" s="178" t="str">
        <v/>
      </c>
      <c r="N132" s="180" t="str">
        <v/>
      </c>
      <c r="O132" s="177" t="s">
        <v>254</v>
      </c>
      <c r="P132" s="180">
        <f t="shared" si="0"/>
        <v>8.0000000000000016E-2</v>
      </c>
      <c r="Q132" s="181">
        <f>IF(P132&gt;0.25,P132,P132+'Price Sheet (Ignore)'!$G$2)</f>
        <v>0.23</v>
      </c>
      <c r="R132" s="176">
        <f t="shared" si="1"/>
        <v>172.596</v>
      </c>
      <c r="S132" s="178"/>
      <c r="T132" s="178"/>
    </row>
    <row r="133" spans="1:20" ht="29.25" customHeight="1" x14ac:dyDescent="0.2">
      <c r="A133" s="175" t="str">
        <f>'New Cities Filter'!C133</f>
        <v>Swanhall</v>
      </c>
      <c r="B133" s="178"/>
      <c r="C133" s="177" cm="1">
        <f t="array" ref="C133">Q133*('Price Sheet (Ignore)'!$H$2+_xlfn.IFS(O133="dirt",0.15,O133="gravel",0.3,O133="paved",0.4,O133="none",0))*(G133/3)</f>
        <v>122.16666666666667</v>
      </c>
      <c r="D133" s="178" t="str">
        <f>'New Cities Filter'!B:B</f>
        <v>Clifgasinf</v>
      </c>
      <c r="E133" s="178" t="str">
        <v>Swanmen</v>
      </c>
      <c r="F133" s="178" t="str">
        <v>Path of Guiding Light</v>
      </c>
      <c r="G133" s="179">
        <v>2932</v>
      </c>
      <c r="H133" s="178" t="str">
        <v/>
      </c>
      <c r="I133" s="178" t="str">
        <v>port</v>
      </c>
      <c r="J133" s="178" t="str">
        <v/>
      </c>
      <c r="K133" s="178" t="str">
        <v/>
      </c>
      <c r="L133" s="178" t="str">
        <v/>
      </c>
      <c r="M133" s="178" t="str">
        <v/>
      </c>
      <c r="N133" s="180" t="str">
        <v/>
      </c>
      <c r="O133" s="177" t="s">
        <v>254</v>
      </c>
      <c r="P133" s="180">
        <f t="shared" si="0"/>
        <v>0.1</v>
      </c>
      <c r="Q133" s="181">
        <f>IF(P133&gt;0.25,P133,P133+'Price Sheet (Ignore)'!$G$2)</f>
        <v>0.25</v>
      </c>
      <c r="R133" s="176">
        <f t="shared" si="1"/>
        <v>135.184</v>
      </c>
      <c r="S133" s="178"/>
      <c r="T133" s="178"/>
    </row>
    <row r="134" spans="1:20" ht="29.25" customHeight="1" x14ac:dyDescent="0.2">
      <c r="A134" s="175" t="str">
        <f>'New Cities Filter'!C134</f>
        <v>Swanhall</v>
      </c>
      <c r="B134" s="178"/>
      <c r="C134" s="177" cm="1">
        <f t="array" ref="C134">Q134*('Price Sheet (Ignore)'!$H$2+_xlfn.IFS(O134="dirt",0.15,O134="gravel",0.3,O134="paved",0.4,O134="none",0))*(G134/3)</f>
        <v>138.03833333333333</v>
      </c>
      <c r="D134" s="178" t="str">
        <f>'New Cities Filter'!B:B</f>
        <v>Houndtownfo</v>
      </c>
      <c r="E134" s="178" t="str">
        <v>Swanmen</v>
      </c>
      <c r="F134" s="178" t="str">
        <v>Path of Guiding Light</v>
      </c>
      <c r="G134" s="179">
        <v>6371</v>
      </c>
      <c r="H134" s="178" t="str">
        <v/>
      </c>
      <c r="I134" s="178" t="str">
        <v/>
      </c>
      <c r="J134" s="178" t="str">
        <v>citadel</v>
      </c>
      <c r="K134" s="178" t="str">
        <v>walls</v>
      </c>
      <c r="L134" s="178" t="str">
        <v/>
      </c>
      <c r="M134" s="178" t="str">
        <v/>
      </c>
      <c r="N134" s="180" t="str">
        <v/>
      </c>
      <c r="O134" s="177" t="s">
        <v>254</v>
      </c>
      <c r="P134" s="180">
        <f t="shared" si="0"/>
        <v>-2.0000000000000004E-2</v>
      </c>
      <c r="Q134" s="181">
        <f>IF(P134&gt;0.25,P134,P134+'Price Sheet (Ignore)'!$G$2)</f>
        <v>0.13</v>
      </c>
      <c r="R134" s="176">
        <f t="shared" si="1"/>
        <v>176.452</v>
      </c>
      <c r="S134" s="178"/>
      <c r="T134" s="178"/>
    </row>
    <row r="135" spans="1:20" ht="29.25" customHeight="1" x14ac:dyDescent="0.2">
      <c r="A135" s="175" t="str">
        <f>'New Cities Filter'!C135</f>
        <v>Swanhall</v>
      </c>
      <c r="B135" s="178"/>
      <c r="C135" s="177" cm="1">
        <f t="array" ref="C135">Q135*('Price Sheet (Ignore)'!$H$2+_xlfn.IFS(O135="dirt",0.15,O135="gravel",0.3,O135="paved",0.4,O135="none",0))*(G135/3)</f>
        <v>896.88666666666666</v>
      </c>
      <c r="D135" s="178" t="str">
        <f>'New Cities Filter'!B:B</f>
        <v>Swanhall</v>
      </c>
      <c r="E135" s="178" t="str">
        <v>Swanmen</v>
      </c>
      <c r="F135" s="178" t="str">
        <v>Path of Guiding Light</v>
      </c>
      <c r="G135" s="179">
        <v>19219</v>
      </c>
      <c r="H135" s="178" t="str">
        <v/>
      </c>
      <c r="I135" s="178" t="str">
        <v>port</v>
      </c>
      <c r="J135" s="178" t="str">
        <v>citadel</v>
      </c>
      <c r="K135" s="178" t="str">
        <v>walls</v>
      </c>
      <c r="L135" s="178" t="str">
        <v>plaza</v>
      </c>
      <c r="M135" s="178" t="str">
        <v/>
      </c>
      <c r="N135" s="180" t="str">
        <v/>
      </c>
      <c r="O135" s="177" t="s">
        <v>254</v>
      </c>
      <c r="P135" s="180">
        <f t="shared" si="0"/>
        <v>0.13</v>
      </c>
      <c r="Q135" s="181">
        <f>IF(P135&gt;0.25,P135,P135+'Price Sheet (Ignore)'!$G$2)</f>
        <v>0.28000000000000003</v>
      </c>
      <c r="R135" s="176">
        <f t="shared" si="1"/>
        <v>230.62800000000001</v>
      </c>
      <c r="S135" s="178"/>
      <c r="T135" s="178"/>
    </row>
    <row r="136" spans="1:20" ht="29.25" customHeight="1" x14ac:dyDescent="0.2">
      <c r="A136" s="175" t="str">
        <f>'New Cities Filter'!C136</f>
        <v>Swiftme</v>
      </c>
      <c r="B136" s="176">
        <f>SUM(C136:C138)</f>
        <v>1188.7750000000001</v>
      </c>
      <c r="C136" s="177" cm="1">
        <f t="array" ref="C136">Q136*('Price Sheet (Ignore)'!$H$2+_xlfn.IFS(O136="dirt",0.15,O136="gravel",0.3,O136="paved",0.4,O136="none",0))*(G136/3)</f>
        <v>140.47499999999999</v>
      </c>
      <c r="D136" s="178" t="str">
        <f>'New Cities Filter'!B:B</f>
        <v>Clifrostle</v>
      </c>
      <c r="E136" s="178" t="str">
        <v>Central Shavian</v>
      </c>
      <c r="F136" s="178" t="str">
        <v>Path of Guiding Light</v>
      </c>
      <c r="G136" s="179">
        <v>5619</v>
      </c>
      <c r="H136" s="178" t="str">
        <v/>
      </c>
      <c r="I136" s="178" t="str">
        <v/>
      </c>
      <c r="J136" s="178" t="str">
        <v/>
      </c>
      <c r="K136" s="178" t="str">
        <v/>
      </c>
      <c r="L136" s="178" t="str">
        <v/>
      </c>
      <c r="M136" s="178" t="str">
        <v/>
      </c>
      <c r="N136" s="180" t="str">
        <v/>
      </c>
      <c r="O136" s="177" t="s">
        <v>254</v>
      </c>
      <c r="P136" s="180">
        <f t="shared" si="0"/>
        <v>0</v>
      </c>
      <c r="Q136" s="181">
        <f>IF(P136&gt;0.25,P136,P136+'Price Sheet (Ignore)'!$G$2)</f>
        <v>0.15</v>
      </c>
      <c r="R136" s="176">
        <f t="shared" si="1"/>
        <v>167.428</v>
      </c>
      <c r="S136" s="178"/>
      <c r="T136" s="178"/>
    </row>
    <row r="137" spans="1:20" ht="29.25" customHeight="1" x14ac:dyDescent="0.2">
      <c r="A137" s="175" t="str">
        <f>'New Cities Filter'!C137</f>
        <v>Swiftme</v>
      </c>
      <c r="B137" s="178"/>
      <c r="C137" s="177" cm="1">
        <f t="array" ref="C137">Q137*('Price Sheet (Ignore)'!$H$2+_xlfn.IFS(O137="dirt",0.15,O137="gravel",0.3,O137="paved",0.4,O137="none",0))*(G137/3)</f>
        <v>534.4</v>
      </c>
      <c r="D137" s="178" t="str">
        <f>'New Cities Filter'!B:B</f>
        <v>Steamhorn</v>
      </c>
      <c r="E137" s="178" t="str">
        <v>Central Shavian</v>
      </c>
      <c r="F137" s="178" t="str">
        <v>Path of Guiding Light</v>
      </c>
      <c r="G137" s="179">
        <v>16032</v>
      </c>
      <c r="H137" s="178" t="str">
        <v/>
      </c>
      <c r="I137" s="178" t="str">
        <v/>
      </c>
      <c r="J137" s="178" t="str">
        <v>citadel</v>
      </c>
      <c r="K137" s="178" t="str">
        <v/>
      </c>
      <c r="L137" s="178" t="str">
        <v/>
      </c>
      <c r="M137" s="178" t="str">
        <v/>
      </c>
      <c r="N137" s="180" t="str">
        <v/>
      </c>
      <c r="O137" s="177" t="s">
        <v>254</v>
      </c>
      <c r="P137" s="180">
        <f t="shared" si="0"/>
        <v>0.05</v>
      </c>
      <c r="Q137" s="181">
        <f>IF(P137&gt;0.25,P137,P137+'Price Sheet (Ignore)'!$G$2)</f>
        <v>0.2</v>
      </c>
      <c r="R137" s="176">
        <f t="shared" si="1"/>
        <v>192.38400000000001</v>
      </c>
      <c r="S137" s="178"/>
      <c r="T137" s="178"/>
    </row>
    <row r="138" spans="1:20" ht="29.25" customHeight="1" x14ac:dyDescent="0.2">
      <c r="A138" s="175" t="str">
        <f>'New Cities Filter'!C138</f>
        <v>Swiftme</v>
      </c>
      <c r="B138" s="178"/>
      <c r="C138" s="177" cm="1">
        <f t="array" ref="C138">Q138*('Price Sheet (Ignore)'!$H$2+_xlfn.IFS(O138="dirt",0.15,O138="gravel",0.3,O138="paved",0.4,O138="none",0))*(G138/3)</f>
        <v>513.9</v>
      </c>
      <c r="D138" s="178" t="str">
        <f>'New Cities Filter'!B:B</f>
        <v>Swiftme</v>
      </c>
      <c r="E138" s="178" t="str">
        <v>Central Shavian</v>
      </c>
      <c r="F138" s="178" t="str">
        <v>Path of Guiding Light</v>
      </c>
      <c r="G138" s="179">
        <v>15417</v>
      </c>
      <c r="H138" s="178" t="str">
        <v/>
      </c>
      <c r="I138" s="178" t="str">
        <v/>
      </c>
      <c r="J138" s="178" t="str">
        <v>citadel</v>
      </c>
      <c r="K138" s="178" t="str">
        <v/>
      </c>
      <c r="L138" s="178" t="str">
        <v/>
      </c>
      <c r="M138" s="178" t="str">
        <v/>
      </c>
      <c r="N138" s="180" t="str">
        <v/>
      </c>
      <c r="O138" s="177" t="s">
        <v>254</v>
      </c>
      <c r="P138" s="180">
        <f t="shared" si="0"/>
        <v>0.05</v>
      </c>
      <c r="Q138" s="181">
        <f>IF(P138&gt;0.25,P138,P138+'Price Sheet (Ignore)'!$G$2)</f>
        <v>0.2</v>
      </c>
      <c r="R138" s="176">
        <f t="shared" si="1"/>
        <v>3.9999999999906777E-3</v>
      </c>
      <c r="S138" s="178">
        <v>0</v>
      </c>
      <c r="T138" s="178">
        <v>185</v>
      </c>
    </row>
    <row r="139" spans="1:20" ht="29.25" customHeight="1" x14ac:dyDescent="0.2">
      <c r="A139" s="175" t="str">
        <f>'New Cities Filter'!C139</f>
        <v>The Deepwood</v>
      </c>
      <c r="B139" s="176">
        <f>SUM(C139:C142)</f>
        <v>1476.9250000000002</v>
      </c>
      <c r="C139" s="177" cm="1">
        <f t="array" ref="C139">Q139*('Price Sheet (Ignore)'!$H$2+_xlfn.IFS(O139="dirt",0.15,O139="gravel",0.3,O139="paved",0.4,O139="none",0))*(G139/3)</f>
        <v>352.20000000000005</v>
      </c>
      <c r="D139" s="178" t="str">
        <f>'New Cities Filter'!B:B</f>
        <v>Pearldfair</v>
      </c>
      <c r="E139" s="178" t="str">
        <v>Eastern Shavian</v>
      </c>
      <c r="F139" s="178" t="str">
        <v>Path of Guiding Light</v>
      </c>
      <c r="G139" s="179">
        <v>7044</v>
      </c>
      <c r="H139" s="178" t="str">
        <v/>
      </c>
      <c r="I139" s="178" t="str">
        <v>port</v>
      </c>
      <c r="J139" s="178" t="str">
        <v/>
      </c>
      <c r="K139" s="178" t="str">
        <v/>
      </c>
      <c r="L139" s="178" t="str">
        <v>plaza</v>
      </c>
      <c r="M139" s="178" t="str">
        <v/>
      </c>
      <c r="N139" s="180" t="str">
        <v/>
      </c>
      <c r="O139" s="177" t="s">
        <v>254</v>
      </c>
      <c r="P139" s="180">
        <f t="shared" si="0"/>
        <v>0.15000000000000002</v>
      </c>
      <c r="Q139" s="181">
        <f>IF(P139&gt;0.25,P139,P139+'Price Sheet (Ignore)'!$G$2)</f>
        <v>0.30000000000000004</v>
      </c>
      <c r="R139" s="176">
        <f t="shared" si="1"/>
        <v>184.52800000000002</v>
      </c>
      <c r="S139" s="178"/>
      <c r="T139" s="178"/>
    </row>
    <row r="140" spans="1:20" ht="29.25" customHeight="1" x14ac:dyDescent="0.2">
      <c r="A140" s="175" t="str">
        <f>'New Cities Filter'!C140</f>
        <v>The Deepwood</v>
      </c>
      <c r="B140" s="178"/>
      <c r="C140" s="177" cm="1">
        <f t="array" ref="C140">Q140*('Price Sheet (Ignore)'!$H$2+_xlfn.IFS(O140="dirt",0.15,O140="gravel",0.3,O140="paved",0.4,O140="none",0))*(G140/3)</f>
        <v>64.100000000000009</v>
      </c>
      <c r="D140" s="178" t="str">
        <f>'New Cities Filter'!B:B</f>
        <v>Deepmoor</v>
      </c>
      <c r="E140" s="178" t="str">
        <v>Eastern Shavian</v>
      </c>
      <c r="F140" s="178" t="str">
        <v>Path of Guiding Light</v>
      </c>
      <c r="G140" s="179">
        <v>1923</v>
      </c>
      <c r="H140" s="178" t="str">
        <v/>
      </c>
      <c r="I140" s="178" t="str">
        <v/>
      </c>
      <c r="J140" s="178" t="str">
        <v>citadel</v>
      </c>
      <c r="K140" s="178" t="str">
        <v/>
      </c>
      <c r="L140" s="178" t="str">
        <v/>
      </c>
      <c r="M140" s="178" t="str">
        <v/>
      </c>
      <c r="N140" s="180" t="str">
        <v/>
      </c>
      <c r="O140" s="177" t="s">
        <v>254</v>
      </c>
      <c r="P140" s="180">
        <f t="shared" si="0"/>
        <v>0.05</v>
      </c>
      <c r="Q140" s="181">
        <f>IF(P140&gt;0.25,P140,P140+'Price Sheet (Ignore)'!$G$2)</f>
        <v>0.2</v>
      </c>
      <c r="R140" s="176">
        <f t="shared" si="1"/>
        <v>123.07599999999999</v>
      </c>
      <c r="S140" s="178"/>
      <c r="T140" s="178"/>
    </row>
    <row r="141" spans="1:20" ht="29.25" customHeight="1" x14ac:dyDescent="0.2">
      <c r="A141" s="175" t="str">
        <f>'New Cities Filter'!C141</f>
        <v>The Deepwood</v>
      </c>
      <c r="B141" s="178"/>
      <c r="C141" s="177" cm="1">
        <f t="array" ref="C141">Q141*('Price Sheet (Ignore)'!$H$2+_xlfn.IFS(O141="dirt",0.15,O141="gravel",0.3,O141="paved",0.4,O141="none",0))*(G141/3)</f>
        <v>311.33333333333337</v>
      </c>
      <c r="D141" s="178" t="str">
        <f>'New Cities Filter'!B:B</f>
        <v>Wilvernyard</v>
      </c>
      <c r="E141" s="178" t="str">
        <v>Eastern Shavian</v>
      </c>
      <c r="F141" s="178" t="str">
        <v>Path of Guiding Light</v>
      </c>
      <c r="G141" s="179">
        <v>9340</v>
      </c>
      <c r="H141" s="178" t="str">
        <v/>
      </c>
      <c r="I141" s="178" t="str">
        <v/>
      </c>
      <c r="J141" s="178" t="str">
        <v>citadel</v>
      </c>
      <c r="K141" s="178" t="str">
        <v/>
      </c>
      <c r="L141" s="178" t="str">
        <v/>
      </c>
      <c r="M141" s="178" t="str">
        <v/>
      </c>
      <c r="N141" s="180" t="str">
        <v/>
      </c>
      <c r="O141" s="177" t="s">
        <v>254</v>
      </c>
      <c r="P141" s="180">
        <f t="shared" si="0"/>
        <v>0.05</v>
      </c>
      <c r="Q141" s="181">
        <f>IF(P141&gt;0.25,P141,P141+'Price Sheet (Ignore)'!$G$2)</f>
        <v>0.2</v>
      </c>
      <c r="R141" s="176">
        <f t="shared" si="1"/>
        <v>112.08</v>
      </c>
      <c r="S141" s="178"/>
      <c r="T141" s="178"/>
    </row>
    <row r="142" spans="1:20" ht="29.25" customHeight="1" x14ac:dyDescent="0.2">
      <c r="A142" s="175" t="str">
        <f>'New Cities Filter'!C142</f>
        <v>The Deepwood</v>
      </c>
      <c r="B142" s="178"/>
      <c r="C142" s="177" cm="1">
        <f t="array" ref="C142">Q142*('Price Sheet (Ignore)'!$H$2+_xlfn.IFS(O142="dirt",0.15,O142="gravel",0.3,O142="paved",0.4,O142="none",0))*(G142/3)</f>
        <v>749.29166666666663</v>
      </c>
      <c r="D142" s="178" t="str">
        <f>'New Cities Filter'!B:B</f>
        <v>Mythsplain</v>
      </c>
      <c r="E142" s="178" t="str">
        <v>Eastern Shavian</v>
      </c>
      <c r="F142" s="178" t="str">
        <v>Path of Guiding Light</v>
      </c>
      <c r="G142" s="179">
        <v>17983</v>
      </c>
      <c r="H142" s="178" t="str">
        <v/>
      </c>
      <c r="I142" s="178" t="str">
        <v/>
      </c>
      <c r="J142" s="178" t="str">
        <v>citadel</v>
      </c>
      <c r="K142" s="178" t="str">
        <v/>
      </c>
      <c r="L142" s="178" t="str">
        <v>plaza</v>
      </c>
      <c r="M142" s="178" t="str">
        <v/>
      </c>
      <c r="N142" s="180" t="str">
        <v/>
      </c>
      <c r="O142" s="177" t="s">
        <v>254</v>
      </c>
      <c r="P142" s="180">
        <f t="shared" si="0"/>
        <v>0.1</v>
      </c>
      <c r="Q142" s="181">
        <f>IF(P142&gt;0.25,P142,P142+'Price Sheet (Ignore)'!$G$2)</f>
        <v>0.25</v>
      </c>
      <c r="R142" s="176">
        <f t="shared" si="1"/>
        <v>215.79599999999999</v>
      </c>
      <c r="S142" s="178"/>
      <c r="T142" s="178"/>
    </row>
    <row r="143" spans="1:20" ht="29.25" customHeight="1" x14ac:dyDescent="0.2">
      <c r="A143" s="175" t="str">
        <f>'New Cities Filter'!C143</f>
        <v>The Knolls</v>
      </c>
      <c r="B143" s="176">
        <f>SUM(C143:C145)</f>
        <v>316.38666666666666</v>
      </c>
      <c r="C143" s="177" cm="1">
        <f t="array" ref="C143">Q143*('Price Sheet (Ignore)'!$H$2+_xlfn.IFS(O143="dirt",0.15,O143="gravel",0.3,O143="paved",0.4,O143="none",0))*(G143/3)</f>
        <v>109.60000000000001</v>
      </c>
      <c r="D143" s="178" t="str">
        <f>'New Cities Filter'!B:B</f>
        <v>Thornwell</v>
      </c>
      <c r="E143" s="178" t="str">
        <v>Madinglian</v>
      </c>
      <c r="F143" s="178" t="str">
        <v>Children of Stone</v>
      </c>
      <c r="G143" s="179">
        <v>3288</v>
      </c>
      <c r="H143" s="178" t="str">
        <v/>
      </c>
      <c r="I143" s="178" t="str">
        <v/>
      </c>
      <c r="J143" s="178" t="str">
        <v>citadel</v>
      </c>
      <c r="K143" s="178" t="str">
        <v/>
      </c>
      <c r="L143" s="178" t="str">
        <v/>
      </c>
      <c r="M143" s="178" t="str">
        <v/>
      </c>
      <c r="N143" s="180" t="str">
        <v/>
      </c>
      <c r="O143" s="177" t="s">
        <v>254</v>
      </c>
      <c r="P143" s="180">
        <f t="shared" si="0"/>
        <v>0.05</v>
      </c>
      <c r="Q143" s="181">
        <f>IF(P143&gt;0.25,P143,P143+'Price Sheet (Ignore)'!$G$2)</f>
        <v>0.2</v>
      </c>
      <c r="R143" s="176">
        <f t="shared" si="1"/>
        <v>139.45600000000002</v>
      </c>
      <c r="S143" s="178"/>
      <c r="T143" s="178"/>
    </row>
    <row r="144" spans="1:20" ht="29.25" customHeight="1" x14ac:dyDescent="0.2">
      <c r="A144" s="175" t="str">
        <f>'New Cities Filter'!C144</f>
        <v>The Knolls</v>
      </c>
      <c r="B144" s="178"/>
      <c r="C144" s="177" cm="1">
        <f t="array" ref="C144">Q144*('Price Sheet (Ignore)'!$H$2+_xlfn.IFS(O144="dirt",0.15,O144="gravel",0.3,O144="paved",0.4,O144="none",0))*(G144/3)</f>
        <v>71.37</v>
      </c>
      <c r="D144" s="178" t="str">
        <f>'New Cities Filter'!B:B</f>
        <v>Brimegrore</v>
      </c>
      <c r="E144" s="178" t="str">
        <v>Madinglian</v>
      </c>
      <c r="F144" s="178" t="str">
        <v>Children of Stone</v>
      </c>
      <c r="G144" s="179">
        <v>3294</v>
      </c>
      <c r="H144" s="178" t="str">
        <v/>
      </c>
      <c r="I144" s="178" t="str">
        <v/>
      </c>
      <c r="J144" s="178" t="str">
        <v/>
      </c>
      <c r="K144" s="178" t="str">
        <v>walls</v>
      </c>
      <c r="L144" s="178" t="str">
        <v>plaza</v>
      </c>
      <c r="M144" s="178" t="str">
        <v/>
      </c>
      <c r="N144" s="180" t="str">
        <v/>
      </c>
      <c r="O144" s="177" t="s">
        <v>254</v>
      </c>
      <c r="P144" s="180">
        <f t="shared" si="0"/>
        <v>-2.0000000000000004E-2</v>
      </c>
      <c r="Q144" s="181">
        <f>IF(P144&gt;0.25,P144,P144+'Price Sheet (Ignore)'!$G$2)</f>
        <v>0.13</v>
      </c>
      <c r="R144" s="176">
        <f t="shared" si="1"/>
        <v>139.52799999999999</v>
      </c>
      <c r="S144" s="178"/>
      <c r="T144" s="178"/>
    </row>
    <row r="145" spans="1:20" ht="29.25" customHeight="1" x14ac:dyDescent="0.2">
      <c r="A145" s="175" t="str">
        <f>'New Cities Filter'!C145</f>
        <v>The Knolls</v>
      </c>
      <c r="B145" s="178"/>
      <c r="C145" s="177" cm="1">
        <f t="array" ref="C145">Q145*('Price Sheet (Ignore)'!$H$2+_xlfn.IFS(O145="dirt",0.15,O145="gravel",0.3,O145="paved",0.4,O145="none",0))*(G145/3)</f>
        <v>135.41666666666666</v>
      </c>
      <c r="D145" s="178" t="str">
        <f>'New Cities Filter'!B:B</f>
        <v>Newtown</v>
      </c>
      <c r="E145" s="178" t="str">
        <v>Madinglian</v>
      </c>
      <c r="F145" s="178" t="str">
        <v>Children of Stone</v>
      </c>
      <c r="G145" s="179">
        <v>3250</v>
      </c>
      <c r="H145" s="178" t="str">
        <v/>
      </c>
      <c r="I145" s="178" t="str">
        <v/>
      </c>
      <c r="J145" s="178" t="str">
        <v>citadel</v>
      </c>
      <c r="K145" s="178" t="str">
        <v/>
      </c>
      <c r="L145" s="178" t="str">
        <v>plaza</v>
      </c>
      <c r="M145" s="178" t="str">
        <v/>
      </c>
      <c r="N145" s="180" t="str">
        <v/>
      </c>
      <c r="O145" s="177" t="s">
        <v>254</v>
      </c>
      <c r="P145" s="180">
        <f t="shared" si="0"/>
        <v>0.1</v>
      </c>
      <c r="Q145" s="181">
        <f>IF(P145&gt;0.25,P145,P145+'Price Sheet (Ignore)'!$G$2)</f>
        <v>0.25</v>
      </c>
      <c r="R145" s="176">
        <f t="shared" si="1"/>
        <v>139</v>
      </c>
      <c r="S145" s="178"/>
      <c r="T145" s="178"/>
    </row>
    <row r="146" spans="1:20" ht="29.25" customHeight="1" x14ac:dyDescent="0.2">
      <c r="A146" s="175" t="str">
        <f>'New Cities Filter'!C146</f>
        <v>The Shield</v>
      </c>
      <c r="B146" s="176">
        <f>SUM(C146:C148)</f>
        <v>1307.6500000000001</v>
      </c>
      <c r="C146" s="177" cm="1">
        <f t="array" ref="C146">Q146*('Price Sheet (Ignore)'!$H$2+_xlfn.IFS(O146="dirt",0.15,O146="gravel",0.3,O146="paved",0.4,O146="none",0))*(G146/3)</f>
        <v>177.3</v>
      </c>
      <c r="D146" s="178" t="str">
        <f>'New Cities Filter'!B:B</f>
        <v>Clearmire</v>
      </c>
      <c r="E146" s="178" t="str">
        <v>Swanmen</v>
      </c>
      <c r="F146" s="178" t="str">
        <v>Path of Guiding Light</v>
      </c>
      <c r="G146" s="179">
        <v>5319</v>
      </c>
      <c r="H146" s="178" t="str">
        <v/>
      </c>
      <c r="I146" s="178" t="str">
        <v/>
      </c>
      <c r="J146" s="178" t="str">
        <v>citadel</v>
      </c>
      <c r="K146" s="178" t="str">
        <v/>
      </c>
      <c r="L146" s="178" t="str">
        <v/>
      </c>
      <c r="M146" s="178" t="str">
        <v/>
      </c>
      <c r="N146" s="180" t="str">
        <v/>
      </c>
      <c r="O146" s="177" t="s">
        <v>254</v>
      </c>
      <c r="P146" s="180">
        <f t="shared" si="0"/>
        <v>0.05</v>
      </c>
      <c r="Q146" s="181">
        <f>IF(P146&gt;0.25,P146,P146+'Price Sheet (Ignore)'!$G$2)</f>
        <v>0.2</v>
      </c>
      <c r="R146" s="176">
        <f t="shared" si="1"/>
        <v>163.828</v>
      </c>
      <c r="S146" s="178"/>
      <c r="T146" s="178"/>
    </row>
    <row r="147" spans="1:20" ht="29.25" customHeight="1" x14ac:dyDescent="0.2">
      <c r="A147" s="175" t="str">
        <f>'New Cities Filter'!C147</f>
        <v>The Shield</v>
      </c>
      <c r="B147" s="178"/>
      <c r="C147" s="177" cm="1">
        <f t="array" ref="C147">Q147*('Price Sheet (Ignore)'!$H$2+_xlfn.IFS(O147="dirt",0.15,O147="gravel",0.3,O147="paved",0.4,O147="none",0))*(G147/3)</f>
        <v>1073.2</v>
      </c>
      <c r="D147" s="178" t="str">
        <f>'New Cities Filter'!B:B</f>
        <v>The Shield</v>
      </c>
      <c r="E147" s="178" t="str">
        <v>Swanmen</v>
      </c>
      <c r="F147" s="178" t="str">
        <v>Path of Guiding Light</v>
      </c>
      <c r="G147" s="179">
        <v>26830</v>
      </c>
      <c r="H147" s="178" t="str">
        <v/>
      </c>
      <c r="I147" s="178" t="str">
        <v/>
      </c>
      <c r="J147" s="178" t="str">
        <v>citadel</v>
      </c>
      <c r="K147" s="178" t="str">
        <v>walls</v>
      </c>
      <c r="L147" s="178" t="str">
        <v>plaza</v>
      </c>
      <c r="M147" s="178" t="str">
        <v>temple</v>
      </c>
      <c r="N147" s="180" t="str">
        <v>shanty town</v>
      </c>
      <c r="O147" s="177" t="s">
        <v>254</v>
      </c>
      <c r="P147" s="180">
        <f t="shared" si="0"/>
        <v>0.09</v>
      </c>
      <c r="Q147" s="181">
        <f>IF(P147&gt;0.25,P147,P147+'Price Sheet (Ignore)'!$G$2)</f>
        <v>0.24</v>
      </c>
      <c r="R147" s="176">
        <f t="shared" si="1"/>
        <v>321.95999999999998</v>
      </c>
      <c r="S147" s="178"/>
      <c r="T147" s="178"/>
    </row>
    <row r="148" spans="1:20" ht="29.25" customHeight="1" x14ac:dyDescent="0.2">
      <c r="A148" s="175" t="str">
        <f>'New Cities Filter'!C148</f>
        <v>The Shield</v>
      </c>
      <c r="B148" s="178"/>
      <c r="C148" s="177" cm="1">
        <f t="array" ref="C148">Q148*('Price Sheet (Ignore)'!$H$2+_xlfn.IFS(O148="dirt",0.15,O148="gravel",0.3,O148="paved",0.4,O148="none",0))*(G148/3)</f>
        <v>57.15</v>
      </c>
      <c r="D148" s="178" t="str">
        <f>'New Cities Filter'!B:B</f>
        <v>Dogport</v>
      </c>
      <c r="E148" s="178" t="str">
        <v>Swanmen</v>
      </c>
      <c r="F148" s="178" t="str">
        <v>Path of Guiding Light</v>
      </c>
      <c r="G148" s="179">
        <v>2286</v>
      </c>
      <c r="H148" s="178" t="str">
        <v/>
      </c>
      <c r="I148" s="178" t="str">
        <v/>
      </c>
      <c r="J148" s="178" t="str">
        <v/>
      </c>
      <c r="K148" s="178" t="str">
        <v/>
      </c>
      <c r="L148" s="178" t="str">
        <v/>
      </c>
      <c r="M148" s="178" t="str">
        <v/>
      </c>
      <c r="N148" s="180" t="str">
        <v/>
      </c>
      <c r="O148" s="177" t="s">
        <v>254</v>
      </c>
      <c r="P148" s="180">
        <f t="shared" si="0"/>
        <v>0</v>
      </c>
      <c r="Q148" s="181">
        <f>IF(P148&gt;0.25,P148,P148+'Price Sheet (Ignore)'!$G$2)</f>
        <v>0.15</v>
      </c>
      <c r="R148" s="176">
        <f t="shared" si="1"/>
        <v>127.432</v>
      </c>
      <c r="S148" s="178"/>
      <c r="T148" s="178"/>
    </row>
    <row r="149" spans="1:20" ht="29.25" customHeight="1" x14ac:dyDescent="0.2">
      <c r="A149" s="175" t="str">
        <f>'New Cities Filter'!C149</f>
        <v>The Valley</v>
      </c>
      <c r="B149" s="176">
        <f>SUM(C149)</f>
        <v>27.875</v>
      </c>
      <c r="C149" s="177" cm="1">
        <f t="array" ref="C149">Q149*('Price Sheet (Ignore)'!$H$2+_xlfn.IFS(O149="dirt",0.15,O149="gravel",0.3,O149="paved",0.4,O149="none",0))*(G149/3)</f>
        <v>27.875</v>
      </c>
      <c r="D149" s="178" t="str">
        <f>'New Cities Filter'!B:B</f>
        <v>Yeobury</v>
      </c>
      <c r="E149" s="178" t="str">
        <v>Eastern Shavian</v>
      </c>
      <c r="F149" s="178" t="str">
        <v>No religion</v>
      </c>
      <c r="G149" s="179">
        <v>1115</v>
      </c>
      <c r="H149" s="178" t="str">
        <v/>
      </c>
      <c r="I149" s="178" t="str">
        <v/>
      </c>
      <c r="J149" s="178" t="str">
        <v/>
      </c>
      <c r="K149" s="178" t="str">
        <v/>
      </c>
      <c r="L149" s="178" t="str">
        <v/>
      </c>
      <c r="M149" s="178" t="str">
        <v/>
      </c>
      <c r="N149" s="180" t="str">
        <v/>
      </c>
      <c r="O149" s="177" t="s">
        <v>254</v>
      </c>
      <c r="P149" s="180">
        <f t="shared" si="0"/>
        <v>0</v>
      </c>
      <c r="Q149" s="181">
        <f>IF(P149&gt;0.25,P149,P149+'Price Sheet (Ignore)'!$G$2)</f>
        <v>0.15</v>
      </c>
      <c r="R149" s="176">
        <f t="shared" si="1"/>
        <v>113.38</v>
      </c>
      <c r="S149" s="178"/>
      <c r="T149" s="178"/>
    </row>
    <row r="150" spans="1:20" ht="29.25" customHeight="1" x14ac:dyDescent="0.2">
      <c r="A150" s="175" t="str">
        <f>'New Cities Filter'!C150</f>
        <v>Vhalian Marches</v>
      </c>
      <c r="B150" s="176">
        <f>SUM(C150:C156)</f>
        <v>1641.48</v>
      </c>
      <c r="C150" s="177" cm="1">
        <f t="array" ref="C150">Q150*('Price Sheet (Ignore)'!$H$2+_xlfn.IFS(O150="dirt",0.15,O150="gravel",0.3,O150="paved",0.4,O150="none",0))*(G150/3)</f>
        <v>156.70000000000002</v>
      </c>
      <c r="D150" s="178" t="str">
        <f>'New Cities Filter'!B:B</f>
        <v>Feargarun</v>
      </c>
      <c r="E150" s="178" t="str">
        <v>Westerling</v>
      </c>
      <c r="F150" s="178" t="str">
        <v>Path of Guiding Light</v>
      </c>
      <c r="G150" s="179">
        <v>6268</v>
      </c>
      <c r="H150" s="178" t="str">
        <v/>
      </c>
      <c r="I150" s="178" t="str">
        <v/>
      </c>
      <c r="J150" s="178" t="str">
        <v/>
      </c>
      <c r="K150" s="178" t="str">
        <v/>
      </c>
      <c r="L150" s="178" t="str">
        <v/>
      </c>
      <c r="M150" s="178" t="str">
        <v/>
      </c>
      <c r="N150" s="180" t="str">
        <v/>
      </c>
      <c r="O150" s="177" t="s">
        <v>254</v>
      </c>
      <c r="P150" s="180">
        <f t="shared" si="0"/>
        <v>0</v>
      </c>
      <c r="Q150" s="181">
        <f>IF(P150&gt;0.25,P150,P150+'Price Sheet (Ignore)'!$G$2)</f>
        <v>0.15</v>
      </c>
      <c r="R150" s="176">
        <f t="shared" si="1"/>
        <v>175.21600000000001</v>
      </c>
      <c r="S150" s="178"/>
      <c r="T150" s="178"/>
    </row>
    <row r="151" spans="1:20" ht="29.25" customHeight="1" x14ac:dyDescent="0.2">
      <c r="A151" s="175" t="str">
        <f>'New Cities Filter'!C151</f>
        <v>Vhalian Marches</v>
      </c>
      <c r="B151" s="178"/>
      <c r="C151" s="177" cm="1">
        <f t="array" ref="C151">Q151*('Price Sheet (Ignore)'!$H$2+_xlfn.IFS(O151="dirt",0.15,O151="gravel",0.3,O151="paved",0.4,O151="none",0))*(G151/3)</f>
        <v>148.63333333333333</v>
      </c>
      <c r="D151" s="178" t="str">
        <f>'New Cities Filter'!B:B</f>
        <v>Lirelona</v>
      </c>
      <c r="E151" s="178" t="str">
        <v>Westerling</v>
      </c>
      <c r="F151" s="178" t="str">
        <v>Path of Guiding Light</v>
      </c>
      <c r="G151" s="179">
        <v>4459</v>
      </c>
      <c r="H151" s="178" t="str">
        <v/>
      </c>
      <c r="I151" s="178" t="str">
        <v/>
      </c>
      <c r="J151" s="178" t="str">
        <v/>
      </c>
      <c r="K151" s="178" t="str">
        <v/>
      </c>
      <c r="L151" s="178" t="str">
        <v>plaza</v>
      </c>
      <c r="M151" s="178" t="str">
        <v/>
      </c>
      <c r="N151" s="180" t="str">
        <v/>
      </c>
      <c r="O151" s="177" t="s">
        <v>254</v>
      </c>
      <c r="P151" s="180">
        <f t="shared" si="0"/>
        <v>0.05</v>
      </c>
      <c r="Q151" s="181">
        <f>IF(P151&gt;0.25,P151,P151+'Price Sheet (Ignore)'!$G$2)</f>
        <v>0.2</v>
      </c>
      <c r="R151" s="176">
        <f t="shared" si="1"/>
        <v>153.50800000000001</v>
      </c>
      <c r="S151" s="178"/>
      <c r="T151" s="178"/>
    </row>
    <row r="152" spans="1:20" ht="29.25" customHeight="1" x14ac:dyDescent="0.2">
      <c r="A152" s="175" t="str">
        <f>'New Cities Filter'!C152</f>
        <v>Vhalian Marches</v>
      </c>
      <c r="B152" s="178"/>
      <c r="C152" s="177" cm="1">
        <f t="array" ref="C152">Q152*('Price Sheet (Ignore)'!$H$2+_xlfn.IFS(O152="dirt",0.15,O152="gravel",0.3,O152="paved",0.4,O152="none",0))*(G152/3)</f>
        <v>305.95</v>
      </c>
      <c r="D152" s="178" t="str">
        <f>'New Cities Filter'!B:B</f>
        <v>Snowstorm</v>
      </c>
      <c r="E152" s="178" t="str">
        <v>Westerling</v>
      </c>
      <c r="F152" s="178" t="str">
        <v>Path of Guiding Light</v>
      </c>
      <c r="G152" s="179">
        <v>12238</v>
      </c>
      <c r="H152" s="178" t="str">
        <v/>
      </c>
      <c r="I152" s="178" t="str">
        <v/>
      </c>
      <c r="J152" s="178" t="str">
        <v/>
      </c>
      <c r="K152" s="178" t="str">
        <v/>
      </c>
      <c r="L152" s="178" t="str">
        <v/>
      </c>
      <c r="M152" s="178" t="str">
        <v/>
      </c>
      <c r="N152" s="180" t="str">
        <v/>
      </c>
      <c r="O152" s="177" t="s">
        <v>254</v>
      </c>
      <c r="P152" s="180">
        <f t="shared" si="0"/>
        <v>0</v>
      </c>
      <c r="Q152" s="181">
        <f>IF(P152&gt;0.25,P152,P152+'Price Sheet (Ignore)'!$G$2)</f>
        <v>0.15</v>
      </c>
      <c r="R152" s="176">
        <f t="shared" si="1"/>
        <v>146.85599999999999</v>
      </c>
      <c r="S152" s="178"/>
      <c r="T152" s="178"/>
    </row>
    <row r="153" spans="1:20" ht="29.25" customHeight="1" x14ac:dyDescent="0.2">
      <c r="A153" s="175" t="str">
        <f>'New Cities Filter'!C153</f>
        <v>Vhalian Marches</v>
      </c>
      <c r="B153" s="178"/>
      <c r="C153" s="177" cm="1">
        <f t="array" ref="C153">Q153*('Price Sheet (Ignore)'!$H$2+_xlfn.IFS(O153="dirt",0.15,O153="gravel",0.3,O153="paved",0.4,O153="none",0))*(G153/3)</f>
        <v>237.07999999999996</v>
      </c>
      <c r="D153" s="178" t="str">
        <f>'New Cities Filter'!B:B</f>
        <v>Scorcross</v>
      </c>
      <c r="E153" s="178" t="str">
        <v>Westerling</v>
      </c>
      <c r="F153" s="178" t="str">
        <v>Path of Guiding Light</v>
      </c>
      <c r="G153" s="179">
        <v>17781</v>
      </c>
      <c r="H153" s="178" t="str">
        <v/>
      </c>
      <c r="I153" s="178" t="str">
        <v/>
      </c>
      <c r="J153" s="178" t="str">
        <v/>
      </c>
      <c r="K153" s="178" t="str">
        <v>walls</v>
      </c>
      <c r="L153" s="178" t="str">
        <v/>
      </c>
      <c r="M153" s="178" t="str">
        <v/>
      </c>
      <c r="N153" s="180" t="str">
        <v/>
      </c>
      <c r="O153" s="177" t="s">
        <v>254</v>
      </c>
      <c r="P153" s="180">
        <f t="shared" si="0"/>
        <v>-7.0000000000000007E-2</v>
      </c>
      <c r="Q153" s="181">
        <f>IF(P153&gt;0.25,P153,P153+'Price Sheet (Ignore)'!$G$2)</f>
        <v>7.9999999999999988E-2</v>
      </c>
      <c r="R153" s="176">
        <f t="shared" si="1"/>
        <v>213.37200000000001</v>
      </c>
      <c r="S153" s="178"/>
      <c r="T153" s="178"/>
    </row>
    <row r="154" spans="1:20" ht="29.25" customHeight="1" x14ac:dyDescent="0.2">
      <c r="A154" s="175" t="str">
        <f>'New Cities Filter'!C154</f>
        <v>Vhalian Marches</v>
      </c>
      <c r="B154" s="178"/>
      <c r="C154" s="177" cm="1">
        <f t="array" ref="C154">Q154*('Price Sheet (Ignore)'!$H$2+_xlfn.IFS(O154="dirt",0.15,O154="gravel",0.3,O154="paved",0.4,O154="none",0))*(G154/3)</f>
        <v>417.7</v>
      </c>
      <c r="D154" s="178" t="str">
        <f>'New Cities Filter'!B:B</f>
        <v>Drymond</v>
      </c>
      <c r="E154" s="178" t="str">
        <v>Westerling</v>
      </c>
      <c r="F154" s="178" t="str">
        <v>Path of Guiding Light</v>
      </c>
      <c r="G154" s="179">
        <v>16708</v>
      </c>
      <c r="H154" s="178" t="str">
        <v/>
      </c>
      <c r="I154" s="178" t="str">
        <v/>
      </c>
      <c r="J154" s="178" t="str">
        <v/>
      </c>
      <c r="K154" s="178" t="str">
        <v/>
      </c>
      <c r="L154" s="178" t="str">
        <v/>
      </c>
      <c r="M154" s="178" t="str">
        <v/>
      </c>
      <c r="N154" s="180" t="str">
        <v/>
      </c>
      <c r="O154" s="177" t="s">
        <v>254</v>
      </c>
      <c r="P154" s="180">
        <f t="shared" si="0"/>
        <v>0</v>
      </c>
      <c r="Q154" s="181">
        <f>IF(P154&gt;0.25,P154,P154+'Price Sheet (Ignore)'!$G$2)</f>
        <v>0.15</v>
      </c>
      <c r="R154" s="176">
        <f t="shared" si="1"/>
        <v>200.49600000000001</v>
      </c>
      <c r="S154" s="178"/>
      <c r="T154" s="178"/>
    </row>
    <row r="155" spans="1:20" ht="29.25" customHeight="1" x14ac:dyDescent="0.2">
      <c r="A155" s="175" t="str">
        <f>'New Cities Filter'!C155</f>
        <v>Vhalian Marches</v>
      </c>
      <c r="B155" s="178"/>
      <c r="C155" s="177" cm="1">
        <f t="array" ref="C155">Q155*('Price Sheet (Ignore)'!$H$2+_xlfn.IFS(O155="dirt",0.15,O155="gravel",0.3,O155="paved",0.4,O155="none",0))*(G155/3)</f>
        <v>84.5</v>
      </c>
      <c r="D155" s="178" t="str">
        <f>'New Cities Filter'!B:B</f>
        <v>Vhalthin</v>
      </c>
      <c r="E155" s="178" t="str">
        <v>Westerling</v>
      </c>
      <c r="F155" s="178" t="str">
        <v>Path of Guiding Light</v>
      </c>
      <c r="G155" s="179">
        <v>2535</v>
      </c>
      <c r="H155" s="178" t="str">
        <v/>
      </c>
      <c r="I155" s="178" t="str">
        <v/>
      </c>
      <c r="J155" s="178" t="str">
        <v/>
      </c>
      <c r="K155" s="178" t="str">
        <v/>
      </c>
      <c r="L155" s="178" t="str">
        <v>plaza</v>
      </c>
      <c r="M155" s="178" t="str">
        <v/>
      </c>
      <c r="N155" s="180" t="str">
        <v/>
      </c>
      <c r="O155" s="177" t="s">
        <v>254</v>
      </c>
      <c r="P155" s="180">
        <f t="shared" si="0"/>
        <v>0.05</v>
      </c>
      <c r="Q155" s="181">
        <f>IF(P155&gt;0.25,P155,P155+'Price Sheet (Ignore)'!$G$2)</f>
        <v>0.2</v>
      </c>
      <c r="R155" s="176">
        <f t="shared" si="1"/>
        <v>130.42000000000002</v>
      </c>
      <c r="S155" s="178"/>
      <c r="T155" s="178"/>
    </row>
    <row r="156" spans="1:20" ht="29.25" customHeight="1" x14ac:dyDescent="0.2">
      <c r="A156" s="175" t="str">
        <f>'New Cities Filter'!C156</f>
        <v>Vhalian Marches</v>
      </c>
      <c r="B156" s="178"/>
      <c r="C156" s="177" cm="1">
        <f t="array" ref="C156">Q156*('Price Sheet (Ignore)'!$H$2+_xlfn.IFS(O156="dirt",0.15,O156="gravel",0.3,O156="paved",0.4,O156="none",0))*(G156/3)</f>
        <v>290.91666666666669</v>
      </c>
      <c r="D156" s="178" t="str">
        <f>'New Cities Filter'!B:B</f>
        <v>Deadford</v>
      </c>
      <c r="E156" s="178" t="str">
        <v>Westerling</v>
      </c>
      <c r="F156" s="178" t="str">
        <v>Path of Guiding Light</v>
      </c>
      <c r="G156" s="179">
        <v>6982</v>
      </c>
      <c r="H156" s="178" t="str">
        <v/>
      </c>
      <c r="I156" s="178" t="str">
        <v/>
      </c>
      <c r="J156" s="178" t="str">
        <v>citadel</v>
      </c>
      <c r="K156" s="178" t="str">
        <v/>
      </c>
      <c r="L156" s="178" t="str">
        <v>plaza</v>
      </c>
      <c r="M156" s="178" t="str">
        <v/>
      </c>
      <c r="N156" s="180" t="str">
        <v/>
      </c>
      <c r="O156" s="177" t="s">
        <v>254</v>
      </c>
      <c r="P156" s="180">
        <f t="shared" si="0"/>
        <v>0.1</v>
      </c>
      <c r="Q156" s="181">
        <f>IF(P156&gt;0.25,P156,P156+'Price Sheet (Ignore)'!$G$2)</f>
        <v>0.25</v>
      </c>
      <c r="R156" s="176">
        <f t="shared" si="1"/>
        <v>183.78399999999999</v>
      </c>
      <c r="S156" s="178"/>
      <c r="T156" s="178"/>
    </row>
    <row r="157" spans="1:20" ht="29.25" customHeight="1" x14ac:dyDescent="0.2">
      <c r="A157" s="175" t="str">
        <f>'New Cities Filter'!C157</f>
        <v>Vinh</v>
      </c>
      <c r="B157" s="176">
        <f>SUM(C157:C158)</f>
        <v>835.25499999999988</v>
      </c>
      <c r="C157" s="177" cm="1">
        <f t="array" ref="C157">Q157*('Price Sheet (Ignore)'!$H$2+_xlfn.IFS(O157="dirt",0.15,O157="gravel",0.3,O157="paved",0.4,O157="none",0))*(G157/3)</f>
        <v>449.12999999999994</v>
      </c>
      <c r="D157" s="178" t="str">
        <f>'New Cities Filter'!B:B</f>
        <v>Eagportford</v>
      </c>
      <c r="E157" s="178" t="str">
        <v>Central Shavian</v>
      </c>
      <c r="F157" s="178" t="str">
        <v>Path of Guiding Light</v>
      </c>
      <c r="G157" s="179">
        <v>14971</v>
      </c>
      <c r="H157" s="178" t="str">
        <v/>
      </c>
      <c r="I157" s="178" t="str">
        <v/>
      </c>
      <c r="J157" s="178" t="str">
        <v>citadel</v>
      </c>
      <c r="K157" s="178" t="str">
        <v>walls</v>
      </c>
      <c r="L157" s="178" t="str">
        <v>plaza</v>
      </c>
      <c r="M157" s="178" t="str">
        <v/>
      </c>
      <c r="N157" s="180" t="str">
        <v/>
      </c>
      <c r="O157" s="177" t="s">
        <v>254</v>
      </c>
      <c r="P157" s="180">
        <f t="shared" si="0"/>
        <v>0.03</v>
      </c>
      <c r="Q157" s="181">
        <f>IF(P157&gt;0.25,P157,P157+'Price Sheet (Ignore)'!$G$2)</f>
        <v>0.18</v>
      </c>
      <c r="R157" s="176">
        <f t="shared" si="1"/>
        <v>179.65200000000002</v>
      </c>
      <c r="S157" s="178"/>
      <c r="T157" s="178"/>
    </row>
    <row r="158" spans="1:20" ht="29.25" customHeight="1" x14ac:dyDescent="0.2">
      <c r="A158" s="175" t="str">
        <f>'New Cities Filter'!C158</f>
        <v>Vinh</v>
      </c>
      <c r="B158" s="178"/>
      <c r="C158" s="177" cm="1">
        <f t="array" ref="C158">Q158*('Price Sheet (Ignore)'!$H$2+_xlfn.IFS(O158="dirt",0.15,O158="gravel",0.3,O158="paved",0.4,O158="none",0))*(G158/3)</f>
        <v>386.125</v>
      </c>
      <c r="D158" s="178" t="str">
        <f>'New Cities Filter'!B:B</f>
        <v>Vinh</v>
      </c>
      <c r="E158" s="178" t="str">
        <v>Ralimers</v>
      </c>
      <c r="F158" s="178" t="str">
        <v>Path of Guiding Light</v>
      </c>
      <c r="G158" s="179">
        <v>9267</v>
      </c>
      <c r="H158" s="178" t="str">
        <v/>
      </c>
      <c r="I158" s="178" t="str">
        <v>port</v>
      </c>
      <c r="J158" s="178" t="str">
        <v/>
      </c>
      <c r="K158" s="178" t="str">
        <v/>
      </c>
      <c r="L158" s="178" t="str">
        <v/>
      </c>
      <c r="M158" s="178" t="str">
        <v/>
      </c>
      <c r="N158" s="180" t="str">
        <v/>
      </c>
      <c r="O158" s="177" t="s">
        <v>254</v>
      </c>
      <c r="P158" s="180">
        <f t="shared" si="0"/>
        <v>0.1</v>
      </c>
      <c r="Q158" s="181">
        <f>IF(P158&gt;0.25,P158,P158+'Price Sheet (Ignore)'!$G$2)</f>
        <v>0.25</v>
      </c>
      <c r="R158" s="176">
        <f t="shared" si="1"/>
        <v>111.20400000000001</v>
      </c>
      <c r="S158" s="178"/>
      <c r="T158" s="178"/>
    </row>
    <row r="159" spans="1:20" ht="29.25" customHeight="1" x14ac:dyDescent="0.2">
      <c r="A159" s="175" t="str">
        <f>'New Cities Filter'!C159</f>
        <v>Westleden</v>
      </c>
      <c r="B159" s="176">
        <f>SUM(C159:C162)</f>
        <v>405.79499999999996</v>
      </c>
      <c r="C159" s="177" cm="1">
        <f t="array" ref="C159">Q159*('Price Sheet (Ignore)'!$H$2+_xlfn.IFS(O159="dirt",0.15,O159="gravel",0.3,O159="paved",0.4,O159="none",0))*(G159/3)</f>
        <v>65.2</v>
      </c>
      <c r="D159" s="178" t="str">
        <f>'New Cities Filter'!B:B</f>
        <v>Westlehorn</v>
      </c>
      <c r="E159" s="178" t="str">
        <v>Eastern Shavian</v>
      </c>
      <c r="F159" s="178" t="str">
        <v>Path of Guiding Light</v>
      </c>
      <c r="G159" s="179">
        <v>1956</v>
      </c>
      <c r="H159" s="178" t="str">
        <v/>
      </c>
      <c r="I159" s="178" t="str">
        <v/>
      </c>
      <c r="J159" s="178" t="str">
        <v>citadel</v>
      </c>
      <c r="K159" s="178" t="str">
        <v/>
      </c>
      <c r="L159" s="178" t="str">
        <v/>
      </c>
      <c r="M159" s="178" t="str">
        <v/>
      </c>
      <c r="N159" s="180" t="str">
        <v/>
      </c>
      <c r="O159" s="177" t="s">
        <v>254</v>
      </c>
      <c r="P159" s="180">
        <f t="shared" si="0"/>
        <v>0.05</v>
      </c>
      <c r="Q159" s="181">
        <f>IF(P159&gt;0.25,P159,P159+'Price Sheet (Ignore)'!$G$2)</f>
        <v>0.2</v>
      </c>
      <c r="R159" s="176">
        <f t="shared" si="1"/>
        <v>123.47200000000001</v>
      </c>
      <c r="S159" s="178"/>
      <c r="T159" s="178"/>
    </row>
    <row r="160" spans="1:20" ht="29.25" customHeight="1" x14ac:dyDescent="0.2">
      <c r="A160" s="175" t="str">
        <f>'New Cities Filter'!C160</f>
        <v>Westleden</v>
      </c>
      <c r="B160" s="178"/>
      <c r="C160" s="177" cm="1">
        <f t="array" ref="C160">Q160*('Price Sheet (Ignore)'!$H$2+_xlfn.IFS(O160="dirt",0.15,O160="gravel",0.3,O160="paved",0.4,O160="none",0))*(G160/3)</f>
        <v>68.083333333333329</v>
      </c>
      <c r="D160" s="178" t="str">
        <f>'New Cities Filter'!B:B</f>
        <v>Clifrost</v>
      </c>
      <c r="E160" s="178" t="str">
        <v>Eastern Shavian</v>
      </c>
      <c r="F160" s="178" t="str">
        <v>Path of Guiding Light</v>
      </c>
      <c r="G160" s="179">
        <v>1634</v>
      </c>
      <c r="H160" s="178" t="str">
        <v/>
      </c>
      <c r="I160" s="178" t="str">
        <v/>
      </c>
      <c r="J160" s="178" t="str">
        <v>citadel</v>
      </c>
      <c r="K160" s="178" t="str">
        <v/>
      </c>
      <c r="L160" s="178" t="str">
        <v>plaza</v>
      </c>
      <c r="M160" s="178" t="str">
        <v/>
      </c>
      <c r="N160" s="180" t="str">
        <v/>
      </c>
      <c r="O160" s="177" t="s">
        <v>254</v>
      </c>
      <c r="P160" s="180">
        <f t="shared" si="0"/>
        <v>0.1</v>
      </c>
      <c r="Q160" s="181">
        <f>IF(P160&gt;0.25,P160,P160+'Price Sheet (Ignore)'!$G$2)</f>
        <v>0.25</v>
      </c>
      <c r="R160" s="176">
        <f t="shared" si="1"/>
        <v>119.608</v>
      </c>
      <c r="S160" s="178"/>
      <c r="T160" s="178"/>
    </row>
    <row r="161" spans="1:20" ht="29.25" customHeight="1" x14ac:dyDescent="0.2">
      <c r="A161" s="175" t="str">
        <f>'New Cities Filter'!C161</f>
        <v>Westleden</v>
      </c>
      <c r="B161" s="178"/>
      <c r="C161" s="177" cm="1">
        <f t="array" ref="C161">Q161*('Price Sheet (Ignore)'!$H$2+_xlfn.IFS(O161="dirt",0.15,O161="gravel",0.3,O161="paved",0.4,O161="none",0))*(G161/3)</f>
        <v>75.458333333333329</v>
      </c>
      <c r="D161" s="178" t="str">
        <f>'New Cities Filter'!B:B</f>
        <v>Stones Horn</v>
      </c>
      <c r="E161" s="178" t="str">
        <v>Eastern Shavian</v>
      </c>
      <c r="F161" s="178" t="str">
        <v>Path of Guiding Light</v>
      </c>
      <c r="G161" s="179">
        <v>1811</v>
      </c>
      <c r="H161" s="178" t="str">
        <v/>
      </c>
      <c r="I161" s="178" t="str">
        <v/>
      </c>
      <c r="J161" s="178" t="str">
        <v>citadel</v>
      </c>
      <c r="K161" s="178" t="str">
        <v/>
      </c>
      <c r="L161" s="178" t="str">
        <v>plaza</v>
      </c>
      <c r="M161" s="178" t="str">
        <v/>
      </c>
      <c r="N161" s="180" t="str">
        <v/>
      </c>
      <c r="O161" s="177" t="s">
        <v>254</v>
      </c>
      <c r="P161" s="180">
        <f t="shared" si="0"/>
        <v>0.1</v>
      </c>
      <c r="Q161" s="181">
        <f>IF(P161&gt;0.25,P161,P161+'Price Sheet (Ignore)'!$G$2)</f>
        <v>0.25</v>
      </c>
      <c r="R161" s="176">
        <f t="shared" si="1"/>
        <v>121.732</v>
      </c>
      <c r="S161" s="178"/>
      <c r="T161" s="178"/>
    </row>
    <row r="162" spans="1:20" ht="29.25" customHeight="1" x14ac:dyDescent="0.2">
      <c r="A162" s="175" t="str">
        <f>'New Cities Filter'!C162</f>
        <v>Westleden</v>
      </c>
      <c r="B162" s="178"/>
      <c r="C162" s="177" cm="1">
        <f t="array" ref="C162">Q162*('Price Sheet (Ignore)'!$H$2+_xlfn.IFS(O162="dirt",0.15,O162="gravel",0.3,O162="paved",0.4,O162="none",0))*(G162/3)</f>
        <v>197.05333333333328</v>
      </c>
      <c r="D162" s="178" t="str">
        <f>'New Cities Filter'!B:B</f>
        <v>Shameverun</v>
      </c>
      <c r="E162" s="178" t="str">
        <v>Eastern Shavian</v>
      </c>
      <c r="F162" s="178" t="str">
        <v>Path of Guiding Light</v>
      </c>
      <c r="G162" s="179">
        <v>14779</v>
      </c>
      <c r="H162" s="178" t="str">
        <v/>
      </c>
      <c r="I162" s="178" t="str">
        <v/>
      </c>
      <c r="J162" s="178" t="str">
        <v/>
      </c>
      <c r="K162" s="178" t="str">
        <v>walls</v>
      </c>
      <c r="L162" s="178" t="str">
        <v/>
      </c>
      <c r="M162" s="178" t="str">
        <v/>
      </c>
      <c r="N162" s="180" t="str">
        <v/>
      </c>
      <c r="O162" s="177" t="s">
        <v>254</v>
      </c>
      <c r="P162" s="180">
        <f t="shared" si="0"/>
        <v>-7.0000000000000007E-2</v>
      </c>
      <c r="Q162" s="181">
        <f>IF(P162&gt;0.25,P162,P162+'Price Sheet (Ignore)'!$G$2)</f>
        <v>7.9999999999999988E-2</v>
      </c>
      <c r="R162" s="176">
        <f t="shared" si="1"/>
        <v>177.34800000000001</v>
      </c>
      <c r="S162" s="178"/>
      <c r="T162" s="178"/>
    </row>
    <row r="163" spans="1:20" ht="29.25" customHeight="1" x14ac:dyDescent="0.2">
      <c r="A163" s="175" t="str">
        <f>'New Cities Filter'!C163</f>
        <v>Wet Shoor</v>
      </c>
      <c r="B163" s="176">
        <f>SUM(C163:C166)</f>
        <v>515.37333333333333</v>
      </c>
      <c r="C163" s="177" cm="1">
        <f t="array" ref="C163">Q163*('Price Sheet (Ignore)'!$H$2+_xlfn.IFS(O163="dirt",0.15,O163="gravel",0.3,O163="paved",0.4,O163="none",0))*(G163/3)</f>
        <v>270.16666666666669</v>
      </c>
      <c r="D163" s="178" t="str">
        <f>'New Cities Filter'!B:B</f>
        <v>Cadeband</v>
      </c>
      <c r="E163" s="178" t="str">
        <v>Eastern Shavian</v>
      </c>
      <c r="F163" s="178" t="str">
        <v>Path of Guiding Light</v>
      </c>
      <c r="G163" s="179">
        <v>8105</v>
      </c>
      <c r="H163" s="178" t="str">
        <v/>
      </c>
      <c r="I163" s="178" t="str">
        <v/>
      </c>
      <c r="J163" s="178" t="str">
        <v/>
      </c>
      <c r="K163" s="178" t="str">
        <v/>
      </c>
      <c r="L163" s="178" t="str">
        <v>plaza</v>
      </c>
      <c r="M163" s="178" t="str">
        <v/>
      </c>
      <c r="N163" s="180" t="str">
        <v/>
      </c>
      <c r="O163" s="177" t="s">
        <v>254</v>
      </c>
      <c r="P163" s="180">
        <f t="shared" si="0"/>
        <v>0.05</v>
      </c>
      <c r="Q163" s="181">
        <f>IF(P163&gt;0.25,P163,P163+'Price Sheet (Ignore)'!$G$2)</f>
        <v>0.2</v>
      </c>
      <c r="R163" s="176">
        <f t="shared" si="1"/>
        <v>197.26</v>
      </c>
      <c r="S163" s="178"/>
      <c r="T163" s="178"/>
    </row>
    <row r="164" spans="1:20" ht="29.25" customHeight="1" x14ac:dyDescent="0.2">
      <c r="A164" s="175" t="str">
        <f>'New Cities Filter'!C164</f>
        <v>Wet Shoor</v>
      </c>
      <c r="B164" s="178"/>
      <c r="C164" s="177" cm="1">
        <f t="array" ref="C164">Q164*('Price Sheet (Ignore)'!$H$2+_xlfn.IFS(O164="dirt",0.15,O164="gravel",0.3,O164="paved",0.4,O164="none",0))*(G164/3)</f>
        <v>132.11333333333334</v>
      </c>
      <c r="D164" s="178" t="str">
        <f>'New Cities Filter'!B:B</f>
        <v>Shaterse</v>
      </c>
      <c r="E164" s="178" t="str">
        <v>Eastern Shavian</v>
      </c>
      <c r="F164" s="178" t="str">
        <v>Path of Guiding Light</v>
      </c>
      <c r="G164" s="179">
        <v>2831</v>
      </c>
      <c r="H164" s="178" t="str">
        <v/>
      </c>
      <c r="I164" s="178" t="str">
        <v>port</v>
      </c>
      <c r="J164" s="178" t="str">
        <v>citadel</v>
      </c>
      <c r="K164" s="178" t="str">
        <v>walls</v>
      </c>
      <c r="L164" s="178" t="str">
        <v>plaza</v>
      </c>
      <c r="M164" s="178" t="str">
        <v/>
      </c>
      <c r="N164" s="180" t="str">
        <v/>
      </c>
      <c r="O164" s="177" t="s">
        <v>254</v>
      </c>
      <c r="P164" s="180">
        <f t="shared" si="0"/>
        <v>0.13</v>
      </c>
      <c r="Q164" s="181">
        <f>IF(P164&gt;0.25,P164,P164+'Price Sheet (Ignore)'!$G$2)</f>
        <v>0.28000000000000003</v>
      </c>
      <c r="R164" s="176">
        <f t="shared" si="1"/>
        <v>133.97200000000001</v>
      </c>
      <c r="S164" s="178"/>
      <c r="T164" s="178"/>
    </row>
    <row r="165" spans="1:20" ht="29.25" customHeight="1" x14ac:dyDescent="0.2">
      <c r="A165" s="175" t="str">
        <f>'New Cities Filter'!C165</f>
        <v>Wet Shoor</v>
      </c>
      <c r="B165" s="178"/>
      <c r="C165" s="177" cm="1">
        <f t="array" ref="C165">Q165*('Price Sheet (Ignore)'!$H$2+_xlfn.IFS(O165="dirt",0.15,O165="gravel",0.3,O165="paved",0.4,O165="none",0))*(G165/3)</f>
        <v>47.493333333333332</v>
      </c>
      <c r="D165" s="178" t="str">
        <f>'New Cities Filter'!B:B</f>
        <v>Deercross</v>
      </c>
      <c r="E165" s="178" t="str">
        <v>Eastern Shavian</v>
      </c>
      <c r="F165" s="178" t="str">
        <v>Path of Guiding Light</v>
      </c>
      <c r="G165" s="179">
        <v>2192</v>
      </c>
      <c r="H165" s="178" t="str">
        <v/>
      </c>
      <c r="I165" s="178" t="str">
        <v/>
      </c>
      <c r="J165" s="178" t="str">
        <v>citadel</v>
      </c>
      <c r="K165" s="178" t="str">
        <v>walls</v>
      </c>
      <c r="L165" s="178" t="str">
        <v/>
      </c>
      <c r="M165" s="178" t="str">
        <v/>
      </c>
      <c r="N165" s="180" t="str">
        <v/>
      </c>
      <c r="O165" s="177" t="s">
        <v>254</v>
      </c>
      <c r="P165" s="180">
        <f t="shared" si="0"/>
        <v>-2.0000000000000004E-2</v>
      </c>
      <c r="Q165" s="181">
        <f>IF(P165&gt;0.25,P165,P165+'Price Sheet (Ignore)'!$G$2)</f>
        <v>0.13</v>
      </c>
      <c r="R165" s="176">
        <f t="shared" si="1"/>
        <v>126.304</v>
      </c>
      <c r="S165" s="178"/>
      <c r="T165" s="178"/>
    </row>
    <row r="166" spans="1:20" ht="29.25" customHeight="1" x14ac:dyDescent="0.2">
      <c r="A166" s="175" t="str">
        <f>'New Cities Filter'!C166</f>
        <v>Wet Shoor</v>
      </c>
      <c r="B166" s="178"/>
      <c r="C166" s="177" cm="1">
        <f t="array" ref="C166">Q166*('Price Sheet (Ignore)'!$H$2+_xlfn.IFS(O166="dirt",0.15,O166="gravel",0.3,O166="paved",0.4,O166="none",0))*(G166/3)</f>
        <v>65.600000000000009</v>
      </c>
      <c r="D166" s="178" t="str">
        <f>'New Cities Filter'!B:B</f>
        <v>Earthilld</v>
      </c>
      <c r="E166" s="178" t="str">
        <v>Eastern Shavian</v>
      </c>
      <c r="F166" s="178" t="str">
        <v>Path of Guiding Light</v>
      </c>
      <c r="G166" s="179">
        <v>1968</v>
      </c>
      <c r="H166" s="178" t="str">
        <v/>
      </c>
      <c r="I166" s="178" t="str">
        <v/>
      </c>
      <c r="J166" s="178" t="str">
        <v>citadel</v>
      </c>
      <c r="K166" s="178" t="str">
        <v/>
      </c>
      <c r="L166" s="178" t="str">
        <v/>
      </c>
      <c r="M166" s="178" t="str">
        <v/>
      </c>
      <c r="N166" s="180" t="str">
        <v/>
      </c>
      <c r="O166" s="177" t="s">
        <v>254</v>
      </c>
      <c r="P166" s="180">
        <f t="shared" si="0"/>
        <v>0.05</v>
      </c>
      <c r="Q166" s="181">
        <f>IF(P166&gt;0.25,P166,P166+'Price Sheet (Ignore)'!$G$2)</f>
        <v>0.2</v>
      </c>
      <c r="R166" s="176">
        <f t="shared" si="1"/>
        <v>123.616</v>
      </c>
      <c r="S166" s="178"/>
      <c r="T166" s="178"/>
    </row>
    <row r="167" spans="1:20" ht="29.25" customHeight="1" x14ac:dyDescent="0.2">
      <c r="A167" s="187"/>
      <c r="B167" s="35"/>
      <c r="C167" s="23"/>
      <c r="D167" s="35"/>
      <c r="E167" s="35"/>
      <c r="F167" s="35"/>
      <c r="G167" s="28"/>
      <c r="H167" s="35"/>
      <c r="I167" s="35"/>
      <c r="J167" s="35"/>
      <c r="K167" s="35"/>
      <c r="L167" s="35"/>
      <c r="M167" s="35"/>
      <c r="N167" s="35"/>
      <c r="O167" s="23"/>
      <c r="P167" s="35"/>
      <c r="Q167" s="188"/>
      <c r="R167" s="35"/>
      <c r="S167" s="35"/>
      <c r="T167" s="35"/>
    </row>
    <row r="168" spans="1:20" ht="29.25" customHeight="1" x14ac:dyDescent="0.2">
      <c r="A168" s="187"/>
      <c r="B168" s="35"/>
      <c r="C168" s="23"/>
      <c r="D168" s="35"/>
      <c r="E168" s="35"/>
      <c r="F168" s="35"/>
      <c r="G168" s="28"/>
      <c r="H168" s="35"/>
      <c r="I168" s="35"/>
      <c r="J168" s="35"/>
      <c r="K168" s="35"/>
      <c r="L168" s="35"/>
      <c r="M168" s="35"/>
      <c r="N168" s="35"/>
      <c r="O168" s="23"/>
      <c r="P168" s="35"/>
      <c r="Q168" s="188"/>
      <c r="R168" s="35"/>
      <c r="S168" s="35"/>
      <c r="T168" s="35"/>
    </row>
    <row r="169" spans="1:20" ht="29.25" customHeight="1" x14ac:dyDescent="0.2">
      <c r="A169" s="187"/>
      <c r="B169" s="35"/>
      <c r="C169" s="23"/>
      <c r="D169" s="35"/>
      <c r="E169" s="35"/>
      <c r="F169" s="35"/>
      <c r="G169" s="28"/>
      <c r="H169" s="35"/>
      <c r="I169" s="35"/>
      <c r="J169" s="35"/>
      <c r="K169" s="35"/>
      <c r="L169" s="35"/>
      <c r="M169" s="35"/>
      <c r="N169" s="35"/>
      <c r="O169" s="23"/>
      <c r="P169" s="35"/>
      <c r="Q169" s="188"/>
      <c r="R169" s="35"/>
      <c r="S169" s="35"/>
      <c r="T169" s="35"/>
    </row>
    <row r="170" spans="1:20" ht="29.25" customHeight="1" x14ac:dyDescent="0.2">
      <c r="A170" s="187"/>
      <c r="B170" s="35"/>
      <c r="C170" s="23"/>
      <c r="D170" s="35"/>
      <c r="E170" s="35"/>
      <c r="F170" s="35"/>
      <c r="G170" s="28"/>
      <c r="H170" s="35"/>
      <c r="I170" s="35"/>
      <c r="J170" s="35"/>
      <c r="K170" s="35"/>
      <c r="L170" s="35"/>
      <c r="M170" s="35"/>
      <c r="N170" s="35"/>
      <c r="O170" s="23"/>
      <c r="P170" s="35"/>
      <c r="Q170" s="188"/>
      <c r="R170" s="35"/>
      <c r="S170" s="35"/>
      <c r="T170" s="35"/>
    </row>
    <row r="171" spans="1:20" ht="29.25" customHeight="1" x14ac:dyDescent="0.2">
      <c r="A171" s="187"/>
      <c r="B171" s="35"/>
      <c r="C171" s="23"/>
      <c r="D171" s="35"/>
      <c r="E171" s="35"/>
      <c r="F171" s="35"/>
      <c r="G171" s="28"/>
      <c r="H171" s="35"/>
      <c r="I171" s="35"/>
      <c r="J171" s="35"/>
      <c r="K171" s="35"/>
      <c r="L171" s="35"/>
      <c r="M171" s="35"/>
      <c r="N171" s="35"/>
      <c r="O171" s="23"/>
      <c r="P171" s="35"/>
      <c r="Q171" s="188"/>
      <c r="R171" s="35"/>
      <c r="S171" s="35"/>
      <c r="T171" s="35"/>
    </row>
    <row r="172" spans="1:20" ht="29.25" customHeight="1" x14ac:dyDescent="0.2">
      <c r="A172" s="187"/>
      <c r="B172" s="35"/>
      <c r="C172" s="23"/>
      <c r="D172" s="35"/>
      <c r="E172" s="35"/>
      <c r="F172" s="35"/>
      <c r="G172" s="28"/>
      <c r="H172" s="35"/>
      <c r="I172" s="35"/>
      <c r="J172" s="35"/>
      <c r="K172" s="35"/>
      <c r="L172" s="35"/>
      <c r="M172" s="35"/>
      <c r="N172" s="35"/>
      <c r="O172" s="23"/>
      <c r="P172" s="35"/>
      <c r="Q172" s="188"/>
      <c r="R172" s="35"/>
      <c r="S172" s="35"/>
      <c r="T172" s="35"/>
    </row>
    <row r="173" spans="1:20" ht="29.25" customHeight="1" x14ac:dyDescent="0.2">
      <c r="A173" s="187"/>
      <c r="B173" s="35"/>
      <c r="C173" s="23"/>
      <c r="D173" s="35"/>
      <c r="E173" s="35"/>
      <c r="F173" s="35"/>
      <c r="G173" s="28"/>
      <c r="H173" s="35"/>
      <c r="I173" s="35"/>
      <c r="J173" s="35"/>
      <c r="K173" s="35"/>
      <c r="L173" s="35"/>
      <c r="M173" s="35"/>
      <c r="N173" s="35"/>
      <c r="O173" s="23"/>
      <c r="P173" s="35"/>
      <c r="Q173" s="188"/>
      <c r="R173" s="35"/>
      <c r="S173" s="35"/>
      <c r="T173" s="35"/>
    </row>
    <row r="174" spans="1:20" ht="29.25" customHeight="1" x14ac:dyDescent="0.2">
      <c r="A174" s="187"/>
      <c r="B174" s="35"/>
      <c r="C174" s="23"/>
      <c r="D174" s="35"/>
      <c r="E174" s="35"/>
      <c r="F174" s="35"/>
      <c r="G174" s="28"/>
      <c r="H174" s="35"/>
      <c r="I174" s="35"/>
      <c r="J174" s="35"/>
      <c r="K174" s="35"/>
      <c r="L174" s="35"/>
      <c r="M174" s="35"/>
      <c r="N174" s="35"/>
      <c r="O174" s="23"/>
      <c r="P174" s="35"/>
      <c r="Q174" s="188"/>
      <c r="R174" s="35"/>
      <c r="S174" s="35"/>
      <c r="T174" s="35"/>
    </row>
    <row r="175" spans="1:20" ht="29.25" customHeight="1" x14ac:dyDescent="0.2">
      <c r="A175" s="187"/>
      <c r="B175" s="35"/>
      <c r="C175" s="23"/>
      <c r="D175" s="35"/>
      <c r="E175" s="35"/>
      <c r="F175" s="35"/>
      <c r="G175" s="28"/>
      <c r="H175" s="35"/>
      <c r="I175" s="35"/>
      <c r="J175" s="35"/>
      <c r="K175" s="35"/>
      <c r="L175" s="35"/>
      <c r="M175" s="35"/>
      <c r="N175" s="35"/>
      <c r="O175" s="23"/>
      <c r="P175" s="35"/>
      <c r="Q175" s="188"/>
      <c r="R175" s="35"/>
      <c r="S175" s="35"/>
      <c r="T175" s="35"/>
    </row>
    <row r="176" spans="1:20" ht="29.25" customHeight="1" x14ac:dyDescent="0.2">
      <c r="A176" s="187"/>
      <c r="B176" s="35"/>
      <c r="C176" s="23"/>
      <c r="D176" s="35"/>
      <c r="E176" s="35"/>
      <c r="F176" s="35"/>
      <c r="G176" s="28"/>
      <c r="H176" s="35"/>
      <c r="I176" s="35"/>
      <c r="J176" s="35"/>
      <c r="K176" s="35"/>
      <c r="L176" s="35"/>
      <c r="M176" s="35"/>
      <c r="N176" s="35"/>
      <c r="O176" s="23"/>
      <c r="P176" s="35"/>
      <c r="Q176" s="188"/>
      <c r="R176" s="35"/>
      <c r="S176" s="35"/>
      <c r="T176" s="35"/>
    </row>
    <row r="177" spans="1:20" ht="29.25" customHeight="1" x14ac:dyDescent="0.2">
      <c r="A177" s="187"/>
      <c r="B177" s="35"/>
      <c r="C177" s="23"/>
      <c r="D177" s="35"/>
      <c r="E177" s="35"/>
      <c r="F177" s="35"/>
      <c r="G177" s="28"/>
      <c r="H177" s="35"/>
      <c r="I177" s="35"/>
      <c r="J177" s="35"/>
      <c r="K177" s="35"/>
      <c r="L177" s="35"/>
      <c r="M177" s="35"/>
      <c r="N177" s="35"/>
      <c r="O177" s="23"/>
      <c r="P177" s="35"/>
      <c r="Q177" s="188"/>
      <c r="R177" s="35"/>
      <c r="S177" s="35"/>
      <c r="T177" s="35"/>
    </row>
    <row r="178" spans="1:20" ht="29.25" customHeight="1" x14ac:dyDescent="0.2">
      <c r="A178" s="187"/>
      <c r="B178" s="35"/>
      <c r="C178" s="23"/>
      <c r="D178" s="35"/>
      <c r="E178" s="35"/>
      <c r="F178" s="35"/>
      <c r="G178" s="28"/>
      <c r="H178" s="35"/>
      <c r="I178" s="35"/>
      <c r="J178" s="35"/>
      <c r="K178" s="35"/>
      <c r="L178" s="35"/>
      <c r="M178" s="35"/>
      <c r="N178" s="35"/>
      <c r="O178" s="23"/>
      <c r="P178" s="35"/>
      <c r="Q178" s="188"/>
      <c r="R178" s="35"/>
      <c r="S178" s="35"/>
      <c r="T178" s="35"/>
    </row>
    <row r="179" spans="1:20" ht="29.25" customHeight="1" x14ac:dyDescent="0.2">
      <c r="A179" s="187"/>
      <c r="B179" s="35"/>
      <c r="C179" s="23"/>
      <c r="D179" s="35"/>
      <c r="E179" s="35"/>
      <c r="F179" s="35"/>
      <c r="G179" s="28"/>
      <c r="H179" s="35"/>
      <c r="I179" s="35"/>
      <c r="J179" s="35"/>
      <c r="K179" s="35"/>
      <c r="L179" s="35"/>
      <c r="M179" s="35"/>
      <c r="N179" s="35"/>
      <c r="O179" s="23"/>
      <c r="P179" s="35"/>
      <c r="Q179" s="188"/>
      <c r="R179" s="35"/>
      <c r="S179" s="35"/>
      <c r="T179" s="35"/>
    </row>
    <row r="180" spans="1:20" ht="29.25" customHeight="1" x14ac:dyDescent="0.2">
      <c r="A180" s="187"/>
      <c r="B180" s="35"/>
      <c r="C180" s="23"/>
      <c r="D180" s="35"/>
      <c r="E180" s="35"/>
      <c r="F180" s="35"/>
      <c r="G180" s="28"/>
      <c r="H180" s="35"/>
      <c r="I180" s="35"/>
      <c r="J180" s="35"/>
      <c r="K180" s="35"/>
      <c r="L180" s="35"/>
      <c r="M180" s="35"/>
      <c r="N180" s="35"/>
      <c r="O180" s="23"/>
      <c r="P180" s="35"/>
      <c r="Q180" s="188"/>
      <c r="R180" s="35"/>
      <c r="S180" s="35"/>
      <c r="T180" s="35"/>
    </row>
    <row r="181" spans="1:20" ht="29.25" customHeight="1" x14ac:dyDescent="0.2">
      <c r="A181" s="187"/>
      <c r="B181" s="35"/>
      <c r="C181" s="23"/>
      <c r="D181" s="35"/>
      <c r="E181" s="35"/>
      <c r="F181" s="35"/>
      <c r="G181" s="28"/>
      <c r="H181" s="35"/>
      <c r="I181" s="35"/>
      <c r="J181" s="35"/>
      <c r="K181" s="35"/>
      <c r="L181" s="35"/>
      <c r="M181" s="35"/>
      <c r="N181" s="35"/>
      <c r="O181" s="23"/>
      <c r="P181" s="35"/>
      <c r="Q181" s="188"/>
      <c r="R181" s="35"/>
      <c r="S181" s="35"/>
      <c r="T181" s="35"/>
    </row>
    <row r="182" spans="1:20" ht="29.25" customHeight="1" x14ac:dyDescent="0.2">
      <c r="A182" s="187"/>
      <c r="B182" s="35"/>
      <c r="C182" s="23"/>
      <c r="D182" s="35"/>
      <c r="E182" s="35"/>
      <c r="F182" s="35"/>
      <c r="G182" s="28"/>
      <c r="H182" s="35"/>
      <c r="I182" s="35"/>
      <c r="J182" s="35"/>
      <c r="K182" s="35"/>
      <c r="L182" s="35"/>
      <c r="M182" s="35"/>
      <c r="N182" s="35"/>
      <c r="O182" s="23"/>
      <c r="P182" s="35"/>
      <c r="Q182" s="188"/>
      <c r="R182" s="35"/>
      <c r="S182" s="35"/>
      <c r="T182" s="35"/>
    </row>
    <row r="183" spans="1:20" ht="29.25" customHeight="1" x14ac:dyDescent="0.2">
      <c r="A183" s="187"/>
      <c r="B183" s="35"/>
      <c r="C183" s="23"/>
      <c r="D183" s="35"/>
      <c r="E183" s="35"/>
      <c r="F183" s="35"/>
      <c r="G183" s="28"/>
      <c r="H183" s="35"/>
      <c r="I183" s="35"/>
      <c r="J183" s="35"/>
      <c r="K183" s="35"/>
      <c r="L183" s="35"/>
      <c r="M183" s="35"/>
      <c r="N183" s="35"/>
      <c r="O183" s="23"/>
      <c r="P183" s="35"/>
      <c r="Q183" s="188"/>
      <c r="R183" s="35"/>
      <c r="S183" s="35"/>
      <c r="T183" s="35"/>
    </row>
    <row r="184" spans="1:20" ht="29.25" customHeight="1" x14ac:dyDescent="0.2">
      <c r="A184" s="187"/>
      <c r="B184" s="35"/>
      <c r="C184" s="23"/>
      <c r="D184" s="35"/>
      <c r="E184" s="35"/>
      <c r="F184" s="35"/>
      <c r="G184" s="28"/>
      <c r="H184" s="35"/>
      <c r="I184" s="35"/>
      <c r="J184" s="35"/>
      <c r="K184" s="35"/>
      <c r="L184" s="35"/>
      <c r="M184" s="35"/>
      <c r="N184" s="35"/>
      <c r="O184" s="23"/>
      <c r="P184" s="35"/>
      <c r="Q184" s="188"/>
      <c r="R184" s="35"/>
      <c r="S184" s="35"/>
      <c r="T184" s="35"/>
    </row>
    <row r="185" spans="1:20" ht="29.25" customHeight="1" x14ac:dyDescent="0.2">
      <c r="A185" s="187"/>
      <c r="B185" s="35"/>
      <c r="C185" s="23"/>
      <c r="D185" s="35"/>
      <c r="E185" s="35"/>
      <c r="F185" s="35"/>
      <c r="G185" s="28"/>
      <c r="H185" s="35"/>
      <c r="I185" s="35"/>
      <c r="J185" s="35"/>
      <c r="K185" s="35"/>
      <c r="L185" s="35"/>
      <c r="M185" s="35"/>
      <c r="N185" s="35"/>
      <c r="O185" s="23"/>
      <c r="P185" s="35"/>
      <c r="Q185" s="188"/>
      <c r="R185" s="35"/>
      <c r="S185" s="35"/>
      <c r="T185" s="35"/>
    </row>
    <row r="186" spans="1:20" ht="29.25" customHeight="1" x14ac:dyDescent="0.2">
      <c r="A186" s="187"/>
      <c r="B186" s="35"/>
      <c r="C186" s="23"/>
      <c r="D186" s="35"/>
      <c r="E186" s="35"/>
      <c r="F186" s="35"/>
      <c r="G186" s="28"/>
      <c r="H186" s="35"/>
      <c r="I186" s="35"/>
      <c r="J186" s="35"/>
      <c r="K186" s="35"/>
      <c r="L186" s="35"/>
      <c r="M186" s="35"/>
      <c r="N186" s="35"/>
      <c r="O186" s="23"/>
      <c r="P186" s="35"/>
      <c r="Q186" s="188"/>
      <c r="R186" s="35"/>
      <c r="S186" s="35"/>
      <c r="T186" s="35"/>
    </row>
    <row r="187" spans="1:20" ht="29.25" customHeight="1" x14ac:dyDescent="0.2">
      <c r="A187" s="187"/>
      <c r="B187" s="35"/>
      <c r="C187" s="23"/>
      <c r="D187" s="35"/>
      <c r="E187" s="35"/>
      <c r="F187" s="35"/>
      <c r="G187" s="28"/>
      <c r="H187" s="35"/>
      <c r="I187" s="35"/>
      <c r="J187" s="35"/>
      <c r="K187" s="35"/>
      <c r="L187" s="35"/>
      <c r="M187" s="35"/>
      <c r="N187" s="35"/>
      <c r="O187" s="23"/>
      <c r="P187" s="35"/>
      <c r="Q187" s="188"/>
      <c r="R187" s="35"/>
      <c r="S187" s="35"/>
      <c r="T187" s="35"/>
    </row>
    <row r="188" spans="1:20" ht="29.25" customHeight="1" x14ac:dyDescent="0.2">
      <c r="A188" s="187"/>
      <c r="B188" s="35"/>
      <c r="C188" s="23"/>
      <c r="D188" s="35"/>
      <c r="E188" s="35"/>
      <c r="F188" s="35"/>
      <c r="G188" s="28"/>
      <c r="H188" s="35"/>
      <c r="I188" s="35"/>
      <c r="J188" s="35"/>
      <c r="K188" s="35"/>
      <c r="L188" s="35"/>
      <c r="M188" s="35"/>
      <c r="N188" s="35"/>
      <c r="O188" s="23"/>
      <c r="P188" s="35"/>
      <c r="Q188" s="188"/>
      <c r="R188" s="35"/>
      <c r="S188" s="35"/>
      <c r="T188" s="35"/>
    </row>
    <row r="189" spans="1:20" ht="29.25" customHeight="1" x14ac:dyDescent="0.2">
      <c r="A189" s="187"/>
      <c r="B189" s="35"/>
      <c r="C189" s="23"/>
      <c r="D189" s="35"/>
      <c r="E189" s="35"/>
      <c r="F189" s="35"/>
      <c r="G189" s="28"/>
      <c r="H189" s="35"/>
      <c r="I189" s="35"/>
      <c r="J189" s="35"/>
      <c r="K189" s="35"/>
      <c r="L189" s="35"/>
      <c r="M189" s="35"/>
      <c r="N189" s="35"/>
      <c r="O189" s="23"/>
      <c r="P189" s="35"/>
      <c r="Q189" s="188"/>
      <c r="R189" s="35"/>
      <c r="S189" s="35"/>
      <c r="T189" s="35"/>
    </row>
    <row r="190" spans="1:20" ht="29.25" customHeight="1" x14ac:dyDescent="0.2">
      <c r="A190" s="187"/>
      <c r="B190" s="35"/>
      <c r="C190" s="23"/>
      <c r="D190" s="35"/>
      <c r="E190" s="35"/>
      <c r="F190" s="35"/>
      <c r="G190" s="28"/>
      <c r="H190" s="35"/>
      <c r="I190" s="35"/>
      <c r="J190" s="35"/>
      <c r="K190" s="35"/>
      <c r="L190" s="35"/>
      <c r="M190" s="35"/>
      <c r="N190" s="35"/>
      <c r="O190" s="23"/>
      <c r="P190" s="35"/>
      <c r="Q190" s="188"/>
      <c r="R190" s="35"/>
      <c r="S190" s="35"/>
      <c r="T190" s="35"/>
    </row>
    <row r="191" spans="1:20" ht="29.25" customHeight="1" x14ac:dyDescent="0.2">
      <c r="A191" s="187"/>
      <c r="B191" s="35"/>
      <c r="C191" s="23"/>
      <c r="D191" s="35"/>
      <c r="E191" s="35"/>
      <c r="F191" s="35"/>
      <c r="G191" s="28"/>
      <c r="H191" s="35"/>
      <c r="I191" s="35"/>
      <c r="J191" s="35"/>
      <c r="K191" s="35"/>
      <c r="L191" s="35"/>
      <c r="M191" s="35"/>
      <c r="N191" s="35"/>
      <c r="O191" s="23"/>
      <c r="P191" s="35"/>
      <c r="Q191" s="188"/>
      <c r="R191" s="35"/>
      <c r="S191" s="35"/>
      <c r="T191" s="35"/>
    </row>
    <row r="192" spans="1:20" ht="29.25" customHeight="1" x14ac:dyDescent="0.2">
      <c r="A192" s="187"/>
      <c r="B192" s="35"/>
      <c r="C192" s="23"/>
      <c r="D192" s="35"/>
      <c r="E192" s="35"/>
      <c r="F192" s="35"/>
      <c r="G192" s="28"/>
      <c r="H192" s="35"/>
      <c r="I192" s="35"/>
      <c r="J192" s="35"/>
      <c r="K192" s="35"/>
      <c r="L192" s="35"/>
      <c r="M192" s="35"/>
      <c r="N192" s="35"/>
      <c r="O192" s="23"/>
      <c r="P192" s="35"/>
      <c r="Q192" s="188"/>
      <c r="R192" s="35"/>
      <c r="S192" s="35"/>
      <c r="T192" s="35"/>
    </row>
    <row r="193" spans="1:20" ht="29.25" customHeight="1" x14ac:dyDescent="0.2">
      <c r="A193" s="187"/>
      <c r="B193" s="35"/>
      <c r="C193" s="23"/>
      <c r="D193" s="35"/>
      <c r="E193" s="35"/>
      <c r="F193" s="35"/>
      <c r="G193" s="28"/>
      <c r="H193" s="35"/>
      <c r="I193" s="35"/>
      <c r="J193" s="35"/>
      <c r="K193" s="35"/>
      <c r="L193" s="35"/>
      <c r="M193" s="35"/>
      <c r="N193" s="35"/>
      <c r="O193" s="23"/>
      <c r="P193" s="35"/>
      <c r="Q193" s="188"/>
      <c r="R193" s="35"/>
      <c r="S193" s="35"/>
      <c r="T193" s="35"/>
    </row>
    <row r="194" spans="1:20" ht="29.25" customHeight="1" x14ac:dyDescent="0.2">
      <c r="A194" s="187"/>
      <c r="B194" s="35"/>
      <c r="C194" s="23"/>
      <c r="D194" s="35"/>
      <c r="E194" s="35"/>
      <c r="F194" s="35"/>
      <c r="G194" s="28"/>
      <c r="H194" s="35"/>
      <c r="I194" s="35"/>
      <c r="J194" s="35"/>
      <c r="K194" s="35"/>
      <c r="L194" s="35"/>
      <c r="M194" s="35"/>
      <c r="N194" s="35"/>
      <c r="O194" s="23"/>
      <c r="P194" s="35"/>
      <c r="Q194" s="188"/>
      <c r="R194" s="35"/>
      <c r="S194" s="35"/>
      <c r="T194" s="35"/>
    </row>
    <row r="195" spans="1:20" ht="29.25" customHeight="1" x14ac:dyDescent="0.2">
      <c r="A195" s="187"/>
      <c r="B195" s="35"/>
      <c r="C195" s="23"/>
      <c r="D195" s="35"/>
      <c r="E195" s="35"/>
      <c r="F195" s="35"/>
      <c r="G195" s="28"/>
      <c r="H195" s="35"/>
      <c r="I195" s="35"/>
      <c r="J195" s="35"/>
      <c r="K195" s="35"/>
      <c r="L195" s="35"/>
      <c r="M195" s="35"/>
      <c r="N195" s="35"/>
      <c r="O195" s="23"/>
      <c r="P195" s="35"/>
      <c r="Q195" s="188"/>
      <c r="R195" s="35"/>
      <c r="S195" s="35"/>
      <c r="T195" s="35"/>
    </row>
    <row r="196" spans="1:20" ht="29.25" customHeight="1" x14ac:dyDescent="0.2">
      <c r="A196" s="187"/>
      <c r="B196" s="35"/>
      <c r="C196" s="23"/>
      <c r="D196" s="35"/>
      <c r="E196" s="35"/>
      <c r="F196" s="35"/>
      <c r="G196" s="28"/>
      <c r="H196" s="35"/>
      <c r="I196" s="35"/>
      <c r="J196" s="35"/>
      <c r="K196" s="35"/>
      <c r="L196" s="35"/>
      <c r="M196" s="35"/>
      <c r="N196" s="35"/>
      <c r="O196" s="23"/>
      <c r="P196" s="35"/>
      <c r="Q196" s="188"/>
      <c r="R196" s="35"/>
      <c r="S196" s="35"/>
      <c r="T196" s="35"/>
    </row>
    <row r="197" spans="1:20" ht="29.25" customHeight="1" x14ac:dyDescent="0.2">
      <c r="A197" s="187"/>
      <c r="B197" s="35"/>
      <c r="C197" s="23"/>
      <c r="D197" s="35"/>
      <c r="E197" s="35"/>
      <c r="F197" s="35"/>
      <c r="G197" s="28"/>
      <c r="H197" s="35"/>
      <c r="I197" s="35"/>
      <c r="J197" s="35"/>
      <c r="K197" s="35"/>
      <c r="L197" s="35"/>
      <c r="M197" s="35"/>
      <c r="N197" s="35"/>
      <c r="O197" s="23"/>
      <c r="P197" s="35"/>
      <c r="Q197" s="188"/>
      <c r="R197" s="35"/>
      <c r="S197" s="35"/>
      <c r="T197" s="35"/>
    </row>
    <row r="198" spans="1:20" ht="29.25" customHeight="1" x14ac:dyDescent="0.2">
      <c r="A198" s="187"/>
      <c r="B198" s="35"/>
      <c r="C198" s="23"/>
      <c r="D198" s="35"/>
      <c r="E198" s="35"/>
      <c r="F198" s="35"/>
      <c r="G198" s="28"/>
      <c r="H198" s="35"/>
      <c r="I198" s="35"/>
      <c r="J198" s="35"/>
      <c r="K198" s="35"/>
      <c r="L198" s="35"/>
      <c r="M198" s="35"/>
      <c r="N198" s="35"/>
      <c r="O198" s="23"/>
      <c r="P198" s="35"/>
      <c r="Q198" s="188"/>
      <c r="R198" s="35"/>
      <c r="S198" s="35"/>
      <c r="T198" s="35"/>
    </row>
    <row r="199" spans="1:20" ht="29.25" customHeight="1" x14ac:dyDescent="0.2">
      <c r="A199" s="187"/>
      <c r="B199" s="35"/>
      <c r="C199" s="23"/>
      <c r="D199" s="35"/>
      <c r="E199" s="35"/>
      <c r="F199" s="35"/>
      <c r="G199" s="28"/>
      <c r="H199" s="35"/>
      <c r="I199" s="35"/>
      <c r="J199" s="35"/>
      <c r="K199" s="35"/>
      <c r="L199" s="35"/>
      <c r="M199" s="35"/>
      <c r="N199" s="35"/>
      <c r="O199" s="23"/>
      <c r="P199" s="35"/>
      <c r="Q199" s="188"/>
      <c r="R199" s="35"/>
      <c r="S199" s="35"/>
      <c r="T199" s="35"/>
    </row>
    <row r="200" spans="1:20" ht="29.25" customHeight="1" x14ac:dyDescent="0.2">
      <c r="A200" s="187"/>
      <c r="B200" s="35"/>
      <c r="C200" s="23"/>
      <c r="D200" s="35"/>
      <c r="E200" s="35"/>
      <c r="F200" s="35"/>
      <c r="G200" s="28"/>
      <c r="H200" s="35"/>
      <c r="I200" s="35"/>
      <c r="J200" s="35"/>
      <c r="K200" s="35"/>
      <c r="L200" s="35"/>
      <c r="M200" s="35"/>
      <c r="N200" s="35"/>
      <c r="O200" s="23"/>
      <c r="P200" s="35"/>
      <c r="Q200" s="188"/>
      <c r="R200" s="35"/>
      <c r="S200" s="35"/>
      <c r="T200" s="35"/>
    </row>
    <row r="201" spans="1:20" ht="29.25" customHeight="1" x14ac:dyDescent="0.2">
      <c r="A201" s="187"/>
      <c r="B201" s="35"/>
      <c r="C201" s="23"/>
      <c r="D201" s="35"/>
      <c r="E201" s="35"/>
      <c r="F201" s="35"/>
      <c r="G201" s="28"/>
      <c r="H201" s="35"/>
      <c r="I201" s="35"/>
      <c r="J201" s="35"/>
      <c r="K201" s="35"/>
      <c r="L201" s="35"/>
      <c r="M201" s="35"/>
      <c r="N201" s="35"/>
      <c r="O201" s="23"/>
      <c r="P201" s="35"/>
      <c r="Q201" s="188"/>
      <c r="R201" s="35"/>
      <c r="S201" s="35"/>
      <c r="T201" s="35"/>
    </row>
    <row r="202" spans="1:20" ht="29.25" customHeight="1" x14ac:dyDescent="0.2">
      <c r="A202" s="187"/>
      <c r="B202" s="35"/>
      <c r="C202" s="23"/>
      <c r="D202" s="35"/>
      <c r="E202" s="35"/>
      <c r="F202" s="35"/>
      <c r="G202" s="28"/>
      <c r="H202" s="35"/>
      <c r="I202" s="35"/>
      <c r="J202" s="35"/>
      <c r="K202" s="35"/>
      <c r="L202" s="35"/>
      <c r="M202" s="35"/>
      <c r="N202" s="35"/>
      <c r="O202" s="23"/>
      <c r="P202" s="35"/>
      <c r="Q202" s="188"/>
      <c r="R202" s="35"/>
      <c r="S202" s="35"/>
      <c r="T202" s="35"/>
    </row>
    <row r="203" spans="1:20" ht="29.25" customHeight="1" x14ac:dyDescent="0.2">
      <c r="A203" s="187"/>
      <c r="B203" s="35"/>
      <c r="C203" s="23"/>
      <c r="D203" s="35"/>
      <c r="E203" s="35"/>
      <c r="F203" s="35"/>
      <c r="G203" s="28"/>
      <c r="H203" s="35"/>
      <c r="I203" s="35"/>
      <c r="J203" s="35"/>
      <c r="K203" s="35"/>
      <c r="L203" s="35"/>
      <c r="M203" s="35"/>
      <c r="N203" s="35"/>
      <c r="O203" s="23"/>
      <c r="P203" s="35"/>
      <c r="Q203" s="188"/>
      <c r="R203" s="35"/>
      <c r="S203" s="35"/>
      <c r="T203" s="35"/>
    </row>
    <row r="204" spans="1:20" ht="29.25" customHeight="1" x14ac:dyDescent="0.2">
      <c r="A204" s="187"/>
      <c r="B204" s="35"/>
      <c r="C204" s="23"/>
      <c r="D204" s="35"/>
      <c r="E204" s="35"/>
      <c r="F204" s="35"/>
      <c r="G204" s="28"/>
      <c r="H204" s="35"/>
      <c r="I204" s="35"/>
      <c r="J204" s="35"/>
      <c r="K204" s="35"/>
      <c r="L204" s="35"/>
      <c r="M204" s="35"/>
      <c r="N204" s="35"/>
      <c r="O204" s="23"/>
      <c r="P204" s="35"/>
      <c r="Q204" s="188"/>
      <c r="R204" s="35"/>
      <c r="S204" s="35"/>
      <c r="T204" s="35"/>
    </row>
    <row r="205" spans="1:20" ht="29.25" customHeight="1" x14ac:dyDescent="0.2">
      <c r="A205" s="187"/>
      <c r="B205" s="35"/>
      <c r="C205" s="23"/>
      <c r="D205" s="35"/>
      <c r="E205" s="35"/>
      <c r="F205" s="35"/>
      <c r="G205" s="28"/>
      <c r="H205" s="35"/>
      <c r="I205" s="35"/>
      <c r="J205" s="35"/>
      <c r="K205" s="35"/>
      <c r="L205" s="35"/>
      <c r="M205" s="35"/>
      <c r="N205" s="35"/>
      <c r="O205" s="23"/>
      <c r="P205" s="35"/>
      <c r="Q205" s="188"/>
      <c r="R205" s="35"/>
      <c r="S205" s="35"/>
      <c r="T205" s="35"/>
    </row>
    <row r="206" spans="1:20" ht="29.25" customHeight="1" x14ac:dyDescent="0.2">
      <c r="A206" s="187"/>
      <c r="B206" s="35"/>
      <c r="C206" s="23"/>
      <c r="D206" s="35"/>
      <c r="E206" s="35"/>
      <c r="F206" s="35"/>
      <c r="G206" s="28"/>
      <c r="H206" s="35"/>
      <c r="I206" s="35"/>
      <c r="J206" s="35"/>
      <c r="K206" s="35"/>
      <c r="L206" s="35"/>
      <c r="M206" s="35"/>
      <c r="N206" s="35"/>
      <c r="O206" s="23"/>
      <c r="P206" s="35"/>
      <c r="Q206" s="188"/>
      <c r="R206" s="35"/>
      <c r="S206" s="35"/>
      <c r="T206" s="35"/>
    </row>
    <row r="207" spans="1:20" ht="29.25" customHeight="1" x14ac:dyDescent="0.2">
      <c r="A207" s="187"/>
      <c r="B207" s="35"/>
      <c r="C207" s="23"/>
      <c r="D207" s="35"/>
      <c r="E207" s="35"/>
      <c r="F207" s="35"/>
      <c r="G207" s="28"/>
      <c r="H207" s="35"/>
      <c r="I207" s="35"/>
      <c r="J207" s="35"/>
      <c r="K207" s="35"/>
      <c r="L207" s="35"/>
      <c r="M207" s="35"/>
      <c r="N207" s="35"/>
      <c r="O207" s="23"/>
      <c r="P207" s="35"/>
      <c r="Q207" s="188"/>
      <c r="R207" s="35"/>
      <c r="S207" s="35"/>
      <c r="T207" s="35"/>
    </row>
    <row r="208" spans="1:20" ht="29.25" customHeight="1" x14ac:dyDescent="0.2">
      <c r="A208" s="187"/>
      <c r="B208" s="35"/>
      <c r="C208" s="23"/>
      <c r="D208" s="35"/>
      <c r="E208" s="35"/>
      <c r="F208" s="35"/>
      <c r="G208" s="28"/>
      <c r="H208" s="35"/>
      <c r="I208" s="35"/>
      <c r="J208" s="35"/>
      <c r="K208" s="35"/>
      <c r="L208" s="35"/>
      <c r="M208" s="35"/>
      <c r="N208" s="35"/>
      <c r="O208" s="23"/>
      <c r="P208" s="35"/>
      <c r="Q208" s="188"/>
      <c r="R208" s="35"/>
      <c r="S208" s="35"/>
      <c r="T208" s="35"/>
    </row>
    <row r="209" spans="1:20" ht="29.25" customHeight="1" x14ac:dyDescent="0.2">
      <c r="A209" s="187"/>
      <c r="B209" s="35"/>
      <c r="C209" s="23"/>
      <c r="D209" s="35"/>
      <c r="E209" s="35"/>
      <c r="F209" s="35"/>
      <c r="G209" s="28"/>
      <c r="H209" s="35"/>
      <c r="I209" s="35"/>
      <c r="J209" s="35"/>
      <c r="K209" s="35"/>
      <c r="L209" s="35"/>
      <c r="M209" s="35"/>
      <c r="N209" s="35"/>
      <c r="O209" s="23"/>
      <c r="P209" s="35"/>
      <c r="Q209" s="188"/>
      <c r="R209" s="35"/>
      <c r="S209" s="35"/>
      <c r="T209" s="35"/>
    </row>
    <row r="210" spans="1:20" ht="29.25" customHeight="1" x14ac:dyDescent="0.2">
      <c r="A210" s="187"/>
      <c r="B210" s="35"/>
      <c r="C210" s="23"/>
      <c r="D210" s="35"/>
      <c r="E210" s="35"/>
      <c r="F210" s="35"/>
      <c r="G210" s="28"/>
      <c r="H210" s="35"/>
      <c r="I210" s="35"/>
      <c r="J210" s="35"/>
      <c r="K210" s="35"/>
      <c r="L210" s="35"/>
      <c r="M210" s="35"/>
      <c r="N210" s="35"/>
      <c r="O210" s="23"/>
      <c r="P210" s="35"/>
      <c r="Q210" s="188"/>
      <c r="R210" s="35"/>
      <c r="S210" s="35"/>
      <c r="T210" s="35"/>
    </row>
    <row r="211" spans="1:20" ht="29.25" customHeight="1" x14ac:dyDescent="0.2">
      <c r="A211" s="187"/>
      <c r="B211" s="35"/>
      <c r="C211" s="23"/>
      <c r="D211" s="35"/>
      <c r="E211" s="35"/>
      <c r="F211" s="35"/>
      <c r="G211" s="28"/>
      <c r="H211" s="35"/>
      <c r="I211" s="35"/>
      <c r="J211" s="35"/>
      <c r="K211" s="35"/>
      <c r="L211" s="35"/>
      <c r="M211" s="35"/>
      <c r="N211" s="35"/>
      <c r="O211" s="23"/>
      <c r="P211" s="35"/>
      <c r="Q211" s="188"/>
      <c r="R211" s="35"/>
      <c r="S211" s="35"/>
      <c r="T211" s="35"/>
    </row>
    <row r="212" spans="1:20" ht="29.25" customHeight="1" x14ac:dyDescent="0.2">
      <c r="A212" s="187"/>
      <c r="B212" s="35"/>
      <c r="C212" s="23"/>
      <c r="D212" s="35"/>
      <c r="E212" s="35"/>
      <c r="F212" s="35"/>
      <c r="G212" s="28"/>
      <c r="H212" s="35"/>
      <c r="I212" s="35"/>
      <c r="J212" s="35"/>
      <c r="K212" s="35"/>
      <c r="L212" s="35"/>
      <c r="M212" s="35"/>
      <c r="N212" s="35"/>
      <c r="O212" s="23"/>
      <c r="P212" s="35"/>
      <c r="Q212" s="188"/>
      <c r="R212" s="35"/>
      <c r="S212" s="35"/>
      <c r="T212" s="35"/>
    </row>
    <row r="213" spans="1:20" ht="29.25" customHeight="1" x14ac:dyDescent="0.2">
      <c r="A213" s="187"/>
      <c r="B213" s="35"/>
      <c r="C213" s="23"/>
      <c r="D213" s="35"/>
      <c r="E213" s="35"/>
      <c r="F213" s="35"/>
      <c r="G213" s="28"/>
      <c r="H213" s="35"/>
      <c r="I213" s="35"/>
      <c r="J213" s="35"/>
      <c r="K213" s="35"/>
      <c r="L213" s="35"/>
      <c r="M213" s="35"/>
      <c r="N213" s="35"/>
      <c r="O213" s="23"/>
      <c r="P213" s="35"/>
      <c r="Q213" s="188"/>
      <c r="R213" s="35"/>
      <c r="S213" s="35"/>
      <c r="T213" s="35"/>
    </row>
    <row r="214" spans="1:20" ht="29.25" customHeight="1" x14ac:dyDescent="0.2">
      <c r="A214" s="187"/>
      <c r="B214" s="35"/>
      <c r="C214" s="23"/>
      <c r="D214" s="35"/>
      <c r="E214" s="35"/>
      <c r="F214" s="35"/>
      <c r="G214" s="28"/>
      <c r="H214" s="35"/>
      <c r="I214" s="35"/>
      <c r="J214" s="35"/>
      <c r="K214" s="35"/>
      <c r="L214" s="35"/>
      <c r="M214" s="35"/>
      <c r="N214" s="35"/>
      <c r="O214" s="23"/>
      <c r="P214" s="35"/>
      <c r="Q214" s="188"/>
      <c r="R214" s="35"/>
      <c r="S214" s="35"/>
      <c r="T214" s="35"/>
    </row>
    <row r="215" spans="1:20" ht="29.25" customHeight="1" x14ac:dyDescent="0.2">
      <c r="A215" s="187"/>
      <c r="B215" s="35"/>
      <c r="C215" s="23"/>
      <c r="D215" s="35"/>
      <c r="E215" s="35"/>
      <c r="F215" s="35"/>
      <c r="G215" s="28"/>
      <c r="H215" s="35"/>
      <c r="I215" s="35"/>
      <c r="J215" s="35"/>
      <c r="K215" s="35"/>
      <c r="L215" s="35"/>
      <c r="M215" s="35"/>
      <c r="N215" s="35"/>
      <c r="O215" s="23"/>
      <c r="P215" s="35"/>
      <c r="Q215" s="188"/>
      <c r="R215" s="35"/>
      <c r="S215" s="35"/>
      <c r="T215" s="35"/>
    </row>
    <row r="216" spans="1:20" ht="29.25" customHeight="1" x14ac:dyDescent="0.2">
      <c r="A216" s="187"/>
      <c r="B216" s="35"/>
      <c r="C216" s="23"/>
      <c r="D216" s="35"/>
      <c r="E216" s="35"/>
      <c r="F216" s="35"/>
      <c r="G216" s="28"/>
      <c r="H216" s="35"/>
      <c r="I216" s="35"/>
      <c r="J216" s="35"/>
      <c r="K216" s="35"/>
      <c r="L216" s="35"/>
      <c r="M216" s="35"/>
      <c r="N216" s="35"/>
      <c r="O216" s="23"/>
      <c r="P216" s="35"/>
      <c r="Q216" s="188"/>
      <c r="R216" s="35"/>
      <c r="S216" s="35"/>
      <c r="T216" s="35"/>
    </row>
    <row r="217" spans="1:20" ht="29.25" customHeight="1" x14ac:dyDescent="0.2">
      <c r="A217" s="187"/>
      <c r="B217" s="35"/>
      <c r="C217" s="23"/>
      <c r="D217" s="35"/>
      <c r="E217" s="35"/>
      <c r="F217" s="35"/>
      <c r="G217" s="28"/>
      <c r="H217" s="35"/>
      <c r="I217" s="35"/>
      <c r="J217" s="35"/>
      <c r="K217" s="35"/>
      <c r="L217" s="35"/>
      <c r="M217" s="35"/>
      <c r="N217" s="35"/>
      <c r="O217" s="23"/>
      <c r="P217" s="35"/>
      <c r="Q217" s="188"/>
      <c r="R217" s="35"/>
      <c r="S217" s="35"/>
      <c r="T217" s="35"/>
    </row>
    <row r="218" spans="1:20" ht="29.25" customHeight="1" x14ac:dyDescent="0.2">
      <c r="A218" s="187"/>
      <c r="B218" s="35"/>
      <c r="C218" s="23"/>
      <c r="D218" s="35"/>
      <c r="E218" s="35"/>
      <c r="F218" s="35"/>
      <c r="G218" s="28"/>
      <c r="H218" s="35"/>
      <c r="I218" s="35"/>
      <c r="J218" s="35"/>
      <c r="K218" s="35"/>
      <c r="L218" s="35"/>
      <c r="M218" s="35"/>
      <c r="N218" s="35"/>
      <c r="O218" s="23"/>
      <c r="P218" s="35"/>
      <c r="Q218" s="188"/>
      <c r="R218" s="35"/>
      <c r="S218" s="35"/>
      <c r="T218" s="35"/>
    </row>
    <row r="219" spans="1:20" ht="29.25" customHeight="1" x14ac:dyDescent="0.2">
      <c r="A219" s="187"/>
      <c r="B219" s="35"/>
      <c r="C219" s="23"/>
      <c r="D219" s="35"/>
      <c r="E219" s="35"/>
      <c r="F219" s="35"/>
      <c r="G219" s="28"/>
      <c r="H219" s="35"/>
      <c r="I219" s="35"/>
      <c r="J219" s="35"/>
      <c r="K219" s="35"/>
      <c r="L219" s="35"/>
      <c r="M219" s="35"/>
      <c r="N219" s="35"/>
      <c r="O219" s="23"/>
      <c r="P219" s="35"/>
      <c r="Q219" s="188"/>
      <c r="R219" s="35"/>
      <c r="S219" s="35"/>
      <c r="T219" s="35"/>
    </row>
    <row r="220" spans="1:20" ht="29.25" customHeight="1" x14ac:dyDescent="0.2">
      <c r="A220" s="187"/>
      <c r="B220" s="35"/>
      <c r="C220" s="23"/>
      <c r="D220" s="35"/>
      <c r="E220" s="35"/>
      <c r="F220" s="35"/>
      <c r="G220" s="28"/>
      <c r="H220" s="35"/>
      <c r="I220" s="35"/>
      <c r="J220" s="35"/>
      <c r="K220" s="35"/>
      <c r="L220" s="35"/>
      <c r="M220" s="35"/>
      <c r="N220" s="35"/>
      <c r="O220" s="23"/>
      <c r="P220" s="35"/>
      <c r="Q220" s="188"/>
      <c r="R220" s="35"/>
      <c r="S220" s="35"/>
      <c r="T220" s="35"/>
    </row>
    <row r="221" spans="1:20" ht="29.25" customHeight="1" x14ac:dyDescent="0.2">
      <c r="A221" s="187"/>
      <c r="B221" s="35"/>
      <c r="C221" s="23"/>
      <c r="D221" s="35"/>
      <c r="E221" s="35"/>
      <c r="F221" s="35"/>
      <c r="G221" s="28"/>
      <c r="H221" s="35"/>
      <c r="I221" s="35"/>
      <c r="J221" s="35"/>
      <c r="K221" s="35"/>
      <c r="L221" s="35"/>
      <c r="M221" s="35"/>
      <c r="N221" s="35"/>
      <c r="O221" s="23"/>
      <c r="P221" s="35"/>
      <c r="Q221" s="188"/>
      <c r="R221" s="35"/>
      <c r="S221" s="35"/>
      <c r="T221" s="35"/>
    </row>
    <row r="222" spans="1:20" ht="29.25" customHeight="1" x14ac:dyDescent="0.2">
      <c r="A222" s="187"/>
      <c r="B222" s="35"/>
      <c r="C222" s="23"/>
      <c r="D222" s="35"/>
      <c r="E222" s="35"/>
      <c r="F222" s="35"/>
      <c r="G222" s="28"/>
      <c r="H222" s="35"/>
      <c r="I222" s="35"/>
      <c r="J222" s="35"/>
      <c r="K222" s="35"/>
      <c r="L222" s="35"/>
      <c r="M222" s="35"/>
      <c r="N222" s="35"/>
      <c r="O222" s="23"/>
      <c r="P222" s="35"/>
      <c r="Q222" s="188"/>
      <c r="R222" s="35"/>
      <c r="S222" s="35"/>
      <c r="T222" s="35"/>
    </row>
    <row r="223" spans="1:20" ht="29.25" customHeight="1" x14ac:dyDescent="0.2">
      <c r="A223" s="187"/>
      <c r="B223" s="35"/>
      <c r="C223" s="23"/>
      <c r="D223" s="35"/>
      <c r="E223" s="35"/>
      <c r="F223" s="35"/>
      <c r="G223" s="28"/>
      <c r="H223" s="35"/>
      <c r="I223" s="35"/>
      <c r="J223" s="35"/>
      <c r="K223" s="35"/>
      <c r="L223" s="35"/>
      <c r="M223" s="35"/>
      <c r="N223" s="35"/>
      <c r="O223" s="23"/>
      <c r="P223" s="35"/>
      <c r="Q223" s="188"/>
      <c r="R223" s="35"/>
      <c r="S223" s="35"/>
      <c r="T223" s="35"/>
    </row>
    <row r="224" spans="1:20" ht="29.25" customHeight="1" x14ac:dyDescent="0.2">
      <c r="A224" s="187"/>
      <c r="B224" s="35"/>
      <c r="C224" s="23"/>
      <c r="D224" s="35"/>
      <c r="E224" s="35"/>
      <c r="F224" s="35"/>
      <c r="G224" s="28"/>
      <c r="H224" s="35"/>
      <c r="I224" s="35"/>
      <c r="J224" s="35"/>
      <c r="K224" s="35"/>
      <c r="L224" s="35"/>
      <c r="M224" s="35"/>
      <c r="N224" s="35"/>
      <c r="O224" s="23"/>
      <c r="P224" s="35"/>
      <c r="Q224" s="188"/>
      <c r="R224" s="35"/>
      <c r="S224" s="35"/>
      <c r="T224" s="35"/>
    </row>
    <row r="225" spans="1:20" ht="29.25" customHeight="1" x14ac:dyDescent="0.2">
      <c r="A225" s="187"/>
      <c r="B225" s="35"/>
      <c r="C225" s="23"/>
      <c r="D225" s="35"/>
      <c r="E225" s="35"/>
      <c r="F225" s="35"/>
      <c r="G225" s="28"/>
      <c r="H225" s="35"/>
      <c r="I225" s="35"/>
      <c r="J225" s="35"/>
      <c r="K225" s="35"/>
      <c r="L225" s="35"/>
      <c r="M225" s="35"/>
      <c r="N225" s="35"/>
      <c r="O225" s="23"/>
      <c r="P225" s="35"/>
      <c r="Q225" s="188"/>
      <c r="R225" s="35"/>
      <c r="S225" s="35"/>
      <c r="T225" s="35"/>
    </row>
    <row r="226" spans="1:20" ht="29.25" customHeight="1" x14ac:dyDescent="0.2">
      <c r="A226" s="187"/>
      <c r="B226" s="35"/>
      <c r="C226" s="23"/>
      <c r="D226" s="35"/>
      <c r="E226" s="35"/>
      <c r="F226" s="35"/>
      <c r="G226" s="28"/>
      <c r="H226" s="35"/>
      <c r="I226" s="35"/>
      <c r="J226" s="35"/>
      <c r="K226" s="35"/>
      <c r="L226" s="35"/>
      <c r="M226" s="35"/>
      <c r="N226" s="35"/>
      <c r="O226" s="23"/>
      <c r="P226" s="35"/>
      <c r="Q226" s="188"/>
      <c r="R226" s="35"/>
      <c r="S226" s="35"/>
      <c r="T226" s="35"/>
    </row>
    <row r="227" spans="1:20" ht="29.25" customHeight="1" x14ac:dyDescent="0.2">
      <c r="A227" s="187"/>
      <c r="B227" s="35"/>
      <c r="C227" s="23"/>
      <c r="D227" s="35"/>
      <c r="E227" s="35"/>
      <c r="F227" s="35"/>
      <c r="G227" s="28"/>
      <c r="H227" s="35"/>
      <c r="I227" s="35"/>
      <c r="J227" s="35"/>
      <c r="K227" s="35"/>
      <c r="L227" s="35"/>
      <c r="M227" s="35"/>
      <c r="N227" s="35"/>
      <c r="O227" s="23"/>
      <c r="P227" s="35"/>
      <c r="Q227" s="188"/>
      <c r="R227" s="35"/>
      <c r="S227" s="35"/>
      <c r="T227" s="35"/>
    </row>
    <row r="228" spans="1:20" ht="29.25" customHeight="1" x14ac:dyDescent="0.2">
      <c r="A228" s="187"/>
      <c r="B228" s="35"/>
      <c r="C228" s="23"/>
      <c r="D228" s="35"/>
      <c r="E228" s="35"/>
      <c r="F228" s="35"/>
      <c r="G228" s="28"/>
      <c r="H228" s="35"/>
      <c r="I228" s="35"/>
      <c r="J228" s="35"/>
      <c r="K228" s="35"/>
      <c r="L228" s="35"/>
      <c r="M228" s="35"/>
      <c r="N228" s="35"/>
      <c r="O228" s="23"/>
      <c r="P228" s="35"/>
      <c r="Q228" s="188"/>
      <c r="R228" s="35"/>
      <c r="S228" s="35"/>
      <c r="T228" s="35"/>
    </row>
    <row r="229" spans="1:20" ht="29.25" customHeight="1" x14ac:dyDescent="0.2">
      <c r="A229" s="187"/>
      <c r="B229" s="35"/>
      <c r="C229" s="23"/>
      <c r="D229" s="35"/>
      <c r="E229" s="35"/>
      <c r="F229" s="35"/>
      <c r="G229" s="28"/>
      <c r="H229" s="35"/>
      <c r="I229" s="35"/>
      <c r="J229" s="35"/>
      <c r="K229" s="35"/>
      <c r="L229" s="35"/>
      <c r="M229" s="35"/>
      <c r="N229" s="35"/>
      <c r="O229" s="23"/>
      <c r="P229" s="35"/>
      <c r="Q229" s="188"/>
      <c r="R229" s="35"/>
      <c r="S229" s="35"/>
      <c r="T229" s="35"/>
    </row>
    <row r="230" spans="1:20" ht="29.25" customHeight="1" x14ac:dyDescent="0.2">
      <c r="A230" s="187"/>
      <c r="B230" s="35"/>
      <c r="C230" s="23"/>
      <c r="D230" s="35"/>
      <c r="E230" s="35"/>
      <c r="F230" s="35"/>
      <c r="G230" s="28"/>
      <c r="H230" s="35"/>
      <c r="I230" s="35"/>
      <c r="J230" s="35"/>
      <c r="K230" s="35"/>
      <c r="L230" s="35"/>
      <c r="M230" s="35"/>
      <c r="N230" s="35"/>
      <c r="O230" s="23"/>
      <c r="P230" s="35"/>
      <c r="Q230" s="188"/>
      <c r="R230" s="35"/>
      <c r="S230" s="35"/>
      <c r="T230" s="35"/>
    </row>
    <row r="231" spans="1:20" ht="29.25" customHeight="1" x14ac:dyDescent="0.2">
      <c r="A231" s="187"/>
      <c r="B231" s="35"/>
      <c r="C231" s="23"/>
      <c r="D231" s="35"/>
      <c r="E231" s="35"/>
      <c r="F231" s="35"/>
      <c r="G231" s="28"/>
      <c r="H231" s="35"/>
      <c r="I231" s="35"/>
      <c r="J231" s="35"/>
      <c r="K231" s="35"/>
      <c r="L231" s="35"/>
      <c r="M231" s="35"/>
      <c r="N231" s="35"/>
      <c r="O231" s="23"/>
      <c r="P231" s="35"/>
      <c r="Q231" s="188"/>
      <c r="R231" s="35"/>
      <c r="S231" s="35"/>
      <c r="T231" s="35"/>
    </row>
    <row r="232" spans="1:20" ht="29.25" customHeight="1" x14ac:dyDescent="0.2">
      <c r="A232" s="187"/>
      <c r="B232" s="35"/>
      <c r="C232" s="23"/>
      <c r="D232" s="35"/>
      <c r="E232" s="35"/>
      <c r="F232" s="35"/>
      <c r="G232" s="28"/>
      <c r="H232" s="35"/>
      <c r="I232" s="35"/>
      <c r="J232" s="35"/>
      <c r="K232" s="35"/>
      <c r="L232" s="35"/>
      <c r="M232" s="35"/>
      <c r="N232" s="35"/>
      <c r="O232" s="23"/>
      <c r="P232" s="35"/>
      <c r="Q232" s="188"/>
      <c r="R232" s="35"/>
      <c r="S232" s="35"/>
      <c r="T232" s="35"/>
    </row>
    <row r="233" spans="1:20" ht="29.25" customHeight="1" x14ac:dyDescent="0.2">
      <c r="A233" s="187"/>
      <c r="B233" s="35"/>
      <c r="C233" s="23"/>
      <c r="D233" s="35"/>
      <c r="E233" s="35"/>
      <c r="F233" s="35"/>
      <c r="G233" s="28"/>
      <c r="H233" s="35"/>
      <c r="I233" s="35"/>
      <c r="J233" s="35"/>
      <c r="K233" s="35"/>
      <c r="L233" s="35"/>
      <c r="M233" s="35"/>
      <c r="N233" s="35"/>
      <c r="O233" s="23"/>
      <c r="P233" s="35"/>
      <c r="Q233" s="188"/>
      <c r="R233" s="35"/>
      <c r="S233" s="35"/>
      <c r="T233" s="35"/>
    </row>
    <row r="234" spans="1:20" ht="29.25" customHeight="1" x14ac:dyDescent="0.2">
      <c r="A234" s="187"/>
      <c r="B234" s="35"/>
      <c r="C234" s="23"/>
      <c r="D234" s="35"/>
      <c r="E234" s="35"/>
      <c r="F234" s="35"/>
      <c r="G234" s="28"/>
      <c r="H234" s="35"/>
      <c r="I234" s="35"/>
      <c r="J234" s="35"/>
      <c r="K234" s="35"/>
      <c r="L234" s="35"/>
      <c r="M234" s="35"/>
      <c r="N234" s="35"/>
      <c r="O234" s="23"/>
      <c r="P234" s="35"/>
      <c r="Q234" s="188"/>
      <c r="R234" s="35"/>
      <c r="S234" s="35"/>
      <c r="T234" s="35"/>
    </row>
    <row r="235" spans="1:20" ht="29.25" customHeight="1" x14ac:dyDescent="0.2">
      <c r="A235" s="187"/>
      <c r="B235" s="35"/>
      <c r="C235" s="23"/>
      <c r="D235" s="35"/>
      <c r="E235" s="35"/>
      <c r="F235" s="35"/>
      <c r="G235" s="28"/>
      <c r="H235" s="35"/>
      <c r="I235" s="35"/>
      <c r="J235" s="35"/>
      <c r="K235" s="35"/>
      <c r="L235" s="35"/>
      <c r="M235" s="35"/>
      <c r="N235" s="35"/>
      <c r="O235" s="23"/>
      <c r="P235" s="35"/>
      <c r="Q235" s="188"/>
      <c r="R235" s="35"/>
      <c r="S235" s="35"/>
      <c r="T235" s="35"/>
    </row>
    <row r="236" spans="1:20" ht="29.25" customHeight="1" x14ac:dyDescent="0.2">
      <c r="A236" s="187"/>
      <c r="B236" s="35"/>
      <c r="C236" s="23"/>
      <c r="D236" s="35"/>
      <c r="E236" s="35"/>
      <c r="F236" s="35"/>
      <c r="G236" s="28"/>
      <c r="H236" s="35"/>
      <c r="I236" s="35"/>
      <c r="J236" s="35"/>
      <c r="K236" s="35"/>
      <c r="L236" s="35"/>
      <c r="M236" s="35"/>
      <c r="N236" s="35"/>
      <c r="O236" s="23"/>
      <c r="P236" s="35"/>
      <c r="Q236" s="188"/>
      <c r="R236" s="35"/>
      <c r="S236" s="35"/>
      <c r="T236" s="35"/>
    </row>
    <row r="237" spans="1:20" ht="29.25" customHeight="1" x14ac:dyDescent="0.2">
      <c r="A237" s="187"/>
      <c r="B237" s="35"/>
      <c r="C237" s="23"/>
      <c r="D237" s="35"/>
      <c r="E237" s="35"/>
      <c r="F237" s="35"/>
      <c r="G237" s="28"/>
      <c r="H237" s="35"/>
      <c r="I237" s="35"/>
      <c r="J237" s="35"/>
      <c r="K237" s="35"/>
      <c r="L237" s="35"/>
      <c r="M237" s="35"/>
      <c r="N237" s="35"/>
      <c r="O237" s="23"/>
      <c r="P237" s="35"/>
      <c r="Q237" s="188"/>
      <c r="R237" s="35"/>
      <c r="S237" s="35"/>
      <c r="T237" s="35"/>
    </row>
    <row r="238" spans="1:20" ht="29.25" customHeight="1" x14ac:dyDescent="0.2">
      <c r="A238" s="187"/>
      <c r="B238" s="35"/>
      <c r="C238" s="23"/>
      <c r="D238" s="35"/>
      <c r="E238" s="35"/>
      <c r="F238" s="35"/>
      <c r="G238" s="28"/>
      <c r="H238" s="35"/>
      <c r="I238" s="35"/>
      <c r="J238" s="35"/>
      <c r="K238" s="35"/>
      <c r="L238" s="35"/>
      <c r="M238" s="35"/>
      <c r="N238" s="35"/>
      <c r="O238" s="23"/>
      <c r="P238" s="35"/>
      <c r="Q238" s="188"/>
      <c r="R238" s="35"/>
      <c r="S238" s="35"/>
      <c r="T238" s="35"/>
    </row>
    <row r="239" spans="1:20" ht="29.25" customHeight="1" x14ac:dyDescent="0.2">
      <c r="A239" s="187"/>
      <c r="B239" s="35"/>
      <c r="C239" s="23"/>
      <c r="D239" s="35"/>
      <c r="E239" s="35"/>
      <c r="F239" s="35"/>
      <c r="G239" s="28"/>
      <c r="H239" s="35"/>
      <c r="I239" s="35"/>
      <c r="J239" s="35"/>
      <c r="K239" s="35"/>
      <c r="L239" s="35"/>
      <c r="M239" s="35"/>
      <c r="N239" s="35"/>
      <c r="O239" s="23"/>
      <c r="P239" s="35"/>
      <c r="Q239" s="188"/>
      <c r="R239" s="35"/>
      <c r="S239" s="35"/>
      <c r="T239" s="35"/>
    </row>
    <row r="240" spans="1:20" ht="29.25" customHeight="1" x14ac:dyDescent="0.2">
      <c r="A240" s="187"/>
      <c r="B240" s="35"/>
      <c r="C240" s="23"/>
      <c r="D240" s="35"/>
      <c r="E240" s="35"/>
      <c r="F240" s="35"/>
      <c r="G240" s="28"/>
      <c r="H240" s="35"/>
      <c r="I240" s="35"/>
      <c r="J240" s="35"/>
      <c r="K240" s="35"/>
      <c r="L240" s="35"/>
      <c r="M240" s="35"/>
      <c r="N240" s="35"/>
      <c r="O240" s="23"/>
      <c r="P240" s="35"/>
      <c r="Q240" s="188"/>
      <c r="R240" s="35"/>
      <c r="S240" s="35"/>
      <c r="T240" s="35"/>
    </row>
    <row r="241" spans="1:20" ht="29.25" customHeight="1" x14ac:dyDescent="0.2">
      <c r="A241" s="187"/>
      <c r="B241" s="35"/>
      <c r="C241" s="23"/>
      <c r="D241" s="35"/>
      <c r="E241" s="35"/>
      <c r="F241" s="35"/>
      <c r="G241" s="28"/>
      <c r="H241" s="35"/>
      <c r="I241" s="35"/>
      <c r="J241" s="35"/>
      <c r="K241" s="35"/>
      <c r="L241" s="35"/>
      <c r="M241" s="35"/>
      <c r="N241" s="35"/>
      <c r="O241" s="23"/>
      <c r="P241" s="35"/>
      <c r="Q241" s="188"/>
      <c r="R241" s="35"/>
      <c r="S241" s="35"/>
      <c r="T241" s="35"/>
    </row>
    <row r="242" spans="1:20" ht="29.25" customHeight="1" x14ac:dyDescent="0.2">
      <c r="A242" s="187"/>
      <c r="B242" s="35"/>
      <c r="C242" s="23"/>
      <c r="D242" s="35"/>
      <c r="E242" s="35"/>
      <c r="F242" s="35"/>
      <c r="G242" s="28"/>
      <c r="H242" s="35"/>
      <c r="I242" s="35"/>
      <c r="J242" s="35"/>
      <c r="K242" s="35"/>
      <c r="L242" s="35"/>
      <c r="M242" s="35"/>
      <c r="N242" s="35"/>
      <c r="O242" s="23"/>
      <c r="P242" s="35"/>
      <c r="Q242" s="188"/>
      <c r="R242" s="35"/>
      <c r="S242" s="35"/>
      <c r="T242" s="35"/>
    </row>
    <row r="243" spans="1:20" ht="29.25" customHeight="1" x14ac:dyDescent="0.2">
      <c r="A243" s="187"/>
      <c r="B243" s="35"/>
      <c r="C243" s="23"/>
      <c r="D243" s="35"/>
      <c r="E243" s="35"/>
      <c r="F243" s="35"/>
      <c r="G243" s="28"/>
      <c r="H243" s="35"/>
      <c r="I243" s="35"/>
      <c r="J243" s="35"/>
      <c r="K243" s="35"/>
      <c r="L243" s="35"/>
      <c r="M243" s="35"/>
      <c r="N243" s="35"/>
      <c r="O243" s="23"/>
      <c r="P243" s="35"/>
      <c r="Q243" s="188"/>
      <c r="R243" s="35"/>
      <c r="S243" s="35"/>
      <c r="T243" s="35"/>
    </row>
    <row r="244" spans="1:20" ht="29.25" customHeight="1" x14ac:dyDescent="0.2">
      <c r="A244" s="187"/>
      <c r="B244" s="35"/>
      <c r="C244" s="23"/>
      <c r="D244" s="35"/>
      <c r="E244" s="35"/>
      <c r="F244" s="35"/>
      <c r="G244" s="28"/>
      <c r="H244" s="35"/>
      <c r="I244" s="35"/>
      <c r="J244" s="35"/>
      <c r="K244" s="35"/>
      <c r="L244" s="35"/>
      <c r="M244" s="35"/>
      <c r="N244" s="35"/>
      <c r="O244" s="23"/>
      <c r="P244" s="35"/>
      <c r="Q244" s="188"/>
      <c r="R244" s="35"/>
      <c r="S244" s="35"/>
      <c r="T244" s="35"/>
    </row>
    <row r="245" spans="1:20" ht="29.25" customHeight="1" x14ac:dyDescent="0.2">
      <c r="A245" s="187"/>
      <c r="B245" s="35"/>
      <c r="C245" s="23"/>
      <c r="D245" s="35"/>
      <c r="E245" s="35"/>
      <c r="F245" s="35"/>
      <c r="G245" s="28"/>
      <c r="H245" s="35"/>
      <c r="I245" s="35"/>
      <c r="J245" s="35"/>
      <c r="K245" s="35"/>
      <c r="L245" s="35"/>
      <c r="M245" s="35"/>
      <c r="N245" s="35"/>
      <c r="O245" s="23"/>
      <c r="P245" s="35"/>
      <c r="Q245" s="188"/>
      <c r="R245" s="35"/>
      <c r="S245" s="35"/>
      <c r="T245" s="35"/>
    </row>
    <row r="246" spans="1:20" ht="29.25" customHeight="1" x14ac:dyDescent="0.2">
      <c r="A246" s="187"/>
      <c r="B246" s="35"/>
      <c r="C246" s="23"/>
      <c r="D246" s="35"/>
      <c r="E246" s="35"/>
      <c r="F246" s="35"/>
      <c r="G246" s="28"/>
      <c r="H246" s="35"/>
      <c r="I246" s="35"/>
      <c r="J246" s="35"/>
      <c r="K246" s="35"/>
      <c r="L246" s="35"/>
      <c r="M246" s="35"/>
      <c r="N246" s="35"/>
      <c r="O246" s="23"/>
      <c r="P246" s="35"/>
      <c r="Q246" s="188"/>
      <c r="R246" s="35"/>
      <c r="S246" s="35"/>
      <c r="T246" s="35"/>
    </row>
    <row r="247" spans="1:20" ht="29.25" customHeight="1" x14ac:dyDescent="0.2">
      <c r="A247" s="187"/>
      <c r="B247" s="35"/>
      <c r="C247" s="23"/>
      <c r="D247" s="35"/>
      <c r="E247" s="35"/>
      <c r="F247" s="35"/>
      <c r="G247" s="28"/>
      <c r="H247" s="35"/>
      <c r="I247" s="35"/>
      <c r="J247" s="35"/>
      <c r="K247" s="35"/>
      <c r="L247" s="35"/>
      <c r="M247" s="35"/>
      <c r="N247" s="35"/>
      <c r="O247" s="23"/>
      <c r="P247" s="35"/>
      <c r="Q247" s="188"/>
      <c r="R247" s="35"/>
      <c r="S247" s="35"/>
      <c r="T247" s="35"/>
    </row>
    <row r="248" spans="1:20" ht="29.25" customHeight="1" x14ac:dyDescent="0.2">
      <c r="A248" s="187"/>
      <c r="B248" s="35"/>
      <c r="C248" s="23"/>
      <c r="D248" s="35"/>
      <c r="E248" s="35"/>
      <c r="F248" s="35"/>
      <c r="G248" s="28"/>
      <c r="H248" s="35"/>
      <c r="I248" s="35"/>
      <c r="J248" s="35"/>
      <c r="K248" s="35"/>
      <c r="L248" s="35"/>
      <c r="M248" s="35"/>
      <c r="N248" s="35"/>
      <c r="O248" s="23"/>
      <c r="P248" s="35"/>
      <c r="Q248" s="188"/>
      <c r="R248" s="35"/>
      <c r="S248" s="35"/>
      <c r="T248" s="35"/>
    </row>
    <row r="249" spans="1:20" ht="29.25" customHeight="1" x14ac:dyDescent="0.2">
      <c r="A249" s="187"/>
      <c r="B249" s="35"/>
      <c r="C249" s="23"/>
      <c r="D249" s="35"/>
      <c r="E249" s="35"/>
      <c r="F249" s="35"/>
      <c r="G249" s="28"/>
      <c r="H249" s="35"/>
      <c r="I249" s="35"/>
      <c r="J249" s="35"/>
      <c r="K249" s="35"/>
      <c r="L249" s="35"/>
      <c r="M249" s="35"/>
      <c r="N249" s="35"/>
      <c r="O249" s="23"/>
      <c r="P249" s="35"/>
      <c r="Q249" s="188"/>
      <c r="R249" s="35"/>
      <c r="S249" s="35"/>
      <c r="T249" s="35"/>
    </row>
    <row r="250" spans="1:20" ht="29.25" customHeight="1" x14ac:dyDescent="0.2">
      <c r="A250" s="187"/>
      <c r="B250" s="35"/>
      <c r="C250" s="23"/>
      <c r="D250" s="35"/>
      <c r="E250" s="35"/>
      <c r="F250" s="35"/>
      <c r="G250" s="28"/>
      <c r="H250" s="35"/>
      <c r="I250" s="35"/>
      <c r="J250" s="35"/>
      <c r="K250" s="35"/>
      <c r="L250" s="35"/>
      <c r="M250" s="35"/>
      <c r="N250" s="35"/>
      <c r="O250" s="23"/>
      <c r="P250" s="35"/>
      <c r="Q250" s="188"/>
      <c r="R250" s="35"/>
      <c r="S250" s="35"/>
      <c r="T250" s="35"/>
    </row>
    <row r="251" spans="1:20" ht="29.25" customHeight="1" x14ac:dyDescent="0.2">
      <c r="A251" s="187"/>
      <c r="B251" s="35"/>
      <c r="C251" s="23"/>
      <c r="D251" s="35"/>
      <c r="E251" s="35"/>
      <c r="F251" s="35"/>
      <c r="G251" s="28"/>
      <c r="H251" s="35"/>
      <c r="I251" s="35"/>
      <c r="J251" s="35"/>
      <c r="K251" s="35"/>
      <c r="L251" s="35"/>
      <c r="M251" s="35"/>
      <c r="N251" s="35"/>
      <c r="O251" s="23"/>
      <c r="P251" s="35"/>
      <c r="Q251" s="188"/>
      <c r="R251" s="35"/>
      <c r="S251" s="35"/>
      <c r="T251" s="35"/>
    </row>
    <row r="252" spans="1:20" ht="29.25" customHeight="1" x14ac:dyDescent="0.2">
      <c r="A252" s="187"/>
      <c r="B252" s="35"/>
      <c r="C252" s="23"/>
      <c r="D252" s="35"/>
      <c r="E252" s="35"/>
      <c r="F252" s="35"/>
      <c r="G252" s="28"/>
      <c r="H252" s="35"/>
      <c r="I252" s="35"/>
      <c r="J252" s="35"/>
      <c r="K252" s="35"/>
      <c r="L252" s="35"/>
      <c r="M252" s="35"/>
      <c r="N252" s="35"/>
      <c r="O252" s="23"/>
      <c r="P252" s="35"/>
      <c r="Q252" s="188"/>
      <c r="R252" s="35"/>
      <c r="S252" s="35"/>
      <c r="T252" s="35"/>
    </row>
    <row r="253" spans="1:20" ht="29.25" customHeight="1" x14ac:dyDescent="0.2">
      <c r="A253" s="187"/>
      <c r="B253" s="35"/>
      <c r="C253" s="23"/>
      <c r="D253" s="35"/>
      <c r="E253" s="35"/>
      <c r="F253" s="35"/>
      <c r="G253" s="28"/>
      <c r="H253" s="35"/>
      <c r="I253" s="35"/>
      <c r="J253" s="35"/>
      <c r="K253" s="35"/>
      <c r="L253" s="35"/>
      <c r="M253" s="35"/>
      <c r="N253" s="35"/>
      <c r="O253" s="23"/>
      <c r="P253" s="35"/>
      <c r="Q253" s="188"/>
      <c r="R253" s="35"/>
      <c r="S253" s="35"/>
      <c r="T253" s="35"/>
    </row>
    <row r="254" spans="1:20" ht="29.25" customHeight="1" x14ac:dyDescent="0.2">
      <c r="A254" s="187"/>
      <c r="B254" s="35"/>
      <c r="C254" s="23"/>
      <c r="D254" s="35"/>
      <c r="E254" s="35"/>
      <c r="F254" s="35"/>
      <c r="G254" s="28"/>
      <c r="H254" s="35"/>
      <c r="I254" s="35"/>
      <c r="J254" s="35"/>
      <c r="K254" s="35"/>
      <c r="L254" s="35"/>
      <c r="M254" s="35"/>
      <c r="N254" s="35"/>
      <c r="O254" s="23"/>
      <c r="P254" s="35"/>
      <c r="Q254" s="188"/>
      <c r="R254" s="35"/>
      <c r="S254" s="35"/>
      <c r="T254" s="35"/>
    </row>
    <row r="255" spans="1:20" ht="29.25" customHeight="1" x14ac:dyDescent="0.2">
      <c r="A255" s="187"/>
      <c r="B255" s="35"/>
      <c r="C255" s="23"/>
      <c r="D255" s="35"/>
      <c r="E255" s="35"/>
      <c r="F255" s="35"/>
      <c r="G255" s="28"/>
      <c r="H255" s="35"/>
      <c r="I255" s="35"/>
      <c r="J255" s="35"/>
      <c r="K255" s="35"/>
      <c r="L255" s="35"/>
      <c r="M255" s="35"/>
      <c r="N255" s="35"/>
      <c r="O255" s="23"/>
      <c r="P255" s="35"/>
      <c r="Q255" s="188"/>
      <c r="R255" s="35"/>
      <c r="S255" s="35"/>
      <c r="T255" s="35"/>
    </row>
    <row r="256" spans="1:20" ht="29.25" customHeight="1" x14ac:dyDescent="0.2">
      <c r="A256" s="187"/>
      <c r="B256" s="35"/>
      <c r="C256" s="23"/>
      <c r="D256" s="35"/>
      <c r="E256" s="35"/>
      <c r="F256" s="35"/>
      <c r="G256" s="28"/>
      <c r="H256" s="35"/>
      <c r="I256" s="35"/>
      <c r="J256" s="35"/>
      <c r="K256" s="35"/>
      <c r="L256" s="35"/>
      <c r="M256" s="35"/>
      <c r="N256" s="35"/>
      <c r="O256" s="23"/>
      <c r="P256" s="35"/>
      <c r="Q256" s="188"/>
      <c r="R256" s="35"/>
      <c r="S256" s="35"/>
      <c r="T256" s="35"/>
    </row>
    <row r="257" spans="1:20" ht="29.25" customHeight="1" x14ac:dyDescent="0.2">
      <c r="A257" s="187"/>
      <c r="B257" s="35"/>
      <c r="C257" s="23"/>
      <c r="D257" s="35"/>
      <c r="E257" s="35"/>
      <c r="F257" s="35"/>
      <c r="G257" s="28"/>
      <c r="H257" s="35"/>
      <c r="I257" s="35"/>
      <c r="J257" s="35"/>
      <c r="K257" s="35"/>
      <c r="L257" s="35"/>
      <c r="M257" s="35"/>
      <c r="N257" s="35"/>
      <c r="O257" s="23"/>
      <c r="P257" s="35"/>
      <c r="Q257" s="188"/>
      <c r="R257" s="35"/>
      <c r="S257" s="35"/>
      <c r="T257" s="35"/>
    </row>
    <row r="258" spans="1:20" ht="29.25" customHeight="1" x14ac:dyDescent="0.2">
      <c r="A258" s="187"/>
      <c r="B258" s="35"/>
      <c r="C258" s="23"/>
      <c r="D258" s="35"/>
      <c r="E258" s="35"/>
      <c r="F258" s="35"/>
      <c r="G258" s="28"/>
      <c r="H258" s="35"/>
      <c r="I258" s="35"/>
      <c r="J258" s="35"/>
      <c r="K258" s="35"/>
      <c r="L258" s="35"/>
      <c r="M258" s="35"/>
      <c r="N258" s="35"/>
      <c r="O258" s="23"/>
      <c r="P258" s="35"/>
      <c r="Q258" s="188"/>
      <c r="R258" s="35"/>
      <c r="S258" s="35"/>
      <c r="T258" s="35"/>
    </row>
    <row r="259" spans="1:20" ht="29.25" customHeight="1" x14ac:dyDescent="0.2">
      <c r="A259" s="187"/>
      <c r="B259" s="35"/>
      <c r="C259" s="23"/>
      <c r="D259" s="35"/>
      <c r="E259" s="35"/>
      <c r="F259" s="35"/>
      <c r="G259" s="28"/>
      <c r="H259" s="35"/>
      <c r="I259" s="35"/>
      <c r="J259" s="35"/>
      <c r="K259" s="35"/>
      <c r="L259" s="35"/>
      <c r="M259" s="35"/>
      <c r="N259" s="35"/>
      <c r="O259" s="23"/>
      <c r="P259" s="35"/>
      <c r="Q259" s="188"/>
      <c r="R259" s="35"/>
      <c r="S259" s="35"/>
      <c r="T259" s="35"/>
    </row>
    <row r="260" spans="1:20" ht="29.25" customHeight="1" x14ac:dyDescent="0.2">
      <c r="A260" s="187"/>
      <c r="B260" s="35"/>
      <c r="C260" s="23"/>
      <c r="D260" s="35"/>
      <c r="E260" s="35"/>
      <c r="F260" s="35"/>
      <c r="G260" s="28"/>
      <c r="H260" s="35"/>
      <c r="I260" s="35"/>
      <c r="J260" s="35"/>
      <c r="K260" s="35"/>
      <c r="L260" s="35"/>
      <c r="M260" s="35"/>
      <c r="N260" s="35"/>
      <c r="O260" s="23"/>
      <c r="P260" s="35"/>
      <c r="Q260" s="188"/>
      <c r="R260" s="35"/>
      <c r="S260" s="35"/>
      <c r="T260" s="35"/>
    </row>
    <row r="261" spans="1:20" ht="29.25" customHeight="1" x14ac:dyDescent="0.2">
      <c r="A261" s="187"/>
      <c r="B261" s="35"/>
      <c r="C261" s="23"/>
      <c r="D261" s="35"/>
      <c r="E261" s="35"/>
      <c r="F261" s="35"/>
      <c r="G261" s="28"/>
      <c r="H261" s="35"/>
      <c r="I261" s="35"/>
      <c r="J261" s="35"/>
      <c r="K261" s="35"/>
      <c r="L261" s="35"/>
      <c r="M261" s="35"/>
      <c r="N261" s="35"/>
      <c r="O261" s="23"/>
      <c r="P261" s="35"/>
      <c r="Q261" s="188"/>
      <c r="R261" s="35"/>
      <c r="S261" s="35"/>
      <c r="T261" s="35"/>
    </row>
    <row r="262" spans="1:20" ht="29.25" customHeight="1" x14ac:dyDescent="0.2">
      <c r="A262" s="187"/>
      <c r="B262" s="35"/>
      <c r="C262" s="23"/>
      <c r="D262" s="35"/>
      <c r="E262" s="35"/>
      <c r="F262" s="35"/>
      <c r="G262" s="28"/>
      <c r="H262" s="35"/>
      <c r="I262" s="35"/>
      <c r="J262" s="35"/>
      <c r="K262" s="35"/>
      <c r="L262" s="35"/>
      <c r="M262" s="35"/>
      <c r="N262" s="35"/>
      <c r="O262" s="23"/>
      <c r="P262" s="35"/>
      <c r="Q262" s="188"/>
      <c r="R262" s="35"/>
      <c r="S262" s="35"/>
      <c r="T262" s="35"/>
    </row>
    <row r="263" spans="1:20" ht="29.25" customHeight="1" x14ac:dyDescent="0.2">
      <c r="A263" s="187"/>
      <c r="B263" s="35"/>
      <c r="C263" s="23"/>
      <c r="D263" s="35"/>
      <c r="E263" s="35"/>
      <c r="F263" s="35"/>
      <c r="G263" s="28"/>
      <c r="H263" s="35"/>
      <c r="I263" s="35"/>
      <c r="J263" s="35"/>
      <c r="K263" s="35"/>
      <c r="L263" s="35"/>
      <c r="M263" s="35"/>
      <c r="N263" s="35"/>
      <c r="O263" s="23"/>
      <c r="P263" s="35"/>
      <c r="Q263" s="188"/>
      <c r="R263" s="35"/>
      <c r="S263" s="35"/>
      <c r="T263" s="35"/>
    </row>
    <row r="264" spans="1:20" ht="29.25" customHeight="1" x14ac:dyDescent="0.2">
      <c r="A264" s="187"/>
      <c r="B264" s="35"/>
      <c r="C264" s="23"/>
      <c r="D264" s="35"/>
      <c r="E264" s="35"/>
      <c r="F264" s="35"/>
      <c r="G264" s="28"/>
      <c r="H264" s="35"/>
      <c r="I264" s="35"/>
      <c r="J264" s="35"/>
      <c r="K264" s="35"/>
      <c r="L264" s="35"/>
      <c r="M264" s="35"/>
      <c r="N264" s="35"/>
      <c r="O264" s="23"/>
      <c r="P264" s="35"/>
      <c r="Q264" s="188"/>
      <c r="R264" s="35"/>
      <c r="S264" s="35"/>
      <c r="T264" s="35"/>
    </row>
    <row r="265" spans="1:20" ht="29.25" customHeight="1" x14ac:dyDescent="0.2">
      <c r="A265" s="187"/>
      <c r="B265" s="35"/>
      <c r="C265" s="23"/>
      <c r="D265" s="35"/>
      <c r="E265" s="35"/>
      <c r="F265" s="35"/>
      <c r="G265" s="28"/>
      <c r="H265" s="35"/>
      <c r="I265" s="35"/>
      <c r="J265" s="35"/>
      <c r="K265" s="35"/>
      <c r="L265" s="35"/>
      <c r="M265" s="35"/>
      <c r="N265" s="35"/>
      <c r="O265" s="23"/>
      <c r="P265" s="35"/>
      <c r="Q265" s="188"/>
      <c r="R265" s="35"/>
      <c r="S265" s="35"/>
      <c r="T265" s="35"/>
    </row>
    <row r="266" spans="1:20" ht="29.25" customHeight="1" x14ac:dyDescent="0.2">
      <c r="A266" s="187"/>
      <c r="B266" s="35"/>
      <c r="C266" s="23"/>
      <c r="D266" s="35"/>
      <c r="E266" s="35"/>
      <c r="F266" s="35"/>
      <c r="G266" s="28"/>
      <c r="H266" s="35"/>
      <c r="I266" s="35"/>
      <c r="J266" s="35"/>
      <c r="K266" s="35"/>
      <c r="L266" s="35"/>
      <c r="M266" s="35"/>
      <c r="N266" s="35"/>
      <c r="O266" s="23"/>
      <c r="P266" s="35"/>
      <c r="Q266" s="188"/>
      <c r="R266" s="35"/>
      <c r="S266" s="35"/>
      <c r="T266" s="35"/>
    </row>
    <row r="267" spans="1:20" ht="29.25" customHeight="1" x14ac:dyDescent="0.2">
      <c r="A267" s="187"/>
      <c r="B267" s="35"/>
      <c r="C267" s="23"/>
      <c r="D267" s="35"/>
      <c r="E267" s="35"/>
      <c r="F267" s="35"/>
      <c r="G267" s="28"/>
      <c r="H267" s="35"/>
      <c r="I267" s="35"/>
      <c r="J267" s="35"/>
      <c r="K267" s="35"/>
      <c r="L267" s="35"/>
      <c r="M267" s="35"/>
      <c r="N267" s="35"/>
      <c r="O267" s="23"/>
      <c r="P267" s="35"/>
      <c r="Q267" s="188"/>
      <c r="R267" s="35"/>
      <c r="S267" s="35"/>
      <c r="T267" s="35"/>
    </row>
    <row r="268" spans="1:20" ht="29.25" customHeight="1" x14ac:dyDescent="0.2">
      <c r="A268" s="187"/>
      <c r="B268" s="35"/>
      <c r="C268" s="23"/>
      <c r="D268" s="35"/>
      <c r="E268" s="35"/>
      <c r="F268" s="35"/>
      <c r="G268" s="28"/>
      <c r="H268" s="35"/>
      <c r="I268" s="35"/>
      <c r="J268" s="35"/>
      <c r="K268" s="35"/>
      <c r="L268" s="35"/>
      <c r="M268" s="35"/>
      <c r="N268" s="35"/>
      <c r="O268" s="23"/>
      <c r="P268" s="35"/>
      <c r="Q268" s="188"/>
      <c r="R268" s="35"/>
      <c r="S268" s="35"/>
      <c r="T268" s="35"/>
    </row>
    <row r="269" spans="1:20" ht="29.25" customHeight="1" x14ac:dyDescent="0.2">
      <c r="A269" s="187"/>
      <c r="B269" s="35"/>
      <c r="C269" s="23"/>
      <c r="D269" s="35"/>
      <c r="E269" s="35"/>
      <c r="F269" s="35"/>
      <c r="G269" s="28"/>
      <c r="H269" s="35"/>
      <c r="I269" s="35"/>
      <c r="J269" s="35"/>
      <c r="K269" s="35"/>
      <c r="L269" s="35"/>
      <c r="M269" s="35"/>
      <c r="N269" s="35"/>
      <c r="O269" s="23"/>
      <c r="P269" s="35"/>
      <c r="Q269" s="188"/>
      <c r="R269" s="35"/>
      <c r="S269" s="35"/>
      <c r="T269" s="35"/>
    </row>
    <row r="270" spans="1:20" ht="29.25" customHeight="1" x14ac:dyDescent="0.2">
      <c r="A270" s="187"/>
      <c r="B270" s="35"/>
      <c r="C270" s="23"/>
      <c r="D270" s="35"/>
      <c r="E270" s="35"/>
      <c r="F270" s="35"/>
      <c r="G270" s="28"/>
      <c r="H270" s="35"/>
      <c r="I270" s="35"/>
      <c r="J270" s="35"/>
      <c r="K270" s="35"/>
      <c r="L270" s="35"/>
      <c r="M270" s="35"/>
      <c r="N270" s="35"/>
      <c r="O270" s="23"/>
      <c r="P270" s="35"/>
      <c r="Q270" s="188"/>
      <c r="R270" s="35"/>
      <c r="S270" s="35"/>
      <c r="T270" s="35"/>
    </row>
    <row r="271" spans="1:20" ht="29.25" customHeight="1" x14ac:dyDescent="0.2">
      <c r="A271" s="187"/>
      <c r="B271" s="35"/>
      <c r="C271" s="23"/>
      <c r="D271" s="35"/>
      <c r="E271" s="35"/>
      <c r="F271" s="35"/>
      <c r="G271" s="28"/>
      <c r="H271" s="35"/>
      <c r="I271" s="35"/>
      <c r="J271" s="35"/>
      <c r="K271" s="35"/>
      <c r="L271" s="35"/>
      <c r="M271" s="35"/>
      <c r="N271" s="35"/>
      <c r="O271" s="23"/>
      <c r="P271" s="35"/>
      <c r="Q271" s="188"/>
      <c r="R271" s="35"/>
      <c r="S271" s="35"/>
      <c r="T271" s="35"/>
    </row>
    <row r="272" spans="1:20" ht="29.25" customHeight="1" x14ac:dyDescent="0.2">
      <c r="A272" s="187"/>
      <c r="B272" s="35"/>
      <c r="C272" s="23"/>
      <c r="D272" s="35"/>
      <c r="E272" s="35"/>
      <c r="F272" s="35"/>
      <c r="G272" s="28"/>
      <c r="H272" s="35"/>
      <c r="I272" s="35"/>
      <c r="J272" s="35"/>
      <c r="K272" s="35"/>
      <c r="L272" s="35"/>
      <c r="M272" s="35"/>
      <c r="N272" s="35"/>
      <c r="O272" s="23"/>
      <c r="P272" s="35"/>
      <c r="Q272" s="188"/>
      <c r="R272" s="35"/>
      <c r="S272" s="35"/>
      <c r="T272" s="35"/>
    </row>
    <row r="273" spans="1:20" ht="29.25" customHeight="1" x14ac:dyDescent="0.2">
      <c r="A273" s="187"/>
      <c r="B273" s="35"/>
      <c r="C273" s="23"/>
      <c r="D273" s="35"/>
      <c r="E273" s="35"/>
      <c r="F273" s="35"/>
      <c r="G273" s="28"/>
      <c r="H273" s="35"/>
      <c r="I273" s="35"/>
      <c r="J273" s="35"/>
      <c r="K273" s="35"/>
      <c r="L273" s="35"/>
      <c r="M273" s="35"/>
      <c r="N273" s="35"/>
      <c r="O273" s="23"/>
      <c r="P273" s="35"/>
      <c r="Q273" s="188"/>
      <c r="R273" s="35"/>
      <c r="S273" s="35"/>
      <c r="T273" s="35"/>
    </row>
    <row r="274" spans="1:20" ht="29.25" customHeight="1" x14ac:dyDescent="0.2">
      <c r="A274" s="187"/>
      <c r="B274" s="35"/>
      <c r="C274" s="23"/>
      <c r="D274" s="35"/>
      <c r="E274" s="35"/>
      <c r="F274" s="35"/>
      <c r="G274" s="28"/>
      <c r="H274" s="35"/>
      <c r="I274" s="35"/>
      <c r="J274" s="35"/>
      <c r="K274" s="35"/>
      <c r="L274" s="35"/>
      <c r="M274" s="35"/>
      <c r="N274" s="35"/>
      <c r="O274" s="23"/>
      <c r="P274" s="35"/>
      <c r="Q274" s="188"/>
      <c r="R274" s="35"/>
      <c r="S274" s="35"/>
      <c r="T274" s="35"/>
    </row>
    <row r="275" spans="1:20" ht="29.25" customHeight="1" x14ac:dyDescent="0.2">
      <c r="A275" s="187"/>
      <c r="B275" s="35"/>
      <c r="C275" s="23"/>
      <c r="D275" s="35"/>
      <c r="E275" s="35"/>
      <c r="F275" s="35"/>
      <c r="G275" s="28"/>
      <c r="H275" s="35"/>
      <c r="I275" s="35"/>
      <c r="J275" s="35"/>
      <c r="K275" s="35"/>
      <c r="L275" s="35"/>
      <c r="M275" s="35"/>
      <c r="N275" s="35"/>
      <c r="O275" s="23"/>
      <c r="P275" s="35"/>
      <c r="Q275" s="188"/>
      <c r="R275" s="35"/>
      <c r="S275" s="35"/>
      <c r="T275" s="35"/>
    </row>
    <row r="276" spans="1:20" ht="29.25" customHeight="1" x14ac:dyDescent="0.2">
      <c r="A276" s="187"/>
      <c r="B276" s="35"/>
      <c r="C276" s="23"/>
      <c r="D276" s="35"/>
      <c r="E276" s="35"/>
      <c r="F276" s="35"/>
      <c r="G276" s="28"/>
      <c r="H276" s="35"/>
      <c r="I276" s="35"/>
      <c r="J276" s="35"/>
      <c r="K276" s="35"/>
      <c r="L276" s="35"/>
      <c r="M276" s="35"/>
      <c r="N276" s="35"/>
      <c r="O276" s="23"/>
      <c r="P276" s="35"/>
      <c r="Q276" s="188"/>
      <c r="R276" s="35"/>
      <c r="S276" s="35"/>
      <c r="T276" s="35"/>
    </row>
    <row r="277" spans="1:20" ht="29.25" customHeight="1" x14ac:dyDescent="0.2">
      <c r="A277" s="187"/>
      <c r="B277" s="35"/>
      <c r="C277" s="23"/>
      <c r="D277" s="35"/>
      <c r="E277" s="35"/>
      <c r="F277" s="35"/>
      <c r="G277" s="28"/>
      <c r="H277" s="35"/>
      <c r="I277" s="35"/>
      <c r="J277" s="35"/>
      <c r="K277" s="35"/>
      <c r="L277" s="35"/>
      <c r="M277" s="35"/>
      <c r="N277" s="35"/>
      <c r="O277" s="23"/>
      <c r="P277" s="35"/>
      <c r="Q277" s="188"/>
      <c r="R277" s="35"/>
      <c r="S277" s="35"/>
      <c r="T277" s="35"/>
    </row>
    <row r="278" spans="1:20" ht="29.25" customHeight="1" x14ac:dyDescent="0.2">
      <c r="A278" s="187"/>
      <c r="B278" s="35"/>
      <c r="C278" s="23"/>
      <c r="D278" s="35"/>
      <c r="E278" s="35"/>
      <c r="F278" s="35"/>
      <c r="G278" s="28"/>
      <c r="H278" s="35"/>
      <c r="I278" s="35"/>
      <c r="J278" s="35"/>
      <c r="K278" s="35"/>
      <c r="L278" s="35"/>
      <c r="M278" s="35"/>
      <c r="N278" s="35"/>
      <c r="O278" s="23"/>
      <c r="P278" s="35"/>
      <c r="Q278" s="188"/>
      <c r="R278" s="35"/>
      <c r="S278" s="35"/>
      <c r="T278" s="35"/>
    </row>
    <row r="279" spans="1:20" ht="29.25" customHeight="1" x14ac:dyDescent="0.2">
      <c r="A279" s="187"/>
      <c r="B279" s="35"/>
      <c r="C279" s="23"/>
      <c r="D279" s="35"/>
      <c r="E279" s="35"/>
      <c r="F279" s="35"/>
      <c r="G279" s="28"/>
      <c r="H279" s="35"/>
      <c r="I279" s="35"/>
      <c r="J279" s="35"/>
      <c r="K279" s="35"/>
      <c r="L279" s="35"/>
      <c r="M279" s="35"/>
      <c r="N279" s="35"/>
      <c r="O279" s="23"/>
      <c r="P279" s="35"/>
      <c r="Q279" s="188"/>
      <c r="R279" s="35"/>
      <c r="S279" s="35"/>
      <c r="T279" s="35"/>
    </row>
    <row r="280" spans="1:20" ht="29.25" customHeight="1" x14ac:dyDescent="0.2">
      <c r="A280" s="187"/>
      <c r="B280" s="35"/>
      <c r="C280" s="23"/>
      <c r="D280" s="35"/>
      <c r="E280" s="35"/>
      <c r="F280" s="35"/>
      <c r="G280" s="28"/>
      <c r="H280" s="35"/>
      <c r="I280" s="35"/>
      <c r="J280" s="35"/>
      <c r="K280" s="35"/>
      <c r="L280" s="35"/>
      <c r="M280" s="35"/>
      <c r="N280" s="35"/>
      <c r="O280" s="23"/>
      <c r="P280" s="35"/>
      <c r="Q280" s="188"/>
      <c r="R280" s="35"/>
      <c r="S280" s="35"/>
      <c r="T280" s="35"/>
    </row>
    <row r="281" spans="1:20" ht="29.25" customHeight="1" x14ac:dyDescent="0.2">
      <c r="A281" s="187"/>
      <c r="B281" s="35"/>
      <c r="C281" s="23"/>
      <c r="D281" s="35"/>
      <c r="E281" s="35"/>
      <c r="F281" s="35"/>
      <c r="G281" s="28"/>
      <c r="H281" s="35"/>
      <c r="I281" s="35"/>
      <c r="J281" s="35"/>
      <c r="K281" s="35"/>
      <c r="L281" s="35"/>
      <c r="M281" s="35"/>
      <c r="N281" s="35"/>
      <c r="O281" s="23"/>
      <c r="P281" s="35"/>
      <c r="Q281" s="188"/>
      <c r="R281" s="35"/>
      <c r="S281" s="35"/>
      <c r="T281" s="35"/>
    </row>
    <row r="282" spans="1:20" ht="29.25" customHeight="1" x14ac:dyDescent="0.2">
      <c r="A282" s="187"/>
      <c r="B282" s="35"/>
      <c r="C282" s="23"/>
      <c r="D282" s="35"/>
      <c r="E282" s="35"/>
      <c r="F282" s="35"/>
      <c r="G282" s="28"/>
      <c r="H282" s="35"/>
      <c r="I282" s="35"/>
      <c r="J282" s="35"/>
      <c r="K282" s="35"/>
      <c r="L282" s="35"/>
      <c r="M282" s="35"/>
      <c r="N282" s="35"/>
      <c r="O282" s="23"/>
      <c r="P282" s="35"/>
      <c r="Q282" s="188"/>
      <c r="R282" s="35"/>
      <c r="S282" s="35"/>
      <c r="T282" s="35"/>
    </row>
    <row r="283" spans="1:20" ht="29.25" customHeight="1" x14ac:dyDescent="0.2">
      <c r="A283" s="187"/>
      <c r="B283" s="35"/>
      <c r="C283" s="23"/>
      <c r="D283" s="35"/>
      <c r="E283" s="35"/>
      <c r="F283" s="35"/>
      <c r="G283" s="28"/>
      <c r="H283" s="35"/>
      <c r="I283" s="35"/>
      <c r="J283" s="35"/>
      <c r="K283" s="35"/>
      <c r="L283" s="35"/>
      <c r="M283" s="35"/>
      <c r="N283" s="35"/>
      <c r="O283" s="23"/>
      <c r="P283" s="35"/>
      <c r="Q283" s="188"/>
      <c r="R283" s="35"/>
      <c r="S283" s="35"/>
      <c r="T283" s="35"/>
    </row>
    <row r="284" spans="1:20" ht="29.25" customHeight="1" x14ac:dyDescent="0.2">
      <c r="A284" s="187"/>
      <c r="B284" s="35"/>
      <c r="C284" s="23"/>
      <c r="D284" s="35"/>
      <c r="E284" s="35"/>
      <c r="F284" s="35"/>
      <c r="G284" s="28"/>
      <c r="H284" s="35"/>
      <c r="I284" s="35"/>
      <c r="J284" s="35"/>
      <c r="K284" s="35"/>
      <c r="L284" s="35"/>
      <c r="M284" s="35"/>
      <c r="N284" s="35"/>
      <c r="O284" s="23"/>
      <c r="P284" s="35"/>
      <c r="Q284" s="188"/>
      <c r="R284" s="35"/>
      <c r="S284" s="35"/>
      <c r="T284" s="35"/>
    </row>
    <row r="285" spans="1:20" ht="29.25" customHeight="1" x14ac:dyDescent="0.2">
      <c r="A285" s="187"/>
      <c r="B285" s="35"/>
      <c r="C285" s="23"/>
      <c r="D285" s="35"/>
      <c r="E285" s="35"/>
      <c r="F285" s="35"/>
      <c r="G285" s="28"/>
      <c r="H285" s="35"/>
      <c r="I285" s="35"/>
      <c r="J285" s="35"/>
      <c r="K285" s="35"/>
      <c r="L285" s="35"/>
      <c r="M285" s="35"/>
      <c r="N285" s="35"/>
      <c r="O285" s="23"/>
      <c r="P285" s="35"/>
      <c r="Q285" s="188"/>
      <c r="R285" s="35"/>
      <c r="S285" s="35"/>
      <c r="T285" s="35"/>
    </row>
    <row r="286" spans="1:20" ht="29.25" customHeight="1" x14ac:dyDescent="0.2">
      <c r="A286" s="187"/>
      <c r="B286" s="35"/>
      <c r="C286" s="23"/>
      <c r="D286" s="35"/>
      <c r="E286" s="35"/>
      <c r="F286" s="35"/>
      <c r="G286" s="28"/>
      <c r="H286" s="35"/>
      <c r="I286" s="35"/>
      <c r="J286" s="35"/>
      <c r="K286" s="35"/>
      <c r="L286" s="35"/>
      <c r="M286" s="35"/>
      <c r="N286" s="35"/>
      <c r="O286" s="23"/>
      <c r="P286" s="35"/>
      <c r="Q286" s="188"/>
      <c r="R286" s="35"/>
      <c r="S286" s="35"/>
      <c r="T286" s="35"/>
    </row>
    <row r="287" spans="1:20" ht="29.25" customHeight="1" x14ac:dyDescent="0.2">
      <c r="A287" s="187"/>
      <c r="B287" s="35"/>
      <c r="C287" s="23"/>
      <c r="D287" s="35"/>
      <c r="E287" s="35"/>
      <c r="F287" s="35"/>
      <c r="G287" s="28"/>
      <c r="H287" s="35"/>
      <c r="I287" s="35"/>
      <c r="J287" s="35"/>
      <c r="K287" s="35"/>
      <c r="L287" s="35"/>
      <c r="M287" s="35"/>
      <c r="N287" s="35"/>
      <c r="O287" s="23"/>
      <c r="P287" s="35"/>
      <c r="Q287" s="188"/>
      <c r="R287" s="35"/>
      <c r="S287" s="35"/>
      <c r="T287" s="35"/>
    </row>
    <row r="288" spans="1:20" ht="29.25" customHeight="1" x14ac:dyDescent="0.2">
      <c r="A288" s="187"/>
      <c r="B288" s="35"/>
      <c r="C288" s="23"/>
      <c r="D288" s="35"/>
      <c r="E288" s="35"/>
      <c r="F288" s="35"/>
      <c r="G288" s="28"/>
      <c r="H288" s="35"/>
      <c r="I288" s="35"/>
      <c r="J288" s="35"/>
      <c r="K288" s="35"/>
      <c r="L288" s="35"/>
      <c r="M288" s="35"/>
      <c r="N288" s="35"/>
      <c r="O288" s="23"/>
      <c r="P288" s="35"/>
      <c r="Q288" s="188"/>
      <c r="R288" s="35"/>
      <c r="S288" s="35"/>
      <c r="T288" s="35"/>
    </row>
    <row r="289" spans="1:20" ht="29.25" customHeight="1" x14ac:dyDescent="0.2">
      <c r="A289" s="187"/>
      <c r="B289" s="35"/>
      <c r="C289" s="23"/>
      <c r="D289" s="35"/>
      <c r="E289" s="35"/>
      <c r="F289" s="35"/>
      <c r="G289" s="28"/>
      <c r="H289" s="35"/>
      <c r="I289" s="35"/>
      <c r="J289" s="35"/>
      <c r="K289" s="35"/>
      <c r="L289" s="35"/>
      <c r="M289" s="35"/>
      <c r="N289" s="35"/>
      <c r="O289" s="23"/>
      <c r="P289" s="35"/>
      <c r="Q289" s="188"/>
      <c r="R289" s="35"/>
      <c r="S289" s="35"/>
      <c r="T289" s="35"/>
    </row>
    <row r="290" spans="1:20" ht="29.25" customHeight="1" x14ac:dyDescent="0.2">
      <c r="A290" s="187"/>
      <c r="B290" s="35"/>
      <c r="C290" s="23"/>
      <c r="D290" s="35"/>
      <c r="E290" s="35"/>
      <c r="F290" s="35"/>
      <c r="G290" s="28"/>
      <c r="H290" s="35"/>
      <c r="I290" s="35"/>
      <c r="J290" s="35"/>
      <c r="K290" s="35"/>
      <c r="L290" s="35"/>
      <c r="M290" s="35"/>
      <c r="N290" s="35"/>
      <c r="O290" s="23"/>
      <c r="P290" s="35"/>
      <c r="Q290" s="188"/>
      <c r="R290" s="35"/>
      <c r="S290" s="35"/>
      <c r="T290" s="35"/>
    </row>
    <row r="291" spans="1:20" ht="29.25" customHeight="1" x14ac:dyDescent="0.2">
      <c r="A291" s="187"/>
      <c r="B291" s="35"/>
      <c r="C291" s="23"/>
      <c r="D291" s="35"/>
      <c r="E291" s="35"/>
      <c r="F291" s="35"/>
      <c r="G291" s="28"/>
      <c r="H291" s="35"/>
      <c r="I291" s="35"/>
      <c r="J291" s="35"/>
      <c r="K291" s="35"/>
      <c r="L291" s="35"/>
      <c r="M291" s="35"/>
      <c r="N291" s="35"/>
      <c r="O291" s="23"/>
      <c r="P291" s="35"/>
      <c r="Q291" s="188"/>
      <c r="R291" s="35"/>
      <c r="S291" s="35"/>
      <c r="T291" s="35"/>
    </row>
    <row r="292" spans="1:20" ht="29.25" customHeight="1" x14ac:dyDescent="0.2">
      <c r="A292" s="187"/>
      <c r="B292" s="35"/>
      <c r="C292" s="23"/>
      <c r="D292" s="35"/>
      <c r="E292" s="35"/>
      <c r="F292" s="35"/>
      <c r="G292" s="28"/>
      <c r="H292" s="35"/>
      <c r="I292" s="35"/>
      <c r="J292" s="35"/>
      <c r="K292" s="35"/>
      <c r="L292" s="35"/>
      <c r="M292" s="35"/>
      <c r="N292" s="35"/>
      <c r="O292" s="23"/>
      <c r="P292" s="35"/>
      <c r="Q292" s="188"/>
      <c r="R292" s="35"/>
      <c r="S292" s="35"/>
      <c r="T292" s="35"/>
    </row>
    <row r="293" spans="1:20" ht="29.25" customHeight="1" x14ac:dyDescent="0.2">
      <c r="A293" s="187"/>
      <c r="B293" s="35"/>
      <c r="C293" s="23"/>
      <c r="D293" s="35"/>
      <c r="E293" s="35"/>
      <c r="F293" s="35"/>
      <c r="G293" s="28"/>
      <c r="H293" s="35"/>
      <c r="I293" s="35"/>
      <c r="J293" s="35"/>
      <c r="K293" s="35"/>
      <c r="L293" s="35"/>
      <c r="M293" s="35"/>
      <c r="N293" s="35"/>
      <c r="O293" s="23"/>
      <c r="P293" s="35"/>
      <c r="Q293" s="188"/>
      <c r="R293" s="35"/>
      <c r="S293" s="35"/>
      <c r="T293" s="35"/>
    </row>
    <row r="294" spans="1:20" ht="29.25" customHeight="1" x14ac:dyDescent="0.2">
      <c r="A294" s="187"/>
      <c r="B294" s="35"/>
      <c r="C294" s="23"/>
      <c r="D294" s="35"/>
      <c r="E294" s="35"/>
      <c r="F294" s="35"/>
      <c r="G294" s="28"/>
      <c r="H294" s="35"/>
      <c r="I294" s="35"/>
      <c r="J294" s="35"/>
      <c r="K294" s="35"/>
      <c r="L294" s="35"/>
      <c r="M294" s="35"/>
      <c r="N294" s="35"/>
      <c r="O294" s="23"/>
      <c r="P294" s="35"/>
      <c r="Q294" s="188"/>
      <c r="R294" s="35"/>
      <c r="S294" s="35"/>
      <c r="T294" s="35"/>
    </row>
    <row r="295" spans="1:20" ht="29.25" customHeight="1" x14ac:dyDescent="0.2">
      <c r="A295" s="187"/>
      <c r="B295" s="35"/>
      <c r="C295" s="23"/>
      <c r="D295" s="35"/>
      <c r="E295" s="35"/>
      <c r="F295" s="35"/>
      <c r="G295" s="28"/>
      <c r="H295" s="35"/>
      <c r="I295" s="35"/>
      <c r="J295" s="35"/>
      <c r="K295" s="35"/>
      <c r="L295" s="35"/>
      <c r="M295" s="35"/>
      <c r="N295" s="35"/>
      <c r="O295" s="23"/>
      <c r="P295" s="35"/>
      <c r="Q295" s="188"/>
      <c r="R295" s="35"/>
      <c r="S295" s="35"/>
      <c r="T295" s="35"/>
    </row>
    <row r="296" spans="1:20" ht="29.25" customHeight="1" x14ac:dyDescent="0.2">
      <c r="A296" s="187"/>
      <c r="B296" s="35"/>
      <c r="C296" s="23"/>
      <c r="D296" s="35"/>
      <c r="E296" s="35"/>
      <c r="F296" s="35"/>
      <c r="G296" s="28"/>
      <c r="H296" s="35"/>
      <c r="I296" s="35"/>
      <c r="J296" s="35"/>
      <c r="K296" s="35"/>
      <c r="L296" s="35"/>
      <c r="M296" s="35"/>
      <c r="N296" s="35"/>
      <c r="O296" s="23"/>
      <c r="P296" s="35"/>
      <c r="Q296" s="188"/>
      <c r="R296" s="35"/>
      <c r="S296" s="35"/>
      <c r="T296" s="35"/>
    </row>
    <row r="297" spans="1:20" ht="29.25" customHeight="1" x14ac:dyDescent="0.2">
      <c r="A297" s="187"/>
      <c r="B297" s="35"/>
      <c r="C297" s="23"/>
      <c r="D297" s="35"/>
      <c r="E297" s="35"/>
      <c r="F297" s="35"/>
      <c r="G297" s="28"/>
      <c r="H297" s="35"/>
      <c r="I297" s="35"/>
      <c r="J297" s="35"/>
      <c r="K297" s="35"/>
      <c r="L297" s="35"/>
      <c r="M297" s="35"/>
      <c r="N297" s="35"/>
      <c r="O297" s="23"/>
      <c r="P297" s="35"/>
      <c r="Q297" s="188"/>
      <c r="R297" s="35"/>
      <c r="S297" s="35"/>
      <c r="T297" s="35"/>
    </row>
    <row r="298" spans="1:20" ht="29.25" customHeight="1" x14ac:dyDescent="0.2">
      <c r="A298" s="187"/>
      <c r="B298" s="35"/>
      <c r="C298" s="23"/>
      <c r="D298" s="35"/>
      <c r="E298" s="35"/>
      <c r="F298" s="35"/>
      <c r="G298" s="28"/>
      <c r="H298" s="35"/>
      <c r="I298" s="35"/>
      <c r="J298" s="35"/>
      <c r="K298" s="35"/>
      <c r="L298" s="35"/>
      <c r="M298" s="35"/>
      <c r="N298" s="35"/>
      <c r="O298" s="23"/>
      <c r="P298" s="35"/>
      <c r="Q298" s="188"/>
      <c r="R298" s="35"/>
      <c r="S298" s="35"/>
      <c r="T298" s="35"/>
    </row>
    <row r="299" spans="1:20" ht="29.25" customHeight="1" x14ac:dyDescent="0.2">
      <c r="A299" s="187"/>
      <c r="B299" s="35"/>
      <c r="C299" s="23"/>
      <c r="D299" s="35"/>
      <c r="E299" s="35"/>
      <c r="F299" s="35"/>
      <c r="G299" s="28"/>
      <c r="H299" s="35"/>
      <c r="I299" s="35"/>
      <c r="J299" s="35"/>
      <c r="K299" s="35"/>
      <c r="L299" s="35"/>
      <c r="M299" s="35"/>
      <c r="N299" s="35"/>
      <c r="O299" s="23"/>
      <c r="P299" s="35"/>
      <c r="Q299" s="188"/>
      <c r="R299" s="35"/>
      <c r="S299" s="35"/>
      <c r="T299" s="35"/>
    </row>
    <row r="300" spans="1:20" ht="29.25" customHeight="1" x14ac:dyDescent="0.2">
      <c r="A300" s="187"/>
      <c r="B300" s="35"/>
      <c r="C300" s="23"/>
      <c r="D300" s="35"/>
      <c r="E300" s="35"/>
      <c r="F300" s="35"/>
      <c r="G300" s="28"/>
      <c r="H300" s="35"/>
      <c r="I300" s="35"/>
      <c r="J300" s="35"/>
      <c r="K300" s="35"/>
      <c r="L300" s="35"/>
      <c r="M300" s="35"/>
      <c r="N300" s="35"/>
      <c r="O300" s="23"/>
      <c r="P300" s="35"/>
      <c r="Q300" s="188"/>
      <c r="R300" s="35"/>
      <c r="S300" s="35"/>
      <c r="T300" s="35"/>
    </row>
    <row r="301" spans="1:20" ht="29.25" customHeight="1" x14ac:dyDescent="0.2">
      <c r="A301" s="187"/>
      <c r="B301" s="35"/>
      <c r="C301" s="23"/>
      <c r="D301" s="35"/>
      <c r="E301" s="35"/>
      <c r="F301" s="35"/>
      <c r="G301" s="28"/>
      <c r="H301" s="35"/>
      <c r="I301" s="35"/>
      <c r="J301" s="35"/>
      <c r="K301" s="35"/>
      <c r="L301" s="35"/>
      <c r="M301" s="35"/>
      <c r="N301" s="35"/>
      <c r="O301" s="23"/>
      <c r="P301" s="35"/>
      <c r="Q301" s="188"/>
      <c r="R301" s="35"/>
      <c r="S301" s="35"/>
      <c r="T301" s="35"/>
    </row>
    <row r="302" spans="1:20" ht="29.25" customHeight="1" x14ac:dyDescent="0.2">
      <c r="A302" s="187"/>
      <c r="B302" s="35"/>
      <c r="C302" s="23"/>
      <c r="D302" s="35"/>
      <c r="E302" s="35"/>
      <c r="F302" s="35"/>
      <c r="G302" s="28"/>
      <c r="H302" s="35"/>
      <c r="I302" s="35"/>
      <c r="J302" s="35"/>
      <c r="K302" s="35"/>
      <c r="L302" s="35"/>
      <c r="M302" s="35"/>
      <c r="N302" s="35"/>
      <c r="O302" s="23"/>
      <c r="P302" s="35"/>
      <c r="Q302" s="188"/>
      <c r="R302" s="35"/>
      <c r="S302" s="35"/>
      <c r="T302" s="35"/>
    </row>
    <row r="303" spans="1:20" ht="29.25" customHeight="1" x14ac:dyDescent="0.2">
      <c r="A303" s="187"/>
      <c r="B303" s="35"/>
      <c r="C303" s="23"/>
      <c r="D303" s="35"/>
      <c r="E303" s="35"/>
      <c r="F303" s="35"/>
      <c r="G303" s="28"/>
      <c r="H303" s="35"/>
      <c r="I303" s="35"/>
      <c r="J303" s="35"/>
      <c r="K303" s="35"/>
      <c r="L303" s="35"/>
      <c r="M303" s="35"/>
      <c r="N303" s="35"/>
      <c r="O303" s="23"/>
      <c r="P303" s="35"/>
      <c r="Q303" s="188"/>
      <c r="R303" s="35"/>
      <c r="S303" s="35"/>
      <c r="T303" s="35"/>
    </row>
    <row r="304" spans="1:20" ht="29.25" customHeight="1" x14ac:dyDescent="0.2">
      <c r="A304" s="187"/>
      <c r="B304" s="35"/>
      <c r="C304" s="23"/>
      <c r="D304" s="35"/>
      <c r="E304" s="35"/>
      <c r="F304" s="35"/>
      <c r="G304" s="28"/>
      <c r="H304" s="35"/>
      <c r="I304" s="35"/>
      <c r="J304" s="35"/>
      <c r="K304" s="35"/>
      <c r="L304" s="35"/>
      <c r="M304" s="35"/>
      <c r="N304" s="35"/>
      <c r="O304" s="23"/>
      <c r="P304" s="35"/>
      <c r="Q304" s="188"/>
      <c r="R304" s="35"/>
      <c r="S304" s="35"/>
      <c r="T304" s="35"/>
    </row>
    <row r="305" spans="1:20" ht="29.25" customHeight="1" x14ac:dyDescent="0.2">
      <c r="A305" s="187"/>
      <c r="B305" s="35"/>
      <c r="C305" s="23"/>
      <c r="D305" s="35"/>
      <c r="E305" s="35"/>
      <c r="F305" s="35"/>
      <c r="G305" s="28"/>
      <c r="H305" s="35"/>
      <c r="I305" s="35"/>
      <c r="J305" s="35"/>
      <c r="K305" s="35"/>
      <c r="L305" s="35"/>
      <c r="M305" s="35"/>
      <c r="N305" s="35"/>
      <c r="O305" s="23"/>
      <c r="P305" s="35"/>
      <c r="Q305" s="188"/>
      <c r="R305" s="35"/>
      <c r="S305" s="35"/>
      <c r="T305" s="35"/>
    </row>
    <row r="306" spans="1:20" ht="29.25" customHeight="1" x14ac:dyDescent="0.2">
      <c r="A306" s="187"/>
      <c r="B306" s="35"/>
      <c r="C306" s="23"/>
      <c r="D306" s="35"/>
      <c r="E306" s="35"/>
      <c r="F306" s="35"/>
      <c r="G306" s="28"/>
      <c r="H306" s="35"/>
      <c r="I306" s="35"/>
      <c r="J306" s="35"/>
      <c r="K306" s="35"/>
      <c r="L306" s="35"/>
      <c r="M306" s="35"/>
      <c r="N306" s="35"/>
      <c r="O306" s="23"/>
      <c r="P306" s="35"/>
      <c r="Q306" s="188"/>
      <c r="R306" s="35"/>
      <c r="S306" s="35"/>
      <c r="T306" s="35"/>
    </row>
    <row r="307" spans="1:20" ht="29.25" customHeight="1" x14ac:dyDescent="0.2">
      <c r="A307" s="187"/>
      <c r="B307" s="35"/>
      <c r="C307" s="23"/>
      <c r="D307" s="35"/>
      <c r="E307" s="35"/>
      <c r="F307" s="35"/>
      <c r="G307" s="28"/>
      <c r="H307" s="35"/>
      <c r="I307" s="35"/>
      <c r="J307" s="35"/>
      <c r="K307" s="35"/>
      <c r="L307" s="35"/>
      <c r="M307" s="35"/>
      <c r="N307" s="35"/>
      <c r="O307" s="23"/>
      <c r="P307" s="35"/>
      <c r="Q307" s="188"/>
      <c r="R307" s="35"/>
      <c r="S307" s="35"/>
      <c r="T307" s="35"/>
    </row>
    <row r="308" spans="1:20" ht="29.25" customHeight="1" x14ac:dyDescent="0.2">
      <c r="A308" s="187"/>
      <c r="B308" s="35"/>
      <c r="C308" s="23"/>
      <c r="D308" s="35"/>
      <c r="E308" s="35"/>
      <c r="F308" s="35"/>
      <c r="G308" s="28"/>
      <c r="H308" s="35"/>
      <c r="I308" s="35"/>
      <c r="J308" s="35"/>
      <c r="K308" s="35"/>
      <c r="L308" s="35"/>
      <c r="M308" s="35"/>
      <c r="N308" s="35"/>
      <c r="O308" s="23"/>
      <c r="P308" s="35"/>
      <c r="Q308" s="188"/>
      <c r="R308" s="35"/>
      <c r="S308" s="35"/>
      <c r="T308" s="35"/>
    </row>
    <row r="309" spans="1:20" ht="29.25" customHeight="1" x14ac:dyDescent="0.2">
      <c r="A309" s="187"/>
      <c r="B309" s="35"/>
      <c r="C309" s="23"/>
      <c r="D309" s="35"/>
      <c r="E309" s="35"/>
      <c r="F309" s="35"/>
      <c r="G309" s="28"/>
      <c r="H309" s="35"/>
      <c r="I309" s="35"/>
      <c r="J309" s="35"/>
      <c r="K309" s="35"/>
      <c r="L309" s="35"/>
      <c r="M309" s="35"/>
      <c r="N309" s="35"/>
      <c r="O309" s="23"/>
      <c r="P309" s="35"/>
      <c r="Q309" s="188"/>
      <c r="R309" s="35"/>
      <c r="S309" s="35"/>
      <c r="T309" s="35"/>
    </row>
    <row r="310" spans="1:20" ht="29.25" customHeight="1" x14ac:dyDescent="0.2">
      <c r="A310" s="187"/>
      <c r="B310" s="35"/>
      <c r="C310" s="23"/>
      <c r="D310" s="35"/>
      <c r="E310" s="35"/>
      <c r="F310" s="35"/>
      <c r="G310" s="28"/>
      <c r="H310" s="35"/>
      <c r="I310" s="35"/>
      <c r="J310" s="35"/>
      <c r="K310" s="35"/>
      <c r="L310" s="35"/>
      <c r="M310" s="35"/>
      <c r="N310" s="35"/>
      <c r="O310" s="23"/>
      <c r="P310" s="35"/>
      <c r="Q310" s="188"/>
      <c r="R310" s="35"/>
      <c r="S310" s="35"/>
      <c r="T310" s="35"/>
    </row>
    <row r="311" spans="1:20" ht="29.25" customHeight="1" x14ac:dyDescent="0.2">
      <c r="A311" s="187"/>
      <c r="B311" s="35"/>
      <c r="C311" s="23"/>
      <c r="D311" s="35"/>
      <c r="E311" s="35"/>
      <c r="F311" s="35"/>
      <c r="G311" s="28"/>
      <c r="H311" s="35"/>
      <c r="I311" s="35"/>
      <c r="J311" s="35"/>
      <c r="K311" s="35"/>
      <c r="L311" s="35"/>
      <c r="M311" s="35"/>
      <c r="N311" s="35"/>
      <c r="O311" s="23"/>
      <c r="P311" s="35"/>
      <c r="Q311" s="188"/>
      <c r="R311" s="35"/>
      <c r="S311" s="35"/>
      <c r="T311" s="35"/>
    </row>
    <row r="312" spans="1:20" ht="29.25" customHeight="1" x14ac:dyDescent="0.2">
      <c r="A312" s="187"/>
      <c r="B312" s="35"/>
      <c r="C312" s="23"/>
      <c r="D312" s="35"/>
      <c r="E312" s="35"/>
      <c r="F312" s="35"/>
      <c r="G312" s="28"/>
      <c r="H312" s="35"/>
      <c r="I312" s="35"/>
      <c r="J312" s="35"/>
      <c r="K312" s="35"/>
      <c r="L312" s="35"/>
      <c r="M312" s="35"/>
      <c r="N312" s="35"/>
      <c r="O312" s="23"/>
      <c r="P312" s="35"/>
      <c r="Q312" s="188"/>
      <c r="R312" s="35"/>
      <c r="S312" s="35"/>
      <c r="T312" s="35"/>
    </row>
    <row r="313" spans="1:20" ht="29.25" customHeight="1" x14ac:dyDescent="0.2">
      <c r="A313" s="187"/>
      <c r="B313" s="35"/>
      <c r="C313" s="23"/>
      <c r="D313" s="35"/>
      <c r="E313" s="35"/>
      <c r="F313" s="35"/>
      <c r="G313" s="28"/>
      <c r="H313" s="35"/>
      <c r="I313" s="35"/>
      <c r="J313" s="35"/>
      <c r="K313" s="35"/>
      <c r="L313" s="35"/>
      <c r="M313" s="35"/>
      <c r="N313" s="35"/>
      <c r="O313" s="23"/>
      <c r="P313" s="35"/>
      <c r="Q313" s="188"/>
      <c r="R313" s="35"/>
      <c r="S313" s="35"/>
      <c r="T313" s="35"/>
    </row>
    <row r="314" spans="1:20" ht="29.25" customHeight="1" x14ac:dyDescent="0.2">
      <c r="A314" s="187"/>
      <c r="B314" s="35"/>
      <c r="C314" s="23"/>
      <c r="D314" s="35"/>
      <c r="E314" s="35"/>
      <c r="F314" s="35"/>
      <c r="G314" s="28"/>
      <c r="H314" s="35"/>
      <c r="I314" s="35"/>
      <c r="J314" s="35"/>
      <c r="K314" s="35"/>
      <c r="L314" s="35"/>
      <c r="M314" s="35"/>
      <c r="N314" s="35"/>
      <c r="O314" s="23"/>
      <c r="P314" s="35"/>
      <c r="Q314" s="188"/>
      <c r="R314" s="35"/>
      <c r="S314" s="35"/>
      <c r="T314" s="35"/>
    </row>
    <row r="315" spans="1:20" ht="29.25" customHeight="1" x14ac:dyDescent="0.2">
      <c r="A315" s="187"/>
      <c r="B315" s="35"/>
      <c r="C315" s="23"/>
      <c r="D315" s="35"/>
      <c r="E315" s="35"/>
      <c r="F315" s="35"/>
      <c r="G315" s="28"/>
      <c r="H315" s="35"/>
      <c r="I315" s="35"/>
      <c r="J315" s="35"/>
      <c r="K315" s="35"/>
      <c r="L315" s="35"/>
      <c r="M315" s="35"/>
      <c r="N315" s="35"/>
      <c r="O315" s="23"/>
      <c r="P315" s="35"/>
      <c r="Q315" s="188"/>
      <c r="R315" s="35"/>
      <c r="S315" s="35"/>
      <c r="T315" s="35"/>
    </row>
    <row r="316" spans="1:20" ht="29.25" customHeight="1" x14ac:dyDescent="0.2">
      <c r="A316" s="187"/>
      <c r="B316" s="35"/>
      <c r="C316" s="23"/>
      <c r="D316" s="35"/>
      <c r="E316" s="35"/>
      <c r="F316" s="35"/>
      <c r="G316" s="28"/>
      <c r="H316" s="35"/>
      <c r="I316" s="35"/>
      <c r="J316" s="35"/>
      <c r="K316" s="35"/>
      <c r="L316" s="35"/>
      <c r="M316" s="35"/>
      <c r="N316" s="35"/>
      <c r="O316" s="23"/>
      <c r="P316" s="35"/>
      <c r="Q316" s="188"/>
      <c r="R316" s="35"/>
      <c r="S316" s="35"/>
      <c r="T316" s="35"/>
    </row>
    <row r="317" spans="1:20" ht="29.25" customHeight="1" x14ac:dyDescent="0.2">
      <c r="A317" s="187"/>
      <c r="B317" s="35"/>
      <c r="C317" s="23"/>
      <c r="D317" s="35"/>
      <c r="E317" s="35"/>
      <c r="F317" s="35"/>
      <c r="G317" s="28"/>
      <c r="H317" s="35"/>
      <c r="I317" s="35"/>
      <c r="J317" s="35"/>
      <c r="K317" s="35"/>
      <c r="L317" s="35"/>
      <c r="M317" s="35"/>
      <c r="N317" s="35"/>
      <c r="O317" s="23"/>
      <c r="P317" s="35"/>
      <c r="Q317" s="188"/>
      <c r="R317" s="35"/>
      <c r="S317" s="35"/>
      <c r="T317" s="35"/>
    </row>
    <row r="318" spans="1:20" ht="29.25" customHeight="1" x14ac:dyDescent="0.2">
      <c r="A318" s="187"/>
      <c r="B318" s="35"/>
      <c r="C318" s="23"/>
      <c r="D318" s="35"/>
      <c r="E318" s="35"/>
      <c r="F318" s="35"/>
      <c r="G318" s="28"/>
      <c r="H318" s="35"/>
      <c r="I318" s="35"/>
      <c r="J318" s="35"/>
      <c r="K318" s="35"/>
      <c r="L318" s="35"/>
      <c r="M318" s="35"/>
      <c r="N318" s="35"/>
      <c r="O318" s="23"/>
      <c r="P318" s="35"/>
      <c r="Q318" s="188"/>
      <c r="R318" s="35"/>
      <c r="S318" s="35"/>
      <c r="T318" s="35"/>
    </row>
    <row r="319" spans="1:20" ht="29.25" customHeight="1" x14ac:dyDescent="0.2">
      <c r="A319" s="187"/>
      <c r="B319" s="35"/>
      <c r="C319" s="23"/>
      <c r="D319" s="35"/>
      <c r="E319" s="35"/>
      <c r="F319" s="35"/>
      <c r="G319" s="28"/>
      <c r="H319" s="35"/>
      <c r="I319" s="35"/>
      <c r="J319" s="35"/>
      <c r="K319" s="35"/>
      <c r="L319" s="35"/>
      <c r="M319" s="35"/>
      <c r="N319" s="35"/>
      <c r="O319" s="23"/>
      <c r="P319" s="35"/>
      <c r="Q319" s="188"/>
      <c r="R319" s="35"/>
      <c r="S319" s="35"/>
      <c r="T319" s="35"/>
    </row>
    <row r="320" spans="1:20" ht="29.25" customHeight="1" x14ac:dyDescent="0.2">
      <c r="A320" s="187"/>
      <c r="B320" s="35"/>
      <c r="C320" s="23"/>
      <c r="D320" s="35"/>
      <c r="E320" s="35"/>
      <c r="F320" s="35"/>
      <c r="G320" s="28"/>
      <c r="H320" s="35"/>
      <c r="I320" s="35"/>
      <c r="J320" s="35"/>
      <c r="K320" s="35"/>
      <c r="L320" s="35"/>
      <c r="M320" s="35"/>
      <c r="N320" s="35"/>
      <c r="O320" s="23"/>
      <c r="P320" s="35"/>
      <c r="Q320" s="188"/>
      <c r="R320" s="35"/>
      <c r="S320" s="35"/>
      <c r="T320" s="35"/>
    </row>
    <row r="321" spans="1:20" ht="29.25" customHeight="1" x14ac:dyDescent="0.2">
      <c r="A321" s="187"/>
      <c r="B321" s="35"/>
      <c r="C321" s="23"/>
      <c r="D321" s="35"/>
      <c r="E321" s="35"/>
      <c r="F321" s="35"/>
      <c r="G321" s="28"/>
      <c r="H321" s="35"/>
      <c r="I321" s="35"/>
      <c r="J321" s="35"/>
      <c r="K321" s="35"/>
      <c r="L321" s="35"/>
      <c r="M321" s="35"/>
      <c r="N321" s="35"/>
      <c r="O321" s="23"/>
      <c r="P321" s="35"/>
      <c r="Q321" s="188"/>
      <c r="R321" s="35"/>
      <c r="S321" s="35"/>
      <c r="T321" s="35"/>
    </row>
    <row r="322" spans="1:20" ht="29.25" customHeight="1" x14ac:dyDescent="0.2">
      <c r="A322" s="187"/>
      <c r="B322" s="35"/>
      <c r="C322" s="23"/>
      <c r="D322" s="35"/>
      <c r="E322" s="35"/>
      <c r="F322" s="35"/>
      <c r="G322" s="28"/>
      <c r="H322" s="35"/>
      <c r="I322" s="35"/>
      <c r="J322" s="35"/>
      <c r="K322" s="35"/>
      <c r="L322" s="35"/>
      <c r="M322" s="35"/>
      <c r="N322" s="35"/>
      <c r="O322" s="23"/>
      <c r="P322" s="35"/>
      <c r="Q322" s="188"/>
      <c r="R322" s="35"/>
      <c r="S322" s="35"/>
      <c r="T322" s="35"/>
    </row>
    <row r="323" spans="1:20" ht="29.25" customHeight="1" x14ac:dyDescent="0.2">
      <c r="A323" s="187"/>
      <c r="B323" s="35"/>
      <c r="C323" s="23"/>
      <c r="D323" s="35"/>
      <c r="E323" s="35"/>
      <c r="F323" s="35"/>
      <c r="G323" s="28"/>
      <c r="H323" s="35"/>
      <c r="I323" s="35"/>
      <c r="J323" s="35"/>
      <c r="K323" s="35"/>
      <c r="L323" s="35"/>
      <c r="M323" s="35"/>
      <c r="N323" s="35"/>
      <c r="O323" s="23"/>
      <c r="P323" s="35"/>
      <c r="Q323" s="188"/>
      <c r="R323" s="35"/>
      <c r="S323" s="35"/>
      <c r="T323" s="35"/>
    </row>
    <row r="324" spans="1:20" ht="29.25" customHeight="1" x14ac:dyDescent="0.2">
      <c r="A324" s="187"/>
      <c r="B324" s="35"/>
      <c r="C324" s="23"/>
      <c r="D324" s="35"/>
      <c r="E324" s="35"/>
      <c r="F324" s="35"/>
      <c r="G324" s="28"/>
      <c r="H324" s="35"/>
      <c r="I324" s="35"/>
      <c r="J324" s="35"/>
      <c r="K324" s="35"/>
      <c r="L324" s="35"/>
      <c r="M324" s="35"/>
      <c r="N324" s="35"/>
      <c r="O324" s="23"/>
      <c r="P324" s="35"/>
      <c r="Q324" s="188"/>
      <c r="R324" s="35"/>
      <c r="S324" s="35"/>
      <c r="T324" s="35"/>
    </row>
    <row r="325" spans="1:20" ht="29.25" customHeight="1" x14ac:dyDescent="0.2">
      <c r="A325" s="187"/>
      <c r="B325" s="35"/>
      <c r="C325" s="23"/>
      <c r="D325" s="35"/>
      <c r="E325" s="35"/>
      <c r="F325" s="35"/>
      <c r="G325" s="28"/>
      <c r="H325" s="35"/>
      <c r="I325" s="35"/>
      <c r="J325" s="35"/>
      <c r="K325" s="35"/>
      <c r="L325" s="35"/>
      <c r="M325" s="35"/>
      <c r="N325" s="35"/>
      <c r="O325" s="23"/>
      <c r="P325" s="35"/>
      <c r="Q325" s="188"/>
      <c r="R325" s="35"/>
      <c r="S325" s="35"/>
      <c r="T325" s="35"/>
    </row>
    <row r="326" spans="1:20" ht="29.25" customHeight="1" x14ac:dyDescent="0.2">
      <c r="A326" s="187"/>
      <c r="B326" s="35"/>
      <c r="C326" s="23"/>
      <c r="D326" s="35"/>
      <c r="E326" s="35"/>
      <c r="F326" s="35"/>
      <c r="G326" s="28"/>
      <c r="H326" s="35"/>
      <c r="I326" s="35"/>
      <c r="J326" s="35"/>
      <c r="K326" s="35"/>
      <c r="L326" s="35"/>
      <c r="M326" s="35"/>
      <c r="N326" s="35"/>
      <c r="O326" s="23"/>
      <c r="P326" s="35"/>
      <c r="Q326" s="188"/>
      <c r="R326" s="35"/>
      <c r="S326" s="35"/>
      <c r="T326" s="35"/>
    </row>
    <row r="327" spans="1:20" ht="29.25" customHeight="1" x14ac:dyDescent="0.2">
      <c r="A327" s="187"/>
      <c r="B327" s="35"/>
      <c r="C327" s="23"/>
      <c r="D327" s="35"/>
      <c r="E327" s="35"/>
      <c r="F327" s="35"/>
      <c r="G327" s="28"/>
      <c r="H327" s="35"/>
      <c r="I327" s="35"/>
      <c r="J327" s="35"/>
      <c r="K327" s="35"/>
      <c r="L327" s="35"/>
      <c r="M327" s="35"/>
      <c r="N327" s="35"/>
      <c r="O327" s="23"/>
      <c r="P327" s="35"/>
      <c r="Q327" s="188"/>
      <c r="R327" s="35"/>
      <c r="S327" s="35"/>
      <c r="T327" s="35"/>
    </row>
    <row r="328" spans="1:20" ht="29.25" customHeight="1" x14ac:dyDescent="0.2">
      <c r="A328" s="187"/>
      <c r="B328" s="35"/>
      <c r="C328" s="23"/>
      <c r="D328" s="35"/>
      <c r="E328" s="35"/>
      <c r="F328" s="35"/>
      <c r="G328" s="28"/>
      <c r="H328" s="35"/>
      <c r="I328" s="35"/>
      <c r="J328" s="35"/>
      <c r="K328" s="35"/>
      <c r="L328" s="35"/>
      <c r="M328" s="35"/>
      <c r="N328" s="35"/>
      <c r="O328" s="23"/>
      <c r="P328" s="35"/>
      <c r="Q328" s="188"/>
      <c r="R328" s="35"/>
      <c r="S328" s="35"/>
      <c r="T328" s="35"/>
    </row>
    <row r="329" spans="1:20" ht="29.25" customHeight="1" x14ac:dyDescent="0.2">
      <c r="A329" s="187"/>
      <c r="B329" s="35"/>
      <c r="C329" s="23"/>
      <c r="D329" s="35"/>
      <c r="E329" s="35"/>
      <c r="F329" s="35"/>
      <c r="G329" s="28"/>
      <c r="H329" s="35"/>
      <c r="I329" s="35"/>
      <c r="J329" s="35"/>
      <c r="K329" s="35"/>
      <c r="L329" s="35"/>
      <c r="M329" s="35"/>
      <c r="N329" s="35"/>
      <c r="O329" s="23"/>
      <c r="P329" s="35"/>
      <c r="Q329" s="188"/>
      <c r="R329" s="35"/>
      <c r="S329" s="35"/>
      <c r="T329" s="35"/>
    </row>
    <row r="330" spans="1:20" ht="29.25" customHeight="1" x14ac:dyDescent="0.2">
      <c r="A330" s="187"/>
      <c r="B330" s="35"/>
      <c r="C330" s="23"/>
      <c r="D330" s="35"/>
      <c r="E330" s="35"/>
      <c r="F330" s="35"/>
      <c r="G330" s="28"/>
      <c r="H330" s="35"/>
      <c r="I330" s="35"/>
      <c r="J330" s="35"/>
      <c r="K330" s="35"/>
      <c r="L330" s="35"/>
      <c r="M330" s="35"/>
      <c r="N330" s="35"/>
      <c r="O330" s="23"/>
      <c r="P330" s="35"/>
      <c r="Q330" s="188"/>
      <c r="R330" s="35"/>
      <c r="S330" s="35"/>
      <c r="T330" s="35"/>
    </row>
    <row r="331" spans="1:20" ht="29.25" customHeight="1" x14ac:dyDescent="0.2">
      <c r="A331" s="187"/>
      <c r="B331" s="35"/>
      <c r="C331" s="23"/>
      <c r="D331" s="35"/>
      <c r="E331" s="35"/>
      <c r="F331" s="35"/>
      <c r="G331" s="28"/>
      <c r="H331" s="35"/>
      <c r="I331" s="35"/>
      <c r="J331" s="35"/>
      <c r="K331" s="35"/>
      <c r="L331" s="35"/>
      <c r="M331" s="35"/>
      <c r="N331" s="35"/>
      <c r="O331" s="23"/>
      <c r="P331" s="35"/>
      <c r="Q331" s="188"/>
      <c r="R331" s="35"/>
      <c r="S331" s="35"/>
      <c r="T331" s="35"/>
    </row>
    <row r="332" spans="1:20" ht="29.25" customHeight="1" x14ac:dyDescent="0.2">
      <c r="A332" s="187"/>
      <c r="B332" s="35"/>
      <c r="C332" s="23"/>
      <c r="D332" s="35"/>
      <c r="E332" s="35"/>
      <c r="F332" s="35"/>
      <c r="G332" s="28"/>
      <c r="H332" s="35"/>
      <c r="I332" s="35"/>
      <c r="J332" s="35"/>
      <c r="K332" s="35"/>
      <c r="L332" s="35"/>
      <c r="M332" s="35"/>
      <c r="N332" s="35"/>
      <c r="O332" s="23"/>
      <c r="P332" s="35"/>
      <c r="Q332" s="188"/>
      <c r="R332" s="35"/>
      <c r="S332" s="35"/>
      <c r="T332" s="35"/>
    </row>
    <row r="333" spans="1:20" ht="29.25" customHeight="1" x14ac:dyDescent="0.2">
      <c r="A333" s="187"/>
      <c r="B333" s="35"/>
      <c r="C333" s="23"/>
      <c r="D333" s="35"/>
      <c r="E333" s="35"/>
      <c r="F333" s="35"/>
      <c r="G333" s="28"/>
      <c r="H333" s="35"/>
      <c r="I333" s="35"/>
      <c r="J333" s="35"/>
      <c r="K333" s="35"/>
      <c r="L333" s="35"/>
      <c r="M333" s="35"/>
      <c r="N333" s="35"/>
      <c r="O333" s="23"/>
      <c r="P333" s="35"/>
      <c r="Q333" s="188"/>
      <c r="R333" s="35"/>
      <c r="S333" s="35"/>
      <c r="T333" s="35"/>
    </row>
    <row r="334" spans="1:20" ht="29.25" customHeight="1" x14ac:dyDescent="0.2">
      <c r="A334" s="187"/>
      <c r="B334" s="35"/>
      <c r="C334" s="23"/>
      <c r="D334" s="35"/>
      <c r="E334" s="35"/>
      <c r="F334" s="35"/>
      <c r="G334" s="28"/>
      <c r="H334" s="35"/>
      <c r="I334" s="35"/>
      <c r="J334" s="35"/>
      <c r="K334" s="35"/>
      <c r="L334" s="35"/>
      <c r="M334" s="35"/>
      <c r="N334" s="35"/>
      <c r="O334" s="23"/>
      <c r="P334" s="35"/>
      <c r="Q334" s="188"/>
      <c r="R334" s="35"/>
      <c r="S334" s="35"/>
      <c r="T334" s="35"/>
    </row>
    <row r="335" spans="1:20" ht="29.25" customHeight="1" x14ac:dyDescent="0.2">
      <c r="A335" s="187"/>
      <c r="B335" s="35"/>
      <c r="C335" s="23"/>
      <c r="D335" s="35"/>
      <c r="E335" s="35"/>
      <c r="F335" s="35"/>
      <c r="G335" s="28"/>
      <c r="H335" s="35"/>
      <c r="I335" s="35"/>
      <c r="J335" s="35"/>
      <c r="K335" s="35"/>
      <c r="L335" s="35"/>
      <c r="M335" s="35"/>
      <c r="N335" s="35"/>
      <c r="O335" s="23"/>
      <c r="P335" s="35"/>
      <c r="Q335" s="188"/>
      <c r="R335" s="35"/>
      <c r="S335" s="35"/>
      <c r="T335" s="35"/>
    </row>
    <row r="336" spans="1:20" ht="29.25" customHeight="1" x14ac:dyDescent="0.2">
      <c r="A336" s="187"/>
      <c r="B336" s="35"/>
      <c r="C336" s="23"/>
      <c r="D336" s="35"/>
      <c r="E336" s="35"/>
      <c r="F336" s="35"/>
      <c r="G336" s="28"/>
      <c r="H336" s="35"/>
      <c r="I336" s="35"/>
      <c r="J336" s="35"/>
      <c r="K336" s="35"/>
      <c r="L336" s="35"/>
      <c r="M336" s="35"/>
      <c r="N336" s="35"/>
      <c r="O336" s="23"/>
      <c r="P336" s="35"/>
      <c r="Q336" s="188"/>
      <c r="R336" s="35"/>
      <c r="S336" s="35"/>
      <c r="T336" s="35"/>
    </row>
    <row r="337" spans="1:20" ht="29.25" customHeight="1" x14ac:dyDescent="0.2">
      <c r="A337" s="187"/>
      <c r="B337" s="35"/>
      <c r="C337" s="23"/>
      <c r="D337" s="35"/>
      <c r="E337" s="35"/>
      <c r="F337" s="35"/>
      <c r="G337" s="28"/>
      <c r="H337" s="35"/>
      <c r="I337" s="35"/>
      <c r="J337" s="35"/>
      <c r="K337" s="35"/>
      <c r="L337" s="35"/>
      <c r="M337" s="35"/>
      <c r="N337" s="35"/>
      <c r="O337" s="23"/>
      <c r="P337" s="35"/>
      <c r="Q337" s="188"/>
      <c r="R337" s="35"/>
      <c r="S337" s="35"/>
      <c r="T337" s="35"/>
    </row>
    <row r="338" spans="1:20" ht="29.25" customHeight="1" x14ac:dyDescent="0.2">
      <c r="A338" s="187"/>
      <c r="B338" s="35"/>
      <c r="C338" s="23"/>
      <c r="D338" s="35"/>
      <c r="E338" s="35"/>
      <c r="F338" s="35"/>
      <c r="G338" s="28"/>
      <c r="H338" s="35"/>
      <c r="I338" s="35"/>
      <c r="J338" s="35"/>
      <c r="K338" s="35"/>
      <c r="L338" s="35"/>
      <c r="M338" s="35"/>
      <c r="N338" s="35"/>
      <c r="O338" s="23"/>
      <c r="P338" s="35"/>
      <c r="Q338" s="188"/>
      <c r="R338" s="35"/>
      <c r="S338" s="35"/>
      <c r="T338" s="35"/>
    </row>
    <row r="339" spans="1:20" ht="29.25" customHeight="1" x14ac:dyDescent="0.2">
      <c r="A339" s="187"/>
      <c r="B339" s="35"/>
      <c r="C339" s="23"/>
      <c r="D339" s="35"/>
      <c r="E339" s="35"/>
      <c r="F339" s="35"/>
      <c r="G339" s="28"/>
      <c r="H339" s="35"/>
      <c r="I339" s="35"/>
      <c r="J339" s="35"/>
      <c r="K339" s="35"/>
      <c r="L339" s="35"/>
      <c r="M339" s="35"/>
      <c r="N339" s="35"/>
      <c r="O339" s="23"/>
      <c r="P339" s="35"/>
      <c r="Q339" s="188"/>
      <c r="R339" s="35"/>
      <c r="S339" s="35"/>
      <c r="T339" s="35"/>
    </row>
    <row r="340" spans="1:20" ht="29.25" customHeight="1" x14ac:dyDescent="0.2">
      <c r="A340" s="187"/>
      <c r="B340" s="35"/>
      <c r="C340" s="23"/>
      <c r="D340" s="35"/>
      <c r="E340" s="35"/>
      <c r="F340" s="35"/>
      <c r="G340" s="28"/>
      <c r="H340" s="35"/>
      <c r="I340" s="35"/>
      <c r="J340" s="35"/>
      <c r="K340" s="35"/>
      <c r="L340" s="35"/>
      <c r="M340" s="35"/>
      <c r="N340" s="35"/>
      <c r="O340" s="23"/>
      <c r="P340" s="35"/>
      <c r="Q340" s="188"/>
      <c r="R340" s="35"/>
      <c r="S340" s="35"/>
      <c r="T340" s="35"/>
    </row>
    <row r="341" spans="1:20" ht="29.25" customHeight="1" x14ac:dyDescent="0.2">
      <c r="A341" s="187"/>
      <c r="B341" s="35"/>
      <c r="C341" s="23"/>
      <c r="D341" s="35"/>
      <c r="E341" s="35"/>
      <c r="F341" s="35"/>
      <c r="G341" s="28"/>
      <c r="H341" s="35"/>
      <c r="I341" s="35"/>
      <c r="J341" s="35"/>
      <c r="K341" s="35"/>
      <c r="L341" s="35"/>
      <c r="M341" s="35"/>
      <c r="N341" s="35"/>
      <c r="O341" s="23"/>
      <c r="P341" s="35"/>
      <c r="Q341" s="188"/>
      <c r="R341" s="35"/>
      <c r="S341" s="35"/>
      <c r="T341" s="35"/>
    </row>
    <row r="342" spans="1:20" ht="29.25" customHeight="1" x14ac:dyDescent="0.2">
      <c r="A342" s="187"/>
      <c r="B342" s="35"/>
      <c r="C342" s="23"/>
      <c r="D342" s="35"/>
      <c r="E342" s="35"/>
      <c r="F342" s="35"/>
      <c r="G342" s="28"/>
      <c r="H342" s="35"/>
      <c r="I342" s="35"/>
      <c r="J342" s="35"/>
      <c r="K342" s="35"/>
      <c r="L342" s="35"/>
      <c r="M342" s="35"/>
      <c r="N342" s="35"/>
      <c r="O342" s="23"/>
      <c r="P342" s="35"/>
      <c r="Q342" s="188"/>
      <c r="R342" s="35"/>
      <c r="S342" s="35"/>
      <c r="T342" s="35"/>
    </row>
    <row r="343" spans="1:20" ht="29.25" customHeight="1" x14ac:dyDescent="0.2">
      <c r="A343" s="187"/>
      <c r="B343" s="35"/>
      <c r="C343" s="23"/>
      <c r="D343" s="35"/>
      <c r="E343" s="35"/>
      <c r="F343" s="35"/>
      <c r="G343" s="28"/>
      <c r="H343" s="35"/>
      <c r="I343" s="35"/>
      <c r="J343" s="35"/>
      <c r="K343" s="35"/>
      <c r="L343" s="35"/>
      <c r="M343" s="35"/>
      <c r="N343" s="35"/>
      <c r="O343" s="23"/>
      <c r="P343" s="35"/>
      <c r="Q343" s="188"/>
      <c r="R343" s="35"/>
      <c r="S343" s="35"/>
      <c r="T343" s="35"/>
    </row>
    <row r="344" spans="1:20" ht="29.25" customHeight="1" x14ac:dyDescent="0.2">
      <c r="A344" s="187"/>
      <c r="B344" s="35"/>
      <c r="C344" s="23"/>
      <c r="D344" s="35"/>
      <c r="E344" s="35"/>
      <c r="F344" s="35"/>
      <c r="G344" s="28"/>
      <c r="H344" s="35"/>
      <c r="I344" s="35"/>
      <c r="J344" s="35"/>
      <c r="K344" s="35"/>
      <c r="L344" s="35"/>
      <c r="M344" s="35"/>
      <c r="N344" s="35"/>
      <c r="O344" s="23"/>
      <c r="P344" s="35"/>
      <c r="Q344" s="188"/>
      <c r="R344" s="35"/>
      <c r="S344" s="35"/>
      <c r="T344" s="35"/>
    </row>
    <row r="345" spans="1:20" ht="29.25" customHeight="1" x14ac:dyDescent="0.2">
      <c r="A345" s="187"/>
      <c r="B345" s="35"/>
      <c r="C345" s="23"/>
      <c r="D345" s="35"/>
      <c r="E345" s="35"/>
      <c r="F345" s="35"/>
      <c r="G345" s="28"/>
      <c r="H345" s="35"/>
      <c r="I345" s="35"/>
      <c r="J345" s="35"/>
      <c r="K345" s="35"/>
      <c r="L345" s="35"/>
      <c r="M345" s="35"/>
      <c r="N345" s="35"/>
      <c r="O345" s="23"/>
      <c r="P345" s="35"/>
      <c r="Q345" s="188"/>
      <c r="R345" s="35"/>
      <c r="S345" s="35"/>
      <c r="T345" s="35"/>
    </row>
    <row r="346" spans="1:20" ht="29.25" customHeight="1" x14ac:dyDescent="0.2">
      <c r="A346" s="187"/>
      <c r="B346" s="35"/>
      <c r="C346" s="23"/>
      <c r="D346" s="35"/>
      <c r="E346" s="35"/>
      <c r="F346" s="35"/>
      <c r="G346" s="28"/>
      <c r="H346" s="35"/>
      <c r="I346" s="35"/>
      <c r="J346" s="35"/>
      <c r="K346" s="35"/>
      <c r="L346" s="35"/>
      <c r="M346" s="35"/>
      <c r="N346" s="35"/>
      <c r="O346" s="23"/>
      <c r="P346" s="35"/>
      <c r="Q346" s="188"/>
      <c r="R346" s="35"/>
      <c r="S346" s="35"/>
      <c r="T346" s="35"/>
    </row>
    <row r="347" spans="1:20" ht="29.25" customHeight="1" x14ac:dyDescent="0.2">
      <c r="A347" s="187"/>
      <c r="B347" s="35"/>
      <c r="C347" s="23"/>
      <c r="D347" s="35"/>
      <c r="E347" s="35"/>
      <c r="F347" s="35"/>
      <c r="G347" s="28"/>
      <c r="H347" s="35"/>
      <c r="I347" s="35"/>
      <c r="J347" s="35"/>
      <c r="K347" s="35"/>
      <c r="L347" s="35"/>
      <c r="M347" s="35"/>
      <c r="N347" s="35"/>
      <c r="O347" s="23"/>
      <c r="P347" s="35"/>
      <c r="Q347" s="188"/>
      <c r="R347" s="35"/>
      <c r="S347" s="35"/>
      <c r="T347" s="35"/>
    </row>
    <row r="348" spans="1:20" ht="29.25" customHeight="1" x14ac:dyDescent="0.2">
      <c r="A348" s="187"/>
      <c r="B348" s="35"/>
      <c r="C348" s="23"/>
      <c r="D348" s="35"/>
      <c r="E348" s="35"/>
      <c r="F348" s="35"/>
      <c r="G348" s="28"/>
      <c r="H348" s="35"/>
      <c r="I348" s="35"/>
      <c r="J348" s="35"/>
      <c r="K348" s="35"/>
      <c r="L348" s="35"/>
      <c r="M348" s="35"/>
      <c r="N348" s="35"/>
      <c r="O348" s="23"/>
      <c r="P348" s="35"/>
      <c r="Q348" s="188"/>
      <c r="R348" s="35"/>
      <c r="S348" s="35"/>
      <c r="T348" s="35"/>
    </row>
    <row r="349" spans="1:20" ht="29.25" customHeight="1" x14ac:dyDescent="0.2">
      <c r="A349" s="187"/>
      <c r="B349" s="35"/>
      <c r="C349" s="23"/>
      <c r="D349" s="35"/>
      <c r="E349" s="35"/>
      <c r="F349" s="35"/>
      <c r="G349" s="28"/>
      <c r="H349" s="35"/>
      <c r="I349" s="35"/>
      <c r="J349" s="35"/>
      <c r="K349" s="35"/>
      <c r="L349" s="35"/>
      <c r="M349" s="35"/>
      <c r="N349" s="35"/>
      <c r="O349" s="23"/>
      <c r="P349" s="35"/>
      <c r="Q349" s="188"/>
      <c r="R349" s="35"/>
      <c r="S349" s="35"/>
      <c r="T349" s="35"/>
    </row>
    <row r="350" spans="1:20" ht="29.25" customHeight="1" x14ac:dyDescent="0.2">
      <c r="A350" s="187"/>
      <c r="B350" s="35"/>
      <c r="C350" s="23"/>
      <c r="D350" s="35"/>
      <c r="E350" s="35"/>
      <c r="F350" s="35"/>
      <c r="G350" s="28"/>
      <c r="H350" s="35"/>
      <c r="I350" s="35"/>
      <c r="J350" s="35"/>
      <c r="K350" s="35"/>
      <c r="L350" s="35"/>
      <c r="M350" s="35"/>
      <c r="N350" s="35"/>
      <c r="O350" s="23"/>
      <c r="P350" s="35"/>
      <c r="Q350" s="188"/>
      <c r="R350" s="35"/>
      <c r="S350" s="35"/>
      <c r="T350" s="35"/>
    </row>
    <row r="351" spans="1:20" ht="29.25" customHeight="1" x14ac:dyDescent="0.2">
      <c r="A351" s="187"/>
      <c r="B351" s="35"/>
      <c r="C351" s="23"/>
      <c r="D351" s="35"/>
      <c r="E351" s="35"/>
      <c r="F351" s="35"/>
      <c r="G351" s="28"/>
      <c r="H351" s="35"/>
      <c r="I351" s="35"/>
      <c r="J351" s="35"/>
      <c r="K351" s="35"/>
      <c r="L351" s="35"/>
      <c r="M351" s="35"/>
      <c r="N351" s="35"/>
      <c r="O351" s="23"/>
      <c r="P351" s="35"/>
      <c r="Q351" s="188"/>
      <c r="R351" s="35"/>
      <c r="S351" s="35"/>
      <c r="T351" s="35"/>
    </row>
    <row r="352" spans="1:20" ht="29.25" customHeight="1" x14ac:dyDescent="0.2">
      <c r="A352" s="187"/>
      <c r="B352" s="35"/>
      <c r="C352" s="23"/>
      <c r="D352" s="35"/>
      <c r="E352" s="35"/>
      <c r="F352" s="35"/>
      <c r="G352" s="28"/>
      <c r="H352" s="35"/>
      <c r="I352" s="35"/>
      <c r="J352" s="35"/>
      <c r="K352" s="35"/>
      <c r="L352" s="35"/>
      <c r="M352" s="35"/>
      <c r="N352" s="35"/>
      <c r="O352" s="23"/>
      <c r="P352" s="35"/>
      <c r="Q352" s="188"/>
      <c r="R352" s="35"/>
      <c r="S352" s="35"/>
      <c r="T352" s="35"/>
    </row>
    <row r="353" spans="1:20" ht="29.25" customHeight="1" x14ac:dyDescent="0.2">
      <c r="A353" s="187"/>
      <c r="B353" s="35"/>
      <c r="C353" s="23"/>
      <c r="D353" s="35"/>
      <c r="E353" s="35"/>
      <c r="F353" s="35"/>
      <c r="G353" s="28"/>
      <c r="H353" s="35"/>
      <c r="I353" s="35"/>
      <c r="J353" s="35"/>
      <c r="K353" s="35"/>
      <c r="L353" s="35"/>
      <c r="M353" s="35"/>
      <c r="N353" s="35"/>
      <c r="O353" s="23"/>
      <c r="P353" s="35"/>
      <c r="Q353" s="188"/>
      <c r="R353" s="35"/>
      <c r="S353" s="35"/>
      <c r="T353" s="35"/>
    </row>
    <row r="354" spans="1:20" ht="29.25" customHeight="1" x14ac:dyDescent="0.2">
      <c r="A354" s="187"/>
      <c r="B354" s="35"/>
      <c r="C354" s="23"/>
      <c r="D354" s="35"/>
      <c r="E354" s="35"/>
      <c r="F354" s="35"/>
      <c r="G354" s="28"/>
      <c r="H354" s="35"/>
      <c r="I354" s="35"/>
      <c r="J354" s="35"/>
      <c r="K354" s="35"/>
      <c r="L354" s="35"/>
      <c r="M354" s="35"/>
      <c r="N354" s="35"/>
      <c r="O354" s="23"/>
      <c r="P354" s="35"/>
      <c r="Q354" s="188"/>
      <c r="R354" s="35"/>
      <c r="S354" s="35"/>
      <c r="T354" s="35"/>
    </row>
    <row r="355" spans="1:20" ht="29.25" customHeight="1" x14ac:dyDescent="0.2">
      <c r="A355" s="187"/>
      <c r="B355" s="35"/>
      <c r="C355" s="23"/>
      <c r="D355" s="35"/>
      <c r="E355" s="35"/>
      <c r="F355" s="35"/>
      <c r="G355" s="28"/>
      <c r="H355" s="35"/>
      <c r="I355" s="35"/>
      <c r="J355" s="35"/>
      <c r="K355" s="35"/>
      <c r="L355" s="35"/>
      <c r="M355" s="35"/>
      <c r="N355" s="35"/>
      <c r="O355" s="23"/>
      <c r="P355" s="35"/>
      <c r="Q355" s="188"/>
      <c r="R355" s="35"/>
      <c r="S355" s="35"/>
      <c r="T355" s="35"/>
    </row>
    <row r="356" spans="1:20" ht="29.25" customHeight="1" x14ac:dyDescent="0.2">
      <c r="A356" s="187"/>
      <c r="B356" s="35"/>
      <c r="C356" s="23"/>
      <c r="D356" s="35"/>
      <c r="E356" s="35"/>
      <c r="F356" s="35"/>
      <c r="G356" s="28"/>
      <c r="H356" s="35"/>
      <c r="I356" s="35"/>
      <c r="J356" s="35"/>
      <c r="K356" s="35"/>
      <c r="L356" s="35"/>
      <c r="M356" s="35"/>
      <c r="N356" s="35"/>
      <c r="O356" s="23"/>
      <c r="P356" s="35"/>
      <c r="Q356" s="188"/>
      <c r="R356" s="35"/>
      <c r="S356" s="35"/>
      <c r="T356" s="35"/>
    </row>
    <row r="357" spans="1:20" ht="29.25" customHeight="1" x14ac:dyDescent="0.2">
      <c r="A357" s="187"/>
      <c r="B357" s="35"/>
      <c r="C357" s="23"/>
      <c r="D357" s="35"/>
      <c r="E357" s="35"/>
      <c r="F357" s="35"/>
      <c r="G357" s="28"/>
      <c r="H357" s="35"/>
      <c r="I357" s="35"/>
      <c r="J357" s="35"/>
      <c r="K357" s="35"/>
      <c r="L357" s="35"/>
      <c r="M357" s="35"/>
      <c r="N357" s="35"/>
      <c r="O357" s="23"/>
      <c r="P357" s="35"/>
      <c r="Q357" s="188"/>
      <c r="R357" s="35"/>
      <c r="S357" s="35"/>
      <c r="T357" s="35"/>
    </row>
    <row r="358" spans="1:20" ht="29.25" customHeight="1" x14ac:dyDescent="0.2">
      <c r="A358" s="187"/>
      <c r="B358" s="35"/>
      <c r="C358" s="23"/>
      <c r="D358" s="35"/>
      <c r="E358" s="35"/>
      <c r="F358" s="35"/>
      <c r="G358" s="28"/>
      <c r="H358" s="35"/>
      <c r="I358" s="35"/>
      <c r="J358" s="35"/>
      <c r="K358" s="35"/>
      <c r="L358" s="35"/>
      <c r="M358" s="35"/>
      <c r="N358" s="35"/>
      <c r="O358" s="23"/>
      <c r="P358" s="35"/>
      <c r="Q358" s="188"/>
      <c r="R358" s="35"/>
      <c r="S358" s="35"/>
      <c r="T358" s="35"/>
    </row>
    <row r="359" spans="1:20" ht="29.25" customHeight="1" x14ac:dyDescent="0.2">
      <c r="A359" s="187"/>
      <c r="B359" s="35"/>
      <c r="C359" s="23"/>
      <c r="D359" s="35"/>
      <c r="E359" s="35"/>
      <c r="F359" s="35"/>
      <c r="G359" s="28"/>
      <c r="H359" s="35"/>
      <c r="I359" s="35"/>
      <c r="J359" s="35"/>
      <c r="K359" s="35"/>
      <c r="L359" s="35"/>
      <c r="M359" s="35"/>
      <c r="N359" s="35"/>
      <c r="O359" s="23"/>
      <c r="P359" s="35"/>
      <c r="Q359" s="188"/>
      <c r="R359" s="35"/>
      <c r="S359" s="35"/>
      <c r="T359" s="35"/>
    </row>
    <row r="360" spans="1:20" ht="29.25" customHeight="1" x14ac:dyDescent="0.2">
      <c r="A360" s="187"/>
      <c r="B360" s="35"/>
      <c r="C360" s="23"/>
      <c r="D360" s="35"/>
      <c r="E360" s="35"/>
      <c r="F360" s="35"/>
      <c r="G360" s="28"/>
      <c r="H360" s="35"/>
      <c r="I360" s="35"/>
      <c r="J360" s="35"/>
      <c r="K360" s="35"/>
      <c r="L360" s="35"/>
      <c r="M360" s="35"/>
      <c r="N360" s="35"/>
      <c r="O360" s="23"/>
      <c r="P360" s="35"/>
      <c r="Q360" s="188"/>
      <c r="R360" s="35"/>
      <c r="S360" s="35"/>
      <c r="T360" s="35"/>
    </row>
    <row r="361" spans="1:20" ht="29.25" customHeight="1" x14ac:dyDescent="0.2">
      <c r="A361" s="187"/>
      <c r="B361" s="35"/>
      <c r="C361" s="23"/>
      <c r="D361" s="35"/>
      <c r="E361" s="35"/>
      <c r="F361" s="35"/>
      <c r="G361" s="28"/>
      <c r="H361" s="35"/>
      <c r="I361" s="35"/>
      <c r="J361" s="35"/>
      <c r="K361" s="35"/>
      <c r="L361" s="35"/>
      <c r="M361" s="35"/>
      <c r="N361" s="35"/>
      <c r="O361" s="23"/>
      <c r="P361" s="35"/>
      <c r="Q361" s="188"/>
      <c r="R361" s="35"/>
      <c r="S361" s="35"/>
      <c r="T361" s="35"/>
    </row>
    <row r="362" spans="1:20" ht="29.25" customHeight="1" x14ac:dyDescent="0.2">
      <c r="A362" s="187"/>
      <c r="B362" s="35"/>
      <c r="C362" s="23"/>
      <c r="D362" s="35"/>
      <c r="E362" s="35"/>
      <c r="F362" s="35"/>
      <c r="G362" s="28"/>
      <c r="H362" s="35"/>
      <c r="I362" s="35"/>
      <c r="J362" s="35"/>
      <c r="K362" s="35"/>
      <c r="L362" s="35"/>
      <c r="M362" s="35"/>
      <c r="N362" s="35"/>
      <c r="O362" s="23"/>
      <c r="P362" s="35"/>
      <c r="Q362" s="188"/>
      <c r="R362" s="35"/>
      <c r="S362" s="35"/>
      <c r="T362" s="35"/>
    </row>
    <row r="363" spans="1:20" ht="29.25" customHeight="1" x14ac:dyDescent="0.2">
      <c r="A363" s="187"/>
      <c r="B363" s="35"/>
      <c r="C363" s="23"/>
      <c r="D363" s="35"/>
      <c r="E363" s="35"/>
      <c r="F363" s="35"/>
      <c r="G363" s="28"/>
      <c r="H363" s="35"/>
      <c r="I363" s="35"/>
      <c r="J363" s="35"/>
      <c r="K363" s="35"/>
      <c r="L363" s="35"/>
      <c r="M363" s="35"/>
      <c r="N363" s="35"/>
      <c r="O363" s="23"/>
      <c r="P363" s="35"/>
      <c r="Q363" s="188"/>
      <c r="R363" s="35"/>
      <c r="S363" s="35"/>
      <c r="T363" s="35"/>
    </row>
    <row r="364" spans="1:20" ht="29.25" customHeight="1" x14ac:dyDescent="0.2">
      <c r="A364" s="187"/>
      <c r="B364" s="35"/>
      <c r="C364" s="23"/>
      <c r="D364" s="35"/>
      <c r="E364" s="35"/>
      <c r="F364" s="35"/>
      <c r="G364" s="28"/>
      <c r="H364" s="35"/>
      <c r="I364" s="35"/>
      <c r="J364" s="35"/>
      <c r="K364" s="35"/>
      <c r="L364" s="35"/>
      <c r="M364" s="35"/>
      <c r="N364" s="35"/>
      <c r="O364" s="23"/>
      <c r="P364" s="35"/>
      <c r="Q364" s="188"/>
      <c r="R364" s="35"/>
      <c r="S364" s="35"/>
      <c r="T364" s="35"/>
    </row>
    <row r="365" spans="1:20" ht="29.25" customHeight="1" x14ac:dyDescent="0.2">
      <c r="A365" s="187"/>
      <c r="B365" s="35"/>
      <c r="C365" s="23"/>
      <c r="D365" s="35"/>
      <c r="E365" s="35"/>
      <c r="F365" s="35"/>
      <c r="G365" s="28"/>
      <c r="H365" s="35"/>
      <c r="I365" s="35"/>
      <c r="J365" s="35"/>
      <c r="K365" s="35"/>
      <c r="L365" s="35"/>
      <c r="M365" s="35"/>
      <c r="N365" s="35"/>
      <c r="O365" s="23"/>
      <c r="P365" s="35"/>
      <c r="Q365" s="188"/>
      <c r="R365" s="35"/>
      <c r="S365" s="35"/>
      <c r="T365" s="35"/>
    </row>
    <row r="366" spans="1:20" ht="29.25" customHeight="1" x14ac:dyDescent="0.2">
      <c r="A366" s="187"/>
      <c r="B366" s="35"/>
      <c r="C366" s="23"/>
      <c r="D366" s="35"/>
      <c r="E366" s="35"/>
      <c r="F366" s="35"/>
      <c r="G366" s="28"/>
      <c r="H366" s="35"/>
      <c r="I366" s="35"/>
      <c r="J366" s="35"/>
      <c r="K366" s="35"/>
      <c r="L366" s="35"/>
      <c r="M366" s="35"/>
      <c r="N366" s="35"/>
      <c r="O366" s="23"/>
      <c r="P366" s="35"/>
      <c r="Q366" s="188"/>
      <c r="R366" s="35"/>
      <c r="S366" s="35"/>
      <c r="T366" s="35"/>
    </row>
    <row r="367" spans="1:20" ht="29.25" customHeight="1" x14ac:dyDescent="0.2">
      <c r="A367" s="187"/>
      <c r="B367" s="35"/>
      <c r="C367" s="23"/>
      <c r="D367" s="35"/>
      <c r="E367" s="35"/>
      <c r="F367" s="35"/>
      <c r="G367" s="28"/>
      <c r="H367" s="35"/>
      <c r="I367" s="35"/>
      <c r="J367" s="35"/>
      <c r="K367" s="35"/>
      <c r="L367" s="35"/>
      <c r="M367" s="35"/>
      <c r="N367" s="35"/>
      <c r="O367" s="23"/>
      <c r="P367" s="35"/>
      <c r="Q367" s="188"/>
      <c r="R367" s="35"/>
      <c r="S367" s="35"/>
      <c r="T367" s="35"/>
    </row>
    <row r="368" spans="1:20" ht="29.25" customHeight="1" x14ac:dyDescent="0.2">
      <c r="A368" s="187"/>
      <c r="B368" s="35"/>
      <c r="C368" s="23"/>
      <c r="D368" s="35"/>
      <c r="E368" s="35"/>
      <c r="F368" s="35"/>
      <c r="G368" s="28"/>
      <c r="H368" s="35"/>
      <c r="I368" s="35"/>
      <c r="J368" s="35"/>
      <c r="K368" s="35"/>
      <c r="L368" s="35"/>
      <c r="M368" s="35"/>
      <c r="N368" s="35"/>
      <c r="O368" s="23"/>
      <c r="P368" s="35"/>
      <c r="Q368" s="188"/>
      <c r="R368" s="35"/>
      <c r="S368" s="35"/>
      <c r="T368" s="35"/>
    </row>
    <row r="369" spans="1:20" ht="29.25" customHeight="1" x14ac:dyDescent="0.2">
      <c r="A369" s="187"/>
      <c r="B369" s="35"/>
      <c r="C369" s="23"/>
      <c r="D369" s="35"/>
      <c r="E369" s="35"/>
      <c r="F369" s="35"/>
      <c r="G369" s="28"/>
      <c r="H369" s="35"/>
      <c r="I369" s="35"/>
      <c r="J369" s="35"/>
      <c r="K369" s="35"/>
      <c r="L369" s="35"/>
      <c r="M369" s="35"/>
      <c r="N369" s="35"/>
      <c r="O369" s="23"/>
      <c r="P369" s="35"/>
      <c r="Q369" s="188"/>
      <c r="R369" s="35"/>
      <c r="S369" s="35"/>
      <c r="T369" s="35"/>
    </row>
    <row r="370" spans="1:20" ht="29.25" customHeight="1" x14ac:dyDescent="0.2">
      <c r="A370" s="187"/>
      <c r="B370" s="35"/>
      <c r="C370" s="23"/>
      <c r="D370" s="35"/>
      <c r="E370" s="35"/>
      <c r="F370" s="35"/>
      <c r="G370" s="28"/>
      <c r="H370" s="35"/>
      <c r="I370" s="35"/>
      <c r="J370" s="35"/>
      <c r="K370" s="35"/>
      <c r="L370" s="35"/>
      <c r="M370" s="35"/>
      <c r="N370" s="35"/>
      <c r="O370" s="23"/>
      <c r="P370" s="35"/>
      <c r="Q370" s="188"/>
      <c r="R370" s="35"/>
      <c r="S370" s="35"/>
      <c r="T370" s="35"/>
    </row>
    <row r="371" spans="1:20" ht="29.25" customHeight="1" x14ac:dyDescent="0.2">
      <c r="A371" s="187"/>
      <c r="B371" s="35"/>
      <c r="C371" s="23"/>
      <c r="D371" s="35"/>
      <c r="E371" s="35"/>
      <c r="F371" s="35"/>
      <c r="G371" s="28"/>
      <c r="H371" s="35"/>
      <c r="I371" s="35"/>
      <c r="J371" s="35"/>
      <c r="K371" s="35"/>
      <c r="L371" s="35"/>
      <c r="M371" s="35"/>
      <c r="N371" s="35"/>
      <c r="O371" s="23"/>
      <c r="P371" s="35"/>
      <c r="Q371" s="188"/>
      <c r="R371" s="35"/>
      <c r="S371" s="35"/>
      <c r="T371" s="35"/>
    </row>
    <row r="372" spans="1:20" ht="29.25" customHeight="1" x14ac:dyDescent="0.2">
      <c r="A372" s="187"/>
      <c r="B372" s="35"/>
      <c r="C372" s="23"/>
      <c r="D372" s="35"/>
      <c r="E372" s="35"/>
      <c r="F372" s="35"/>
      <c r="G372" s="28"/>
      <c r="H372" s="35"/>
      <c r="I372" s="35"/>
      <c r="J372" s="35"/>
      <c r="K372" s="35"/>
      <c r="L372" s="35"/>
      <c r="M372" s="35"/>
      <c r="N372" s="35"/>
      <c r="O372" s="23"/>
      <c r="P372" s="35"/>
      <c r="Q372" s="188"/>
      <c r="R372" s="35"/>
      <c r="S372" s="35"/>
      <c r="T372" s="35"/>
    </row>
    <row r="373" spans="1:20" ht="29.25" customHeight="1" x14ac:dyDescent="0.2">
      <c r="A373" s="187"/>
      <c r="B373" s="35"/>
      <c r="C373" s="23"/>
      <c r="D373" s="35"/>
      <c r="E373" s="35"/>
      <c r="F373" s="35"/>
      <c r="G373" s="28"/>
      <c r="H373" s="35"/>
      <c r="I373" s="35"/>
      <c r="J373" s="35"/>
      <c r="K373" s="35"/>
      <c r="L373" s="35"/>
      <c r="M373" s="35"/>
      <c r="N373" s="35"/>
      <c r="O373" s="23"/>
      <c r="P373" s="35"/>
      <c r="Q373" s="188"/>
      <c r="R373" s="35"/>
      <c r="S373" s="35"/>
      <c r="T373" s="35"/>
    </row>
    <row r="374" spans="1:20" ht="29.25" customHeight="1" x14ac:dyDescent="0.2">
      <c r="A374" s="187"/>
      <c r="B374" s="35"/>
      <c r="C374" s="23"/>
      <c r="D374" s="35"/>
      <c r="E374" s="35"/>
      <c r="F374" s="35"/>
      <c r="G374" s="28"/>
      <c r="H374" s="35"/>
      <c r="I374" s="35"/>
      <c r="J374" s="35"/>
      <c r="K374" s="35"/>
      <c r="L374" s="35"/>
      <c r="M374" s="35"/>
      <c r="N374" s="35"/>
      <c r="O374" s="23"/>
      <c r="P374" s="35"/>
      <c r="Q374" s="188"/>
      <c r="R374" s="35"/>
      <c r="S374" s="35"/>
      <c r="T374" s="35"/>
    </row>
    <row r="375" spans="1:20" ht="29.25" customHeight="1" x14ac:dyDescent="0.2">
      <c r="A375" s="187"/>
      <c r="B375" s="35"/>
      <c r="C375" s="23"/>
      <c r="D375" s="35"/>
      <c r="E375" s="35"/>
      <c r="F375" s="35"/>
      <c r="G375" s="28"/>
      <c r="H375" s="35"/>
      <c r="I375" s="35"/>
      <c r="J375" s="35"/>
      <c r="K375" s="35"/>
      <c r="L375" s="35"/>
      <c r="M375" s="35"/>
      <c r="N375" s="35"/>
      <c r="O375" s="23"/>
      <c r="P375" s="35"/>
      <c r="Q375" s="188"/>
      <c r="R375" s="35"/>
      <c r="S375" s="35"/>
      <c r="T375" s="35"/>
    </row>
    <row r="376" spans="1:20" ht="29.25" customHeight="1" x14ac:dyDescent="0.2">
      <c r="A376" s="187"/>
      <c r="B376" s="35"/>
      <c r="C376" s="23"/>
      <c r="D376" s="35"/>
      <c r="E376" s="35"/>
      <c r="F376" s="35"/>
      <c r="G376" s="28"/>
      <c r="H376" s="35"/>
      <c r="I376" s="35"/>
      <c r="J376" s="35"/>
      <c r="K376" s="35"/>
      <c r="L376" s="35"/>
      <c r="M376" s="35"/>
      <c r="N376" s="35"/>
      <c r="O376" s="23"/>
      <c r="P376" s="35"/>
      <c r="Q376" s="188"/>
      <c r="R376" s="35"/>
      <c r="S376" s="35"/>
      <c r="T376" s="35"/>
    </row>
    <row r="377" spans="1:20" ht="29.25" customHeight="1" x14ac:dyDescent="0.2">
      <c r="A377" s="187"/>
      <c r="B377" s="35"/>
      <c r="C377" s="23"/>
      <c r="D377" s="35"/>
      <c r="E377" s="35"/>
      <c r="F377" s="35"/>
      <c r="G377" s="28"/>
      <c r="H377" s="35"/>
      <c r="I377" s="35"/>
      <c r="J377" s="35"/>
      <c r="K377" s="35"/>
      <c r="L377" s="35"/>
      <c r="M377" s="35"/>
      <c r="N377" s="35"/>
      <c r="O377" s="23"/>
      <c r="P377" s="35"/>
      <c r="Q377" s="188"/>
      <c r="R377" s="35"/>
      <c r="S377" s="35"/>
      <c r="T377" s="35"/>
    </row>
    <row r="378" spans="1:20" ht="29.25" customHeight="1" x14ac:dyDescent="0.2">
      <c r="A378" s="187"/>
      <c r="B378" s="35"/>
      <c r="C378" s="23"/>
      <c r="D378" s="35"/>
      <c r="E378" s="35"/>
      <c r="F378" s="35"/>
      <c r="G378" s="28"/>
      <c r="H378" s="35"/>
      <c r="I378" s="35"/>
      <c r="J378" s="35"/>
      <c r="K378" s="35"/>
      <c r="L378" s="35"/>
      <c r="M378" s="35"/>
      <c r="N378" s="35"/>
      <c r="O378" s="23"/>
      <c r="P378" s="35"/>
      <c r="Q378" s="188"/>
      <c r="R378" s="35"/>
      <c r="S378" s="35"/>
      <c r="T378" s="35"/>
    </row>
    <row r="379" spans="1:20" ht="29.25" customHeight="1" x14ac:dyDescent="0.2">
      <c r="A379" s="187"/>
      <c r="B379" s="35"/>
      <c r="C379" s="23"/>
      <c r="D379" s="35"/>
      <c r="E379" s="35"/>
      <c r="F379" s="35"/>
      <c r="G379" s="28"/>
      <c r="H379" s="35"/>
      <c r="I379" s="35"/>
      <c r="J379" s="35"/>
      <c r="K379" s="35"/>
      <c r="L379" s="35"/>
      <c r="M379" s="35"/>
      <c r="N379" s="35"/>
      <c r="O379" s="23"/>
      <c r="P379" s="35"/>
      <c r="Q379" s="188"/>
      <c r="R379" s="35"/>
      <c r="S379" s="35"/>
      <c r="T379" s="35"/>
    </row>
    <row r="380" spans="1:20" ht="29.25" customHeight="1" x14ac:dyDescent="0.2">
      <c r="A380" s="187"/>
      <c r="B380" s="35"/>
      <c r="C380" s="23"/>
      <c r="D380" s="35"/>
      <c r="E380" s="35"/>
      <c r="F380" s="35"/>
      <c r="G380" s="28"/>
      <c r="H380" s="35"/>
      <c r="I380" s="35"/>
      <c r="J380" s="35"/>
      <c r="K380" s="35"/>
      <c r="L380" s="35"/>
      <c r="M380" s="35"/>
      <c r="N380" s="35"/>
      <c r="O380" s="23"/>
      <c r="P380" s="35"/>
      <c r="Q380" s="188"/>
      <c r="R380" s="35"/>
      <c r="S380" s="35"/>
      <c r="T380" s="35"/>
    </row>
    <row r="381" spans="1:20" ht="29.25" customHeight="1" x14ac:dyDescent="0.2">
      <c r="A381" s="187"/>
      <c r="B381" s="35"/>
      <c r="C381" s="23"/>
      <c r="D381" s="35"/>
      <c r="E381" s="35"/>
      <c r="F381" s="35"/>
      <c r="G381" s="28"/>
      <c r="H381" s="35"/>
      <c r="I381" s="35"/>
      <c r="J381" s="35"/>
      <c r="K381" s="35"/>
      <c r="L381" s="35"/>
      <c r="M381" s="35"/>
      <c r="N381" s="35"/>
      <c r="O381" s="23"/>
      <c r="P381" s="35"/>
      <c r="Q381" s="188"/>
      <c r="R381" s="35"/>
      <c r="S381" s="35"/>
      <c r="T381" s="35"/>
    </row>
    <row r="382" spans="1:20" ht="29.25" customHeight="1" x14ac:dyDescent="0.2">
      <c r="A382" s="187"/>
      <c r="B382" s="35"/>
      <c r="C382" s="23"/>
      <c r="D382" s="35"/>
      <c r="E382" s="35"/>
      <c r="F382" s="35"/>
      <c r="G382" s="28"/>
      <c r="H382" s="35"/>
      <c r="I382" s="35"/>
      <c r="J382" s="35"/>
      <c r="K382" s="35"/>
      <c r="L382" s="35"/>
      <c r="M382" s="35"/>
      <c r="N382" s="35"/>
      <c r="O382" s="23"/>
      <c r="P382" s="35"/>
      <c r="Q382" s="188"/>
      <c r="R382" s="35"/>
      <c r="S382" s="35"/>
      <c r="T382" s="35"/>
    </row>
    <row r="383" spans="1:20" ht="29.25" customHeight="1" x14ac:dyDescent="0.2">
      <c r="A383" s="187"/>
      <c r="B383" s="35"/>
      <c r="C383" s="23"/>
      <c r="D383" s="35"/>
      <c r="E383" s="35"/>
      <c r="F383" s="35"/>
      <c r="G383" s="28"/>
      <c r="H383" s="35"/>
      <c r="I383" s="35"/>
      <c r="J383" s="35"/>
      <c r="K383" s="35"/>
      <c r="L383" s="35"/>
      <c r="M383" s="35"/>
      <c r="N383" s="35"/>
      <c r="O383" s="23"/>
      <c r="P383" s="35"/>
      <c r="Q383" s="188"/>
      <c r="R383" s="35"/>
      <c r="S383" s="35"/>
      <c r="T383" s="35"/>
    </row>
    <row r="384" spans="1:20" ht="29.25" customHeight="1" x14ac:dyDescent="0.2">
      <c r="A384" s="187"/>
      <c r="B384" s="35"/>
      <c r="C384" s="23"/>
      <c r="D384" s="35"/>
      <c r="E384" s="35"/>
      <c r="F384" s="35"/>
      <c r="G384" s="28"/>
      <c r="H384" s="35"/>
      <c r="I384" s="35"/>
      <c r="J384" s="35"/>
      <c r="K384" s="35"/>
      <c r="L384" s="35"/>
      <c r="M384" s="35"/>
      <c r="N384" s="35"/>
      <c r="O384" s="23"/>
      <c r="P384" s="35"/>
      <c r="Q384" s="188"/>
      <c r="R384" s="35"/>
      <c r="S384" s="35"/>
      <c r="T384" s="35"/>
    </row>
    <row r="385" spans="1:20" ht="29.25" customHeight="1" x14ac:dyDescent="0.2">
      <c r="A385" s="187"/>
      <c r="B385" s="35"/>
      <c r="C385" s="23"/>
      <c r="D385" s="35"/>
      <c r="E385" s="35"/>
      <c r="F385" s="35"/>
      <c r="G385" s="28"/>
      <c r="H385" s="35"/>
      <c r="I385" s="35"/>
      <c r="J385" s="35"/>
      <c r="K385" s="35"/>
      <c r="L385" s="35"/>
      <c r="M385" s="35"/>
      <c r="N385" s="35"/>
      <c r="O385" s="23"/>
      <c r="P385" s="35"/>
      <c r="Q385" s="188"/>
      <c r="R385" s="35"/>
      <c r="S385" s="35"/>
      <c r="T385" s="35"/>
    </row>
    <row r="386" spans="1:20" ht="29.25" customHeight="1" x14ac:dyDescent="0.2">
      <c r="A386" s="187"/>
      <c r="B386" s="35"/>
      <c r="C386" s="23"/>
      <c r="D386" s="35"/>
      <c r="E386" s="35"/>
      <c r="F386" s="35"/>
      <c r="G386" s="28"/>
      <c r="H386" s="35"/>
      <c r="I386" s="35"/>
      <c r="J386" s="35"/>
      <c r="K386" s="35"/>
      <c r="L386" s="35"/>
      <c r="M386" s="35"/>
      <c r="N386" s="35"/>
      <c r="O386" s="23"/>
      <c r="P386" s="35"/>
      <c r="Q386" s="188"/>
      <c r="R386" s="35"/>
      <c r="S386" s="35"/>
      <c r="T386" s="35"/>
    </row>
    <row r="387" spans="1:20" ht="29.25" customHeight="1" x14ac:dyDescent="0.2">
      <c r="A387" s="187"/>
      <c r="B387" s="35"/>
      <c r="C387" s="23"/>
      <c r="D387" s="35"/>
      <c r="E387" s="35"/>
      <c r="F387" s="35"/>
      <c r="G387" s="28"/>
      <c r="H387" s="35"/>
      <c r="I387" s="35"/>
      <c r="J387" s="35"/>
      <c r="K387" s="35"/>
      <c r="L387" s="35"/>
      <c r="M387" s="35"/>
      <c r="N387" s="35"/>
      <c r="O387" s="23"/>
      <c r="P387" s="35"/>
      <c r="Q387" s="188"/>
      <c r="R387" s="35"/>
      <c r="S387" s="35"/>
      <c r="T387" s="35"/>
    </row>
    <row r="388" spans="1:20" ht="29.25" customHeight="1" x14ac:dyDescent="0.2">
      <c r="A388" s="187"/>
      <c r="B388" s="35"/>
      <c r="C388" s="23"/>
      <c r="D388" s="35"/>
      <c r="E388" s="35"/>
      <c r="F388" s="35"/>
      <c r="G388" s="28"/>
      <c r="H388" s="35"/>
      <c r="I388" s="35"/>
      <c r="J388" s="35"/>
      <c r="K388" s="35"/>
      <c r="L388" s="35"/>
      <c r="M388" s="35"/>
      <c r="N388" s="35"/>
      <c r="O388" s="23"/>
      <c r="P388" s="35"/>
      <c r="Q388" s="188"/>
      <c r="R388" s="35"/>
      <c r="S388" s="35"/>
      <c r="T388" s="35"/>
    </row>
    <row r="389" spans="1:20" ht="29.25" customHeight="1" x14ac:dyDescent="0.2">
      <c r="A389" s="187"/>
      <c r="B389" s="35"/>
      <c r="C389" s="23"/>
      <c r="D389" s="35"/>
      <c r="E389" s="35"/>
      <c r="F389" s="35"/>
      <c r="G389" s="28"/>
      <c r="H389" s="35"/>
      <c r="I389" s="35"/>
      <c r="J389" s="35"/>
      <c r="K389" s="35"/>
      <c r="L389" s="35"/>
      <c r="M389" s="35"/>
      <c r="N389" s="35"/>
      <c r="O389" s="23"/>
      <c r="P389" s="35"/>
      <c r="Q389" s="188"/>
      <c r="R389" s="35"/>
      <c r="S389" s="35"/>
      <c r="T389" s="35"/>
    </row>
    <row r="390" spans="1:20" ht="29.25" customHeight="1" x14ac:dyDescent="0.2">
      <c r="A390" s="187"/>
      <c r="B390" s="35"/>
      <c r="C390" s="23"/>
      <c r="D390" s="35"/>
      <c r="E390" s="35"/>
      <c r="F390" s="35"/>
      <c r="G390" s="28"/>
      <c r="H390" s="35"/>
      <c r="I390" s="35"/>
      <c r="J390" s="35"/>
      <c r="K390" s="35"/>
      <c r="L390" s="35"/>
      <c r="M390" s="35"/>
      <c r="N390" s="35"/>
      <c r="O390" s="23"/>
      <c r="P390" s="35"/>
      <c r="Q390" s="188"/>
      <c r="R390" s="35"/>
      <c r="S390" s="35"/>
      <c r="T390" s="35"/>
    </row>
    <row r="391" spans="1:20" ht="29.25" customHeight="1" x14ac:dyDescent="0.2">
      <c r="A391" s="187"/>
      <c r="B391" s="35"/>
      <c r="C391" s="23"/>
      <c r="D391" s="35"/>
      <c r="E391" s="35"/>
      <c r="F391" s="35"/>
      <c r="G391" s="28"/>
      <c r="H391" s="35"/>
      <c r="I391" s="35"/>
      <c r="J391" s="35"/>
      <c r="K391" s="35"/>
      <c r="L391" s="35"/>
      <c r="M391" s="35"/>
      <c r="N391" s="35"/>
      <c r="O391" s="23"/>
      <c r="P391" s="35"/>
      <c r="Q391" s="188"/>
      <c r="R391" s="35"/>
      <c r="S391" s="35"/>
      <c r="T391" s="35"/>
    </row>
    <row r="392" spans="1:20" ht="29.25" customHeight="1" x14ac:dyDescent="0.2">
      <c r="A392" s="187"/>
      <c r="B392" s="35"/>
      <c r="C392" s="23"/>
      <c r="D392" s="35"/>
      <c r="E392" s="35"/>
      <c r="F392" s="35"/>
      <c r="G392" s="28"/>
      <c r="H392" s="35"/>
      <c r="I392" s="35"/>
      <c r="J392" s="35"/>
      <c r="K392" s="35"/>
      <c r="L392" s="35"/>
      <c r="M392" s="35"/>
      <c r="N392" s="35"/>
      <c r="O392" s="23"/>
      <c r="P392" s="35"/>
      <c r="Q392" s="188"/>
      <c r="R392" s="35"/>
      <c r="S392" s="35"/>
      <c r="T392" s="35"/>
    </row>
    <row r="393" spans="1:20" ht="29.25" customHeight="1" x14ac:dyDescent="0.2">
      <c r="A393" s="187"/>
      <c r="B393" s="35"/>
      <c r="C393" s="23"/>
      <c r="D393" s="35"/>
      <c r="E393" s="35"/>
      <c r="F393" s="35"/>
      <c r="G393" s="28"/>
      <c r="H393" s="35"/>
      <c r="I393" s="35"/>
      <c r="J393" s="35"/>
      <c r="K393" s="35"/>
      <c r="L393" s="35"/>
      <c r="M393" s="35"/>
      <c r="N393" s="35"/>
      <c r="O393" s="23"/>
      <c r="P393" s="35"/>
      <c r="Q393" s="188"/>
      <c r="R393" s="35"/>
      <c r="S393" s="35"/>
      <c r="T393" s="35"/>
    </row>
    <row r="394" spans="1:20" ht="29.25" customHeight="1" x14ac:dyDescent="0.2">
      <c r="A394" s="187"/>
      <c r="B394" s="35"/>
      <c r="C394" s="23"/>
      <c r="D394" s="35"/>
      <c r="E394" s="35"/>
      <c r="F394" s="35"/>
      <c r="G394" s="28"/>
      <c r="H394" s="35"/>
      <c r="I394" s="35"/>
      <c r="J394" s="35"/>
      <c r="K394" s="35"/>
      <c r="L394" s="35"/>
      <c r="M394" s="35"/>
      <c r="N394" s="35"/>
      <c r="O394" s="23"/>
      <c r="P394" s="35"/>
      <c r="Q394" s="188"/>
      <c r="R394" s="35"/>
      <c r="S394" s="35"/>
      <c r="T394" s="35"/>
    </row>
    <row r="395" spans="1:20" ht="29.25" customHeight="1" x14ac:dyDescent="0.2">
      <c r="A395" s="187"/>
      <c r="B395" s="35"/>
      <c r="C395" s="23"/>
      <c r="D395" s="35"/>
      <c r="E395" s="35"/>
      <c r="F395" s="35"/>
      <c r="G395" s="28"/>
      <c r="H395" s="35"/>
      <c r="I395" s="35"/>
      <c r="J395" s="35"/>
      <c r="K395" s="35"/>
      <c r="L395" s="35"/>
      <c r="M395" s="35"/>
      <c r="N395" s="35"/>
      <c r="O395" s="23"/>
      <c r="P395" s="35"/>
      <c r="Q395" s="188"/>
      <c r="R395" s="35"/>
      <c r="S395" s="35"/>
      <c r="T395" s="35"/>
    </row>
    <row r="396" spans="1:20" ht="29.25" customHeight="1" x14ac:dyDescent="0.2">
      <c r="A396" s="187"/>
      <c r="B396" s="35"/>
      <c r="C396" s="23"/>
      <c r="D396" s="35"/>
      <c r="E396" s="35"/>
      <c r="F396" s="35"/>
      <c r="G396" s="28"/>
      <c r="H396" s="35"/>
      <c r="I396" s="35"/>
      <c r="J396" s="35"/>
      <c r="K396" s="35"/>
      <c r="L396" s="35"/>
      <c r="M396" s="35"/>
      <c r="N396" s="35"/>
      <c r="O396" s="23"/>
      <c r="P396" s="35"/>
      <c r="Q396" s="188"/>
      <c r="R396" s="35"/>
      <c r="S396" s="35"/>
      <c r="T396" s="35"/>
    </row>
    <row r="397" spans="1:20" ht="29.25" customHeight="1" x14ac:dyDescent="0.2">
      <c r="A397" s="187"/>
      <c r="B397" s="35"/>
      <c r="C397" s="23"/>
      <c r="D397" s="35"/>
      <c r="E397" s="35"/>
      <c r="F397" s="35"/>
      <c r="G397" s="28"/>
      <c r="H397" s="35"/>
      <c r="I397" s="35"/>
      <c r="J397" s="35"/>
      <c r="K397" s="35"/>
      <c r="L397" s="35"/>
      <c r="M397" s="35"/>
      <c r="N397" s="35"/>
      <c r="O397" s="23"/>
      <c r="P397" s="35"/>
      <c r="Q397" s="188"/>
      <c r="R397" s="35"/>
      <c r="S397" s="35"/>
      <c r="T397" s="35"/>
    </row>
    <row r="398" spans="1:20" ht="29.25" customHeight="1" x14ac:dyDescent="0.2">
      <c r="A398" s="187"/>
      <c r="B398" s="35"/>
      <c r="C398" s="23"/>
      <c r="D398" s="35"/>
      <c r="E398" s="35"/>
      <c r="F398" s="35"/>
      <c r="G398" s="28"/>
      <c r="H398" s="35"/>
      <c r="I398" s="35"/>
      <c r="J398" s="35"/>
      <c r="K398" s="35"/>
      <c r="L398" s="35"/>
      <c r="M398" s="35"/>
      <c r="N398" s="35"/>
      <c r="O398" s="23"/>
      <c r="P398" s="35"/>
      <c r="Q398" s="188"/>
      <c r="R398" s="35"/>
      <c r="S398" s="35"/>
      <c r="T398" s="35"/>
    </row>
    <row r="399" spans="1:20" ht="29.25" customHeight="1" x14ac:dyDescent="0.2">
      <c r="A399" s="187"/>
      <c r="B399" s="35"/>
      <c r="C399" s="23"/>
      <c r="D399" s="35"/>
      <c r="E399" s="35"/>
      <c r="F399" s="35"/>
      <c r="G399" s="28"/>
      <c r="H399" s="35"/>
      <c r="I399" s="35"/>
      <c r="J399" s="35"/>
      <c r="K399" s="35"/>
      <c r="L399" s="35"/>
      <c r="M399" s="35"/>
      <c r="N399" s="35"/>
      <c r="O399" s="23"/>
      <c r="P399" s="35"/>
      <c r="Q399" s="188"/>
      <c r="R399" s="35"/>
      <c r="S399" s="35"/>
      <c r="T399" s="35"/>
    </row>
    <row r="400" spans="1:20" ht="29.25" customHeight="1" x14ac:dyDescent="0.2">
      <c r="A400" s="187"/>
      <c r="B400" s="35"/>
      <c r="C400" s="23"/>
      <c r="D400" s="35"/>
      <c r="E400" s="35"/>
      <c r="F400" s="35"/>
      <c r="G400" s="28"/>
      <c r="H400" s="35"/>
      <c r="I400" s="35"/>
      <c r="J400" s="35"/>
      <c r="K400" s="35"/>
      <c r="L400" s="35"/>
      <c r="M400" s="35"/>
      <c r="N400" s="35"/>
      <c r="O400" s="23"/>
      <c r="P400" s="35"/>
      <c r="Q400" s="188"/>
      <c r="R400" s="35"/>
      <c r="S400" s="35"/>
      <c r="T400" s="35"/>
    </row>
    <row r="401" spans="1:20" ht="29.25" customHeight="1" x14ac:dyDescent="0.2">
      <c r="A401" s="187"/>
      <c r="B401" s="35"/>
      <c r="C401" s="23"/>
      <c r="D401" s="35"/>
      <c r="E401" s="35"/>
      <c r="F401" s="35"/>
      <c r="G401" s="28"/>
      <c r="H401" s="35"/>
      <c r="I401" s="35"/>
      <c r="J401" s="35"/>
      <c r="K401" s="35"/>
      <c r="L401" s="35"/>
      <c r="M401" s="35"/>
      <c r="N401" s="35"/>
      <c r="O401" s="23"/>
      <c r="P401" s="35"/>
      <c r="Q401" s="188"/>
      <c r="R401" s="35"/>
      <c r="S401" s="35"/>
      <c r="T401" s="35"/>
    </row>
    <row r="402" spans="1:20" ht="29.25" customHeight="1" x14ac:dyDescent="0.2">
      <c r="A402" s="187"/>
      <c r="B402" s="35"/>
      <c r="C402" s="23"/>
      <c r="D402" s="35"/>
      <c r="E402" s="35"/>
      <c r="F402" s="35"/>
      <c r="G402" s="28"/>
      <c r="H402" s="35"/>
      <c r="I402" s="35"/>
      <c r="J402" s="35"/>
      <c r="K402" s="35"/>
      <c r="L402" s="35"/>
      <c r="M402" s="35"/>
      <c r="N402" s="35"/>
      <c r="O402" s="23"/>
      <c r="P402" s="35"/>
      <c r="Q402" s="188"/>
      <c r="R402" s="35"/>
      <c r="S402" s="35"/>
      <c r="T402" s="35"/>
    </row>
    <row r="403" spans="1:20" ht="29.25" customHeight="1" x14ac:dyDescent="0.2">
      <c r="A403" s="187"/>
      <c r="B403" s="35"/>
      <c r="C403" s="23"/>
      <c r="D403" s="35"/>
      <c r="E403" s="35"/>
      <c r="F403" s="35"/>
      <c r="G403" s="28"/>
      <c r="H403" s="35"/>
      <c r="I403" s="35"/>
      <c r="J403" s="35"/>
      <c r="K403" s="35"/>
      <c r="L403" s="35"/>
      <c r="M403" s="35"/>
      <c r="N403" s="35"/>
      <c r="O403" s="23"/>
      <c r="P403" s="35"/>
      <c r="Q403" s="188"/>
      <c r="R403" s="35"/>
      <c r="S403" s="35"/>
      <c r="T403" s="35"/>
    </row>
    <row r="404" spans="1:20" ht="29.25" customHeight="1" x14ac:dyDescent="0.2">
      <c r="A404" s="187"/>
      <c r="B404" s="35"/>
      <c r="C404" s="23"/>
      <c r="D404" s="35"/>
      <c r="E404" s="35"/>
      <c r="F404" s="35"/>
      <c r="G404" s="28"/>
      <c r="H404" s="35"/>
      <c r="I404" s="35"/>
      <c r="J404" s="35"/>
      <c r="K404" s="35"/>
      <c r="L404" s="35"/>
      <c r="M404" s="35"/>
      <c r="N404" s="35"/>
      <c r="O404" s="23"/>
      <c r="P404" s="35"/>
      <c r="Q404" s="188"/>
      <c r="R404" s="35"/>
      <c r="S404" s="35"/>
      <c r="T404" s="35"/>
    </row>
    <row r="405" spans="1:20" ht="29.25" customHeight="1" x14ac:dyDescent="0.2">
      <c r="A405" s="187"/>
      <c r="B405" s="35"/>
      <c r="C405" s="23"/>
      <c r="D405" s="35"/>
      <c r="E405" s="35"/>
      <c r="F405" s="35"/>
      <c r="G405" s="28"/>
      <c r="H405" s="35"/>
      <c r="I405" s="35"/>
      <c r="J405" s="35"/>
      <c r="K405" s="35"/>
      <c r="L405" s="35"/>
      <c r="M405" s="35"/>
      <c r="N405" s="35"/>
      <c r="O405" s="23"/>
      <c r="P405" s="35"/>
      <c r="Q405" s="188"/>
      <c r="R405" s="35"/>
      <c r="S405" s="35"/>
      <c r="T405" s="35"/>
    </row>
    <row r="406" spans="1:20" ht="29.25" customHeight="1" x14ac:dyDescent="0.2">
      <c r="A406" s="187"/>
      <c r="B406" s="35"/>
      <c r="C406" s="23"/>
      <c r="D406" s="35"/>
      <c r="E406" s="35"/>
      <c r="F406" s="35"/>
      <c r="G406" s="28"/>
      <c r="H406" s="35"/>
      <c r="I406" s="35"/>
      <c r="J406" s="35"/>
      <c r="K406" s="35"/>
      <c r="L406" s="35"/>
      <c r="M406" s="35"/>
      <c r="N406" s="35"/>
      <c r="O406" s="23"/>
      <c r="P406" s="35"/>
      <c r="Q406" s="188"/>
      <c r="R406" s="35"/>
      <c r="S406" s="35"/>
      <c r="T406" s="35"/>
    </row>
    <row r="407" spans="1:20" ht="29.25" customHeight="1" x14ac:dyDescent="0.2">
      <c r="A407" s="187"/>
      <c r="B407" s="35"/>
      <c r="C407" s="23"/>
      <c r="D407" s="35"/>
      <c r="E407" s="35"/>
      <c r="F407" s="35"/>
      <c r="G407" s="28"/>
      <c r="H407" s="35"/>
      <c r="I407" s="35"/>
      <c r="J407" s="35"/>
      <c r="K407" s="35"/>
      <c r="L407" s="35"/>
      <c r="M407" s="35"/>
      <c r="N407" s="35"/>
      <c r="O407" s="23"/>
      <c r="P407" s="35"/>
      <c r="Q407" s="188"/>
      <c r="R407" s="35"/>
      <c r="S407" s="35"/>
      <c r="T407" s="35"/>
    </row>
    <row r="408" spans="1:20" ht="29.25" customHeight="1" x14ac:dyDescent="0.2">
      <c r="A408" s="187"/>
      <c r="B408" s="35"/>
      <c r="C408" s="23"/>
      <c r="D408" s="35"/>
      <c r="E408" s="35"/>
      <c r="F408" s="35"/>
      <c r="G408" s="28"/>
      <c r="H408" s="35"/>
      <c r="I408" s="35"/>
      <c r="J408" s="35"/>
      <c r="K408" s="35"/>
      <c r="L408" s="35"/>
      <c r="M408" s="35"/>
      <c r="N408" s="35"/>
      <c r="O408" s="23"/>
      <c r="P408" s="35"/>
      <c r="Q408" s="188"/>
      <c r="R408" s="35"/>
      <c r="S408" s="35"/>
      <c r="T408" s="35"/>
    </row>
    <row r="409" spans="1:20" ht="29.25" customHeight="1" x14ac:dyDescent="0.2">
      <c r="A409" s="187"/>
      <c r="B409" s="35"/>
      <c r="C409" s="23"/>
      <c r="D409" s="35"/>
      <c r="E409" s="35"/>
      <c r="F409" s="35"/>
      <c r="G409" s="28"/>
      <c r="H409" s="35"/>
      <c r="I409" s="35"/>
      <c r="J409" s="35"/>
      <c r="K409" s="35"/>
      <c r="L409" s="35"/>
      <c r="M409" s="35"/>
      <c r="N409" s="35"/>
      <c r="O409" s="23"/>
      <c r="P409" s="35"/>
      <c r="Q409" s="188"/>
      <c r="R409" s="35"/>
      <c r="S409" s="35"/>
      <c r="T409" s="35"/>
    </row>
    <row r="410" spans="1:20" ht="29.25" customHeight="1" x14ac:dyDescent="0.2">
      <c r="A410" s="187"/>
      <c r="B410" s="35"/>
      <c r="C410" s="23"/>
      <c r="D410" s="35"/>
      <c r="E410" s="35"/>
      <c r="F410" s="35"/>
      <c r="G410" s="28"/>
      <c r="H410" s="35"/>
      <c r="I410" s="35"/>
      <c r="J410" s="35"/>
      <c r="K410" s="35"/>
      <c r="L410" s="35"/>
      <c r="M410" s="35"/>
      <c r="N410" s="35"/>
      <c r="O410" s="23"/>
      <c r="P410" s="35"/>
      <c r="Q410" s="188"/>
      <c r="R410" s="35"/>
      <c r="S410" s="35"/>
      <c r="T410" s="35"/>
    </row>
    <row r="411" spans="1:20" ht="29.25" customHeight="1" x14ac:dyDescent="0.2">
      <c r="A411" s="187"/>
      <c r="B411" s="35"/>
      <c r="C411" s="23"/>
      <c r="D411" s="35"/>
      <c r="E411" s="35"/>
      <c r="F411" s="35"/>
      <c r="G411" s="28"/>
      <c r="H411" s="35"/>
      <c r="I411" s="35"/>
      <c r="J411" s="35"/>
      <c r="K411" s="35"/>
      <c r="L411" s="35"/>
      <c r="M411" s="35"/>
      <c r="N411" s="35"/>
      <c r="O411" s="23"/>
      <c r="P411" s="35"/>
      <c r="Q411" s="188"/>
      <c r="R411" s="35"/>
      <c r="S411" s="35"/>
      <c r="T411" s="35"/>
    </row>
    <row r="412" spans="1:20" ht="29.25" customHeight="1" x14ac:dyDescent="0.2">
      <c r="A412" s="187"/>
      <c r="B412" s="35"/>
      <c r="C412" s="23"/>
      <c r="D412" s="35"/>
      <c r="E412" s="35"/>
      <c r="F412" s="35"/>
      <c r="G412" s="28"/>
      <c r="H412" s="35"/>
      <c r="I412" s="35"/>
      <c r="J412" s="35"/>
      <c r="K412" s="35"/>
      <c r="L412" s="35"/>
      <c r="M412" s="35"/>
      <c r="N412" s="35"/>
      <c r="O412" s="23"/>
      <c r="P412" s="35"/>
      <c r="Q412" s="188"/>
      <c r="R412" s="35"/>
      <c r="S412" s="35"/>
      <c r="T412" s="35"/>
    </row>
    <row r="413" spans="1:20" ht="29.25" customHeight="1" x14ac:dyDescent="0.2">
      <c r="A413" s="187"/>
      <c r="B413" s="35"/>
      <c r="C413" s="23"/>
      <c r="D413" s="35"/>
      <c r="E413" s="35"/>
      <c r="F413" s="35"/>
      <c r="G413" s="28"/>
      <c r="H413" s="35"/>
      <c r="I413" s="35"/>
      <c r="J413" s="35"/>
      <c r="K413" s="35"/>
      <c r="L413" s="35"/>
      <c r="M413" s="35"/>
      <c r="N413" s="35"/>
      <c r="O413" s="23"/>
      <c r="P413" s="35"/>
      <c r="Q413" s="188"/>
      <c r="R413" s="35"/>
      <c r="S413" s="35"/>
      <c r="T413" s="35"/>
    </row>
    <row r="414" spans="1:20" ht="29.25" customHeight="1" x14ac:dyDescent="0.2">
      <c r="A414" s="187"/>
      <c r="B414" s="35"/>
      <c r="C414" s="23"/>
      <c r="D414" s="35"/>
      <c r="E414" s="35"/>
      <c r="F414" s="35"/>
      <c r="G414" s="28"/>
      <c r="H414" s="35"/>
      <c r="I414" s="35"/>
      <c r="J414" s="35"/>
      <c r="K414" s="35"/>
      <c r="L414" s="35"/>
      <c r="M414" s="35"/>
      <c r="N414" s="35"/>
      <c r="O414" s="23"/>
      <c r="P414" s="35"/>
      <c r="Q414" s="188"/>
      <c r="R414" s="35"/>
      <c r="S414" s="35"/>
      <c r="T414" s="35"/>
    </row>
    <row r="415" spans="1:20" ht="29.25" customHeight="1" x14ac:dyDescent="0.2">
      <c r="A415" s="187"/>
      <c r="B415" s="35"/>
      <c r="C415" s="23"/>
      <c r="D415" s="35"/>
      <c r="E415" s="35"/>
      <c r="F415" s="35"/>
      <c r="G415" s="28"/>
      <c r="H415" s="35"/>
      <c r="I415" s="35"/>
      <c r="J415" s="35"/>
      <c r="K415" s="35"/>
      <c r="L415" s="35"/>
      <c r="M415" s="35"/>
      <c r="N415" s="35"/>
      <c r="O415" s="23"/>
      <c r="P415" s="35"/>
      <c r="Q415" s="188"/>
      <c r="R415" s="35"/>
      <c r="S415" s="35"/>
      <c r="T415" s="35"/>
    </row>
    <row r="416" spans="1:20" ht="29.25" customHeight="1" x14ac:dyDescent="0.2">
      <c r="A416" s="187"/>
      <c r="B416" s="35"/>
      <c r="C416" s="23"/>
      <c r="D416" s="35"/>
      <c r="E416" s="35"/>
      <c r="F416" s="35"/>
      <c r="G416" s="28"/>
      <c r="H416" s="35"/>
      <c r="I416" s="35"/>
      <c r="J416" s="35"/>
      <c r="K416" s="35"/>
      <c r="L416" s="35"/>
      <c r="M416" s="35"/>
      <c r="N416" s="35"/>
      <c r="O416" s="23"/>
      <c r="P416" s="35"/>
      <c r="Q416" s="188"/>
      <c r="R416" s="35"/>
      <c r="S416" s="35"/>
      <c r="T416" s="35"/>
    </row>
    <row r="417" spans="1:20" ht="29.25" customHeight="1" x14ac:dyDescent="0.2">
      <c r="A417" s="187"/>
      <c r="B417" s="35"/>
      <c r="C417" s="23"/>
      <c r="D417" s="35"/>
      <c r="E417" s="35"/>
      <c r="F417" s="35"/>
      <c r="G417" s="28"/>
      <c r="H417" s="35"/>
      <c r="I417" s="35"/>
      <c r="J417" s="35"/>
      <c r="K417" s="35"/>
      <c r="L417" s="35"/>
      <c r="M417" s="35"/>
      <c r="N417" s="35"/>
      <c r="O417" s="23"/>
      <c r="P417" s="35"/>
      <c r="Q417" s="188"/>
      <c r="R417" s="35"/>
      <c r="S417" s="35"/>
      <c r="T417" s="35"/>
    </row>
    <row r="418" spans="1:20" ht="29.25" customHeight="1" x14ac:dyDescent="0.2">
      <c r="A418" s="187"/>
      <c r="B418" s="35"/>
      <c r="C418" s="23"/>
      <c r="D418" s="35"/>
      <c r="E418" s="35"/>
      <c r="F418" s="35"/>
      <c r="G418" s="28"/>
      <c r="H418" s="35"/>
      <c r="I418" s="35"/>
      <c r="J418" s="35"/>
      <c r="K418" s="35"/>
      <c r="L418" s="35"/>
      <c r="M418" s="35"/>
      <c r="N418" s="35"/>
      <c r="O418" s="23"/>
      <c r="P418" s="35"/>
      <c r="Q418" s="188"/>
      <c r="R418" s="35"/>
      <c r="S418" s="35"/>
      <c r="T418" s="35"/>
    </row>
    <row r="419" spans="1:20" ht="29.25" customHeight="1" x14ac:dyDescent="0.2">
      <c r="A419" s="187"/>
      <c r="B419" s="35"/>
      <c r="C419" s="23"/>
      <c r="D419" s="35"/>
      <c r="E419" s="35"/>
      <c r="F419" s="35"/>
      <c r="G419" s="28"/>
      <c r="H419" s="35"/>
      <c r="I419" s="35"/>
      <c r="J419" s="35"/>
      <c r="K419" s="35"/>
      <c r="L419" s="35"/>
      <c r="M419" s="35"/>
      <c r="N419" s="35"/>
      <c r="O419" s="23"/>
      <c r="P419" s="35"/>
      <c r="Q419" s="188"/>
      <c r="R419" s="35"/>
      <c r="S419" s="35"/>
      <c r="T419" s="35"/>
    </row>
    <row r="420" spans="1:20" ht="29.25" customHeight="1" x14ac:dyDescent="0.2">
      <c r="A420" s="187"/>
      <c r="B420" s="35"/>
      <c r="C420" s="23"/>
      <c r="D420" s="35"/>
      <c r="E420" s="35"/>
      <c r="F420" s="35"/>
      <c r="G420" s="28"/>
      <c r="H420" s="35"/>
      <c r="I420" s="35"/>
      <c r="J420" s="35"/>
      <c r="K420" s="35"/>
      <c r="L420" s="35"/>
      <c r="M420" s="35"/>
      <c r="N420" s="35"/>
      <c r="O420" s="23"/>
      <c r="P420" s="35"/>
      <c r="Q420" s="188"/>
      <c r="R420" s="35"/>
      <c r="S420" s="35"/>
      <c r="T420" s="35"/>
    </row>
    <row r="421" spans="1:20" ht="29.25" customHeight="1" x14ac:dyDescent="0.2">
      <c r="A421" s="187"/>
      <c r="B421" s="35"/>
      <c r="C421" s="23"/>
      <c r="D421" s="35"/>
      <c r="E421" s="35"/>
      <c r="F421" s="35"/>
      <c r="G421" s="28"/>
      <c r="H421" s="35"/>
      <c r="I421" s="35"/>
      <c r="J421" s="35"/>
      <c r="K421" s="35"/>
      <c r="L421" s="35"/>
      <c r="M421" s="35"/>
      <c r="N421" s="35"/>
      <c r="O421" s="23"/>
      <c r="P421" s="35"/>
      <c r="Q421" s="188"/>
      <c r="R421" s="35"/>
      <c r="S421" s="35"/>
      <c r="T421" s="35"/>
    </row>
    <row r="422" spans="1:20" ht="29.25" customHeight="1" x14ac:dyDescent="0.2">
      <c r="A422" s="187"/>
      <c r="B422" s="35"/>
      <c r="C422" s="23"/>
      <c r="D422" s="35"/>
      <c r="E422" s="35"/>
      <c r="F422" s="35"/>
      <c r="G422" s="28"/>
      <c r="H422" s="35"/>
      <c r="I422" s="35"/>
      <c r="J422" s="35"/>
      <c r="K422" s="35"/>
      <c r="L422" s="35"/>
      <c r="M422" s="35"/>
      <c r="N422" s="35"/>
      <c r="O422" s="23"/>
      <c r="P422" s="35"/>
      <c r="Q422" s="188"/>
      <c r="R422" s="35"/>
      <c r="S422" s="35"/>
      <c r="T422" s="35"/>
    </row>
    <row r="423" spans="1:20" ht="29.25" customHeight="1" x14ac:dyDescent="0.2">
      <c r="A423" s="187"/>
      <c r="B423" s="35"/>
      <c r="C423" s="23"/>
      <c r="D423" s="35"/>
      <c r="E423" s="35"/>
      <c r="F423" s="35"/>
      <c r="G423" s="28"/>
      <c r="H423" s="35"/>
      <c r="I423" s="35"/>
      <c r="J423" s="35"/>
      <c r="K423" s="35"/>
      <c r="L423" s="35"/>
      <c r="M423" s="35"/>
      <c r="N423" s="35"/>
      <c r="O423" s="23"/>
      <c r="P423" s="35"/>
      <c r="Q423" s="188"/>
      <c r="R423" s="35"/>
      <c r="S423" s="35"/>
      <c r="T423" s="35"/>
    </row>
    <row r="424" spans="1:20" ht="29.25" customHeight="1" x14ac:dyDescent="0.2">
      <c r="A424" s="187"/>
      <c r="B424" s="35"/>
      <c r="C424" s="23"/>
      <c r="D424" s="35"/>
      <c r="E424" s="35"/>
      <c r="F424" s="35"/>
      <c r="G424" s="28"/>
      <c r="H424" s="35"/>
      <c r="I424" s="35"/>
      <c r="J424" s="35"/>
      <c r="K424" s="35"/>
      <c r="L424" s="35"/>
      <c r="M424" s="35"/>
      <c r="N424" s="35"/>
      <c r="O424" s="23"/>
      <c r="P424" s="35"/>
      <c r="Q424" s="188"/>
      <c r="R424" s="35"/>
      <c r="S424" s="35"/>
      <c r="T424" s="35"/>
    </row>
    <row r="425" spans="1:20" ht="29.25" customHeight="1" x14ac:dyDescent="0.2">
      <c r="A425" s="187"/>
      <c r="B425" s="35"/>
      <c r="C425" s="23"/>
      <c r="D425" s="35"/>
      <c r="E425" s="35"/>
      <c r="F425" s="35"/>
      <c r="G425" s="28"/>
      <c r="H425" s="35"/>
      <c r="I425" s="35"/>
      <c r="J425" s="35"/>
      <c r="K425" s="35"/>
      <c r="L425" s="35"/>
      <c r="M425" s="35"/>
      <c r="N425" s="35"/>
      <c r="O425" s="23"/>
      <c r="P425" s="35"/>
      <c r="Q425" s="188"/>
      <c r="R425" s="35"/>
      <c r="S425" s="35"/>
      <c r="T425" s="35"/>
    </row>
    <row r="426" spans="1:20" ht="29.25" customHeight="1" x14ac:dyDescent="0.2">
      <c r="A426" s="187"/>
      <c r="B426" s="35"/>
      <c r="C426" s="23"/>
      <c r="D426" s="35"/>
      <c r="E426" s="35"/>
      <c r="F426" s="35"/>
      <c r="G426" s="28"/>
      <c r="H426" s="35"/>
      <c r="I426" s="35"/>
      <c r="J426" s="35"/>
      <c r="K426" s="35"/>
      <c r="L426" s="35"/>
      <c r="M426" s="35"/>
      <c r="N426" s="35"/>
      <c r="O426" s="23"/>
      <c r="P426" s="35"/>
      <c r="Q426" s="188"/>
      <c r="R426" s="35"/>
      <c r="S426" s="35"/>
      <c r="T426" s="35"/>
    </row>
    <row r="427" spans="1:20" ht="29.25" customHeight="1" x14ac:dyDescent="0.2">
      <c r="A427" s="187"/>
      <c r="B427" s="35"/>
      <c r="C427" s="23"/>
      <c r="D427" s="35"/>
      <c r="E427" s="35"/>
      <c r="F427" s="35"/>
      <c r="G427" s="28"/>
      <c r="H427" s="35"/>
      <c r="I427" s="35"/>
      <c r="J427" s="35"/>
      <c r="K427" s="35"/>
      <c r="L427" s="35"/>
      <c r="M427" s="35"/>
      <c r="N427" s="35"/>
      <c r="O427" s="23"/>
      <c r="P427" s="35"/>
      <c r="Q427" s="188"/>
      <c r="R427" s="35"/>
      <c r="S427" s="35"/>
      <c r="T427" s="35"/>
    </row>
    <row r="428" spans="1:20" ht="29.25" customHeight="1" x14ac:dyDescent="0.2">
      <c r="A428" s="187"/>
      <c r="B428" s="35"/>
      <c r="C428" s="23"/>
      <c r="D428" s="35"/>
      <c r="E428" s="35"/>
      <c r="F428" s="35"/>
      <c r="G428" s="28"/>
      <c r="H428" s="35"/>
      <c r="I428" s="35"/>
      <c r="J428" s="35"/>
      <c r="K428" s="35"/>
      <c r="L428" s="35"/>
      <c r="M428" s="35"/>
      <c r="N428" s="35"/>
      <c r="O428" s="23"/>
      <c r="P428" s="35"/>
      <c r="Q428" s="188"/>
      <c r="R428" s="35"/>
      <c r="S428" s="35"/>
      <c r="T428" s="35"/>
    </row>
    <row r="429" spans="1:20" ht="29.25" customHeight="1" x14ac:dyDescent="0.2">
      <c r="A429" s="187"/>
      <c r="B429" s="35"/>
      <c r="C429" s="23"/>
      <c r="D429" s="35"/>
      <c r="E429" s="35"/>
      <c r="F429" s="35"/>
      <c r="G429" s="28"/>
      <c r="H429" s="35"/>
      <c r="I429" s="35"/>
      <c r="J429" s="35"/>
      <c r="K429" s="35"/>
      <c r="L429" s="35"/>
      <c r="M429" s="35"/>
      <c r="N429" s="35"/>
      <c r="O429" s="23"/>
      <c r="P429" s="35"/>
      <c r="Q429" s="188"/>
      <c r="R429" s="35"/>
      <c r="S429" s="35"/>
      <c r="T429" s="35"/>
    </row>
    <row r="430" spans="1:20" ht="29.25" customHeight="1" x14ac:dyDescent="0.2">
      <c r="A430" s="187"/>
      <c r="B430" s="35"/>
      <c r="C430" s="23"/>
      <c r="D430" s="35"/>
      <c r="E430" s="35"/>
      <c r="F430" s="35"/>
      <c r="G430" s="28"/>
      <c r="H430" s="35"/>
      <c r="I430" s="35"/>
      <c r="J430" s="35"/>
      <c r="K430" s="35"/>
      <c r="L430" s="35"/>
      <c r="M430" s="35"/>
      <c r="N430" s="35"/>
      <c r="O430" s="23"/>
      <c r="P430" s="35"/>
      <c r="Q430" s="188"/>
      <c r="R430" s="35"/>
      <c r="S430" s="35"/>
      <c r="T430" s="35"/>
    </row>
    <row r="431" spans="1:20" ht="29.25" customHeight="1" x14ac:dyDescent="0.2">
      <c r="A431" s="187"/>
      <c r="B431" s="35"/>
      <c r="C431" s="23"/>
      <c r="D431" s="35"/>
      <c r="E431" s="35"/>
      <c r="F431" s="35"/>
      <c r="G431" s="28"/>
      <c r="H431" s="35"/>
      <c r="I431" s="35"/>
      <c r="J431" s="35"/>
      <c r="K431" s="35"/>
      <c r="L431" s="35"/>
      <c r="M431" s="35"/>
      <c r="N431" s="35"/>
      <c r="O431" s="23"/>
      <c r="P431" s="35"/>
      <c r="Q431" s="188"/>
      <c r="R431" s="35"/>
      <c r="S431" s="35"/>
      <c r="T431" s="35"/>
    </row>
    <row r="432" spans="1:20" ht="29.25" customHeight="1" x14ac:dyDescent="0.2">
      <c r="A432" s="187"/>
      <c r="B432" s="35"/>
      <c r="C432" s="23"/>
      <c r="D432" s="35"/>
      <c r="E432" s="35"/>
      <c r="F432" s="35"/>
      <c r="G432" s="28"/>
      <c r="H432" s="35"/>
      <c r="I432" s="35"/>
      <c r="J432" s="35"/>
      <c r="K432" s="35"/>
      <c r="L432" s="35"/>
      <c r="M432" s="35"/>
      <c r="N432" s="35"/>
      <c r="O432" s="23"/>
      <c r="P432" s="35"/>
      <c r="Q432" s="188"/>
      <c r="R432" s="35"/>
      <c r="S432" s="35"/>
      <c r="T432" s="35"/>
    </row>
    <row r="433" spans="1:20" ht="29.25" customHeight="1" x14ac:dyDescent="0.2">
      <c r="A433" s="187"/>
      <c r="B433" s="35"/>
      <c r="C433" s="23"/>
      <c r="D433" s="35"/>
      <c r="E433" s="35"/>
      <c r="F433" s="35"/>
      <c r="G433" s="28"/>
      <c r="H433" s="35"/>
      <c r="I433" s="35"/>
      <c r="J433" s="35"/>
      <c r="K433" s="35"/>
      <c r="L433" s="35"/>
      <c r="M433" s="35"/>
      <c r="N433" s="35"/>
      <c r="O433" s="23"/>
      <c r="P433" s="35"/>
      <c r="Q433" s="188"/>
      <c r="R433" s="35"/>
      <c r="S433" s="35"/>
      <c r="T433" s="35"/>
    </row>
    <row r="434" spans="1:20" ht="29.25" customHeight="1" x14ac:dyDescent="0.2">
      <c r="A434" s="187"/>
      <c r="B434" s="35"/>
      <c r="C434" s="23"/>
      <c r="D434" s="35"/>
      <c r="E434" s="35"/>
      <c r="F434" s="35"/>
      <c r="G434" s="28"/>
      <c r="H434" s="35"/>
      <c r="I434" s="35"/>
      <c r="J434" s="35"/>
      <c r="K434" s="35"/>
      <c r="L434" s="35"/>
      <c r="M434" s="35"/>
      <c r="N434" s="35"/>
      <c r="O434" s="23"/>
      <c r="P434" s="35"/>
      <c r="Q434" s="188"/>
      <c r="R434" s="35"/>
      <c r="S434" s="35"/>
      <c r="T434" s="35"/>
    </row>
    <row r="435" spans="1:20" ht="29.25" customHeight="1" x14ac:dyDescent="0.2">
      <c r="A435" s="187"/>
      <c r="B435" s="35"/>
      <c r="C435" s="23"/>
      <c r="D435" s="35"/>
      <c r="E435" s="35"/>
      <c r="F435" s="35"/>
      <c r="G435" s="28"/>
      <c r="H435" s="35"/>
      <c r="I435" s="35"/>
      <c r="J435" s="35"/>
      <c r="K435" s="35"/>
      <c r="L435" s="35"/>
      <c r="M435" s="35"/>
      <c r="N435" s="35"/>
      <c r="O435" s="23"/>
      <c r="P435" s="35"/>
      <c r="Q435" s="188"/>
      <c r="R435" s="35"/>
      <c r="S435" s="35"/>
      <c r="T435" s="35"/>
    </row>
    <row r="436" spans="1:20" ht="29.25" customHeight="1" x14ac:dyDescent="0.2">
      <c r="A436" s="187"/>
      <c r="B436" s="35"/>
      <c r="C436" s="23"/>
      <c r="D436" s="35"/>
      <c r="E436" s="35"/>
      <c r="F436" s="35"/>
      <c r="G436" s="28"/>
      <c r="H436" s="35"/>
      <c r="I436" s="35"/>
      <c r="J436" s="35"/>
      <c r="K436" s="35"/>
      <c r="L436" s="35"/>
      <c r="M436" s="35"/>
      <c r="N436" s="35"/>
      <c r="O436" s="23"/>
      <c r="P436" s="35"/>
      <c r="Q436" s="188"/>
      <c r="R436" s="35"/>
      <c r="S436" s="35"/>
      <c r="T436" s="35"/>
    </row>
    <row r="437" spans="1:20" ht="29.25" customHeight="1" x14ac:dyDescent="0.2">
      <c r="A437" s="187"/>
      <c r="B437" s="35"/>
      <c r="C437" s="23"/>
      <c r="D437" s="35"/>
      <c r="E437" s="35"/>
      <c r="F437" s="35"/>
      <c r="G437" s="28"/>
      <c r="H437" s="35"/>
      <c r="I437" s="35"/>
      <c r="J437" s="35"/>
      <c r="K437" s="35"/>
      <c r="L437" s="35"/>
      <c r="M437" s="35"/>
      <c r="N437" s="35"/>
      <c r="O437" s="23"/>
      <c r="P437" s="35"/>
      <c r="Q437" s="188"/>
      <c r="R437" s="35"/>
      <c r="S437" s="35"/>
      <c r="T437" s="35"/>
    </row>
    <row r="438" spans="1:20" ht="29.25" customHeight="1" x14ac:dyDescent="0.2">
      <c r="A438" s="187"/>
      <c r="B438" s="35"/>
      <c r="C438" s="23"/>
      <c r="D438" s="35"/>
      <c r="E438" s="35"/>
      <c r="F438" s="35"/>
      <c r="G438" s="28"/>
      <c r="H438" s="35"/>
      <c r="I438" s="35"/>
      <c r="J438" s="35"/>
      <c r="K438" s="35"/>
      <c r="L438" s="35"/>
      <c r="M438" s="35"/>
      <c r="N438" s="35"/>
      <c r="O438" s="23"/>
      <c r="P438" s="35"/>
      <c r="Q438" s="188"/>
      <c r="R438" s="35"/>
      <c r="S438" s="35"/>
      <c r="T438" s="35"/>
    </row>
    <row r="439" spans="1:20" ht="29.25" customHeight="1" x14ac:dyDescent="0.2">
      <c r="A439" s="187"/>
      <c r="B439" s="35"/>
      <c r="C439" s="23"/>
      <c r="D439" s="35"/>
      <c r="E439" s="35"/>
      <c r="F439" s="35"/>
      <c r="G439" s="28"/>
      <c r="H439" s="35"/>
      <c r="I439" s="35"/>
      <c r="J439" s="35"/>
      <c r="K439" s="35"/>
      <c r="L439" s="35"/>
      <c r="M439" s="35"/>
      <c r="N439" s="35"/>
      <c r="O439" s="23"/>
      <c r="P439" s="35"/>
      <c r="Q439" s="188"/>
      <c r="R439" s="35"/>
      <c r="S439" s="35"/>
      <c r="T439" s="35"/>
    </row>
    <row r="440" spans="1:20" ht="29.25" customHeight="1" x14ac:dyDescent="0.2">
      <c r="A440" s="187"/>
      <c r="B440" s="35"/>
      <c r="C440" s="23"/>
      <c r="D440" s="35"/>
      <c r="E440" s="35"/>
      <c r="F440" s="35"/>
      <c r="G440" s="28"/>
      <c r="H440" s="35"/>
      <c r="I440" s="35"/>
      <c r="J440" s="35"/>
      <c r="K440" s="35"/>
      <c r="L440" s="35"/>
      <c r="M440" s="35"/>
      <c r="N440" s="35"/>
      <c r="O440" s="23"/>
      <c r="P440" s="35"/>
      <c r="Q440" s="188"/>
      <c r="R440" s="35"/>
      <c r="S440" s="35"/>
      <c r="T440" s="35"/>
    </row>
    <row r="441" spans="1:20" ht="29.25" customHeight="1" x14ac:dyDescent="0.2">
      <c r="A441" s="187"/>
      <c r="B441" s="35"/>
      <c r="C441" s="23"/>
      <c r="D441" s="35"/>
      <c r="E441" s="35"/>
      <c r="F441" s="35"/>
      <c r="G441" s="28"/>
      <c r="H441" s="35"/>
      <c r="I441" s="35"/>
      <c r="J441" s="35"/>
      <c r="K441" s="35"/>
      <c r="L441" s="35"/>
      <c r="M441" s="35"/>
      <c r="N441" s="35"/>
      <c r="O441" s="23"/>
      <c r="P441" s="35"/>
      <c r="Q441" s="188"/>
      <c r="R441" s="35"/>
      <c r="S441" s="35"/>
      <c r="T441" s="35"/>
    </row>
    <row r="442" spans="1:20" ht="29.25" customHeight="1" x14ac:dyDescent="0.2">
      <c r="A442" s="187"/>
      <c r="B442" s="35"/>
      <c r="C442" s="23"/>
      <c r="D442" s="35"/>
      <c r="E442" s="35"/>
      <c r="F442" s="35"/>
      <c r="G442" s="28"/>
      <c r="H442" s="35"/>
      <c r="I442" s="35"/>
      <c r="J442" s="35"/>
      <c r="K442" s="35"/>
      <c r="L442" s="35"/>
      <c r="M442" s="35"/>
      <c r="N442" s="35"/>
      <c r="O442" s="23"/>
      <c r="P442" s="35"/>
      <c r="Q442" s="188"/>
      <c r="R442" s="35"/>
      <c r="S442" s="35"/>
      <c r="T442" s="35"/>
    </row>
    <row r="443" spans="1:20" ht="29.25" customHeight="1" x14ac:dyDescent="0.2">
      <c r="A443" s="187"/>
      <c r="B443" s="35"/>
      <c r="C443" s="23"/>
      <c r="D443" s="35"/>
      <c r="E443" s="35"/>
      <c r="F443" s="35"/>
      <c r="G443" s="28"/>
      <c r="H443" s="35"/>
      <c r="I443" s="35"/>
      <c r="J443" s="35"/>
      <c r="K443" s="35"/>
      <c r="L443" s="35"/>
      <c r="M443" s="35"/>
      <c r="N443" s="35"/>
      <c r="O443" s="23"/>
      <c r="P443" s="35"/>
      <c r="Q443" s="188"/>
      <c r="R443" s="35"/>
      <c r="S443" s="35"/>
      <c r="T443" s="35"/>
    </row>
    <row r="444" spans="1:20" ht="29.25" customHeight="1" x14ac:dyDescent="0.2">
      <c r="A444" s="187"/>
      <c r="B444" s="35"/>
      <c r="C444" s="23"/>
      <c r="D444" s="35"/>
      <c r="E444" s="35"/>
      <c r="F444" s="35"/>
      <c r="G444" s="28"/>
      <c r="H444" s="35"/>
      <c r="I444" s="35"/>
      <c r="J444" s="35"/>
      <c r="K444" s="35"/>
      <c r="L444" s="35"/>
      <c r="M444" s="35"/>
      <c r="N444" s="35"/>
      <c r="O444" s="23"/>
      <c r="P444" s="35"/>
      <c r="Q444" s="188"/>
      <c r="R444" s="35"/>
      <c r="S444" s="35"/>
      <c r="T444" s="35"/>
    </row>
    <row r="445" spans="1:20" ht="29.25" customHeight="1" x14ac:dyDescent="0.2">
      <c r="A445" s="187"/>
      <c r="B445" s="35"/>
      <c r="C445" s="23"/>
      <c r="D445" s="35"/>
      <c r="E445" s="35"/>
      <c r="F445" s="35"/>
      <c r="G445" s="28"/>
      <c r="H445" s="35"/>
      <c r="I445" s="35"/>
      <c r="J445" s="35"/>
      <c r="K445" s="35"/>
      <c r="L445" s="35"/>
      <c r="M445" s="35"/>
      <c r="N445" s="35"/>
      <c r="O445" s="23"/>
      <c r="P445" s="35"/>
      <c r="Q445" s="188"/>
      <c r="R445" s="35"/>
      <c r="S445" s="35"/>
      <c r="T445" s="35"/>
    </row>
    <row r="446" spans="1:20" ht="29.25" customHeight="1" x14ac:dyDescent="0.2">
      <c r="A446" s="187"/>
      <c r="B446" s="35"/>
      <c r="C446" s="23"/>
      <c r="D446" s="35"/>
      <c r="E446" s="35"/>
      <c r="F446" s="35"/>
      <c r="G446" s="28"/>
      <c r="H446" s="35"/>
      <c r="I446" s="35"/>
      <c r="J446" s="35"/>
      <c r="K446" s="35"/>
      <c r="L446" s="35"/>
      <c r="M446" s="35"/>
      <c r="N446" s="35"/>
      <c r="O446" s="23"/>
      <c r="P446" s="35"/>
      <c r="Q446" s="188"/>
      <c r="R446" s="35"/>
      <c r="S446" s="35"/>
      <c r="T446" s="35"/>
    </row>
    <row r="447" spans="1:20" ht="29.25" customHeight="1" x14ac:dyDescent="0.2">
      <c r="A447" s="187"/>
      <c r="B447" s="35"/>
      <c r="C447" s="23"/>
      <c r="D447" s="35"/>
      <c r="E447" s="35"/>
      <c r="F447" s="35"/>
      <c r="G447" s="28"/>
      <c r="H447" s="35"/>
      <c r="I447" s="35"/>
      <c r="J447" s="35"/>
      <c r="K447" s="35"/>
      <c r="L447" s="35"/>
      <c r="M447" s="35"/>
      <c r="N447" s="35"/>
      <c r="O447" s="23"/>
      <c r="P447" s="35"/>
      <c r="Q447" s="188"/>
      <c r="R447" s="35"/>
      <c r="S447" s="35"/>
      <c r="T447" s="35"/>
    </row>
    <row r="448" spans="1:20" ht="29.25" customHeight="1" x14ac:dyDescent="0.2">
      <c r="A448" s="187"/>
      <c r="B448" s="35"/>
      <c r="C448" s="23"/>
      <c r="D448" s="35"/>
      <c r="E448" s="35"/>
      <c r="F448" s="35"/>
      <c r="G448" s="28"/>
      <c r="H448" s="35"/>
      <c r="I448" s="35"/>
      <c r="J448" s="35"/>
      <c r="K448" s="35"/>
      <c r="L448" s="35"/>
      <c r="M448" s="35"/>
      <c r="N448" s="35"/>
      <c r="O448" s="23"/>
      <c r="P448" s="35"/>
      <c r="Q448" s="188"/>
      <c r="R448" s="35"/>
      <c r="S448" s="35"/>
      <c r="T448" s="35"/>
    </row>
    <row r="449" spans="1:20" ht="29.25" customHeight="1" x14ac:dyDescent="0.2">
      <c r="A449" s="187"/>
      <c r="B449" s="35"/>
      <c r="C449" s="23"/>
      <c r="D449" s="35"/>
      <c r="E449" s="35"/>
      <c r="F449" s="35"/>
      <c r="G449" s="28"/>
      <c r="H449" s="35"/>
      <c r="I449" s="35"/>
      <c r="J449" s="35"/>
      <c r="K449" s="35"/>
      <c r="L449" s="35"/>
      <c r="M449" s="35"/>
      <c r="N449" s="35"/>
      <c r="O449" s="23"/>
      <c r="P449" s="35"/>
      <c r="Q449" s="188"/>
      <c r="R449" s="35"/>
      <c r="S449" s="35"/>
      <c r="T449" s="35"/>
    </row>
    <row r="450" spans="1:20" ht="29.25" customHeight="1" x14ac:dyDescent="0.2">
      <c r="A450" s="187"/>
      <c r="B450" s="35"/>
      <c r="C450" s="23"/>
      <c r="D450" s="35"/>
      <c r="E450" s="35"/>
      <c r="F450" s="35"/>
      <c r="G450" s="28"/>
      <c r="H450" s="35"/>
      <c r="I450" s="35"/>
      <c r="J450" s="35"/>
      <c r="K450" s="35"/>
      <c r="L450" s="35"/>
      <c r="M450" s="35"/>
      <c r="N450" s="35"/>
      <c r="O450" s="23"/>
      <c r="P450" s="35"/>
      <c r="Q450" s="188"/>
      <c r="R450" s="35"/>
      <c r="S450" s="35"/>
      <c r="T450" s="35"/>
    </row>
    <row r="451" spans="1:20" ht="29.25" customHeight="1" x14ac:dyDescent="0.2">
      <c r="A451" s="187"/>
      <c r="B451" s="35"/>
      <c r="C451" s="23"/>
      <c r="D451" s="35"/>
      <c r="E451" s="35"/>
      <c r="F451" s="35"/>
      <c r="G451" s="28"/>
      <c r="H451" s="35"/>
      <c r="I451" s="35"/>
      <c r="J451" s="35"/>
      <c r="K451" s="35"/>
      <c r="L451" s="35"/>
      <c r="M451" s="35"/>
      <c r="N451" s="35"/>
      <c r="O451" s="23"/>
      <c r="P451" s="35"/>
      <c r="Q451" s="188"/>
      <c r="R451" s="35"/>
      <c r="S451" s="35"/>
      <c r="T451" s="35"/>
    </row>
    <row r="452" spans="1:20" ht="29.25" customHeight="1" x14ac:dyDescent="0.2">
      <c r="A452" s="187"/>
      <c r="B452" s="35"/>
      <c r="C452" s="23"/>
      <c r="D452" s="35"/>
      <c r="E452" s="35"/>
      <c r="F452" s="35"/>
      <c r="G452" s="28"/>
      <c r="H452" s="35"/>
      <c r="I452" s="35"/>
      <c r="J452" s="35"/>
      <c r="K452" s="35"/>
      <c r="L452" s="35"/>
      <c r="M452" s="35"/>
      <c r="N452" s="35"/>
      <c r="O452" s="23"/>
      <c r="P452" s="35"/>
      <c r="Q452" s="188"/>
      <c r="R452" s="35"/>
      <c r="S452" s="35"/>
      <c r="T452" s="35"/>
    </row>
    <row r="453" spans="1:20" ht="29.25" customHeight="1" x14ac:dyDescent="0.2">
      <c r="A453" s="187"/>
      <c r="B453" s="35"/>
      <c r="C453" s="23"/>
      <c r="D453" s="35"/>
      <c r="E453" s="35"/>
      <c r="F453" s="35"/>
      <c r="G453" s="28"/>
      <c r="H453" s="35"/>
      <c r="I453" s="35"/>
      <c r="J453" s="35"/>
      <c r="K453" s="35"/>
      <c r="L453" s="35"/>
      <c r="M453" s="35"/>
      <c r="N453" s="35"/>
      <c r="O453" s="23"/>
      <c r="P453" s="35"/>
      <c r="Q453" s="188"/>
      <c r="R453" s="35"/>
      <c r="S453" s="35"/>
      <c r="T453" s="35"/>
    </row>
    <row r="454" spans="1:20" ht="29.25" customHeight="1" x14ac:dyDescent="0.2">
      <c r="A454" s="187"/>
      <c r="B454" s="35"/>
      <c r="C454" s="23"/>
      <c r="D454" s="35"/>
      <c r="E454" s="35"/>
      <c r="F454" s="35"/>
      <c r="G454" s="28"/>
      <c r="H454" s="35"/>
      <c r="I454" s="35"/>
      <c r="J454" s="35"/>
      <c r="K454" s="35"/>
      <c r="L454" s="35"/>
      <c r="M454" s="35"/>
      <c r="N454" s="35"/>
      <c r="O454" s="23"/>
      <c r="P454" s="35"/>
      <c r="Q454" s="188"/>
      <c r="R454" s="35"/>
      <c r="S454" s="35"/>
      <c r="T454" s="35"/>
    </row>
    <row r="455" spans="1:20" ht="29.25" customHeight="1" x14ac:dyDescent="0.2">
      <c r="A455" s="187"/>
      <c r="B455" s="35"/>
      <c r="C455" s="23"/>
      <c r="D455" s="35"/>
      <c r="E455" s="35"/>
      <c r="F455" s="35"/>
      <c r="G455" s="28"/>
      <c r="H455" s="35"/>
      <c r="I455" s="35"/>
      <c r="J455" s="35"/>
      <c r="K455" s="35"/>
      <c r="L455" s="35"/>
      <c r="M455" s="35"/>
      <c r="N455" s="35"/>
      <c r="O455" s="23"/>
      <c r="P455" s="35"/>
      <c r="Q455" s="188"/>
      <c r="R455" s="35"/>
      <c r="S455" s="35"/>
      <c r="T455" s="35"/>
    </row>
    <row r="456" spans="1:20" ht="29.25" customHeight="1" x14ac:dyDescent="0.2">
      <c r="A456" s="187"/>
      <c r="B456" s="35"/>
      <c r="C456" s="23"/>
      <c r="D456" s="35"/>
      <c r="E456" s="35"/>
      <c r="F456" s="35"/>
      <c r="G456" s="28"/>
      <c r="H456" s="35"/>
      <c r="I456" s="35"/>
      <c r="J456" s="35"/>
      <c r="K456" s="35"/>
      <c r="L456" s="35"/>
      <c r="M456" s="35"/>
      <c r="N456" s="35"/>
      <c r="O456" s="23"/>
      <c r="P456" s="35"/>
      <c r="Q456" s="188"/>
      <c r="R456" s="35"/>
      <c r="S456" s="35"/>
      <c r="T456" s="35"/>
    </row>
    <row r="457" spans="1:20" ht="29.25" customHeight="1" x14ac:dyDescent="0.2">
      <c r="A457" s="187"/>
      <c r="B457" s="35"/>
      <c r="C457" s="23"/>
      <c r="D457" s="35"/>
      <c r="E457" s="35"/>
      <c r="F457" s="35"/>
      <c r="G457" s="28"/>
      <c r="H457" s="35"/>
      <c r="I457" s="35"/>
      <c r="J457" s="35"/>
      <c r="K457" s="35"/>
      <c r="L457" s="35"/>
      <c r="M457" s="35"/>
      <c r="N457" s="35"/>
      <c r="O457" s="23"/>
      <c r="P457" s="35"/>
      <c r="Q457" s="188"/>
      <c r="R457" s="35"/>
      <c r="S457" s="35"/>
      <c r="T457" s="35"/>
    </row>
    <row r="458" spans="1:20" ht="29.25" customHeight="1" x14ac:dyDescent="0.2">
      <c r="A458" s="187"/>
      <c r="B458" s="35"/>
      <c r="C458" s="23"/>
      <c r="D458" s="35"/>
      <c r="E458" s="35"/>
      <c r="F458" s="35"/>
      <c r="G458" s="28"/>
      <c r="H458" s="35"/>
      <c r="I458" s="35"/>
      <c r="J458" s="35"/>
      <c r="K458" s="35"/>
      <c r="L458" s="35"/>
      <c r="M458" s="35"/>
      <c r="N458" s="35"/>
      <c r="O458" s="23"/>
      <c r="P458" s="35"/>
      <c r="Q458" s="188"/>
      <c r="R458" s="35"/>
      <c r="S458" s="35"/>
      <c r="T458" s="35"/>
    </row>
    <row r="459" spans="1:20" ht="29.25" customHeight="1" x14ac:dyDescent="0.2">
      <c r="A459" s="187"/>
      <c r="B459" s="35"/>
      <c r="C459" s="23"/>
      <c r="D459" s="35"/>
      <c r="E459" s="35"/>
      <c r="F459" s="35"/>
      <c r="G459" s="28"/>
      <c r="H459" s="35"/>
      <c r="I459" s="35"/>
      <c r="J459" s="35"/>
      <c r="K459" s="35"/>
      <c r="L459" s="35"/>
      <c r="M459" s="35"/>
      <c r="N459" s="35"/>
      <c r="O459" s="23"/>
      <c r="P459" s="35"/>
      <c r="Q459" s="188"/>
      <c r="R459" s="35"/>
      <c r="S459" s="35"/>
      <c r="T459" s="35"/>
    </row>
    <row r="460" spans="1:20" ht="29.25" customHeight="1" x14ac:dyDescent="0.2">
      <c r="A460" s="187"/>
      <c r="B460" s="35"/>
      <c r="C460" s="23"/>
      <c r="D460" s="35"/>
      <c r="E460" s="35"/>
      <c r="F460" s="35"/>
      <c r="G460" s="28"/>
      <c r="H460" s="35"/>
      <c r="I460" s="35"/>
      <c r="J460" s="35"/>
      <c r="K460" s="35"/>
      <c r="L460" s="35"/>
      <c r="M460" s="35"/>
      <c r="N460" s="35"/>
      <c r="O460" s="23"/>
      <c r="P460" s="35"/>
      <c r="Q460" s="188"/>
      <c r="R460" s="35"/>
      <c r="S460" s="35"/>
      <c r="T460" s="35"/>
    </row>
    <row r="461" spans="1:20" ht="29.25" customHeight="1" x14ac:dyDescent="0.2">
      <c r="A461" s="187"/>
      <c r="B461" s="35"/>
      <c r="C461" s="23"/>
      <c r="D461" s="35"/>
      <c r="E461" s="35"/>
      <c r="F461" s="35"/>
      <c r="G461" s="28"/>
      <c r="H461" s="35"/>
      <c r="I461" s="35"/>
      <c r="J461" s="35"/>
      <c r="K461" s="35"/>
      <c r="L461" s="35"/>
      <c r="M461" s="35"/>
      <c r="N461" s="35"/>
      <c r="O461" s="23"/>
      <c r="P461" s="35"/>
      <c r="Q461" s="188"/>
      <c r="R461" s="35"/>
      <c r="S461" s="35"/>
      <c r="T461" s="35"/>
    </row>
    <row r="462" spans="1:20" ht="29.25" customHeight="1" x14ac:dyDescent="0.2">
      <c r="A462" s="187"/>
      <c r="B462" s="35"/>
      <c r="C462" s="23"/>
      <c r="D462" s="35"/>
      <c r="E462" s="35"/>
      <c r="F462" s="35"/>
      <c r="G462" s="28"/>
      <c r="H462" s="35"/>
      <c r="I462" s="35"/>
      <c r="J462" s="35"/>
      <c r="K462" s="35"/>
      <c r="L462" s="35"/>
      <c r="M462" s="35"/>
      <c r="N462" s="35"/>
      <c r="O462" s="23"/>
      <c r="P462" s="35"/>
      <c r="Q462" s="188"/>
      <c r="R462" s="35"/>
      <c r="S462" s="35"/>
      <c r="T462" s="35"/>
    </row>
    <row r="463" spans="1:20" ht="29.25" customHeight="1" x14ac:dyDescent="0.2">
      <c r="A463" s="187"/>
      <c r="B463" s="35"/>
      <c r="C463" s="23"/>
      <c r="D463" s="35"/>
      <c r="E463" s="35"/>
      <c r="F463" s="35"/>
      <c r="G463" s="28"/>
      <c r="H463" s="35"/>
      <c r="I463" s="35"/>
      <c r="J463" s="35"/>
      <c r="K463" s="35"/>
      <c r="L463" s="35"/>
      <c r="M463" s="35"/>
      <c r="N463" s="35"/>
      <c r="O463" s="23"/>
      <c r="P463" s="35"/>
      <c r="Q463" s="188"/>
      <c r="R463" s="35"/>
      <c r="S463" s="35"/>
      <c r="T463" s="35"/>
    </row>
    <row r="464" spans="1:20" ht="29.25" customHeight="1" x14ac:dyDescent="0.2">
      <c r="A464" s="187"/>
      <c r="B464" s="35"/>
      <c r="C464" s="23"/>
      <c r="D464" s="35"/>
      <c r="E464" s="35"/>
      <c r="F464" s="35"/>
      <c r="G464" s="28"/>
      <c r="H464" s="35"/>
      <c r="I464" s="35"/>
      <c r="J464" s="35"/>
      <c r="K464" s="35"/>
      <c r="L464" s="35"/>
      <c r="M464" s="35"/>
      <c r="N464" s="35"/>
      <c r="O464" s="23"/>
      <c r="P464" s="35"/>
      <c r="Q464" s="188"/>
      <c r="R464" s="35"/>
      <c r="S464" s="35"/>
      <c r="T464" s="35"/>
    </row>
    <row r="465" spans="1:20" ht="29.25" customHeight="1" x14ac:dyDescent="0.2">
      <c r="A465" s="187"/>
      <c r="B465" s="35"/>
      <c r="C465" s="23"/>
      <c r="D465" s="35"/>
      <c r="E465" s="35"/>
      <c r="F465" s="35"/>
      <c r="G465" s="28"/>
      <c r="H465" s="35"/>
      <c r="I465" s="35"/>
      <c r="J465" s="35"/>
      <c r="K465" s="35"/>
      <c r="L465" s="35"/>
      <c r="M465" s="35"/>
      <c r="N465" s="35"/>
      <c r="O465" s="23"/>
      <c r="P465" s="35"/>
      <c r="Q465" s="188"/>
      <c r="R465" s="35"/>
      <c r="S465" s="35"/>
      <c r="T465" s="35"/>
    </row>
    <row r="466" spans="1:20" ht="29.25" customHeight="1" x14ac:dyDescent="0.2">
      <c r="A466" s="187"/>
      <c r="B466" s="35"/>
      <c r="C466" s="23"/>
      <c r="D466" s="35"/>
      <c r="E466" s="35"/>
      <c r="F466" s="35"/>
      <c r="G466" s="28"/>
      <c r="H466" s="35"/>
      <c r="I466" s="35"/>
      <c r="J466" s="35"/>
      <c r="K466" s="35"/>
      <c r="L466" s="35"/>
      <c r="M466" s="35"/>
      <c r="N466" s="35"/>
      <c r="O466" s="23"/>
      <c r="P466" s="35"/>
      <c r="Q466" s="188"/>
      <c r="R466" s="35"/>
      <c r="S466" s="35"/>
      <c r="T466" s="35"/>
    </row>
    <row r="467" spans="1:20" ht="29.25" customHeight="1" x14ac:dyDescent="0.2">
      <c r="A467" s="187"/>
      <c r="B467" s="35"/>
      <c r="C467" s="23"/>
      <c r="D467" s="35"/>
      <c r="E467" s="35"/>
      <c r="F467" s="35"/>
      <c r="G467" s="28"/>
      <c r="H467" s="35"/>
      <c r="I467" s="35"/>
      <c r="J467" s="35"/>
      <c r="K467" s="35"/>
      <c r="L467" s="35"/>
      <c r="M467" s="35"/>
      <c r="N467" s="35"/>
      <c r="O467" s="23"/>
      <c r="P467" s="35"/>
      <c r="Q467" s="188"/>
      <c r="R467" s="35"/>
      <c r="S467" s="35"/>
      <c r="T467" s="35"/>
    </row>
    <row r="468" spans="1:20" ht="29.25" customHeight="1" x14ac:dyDescent="0.2">
      <c r="A468" s="187"/>
      <c r="B468" s="35"/>
      <c r="C468" s="23"/>
      <c r="D468" s="35"/>
      <c r="E468" s="35"/>
      <c r="F468" s="35"/>
      <c r="G468" s="28"/>
      <c r="H468" s="35"/>
      <c r="I468" s="35"/>
      <c r="J468" s="35"/>
      <c r="K468" s="35"/>
      <c r="L468" s="35"/>
      <c r="M468" s="35"/>
      <c r="N468" s="35"/>
      <c r="O468" s="23"/>
      <c r="P468" s="35"/>
      <c r="Q468" s="188"/>
      <c r="R468" s="35"/>
      <c r="S468" s="35"/>
      <c r="T468" s="35"/>
    </row>
    <row r="469" spans="1:20" ht="29.25" customHeight="1" x14ac:dyDescent="0.2">
      <c r="A469" s="187"/>
      <c r="B469" s="35"/>
      <c r="C469" s="23"/>
      <c r="D469" s="35"/>
      <c r="E469" s="35"/>
      <c r="F469" s="35"/>
      <c r="G469" s="28"/>
      <c r="H469" s="35"/>
      <c r="I469" s="35"/>
      <c r="J469" s="35"/>
      <c r="K469" s="35"/>
      <c r="L469" s="35"/>
      <c r="M469" s="35"/>
      <c r="N469" s="35"/>
      <c r="O469" s="23"/>
      <c r="P469" s="35"/>
      <c r="Q469" s="188"/>
      <c r="R469" s="35"/>
      <c r="S469" s="35"/>
      <c r="T469" s="35"/>
    </row>
    <row r="470" spans="1:20" ht="29.25" customHeight="1" x14ac:dyDescent="0.2">
      <c r="A470" s="187"/>
      <c r="B470" s="35"/>
      <c r="C470" s="23"/>
      <c r="D470" s="35"/>
      <c r="E470" s="35"/>
      <c r="F470" s="35"/>
      <c r="G470" s="28"/>
      <c r="H470" s="35"/>
      <c r="I470" s="35"/>
      <c r="J470" s="35"/>
      <c r="K470" s="35"/>
      <c r="L470" s="35"/>
      <c r="M470" s="35"/>
      <c r="N470" s="35"/>
      <c r="O470" s="23"/>
      <c r="P470" s="35"/>
      <c r="Q470" s="188"/>
      <c r="R470" s="35"/>
      <c r="S470" s="35"/>
      <c r="T470" s="35"/>
    </row>
    <row r="471" spans="1:20" ht="29.25" customHeight="1" x14ac:dyDescent="0.2">
      <c r="A471" s="187"/>
      <c r="B471" s="35"/>
      <c r="C471" s="23"/>
      <c r="D471" s="35"/>
      <c r="E471" s="35"/>
      <c r="F471" s="35"/>
      <c r="G471" s="28"/>
      <c r="H471" s="35"/>
      <c r="I471" s="35"/>
      <c r="J471" s="35"/>
      <c r="K471" s="35"/>
      <c r="L471" s="35"/>
      <c r="M471" s="35"/>
      <c r="N471" s="35"/>
      <c r="O471" s="23"/>
      <c r="P471" s="35"/>
      <c r="Q471" s="188"/>
      <c r="R471" s="35"/>
      <c r="S471" s="35"/>
      <c r="T471" s="35"/>
    </row>
    <row r="472" spans="1:20" ht="29.25" customHeight="1" x14ac:dyDescent="0.2">
      <c r="A472" s="187"/>
      <c r="B472" s="35"/>
      <c r="C472" s="23"/>
      <c r="D472" s="35"/>
      <c r="E472" s="35"/>
      <c r="F472" s="35"/>
      <c r="G472" s="28"/>
      <c r="H472" s="35"/>
      <c r="I472" s="35"/>
      <c r="J472" s="35"/>
      <c r="K472" s="35"/>
      <c r="L472" s="35"/>
      <c r="M472" s="35"/>
      <c r="N472" s="35"/>
      <c r="O472" s="23"/>
      <c r="P472" s="35"/>
      <c r="Q472" s="188"/>
      <c r="R472" s="35"/>
      <c r="S472" s="35"/>
      <c r="T472" s="35"/>
    </row>
    <row r="473" spans="1:20" ht="29.25" customHeight="1" x14ac:dyDescent="0.2">
      <c r="A473" s="187"/>
      <c r="B473" s="35"/>
      <c r="C473" s="23"/>
      <c r="D473" s="35"/>
      <c r="E473" s="35"/>
      <c r="F473" s="35"/>
      <c r="G473" s="28"/>
      <c r="H473" s="35"/>
      <c r="I473" s="35"/>
      <c r="J473" s="35"/>
      <c r="K473" s="35"/>
      <c r="L473" s="35"/>
      <c r="M473" s="35"/>
      <c r="N473" s="35"/>
      <c r="O473" s="23"/>
      <c r="P473" s="35"/>
      <c r="Q473" s="188"/>
      <c r="R473" s="35"/>
      <c r="S473" s="35"/>
      <c r="T473" s="35"/>
    </row>
    <row r="474" spans="1:20" ht="29.25" customHeight="1" x14ac:dyDescent="0.2">
      <c r="A474" s="187"/>
      <c r="B474" s="35"/>
      <c r="C474" s="23"/>
      <c r="D474" s="35"/>
      <c r="E474" s="35"/>
      <c r="F474" s="35"/>
      <c r="G474" s="28"/>
      <c r="H474" s="35"/>
      <c r="I474" s="35"/>
      <c r="J474" s="35"/>
      <c r="K474" s="35"/>
      <c r="L474" s="35"/>
      <c r="M474" s="35"/>
      <c r="N474" s="35"/>
      <c r="O474" s="23"/>
      <c r="P474" s="35"/>
      <c r="Q474" s="188"/>
      <c r="R474" s="35"/>
      <c r="S474" s="35"/>
      <c r="T474" s="35"/>
    </row>
    <row r="475" spans="1:20" ht="29.25" customHeight="1" x14ac:dyDescent="0.2">
      <c r="A475" s="187"/>
      <c r="B475" s="35"/>
      <c r="C475" s="23"/>
      <c r="D475" s="35"/>
      <c r="E475" s="35"/>
      <c r="F475" s="35"/>
      <c r="G475" s="28"/>
      <c r="H475" s="35"/>
      <c r="I475" s="35"/>
      <c r="J475" s="35"/>
      <c r="K475" s="35"/>
      <c r="L475" s="35"/>
      <c r="M475" s="35"/>
      <c r="N475" s="35"/>
      <c r="O475" s="23"/>
      <c r="P475" s="35"/>
      <c r="Q475" s="188"/>
      <c r="R475" s="35"/>
      <c r="S475" s="35"/>
      <c r="T475" s="35"/>
    </row>
    <row r="476" spans="1:20" ht="29.25" customHeight="1" x14ac:dyDescent="0.2">
      <c r="A476" s="187"/>
      <c r="B476" s="35"/>
      <c r="C476" s="23"/>
      <c r="D476" s="35"/>
      <c r="E476" s="35"/>
      <c r="F476" s="35"/>
      <c r="G476" s="28"/>
      <c r="H476" s="35"/>
      <c r="I476" s="35"/>
      <c r="J476" s="35"/>
      <c r="K476" s="35"/>
      <c r="L476" s="35"/>
      <c r="M476" s="35"/>
      <c r="N476" s="35"/>
      <c r="O476" s="23"/>
      <c r="P476" s="35"/>
      <c r="Q476" s="188"/>
      <c r="R476" s="35"/>
      <c r="S476" s="35"/>
      <c r="T476" s="35"/>
    </row>
    <row r="477" spans="1:20" ht="29.25" customHeight="1" x14ac:dyDescent="0.2">
      <c r="A477" s="187"/>
      <c r="B477" s="35"/>
      <c r="C477" s="23"/>
      <c r="D477" s="35"/>
      <c r="E477" s="35"/>
      <c r="F477" s="35"/>
      <c r="G477" s="28"/>
      <c r="H477" s="35"/>
      <c r="I477" s="35"/>
      <c r="J477" s="35"/>
      <c r="K477" s="35"/>
      <c r="L477" s="35"/>
      <c r="M477" s="35"/>
      <c r="N477" s="35"/>
      <c r="O477" s="23"/>
      <c r="P477" s="35"/>
      <c r="Q477" s="188"/>
      <c r="R477" s="35"/>
      <c r="S477" s="35"/>
      <c r="T477" s="35"/>
    </row>
    <row r="478" spans="1:20" ht="29.25" customHeight="1" x14ac:dyDescent="0.2">
      <c r="A478" s="187"/>
      <c r="B478" s="35"/>
      <c r="C478" s="23"/>
      <c r="D478" s="35"/>
      <c r="E478" s="35"/>
      <c r="F478" s="35"/>
      <c r="G478" s="28"/>
      <c r="H478" s="35"/>
      <c r="I478" s="35"/>
      <c r="J478" s="35"/>
      <c r="K478" s="35"/>
      <c r="L478" s="35"/>
      <c r="M478" s="35"/>
      <c r="N478" s="35"/>
      <c r="O478" s="23"/>
      <c r="P478" s="35"/>
      <c r="Q478" s="188"/>
      <c r="R478" s="35"/>
      <c r="S478" s="35"/>
      <c r="T478" s="35"/>
    </row>
    <row r="479" spans="1:20" ht="29.25" customHeight="1" x14ac:dyDescent="0.2">
      <c r="A479" s="187"/>
      <c r="B479" s="35"/>
      <c r="C479" s="23"/>
      <c r="D479" s="35"/>
      <c r="E479" s="35"/>
      <c r="F479" s="35"/>
      <c r="G479" s="28"/>
      <c r="H479" s="35"/>
      <c r="I479" s="35"/>
      <c r="J479" s="35"/>
      <c r="K479" s="35"/>
      <c r="L479" s="35"/>
      <c r="M479" s="35"/>
      <c r="N479" s="35"/>
      <c r="O479" s="23"/>
      <c r="P479" s="35"/>
      <c r="Q479" s="188"/>
      <c r="R479" s="35"/>
      <c r="S479" s="35"/>
      <c r="T479" s="35"/>
    </row>
    <row r="480" spans="1:20" ht="29.25" customHeight="1" x14ac:dyDescent="0.2">
      <c r="A480" s="187"/>
      <c r="B480" s="35"/>
      <c r="C480" s="23"/>
      <c r="D480" s="35"/>
      <c r="E480" s="35"/>
      <c r="F480" s="35"/>
      <c r="G480" s="28"/>
      <c r="H480" s="35"/>
      <c r="I480" s="35"/>
      <c r="J480" s="35"/>
      <c r="K480" s="35"/>
      <c r="L480" s="35"/>
      <c r="M480" s="35"/>
      <c r="N480" s="35"/>
      <c r="O480" s="23"/>
      <c r="P480" s="35"/>
      <c r="Q480" s="188"/>
      <c r="R480" s="35"/>
      <c r="S480" s="35"/>
      <c r="T480" s="35"/>
    </row>
    <row r="481" spans="1:20" ht="29.25" customHeight="1" x14ac:dyDescent="0.2">
      <c r="A481" s="187"/>
      <c r="B481" s="35"/>
      <c r="C481" s="23"/>
      <c r="D481" s="35"/>
      <c r="E481" s="35"/>
      <c r="F481" s="35"/>
      <c r="G481" s="28"/>
      <c r="H481" s="35"/>
      <c r="I481" s="35"/>
      <c r="J481" s="35"/>
      <c r="K481" s="35"/>
      <c r="L481" s="35"/>
      <c r="M481" s="35"/>
      <c r="N481" s="35"/>
      <c r="O481" s="23"/>
      <c r="P481" s="35"/>
      <c r="Q481" s="188"/>
      <c r="R481" s="35"/>
      <c r="S481" s="35"/>
      <c r="T481" s="35"/>
    </row>
    <row r="482" spans="1:20" ht="29.25" customHeight="1" x14ac:dyDescent="0.2">
      <c r="A482" s="187"/>
      <c r="B482" s="35"/>
      <c r="C482" s="23"/>
      <c r="D482" s="35"/>
      <c r="E482" s="35"/>
      <c r="F482" s="35"/>
      <c r="G482" s="28"/>
      <c r="H482" s="35"/>
      <c r="I482" s="35"/>
      <c r="J482" s="35"/>
      <c r="K482" s="35"/>
      <c r="L482" s="35"/>
      <c r="M482" s="35"/>
      <c r="N482" s="35"/>
      <c r="O482" s="23"/>
      <c r="P482" s="35"/>
      <c r="Q482" s="188"/>
      <c r="R482" s="35"/>
      <c r="S482" s="35"/>
      <c r="T482" s="35"/>
    </row>
    <row r="483" spans="1:20" ht="29.25" customHeight="1" x14ac:dyDescent="0.2">
      <c r="A483" s="187"/>
      <c r="B483" s="35"/>
      <c r="C483" s="23"/>
      <c r="D483" s="35"/>
      <c r="E483" s="35"/>
      <c r="F483" s="35"/>
      <c r="G483" s="28"/>
      <c r="H483" s="35"/>
      <c r="I483" s="35"/>
      <c r="J483" s="35"/>
      <c r="K483" s="35"/>
      <c r="L483" s="35"/>
      <c r="M483" s="35"/>
      <c r="N483" s="35"/>
      <c r="O483" s="23"/>
      <c r="P483" s="35"/>
      <c r="Q483" s="188"/>
      <c r="R483" s="35"/>
      <c r="S483" s="35"/>
      <c r="T483" s="35"/>
    </row>
    <row r="484" spans="1:20" ht="29.25" customHeight="1" x14ac:dyDescent="0.2">
      <c r="A484" s="187"/>
      <c r="B484" s="35"/>
      <c r="C484" s="23"/>
      <c r="D484" s="35"/>
      <c r="E484" s="35"/>
      <c r="F484" s="35"/>
      <c r="G484" s="28"/>
      <c r="H484" s="35"/>
      <c r="I484" s="35"/>
      <c r="J484" s="35"/>
      <c r="K484" s="35"/>
      <c r="L484" s="35"/>
      <c r="M484" s="35"/>
      <c r="N484" s="35"/>
      <c r="O484" s="23"/>
      <c r="P484" s="35"/>
      <c r="Q484" s="188"/>
      <c r="R484" s="35"/>
      <c r="S484" s="35"/>
      <c r="T484" s="35"/>
    </row>
    <row r="485" spans="1:20" ht="29.25" customHeight="1" x14ac:dyDescent="0.2">
      <c r="A485" s="187"/>
      <c r="B485" s="35"/>
      <c r="C485" s="23"/>
      <c r="D485" s="35"/>
      <c r="E485" s="35"/>
      <c r="F485" s="35"/>
      <c r="G485" s="28"/>
      <c r="H485" s="35"/>
      <c r="I485" s="35"/>
      <c r="J485" s="35"/>
      <c r="K485" s="35"/>
      <c r="L485" s="35"/>
      <c r="M485" s="35"/>
      <c r="N485" s="35"/>
      <c r="O485" s="23"/>
      <c r="P485" s="35"/>
      <c r="Q485" s="188"/>
      <c r="R485" s="35"/>
      <c r="S485" s="35"/>
      <c r="T485" s="35"/>
    </row>
    <row r="486" spans="1:20" ht="29.25" customHeight="1" x14ac:dyDescent="0.2">
      <c r="A486" s="187"/>
      <c r="B486" s="35"/>
      <c r="C486" s="23"/>
      <c r="D486" s="35"/>
      <c r="E486" s="35"/>
      <c r="F486" s="35"/>
      <c r="G486" s="28"/>
      <c r="H486" s="35"/>
      <c r="I486" s="35"/>
      <c r="J486" s="35"/>
      <c r="K486" s="35"/>
      <c r="L486" s="35"/>
      <c r="M486" s="35"/>
      <c r="N486" s="35"/>
      <c r="O486" s="23"/>
      <c r="P486" s="35"/>
      <c r="Q486" s="188"/>
      <c r="R486" s="35"/>
      <c r="S486" s="35"/>
      <c r="T486" s="35"/>
    </row>
    <row r="487" spans="1:20" ht="29.25" customHeight="1" x14ac:dyDescent="0.2">
      <c r="A487" s="187"/>
      <c r="B487" s="35"/>
      <c r="C487" s="23"/>
      <c r="D487" s="35"/>
      <c r="E487" s="35"/>
      <c r="F487" s="35"/>
      <c r="G487" s="28"/>
      <c r="H487" s="35"/>
      <c r="I487" s="35"/>
      <c r="J487" s="35"/>
      <c r="K487" s="35"/>
      <c r="L487" s="35"/>
      <c r="M487" s="35"/>
      <c r="N487" s="35"/>
      <c r="O487" s="23"/>
      <c r="P487" s="35"/>
      <c r="Q487" s="188"/>
      <c r="R487" s="35"/>
      <c r="S487" s="35"/>
      <c r="T487" s="35"/>
    </row>
    <row r="488" spans="1:20" ht="29.25" customHeight="1" x14ac:dyDescent="0.2">
      <c r="A488" s="187"/>
      <c r="B488" s="35"/>
      <c r="C488" s="23"/>
      <c r="D488" s="35"/>
      <c r="E488" s="35"/>
      <c r="F488" s="35"/>
      <c r="G488" s="28"/>
      <c r="H488" s="35"/>
      <c r="I488" s="35"/>
      <c r="J488" s="35"/>
      <c r="K488" s="35"/>
      <c r="L488" s="35"/>
      <c r="M488" s="35"/>
      <c r="N488" s="35"/>
      <c r="O488" s="23"/>
      <c r="P488" s="35"/>
      <c r="Q488" s="188"/>
      <c r="R488" s="35"/>
      <c r="S488" s="35"/>
      <c r="T488" s="35"/>
    </row>
    <row r="489" spans="1:20" ht="29.25" customHeight="1" x14ac:dyDescent="0.2">
      <c r="A489" s="187"/>
      <c r="B489" s="35"/>
      <c r="C489" s="23"/>
      <c r="D489" s="35"/>
      <c r="E489" s="35"/>
      <c r="F489" s="35"/>
      <c r="G489" s="28"/>
      <c r="H489" s="35"/>
      <c r="I489" s="35"/>
      <c r="J489" s="35"/>
      <c r="K489" s="35"/>
      <c r="L489" s="35"/>
      <c r="M489" s="35"/>
      <c r="N489" s="35"/>
      <c r="O489" s="23"/>
      <c r="P489" s="35"/>
      <c r="Q489" s="188"/>
      <c r="R489" s="35"/>
      <c r="S489" s="35"/>
      <c r="T489" s="35"/>
    </row>
    <row r="490" spans="1:20" ht="29.25" customHeight="1" x14ac:dyDescent="0.2">
      <c r="A490" s="187"/>
      <c r="B490" s="35"/>
      <c r="C490" s="23"/>
      <c r="D490" s="35"/>
      <c r="E490" s="35"/>
      <c r="F490" s="35"/>
      <c r="G490" s="28"/>
      <c r="H490" s="35"/>
      <c r="I490" s="35"/>
      <c r="J490" s="35"/>
      <c r="K490" s="35"/>
      <c r="L490" s="35"/>
      <c r="M490" s="35"/>
      <c r="N490" s="35"/>
      <c r="O490" s="23"/>
      <c r="P490" s="35"/>
      <c r="Q490" s="188"/>
      <c r="R490" s="35"/>
      <c r="S490" s="35"/>
      <c r="T490" s="35"/>
    </row>
    <row r="491" spans="1:20" ht="29.25" customHeight="1" x14ac:dyDescent="0.2">
      <c r="A491" s="187"/>
      <c r="B491" s="35"/>
      <c r="C491" s="23"/>
      <c r="D491" s="35"/>
      <c r="E491" s="35"/>
      <c r="F491" s="35"/>
      <c r="G491" s="28"/>
      <c r="H491" s="35"/>
      <c r="I491" s="35"/>
      <c r="J491" s="35"/>
      <c r="K491" s="35"/>
      <c r="L491" s="35"/>
      <c r="M491" s="35"/>
      <c r="N491" s="35"/>
      <c r="O491" s="23"/>
      <c r="P491" s="35"/>
      <c r="Q491" s="188"/>
      <c r="R491" s="35"/>
      <c r="S491" s="35"/>
      <c r="T491" s="35"/>
    </row>
    <row r="492" spans="1:20" ht="29.25" customHeight="1" x14ac:dyDescent="0.2">
      <c r="A492" s="187"/>
      <c r="B492" s="35"/>
      <c r="C492" s="23"/>
      <c r="D492" s="35"/>
      <c r="E492" s="35"/>
      <c r="F492" s="35"/>
      <c r="G492" s="28"/>
      <c r="H492" s="35"/>
      <c r="I492" s="35"/>
      <c r="J492" s="35"/>
      <c r="K492" s="35"/>
      <c r="L492" s="35"/>
      <c r="M492" s="35"/>
      <c r="N492" s="35"/>
      <c r="O492" s="23"/>
      <c r="P492" s="35"/>
      <c r="Q492" s="188"/>
      <c r="R492" s="35"/>
      <c r="S492" s="35"/>
      <c r="T492" s="35"/>
    </row>
    <row r="493" spans="1:20" ht="29.25" customHeight="1" x14ac:dyDescent="0.2">
      <c r="A493" s="187"/>
      <c r="B493" s="35"/>
      <c r="C493" s="23"/>
      <c r="D493" s="35"/>
      <c r="E493" s="35"/>
      <c r="F493" s="35"/>
      <c r="G493" s="28"/>
      <c r="H493" s="35"/>
      <c r="I493" s="35"/>
      <c r="J493" s="35"/>
      <c r="K493" s="35"/>
      <c r="L493" s="35"/>
      <c r="M493" s="35"/>
      <c r="N493" s="35"/>
      <c r="O493" s="23"/>
      <c r="P493" s="35"/>
      <c r="Q493" s="188"/>
      <c r="R493" s="35"/>
      <c r="S493" s="35"/>
      <c r="T493" s="35"/>
    </row>
    <row r="494" spans="1:20" ht="29.25" customHeight="1" x14ac:dyDescent="0.2">
      <c r="A494" s="187"/>
      <c r="B494" s="35"/>
      <c r="C494" s="23"/>
      <c r="D494" s="35"/>
      <c r="E494" s="35"/>
      <c r="F494" s="35"/>
      <c r="G494" s="28"/>
      <c r="H494" s="35"/>
      <c r="I494" s="35"/>
      <c r="J494" s="35"/>
      <c r="K494" s="35"/>
      <c r="L494" s="35"/>
      <c r="M494" s="35"/>
      <c r="N494" s="35"/>
      <c r="O494" s="23"/>
      <c r="P494" s="35"/>
      <c r="Q494" s="188"/>
      <c r="R494" s="35"/>
      <c r="S494" s="35"/>
      <c r="T494" s="35"/>
    </row>
    <row r="495" spans="1:20" ht="29.25" customHeight="1" x14ac:dyDescent="0.2">
      <c r="A495" s="187"/>
      <c r="B495" s="35"/>
      <c r="C495" s="23"/>
      <c r="D495" s="35"/>
      <c r="E495" s="35"/>
      <c r="F495" s="35"/>
      <c r="G495" s="28"/>
      <c r="H495" s="35"/>
      <c r="I495" s="35"/>
      <c r="J495" s="35"/>
      <c r="K495" s="35"/>
      <c r="L495" s="35"/>
      <c r="M495" s="35"/>
      <c r="N495" s="35"/>
      <c r="O495" s="23"/>
      <c r="P495" s="35"/>
      <c r="Q495" s="188"/>
      <c r="R495" s="35"/>
      <c r="S495" s="35"/>
      <c r="T495" s="35"/>
    </row>
    <row r="496" spans="1:20" ht="29.25" customHeight="1" x14ac:dyDescent="0.2">
      <c r="A496" s="187"/>
      <c r="B496" s="35"/>
      <c r="C496" s="23"/>
      <c r="D496" s="35"/>
      <c r="E496" s="35"/>
      <c r="F496" s="35"/>
      <c r="G496" s="28"/>
      <c r="H496" s="35"/>
      <c r="I496" s="35"/>
      <c r="J496" s="35"/>
      <c r="K496" s="35"/>
      <c r="L496" s="35"/>
      <c r="M496" s="35"/>
      <c r="N496" s="35"/>
      <c r="O496" s="23"/>
      <c r="P496" s="35"/>
      <c r="Q496" s="188"/>
      <c r="R496" s="35"/>
      <c r="S496" s="35"/>
      <c r="T496" s="35"/>
    </row>
    <row r="497" spans="1:20" ht="29.25" customHeight="1" x14ac:dyDescent="0.2">
      <c r="A497" s="187"/>
      <c r="B497" s="35"/>
      <c r="C497" s="23"/>
      <c r="D497" s="35"/>
      <c r="E497" s="35"/>
      <c r="F497" s="35"/>
      <c r="G497" s="28"/>
      <c r="H497" s="35"/>
      <c r="I497" s="35"/>
      <c r="J497" s="35"/>
      <c r="K497" s="35"/>
      <c r="L497" s="35"/>
      <c r="M497" s="35"/>
      <c r="N497" s="35"/>
      <c r="O497" s="23"/>
      <c r="P497" s="35"/>
      <c r="Q497" s="188"/>
      <c r="R497" s="35"/>
      <c r="S497" s="35"/>
      <c r="T497" s="35"/>
    </row>
    <row r="498" spans="1:20" ht="29.25" customHeight="1" x14ac:dyDescent="0.2">
      <c r="A498" s="187"/>
      <c r="B498" s="35"/>
      <c r="C498" s="23"/>
      <c r="D498" s="35"/>
      <c r="E498" s="35"/>
      <c r="F498" s="35"/>
      <c r="G498" s="28"/>
      <c r="H498" s="35"/>
      <c r="I498" s="35"/>
      <c r="J498" s="35"/>
      <c r="K498" s="35"/>
      <c r="L498" s="35"/>
      <c r="M498" s="35"/>
      <c r="N498" s="35"/>
      <c r="O498" s="23"/>
      <c r="P498" s="35"/>
      <c r="Q498" s="188"/>
      <c r="R498" s="35"/>
      <c r="S498" s="35"/>
      <c r="T498" s="35"/>
    </row>
    <row r="499" spans="1:20" ht="29.25" customHeight="1" x14ac:dyDescent="0.2">
      <c r="A499" s="187"/>
      <c r="B499" s="35"/>
      <c r="C499" s="23"/>
      <c r="D499" s="35"/>
      <c r="E499" s="35"/>
      <c r="F499" s="35"/>
      <c r="G499" s="28"/>
      <c r="H499" s="35"/>
      <c r="I499" s="35"/>
      <c r="J499" s="35"/>
      <c r="K499" s="35"/>
      <c r="L499" s="35"/>
      <c r="M499" s="35"/>
      <c r="N499" s="35"/>
      <c r="O499" s="23"/>
      <c r="P499" s="35"/>
      <c r="Q499" s="188"/>
      <c r="R499" s="35"/>
      <c r="S499" s="35"/>
      <c r="T499" s="35"/>
    </row>
    <row r="500" spans="1:20" ht="29.25" customHeight="1" x14ac:dyDescent="0.2">
      <c r="A500" s="187"/>
      <c r="B500" s="35"/>
      <c r="C500" s="23"/>
      <c r="D500" s="35"/>
      <c r="E500" s="35"/>
      <c r="F500" s="35"/>
      <c r="G500" s="28"/>
      <c r="H500" s="35"/>
      <c r="I500" s="35"/>
      <c r="J500" s="35"/>
      <c r="K500" s="35"/>
      <c r="L500" s="35"/>
      <c r="M500" s="35"/>
      <c r="N500" s="35"/>
      <c r="O500" s="23"/>
      <c r="P500" s="35"/>
      <c r="Q500" s="188"/>
      <c r="R500" s="35"/>
      <c r="S500" s="35"/>
      <c r="T500" s="35"/>
    </row>
    <row r="501" spans="1:20" ht="29.25" customHeight="1" x14ac:dyDescent="0.2">
      <c r="A501" s="187"/>
      <c r="B501" s="35"/>
      <c r="C501" s="23"/>
      <c r="D501" s="35"/>
      <c r="E501" s="35"/>
      <c r="F501" s="35"/>
      <c r="G501" s="28"/>
      <c r="H501" s="35"/>
      <c r="I501" s="35"/>
      <c r="J501" s="35"/>
      <c r="K501" s="35"/>
      <c r="L501" s="35"/>
      <c r="M501" s="35"/>
      <c r="N501" s="35"/>
      <c r="O501" s="23"/>
      <c r="P501" s="35"/>
      <c r="Q501" s="188"/>
      <c r="R501" s="35"/>
      <c r="S501" s="35"/>
      <c r="T501" s="35"/>
    </row>
    <row r="502" spans="1:20" ht="29.25" customHeight="1" x14ac:dyDescent="0.2">
      <c r="A502" s="187"/>
      <c r="B502" s="35"/>
      <c r="C502" s="23"/>
      <c r="D502" s="35"/>
      <c r="E502" s="35"/>
      <c r="F502" s="35"/>
      <c r="G502" s="28"/>
      <c r="H502" s="35"/>
      <c r="I502" s="35"/>
      <c r="J502" s="35"/>
      <c r="K502" s="35"/>
      <c r="L502" s="35"/>
      <c r="M502" s="35"/>
      <c r="N502" s="35"/>
      <c r="O502" s="23"/>
      <c r="P502" s="35"/>
      <c r="Q502" s="188"/>
      <c r="R502" s="35"/>
      <c r="S502" s="35"/>
      <c r="T502" s="35"/>
    </row>
    <row r="503" spans="1:20" ht="29.25" customHeight="1" x14ac:dyDescent="0.2">
      <c r="A503" s="187"/>
      <c r="B503" s="35"/>
      <c r="C503" s="23"/>
      <c r="D503" s="35"/>
      <c r="E503" s="35"/>
      <c r="F503" s="35"/>
      <c r="G503" s="28"/>
      <c r="H503" s="35"/>
      <c r="I503" s="35"/>
      <c r="J503" s="35"/>
      <c r="K503" s="35"/>
      <c r="L503" s="35"/>
      <c r="M503" s="35"/>
      <c r="N503" s="35"/>
      <c r="O503" s="23"/>
      <c r="P503" s="35"/>
      <c r="Q503" s="188"/>
      <c r="R503" s="35"/>
      <c r="S503" s="35"/>
      <c r="T503" s="35"/>
    </row>
    <row r="504" spans="1:20" ht="29.25" customHeight="1" x14ac:dyDescent="0.2">
      <c r="A504" s="187"/>
      <c r="B504" s="35"/>
      <c r="C504" s="23"/>
      <c r="D504" s="35"/>
      <c r="E504" s="35"/>
      <c r="F504" s="35"/>
      <c r="G504" s="28"/>
      <c r="H504" s="35"/>
      <c r="I504" s="35"/>
      <c r="J504" s="35"/>
      <c r="K504" s="35"/>
      <c r="L504" s="35"/>
      <c r="M504" s="35"/>
      <c r="N504" s="35"/>
      <c r="O504" s="23"/>
      <c r="P504" s="35"/>
      <c r="Q504" s="188"/>
      <c r="R504" s="35"/>
      <c r="S504" s="35"/>
      <c r="T504" s="35"/>
    </row>
    <row r="505" spans="1:20" ht="29.25" customHeight="1" x14ac:dyDescent="0.2">
      <c r="A505" s="187"/>
      <c r="B505" s="35"/>
      <c r="C505" s="23"/>
      <c r="D505" s="35"/>
      <c r="E505" s="35"/>
      <c r="F505" s="35"/>
      <c r="G505" s="28"/>
      <c r="H505" s="35"/>
      <c r="I505" s="35"/>
      <c r="J505" s="35"/>
      <c r="K505" s="35"/>
      <c r="L505" s="35"/>
      <c r="M505" s="35"/>
      <c r="N505" s="35"/>
      <c r="O505" s="23"/>
      <c r="P505" s="35"/>
      <c r="Q505" s="188"/>
      <c r="R505" s="35"/>
      <c r="S505" s="35"/>
      <c r="T505" s="35"/>
    </row>
    <row r="506" spans="1:20" ht="29.25" customHeight="1" x14ac:dyDescent="0.2">
      <c r="A506" s="187"/>
      <c r="B506" s="35"/>
      <c r="C506" s="23"/>
      <c r="D506" s="35"/>
      <c r="E506" s="35"/>
      <c r="F506" s="35"/>
      <c r="G506" s="28"/>
      <c r="H506" s="35"/>
      <c r="I506" s="35"/>
      <c r="J506" s="35"/>
      <c r="K506" s="35"/>
      <c r="L506" s="35"/>
      <c r="M506" s="35"/>
      <c r="N506" s="35"/>
      <c r="O506" s="23"/>
      <c r="P506" s="35"/>
      <c r="Q506" s="188"/>
      <c r="R506" s="35"/>
      <c r="S506" s="35"/>
      <c r="T506" s="35"/>
    </row>
    <row r="507" spans="1:20" ht="29.25" customHeight="1" x14ac:dyDescent="0.2">
      <c r="A507" s="187"/>
      <c r="B507" s="35"/>
      <c r="C507" s="23"/>
      <c r="D507" s="35"/>
      <c r="E507" s="35"/>
      <c r="F507" s="35"/>
      <c r="G507" s="28"/>
      <c r="H507" s="35"/>
      <c r="I507" s="35"/>
      <c r="J507" s="35"/>
      <c r="K507" s="35"/>
      <c r="L507" s="35"/>
      <c r="M507" s="35"/>
      <c r="N507" s="35"/>
      <c r="O507" s="23"/>
      <c r="P507" s="35"/>
      <c r="Q507" s="188"/>
      <c r="R507" s="35"/>
      <c r="S507" s="35"/>
      <c r="T507" s="35"/>
    </row>
    <row r="508" spans="1:20" ht="29.25" customHeight="1" x14ac:dyDescent="0.2">
      <c r="A508" s="187"/>
      <c r="B508" s="35"/>
      <c r="C508" s="23"/>
      <c r="D508" s="35"/>
      <c r="E508" s="35"/>
      <c r="F508" s="35"/>
      <c r="G508" s="28"/>
      <c r="H508" s="35"/>
      <c r="I508" s="35"/>
      <c r="J508" s="35"/>
      <c r="K508" s="35"/>
      <c r="L508" s="35"/>
      <c r="M508" s="35"/>
      <c r="N508" s="35"/>
      <c r="O508" s="23"/>
      <c r="P508" s="35"/>
      <c r="Q508" s="188"/>
      <c r="R508" s="35"/>
      <c r="S508" s="35"/>
      <c r="T508" s="35"/>
    </row>
    <row r="509" spans="1:20" ht="29.25" customHeight="1" x14ac:dyDescent="0.2">
      <c r="A509" s="187"/>
      <c r="B509" s="35"/>
      <c r="C509" s="23"/>
      <c r="D509" s="35"/>
      <c r="E509" s="35"/>
      <c r="F509" s="35"/>
      <c r="G509" s="28"/>
      <c r="H509" s="35"/>
      <c r="I509" s="35"/>
      <c r="J509" s="35"/>
      <c r="K509" s="35"/>
      <c r="L509" s="35"/>
      <c r="M509" s="35"/>
      <c r="N509" s="35"/>
      <c r="O509" s="23"/>
      <c r="P509" s="35"/>
      <c r="Q509" s="188"/>
      <c r="R509" s="35"/>
      <c r="S509" s="35"/>
      <c r="T509" s="35"/>
    </row>
    <row r="510" spans="1:20" ht="29.25" customHeight="1" x14ac:dyDescent="0.2">
      <c r="A510" s="187"/>
      <c r="B510" s="35"/>
      <c r="C510" s="23"/>
      <c r="D510" s="35"/>
      <c r="E510" s="35"/>
      <c r="F510" s="35"/>
      <c r="G510" s="28"/>
      <c r="H510" s="35"/>
      <c r="I510" s="35"/>
      <c r="J510" s="35"/>
      <c r="K510" s="35"/>
      <c r="L510" s="35"/>
      <c r="M510" s="35"/>
      <c r="N510" s="35"/>
      <c r="O510" s="23"/>
      <c r="P510" s="35"/>
      <c r="Q510" s="188"/>
      <c r="R510" s="35"/>
      <c r="S510" s="35"/>
      <c r="T510" s="35"/>
    </row>
    <row r="511" spans="1:20" ht="29.25" customHeight="1" x14ac:dyDescent="0.2">
      <c r="A511" s="187"/>
      <c r="B511" s="35"/>
      <c r="C511" s="23"/>
      <c r="D511" s="35"/>
      <c r="E511" s="35"/>
      <c r="F511" s="35"/>
      <c r="G511" s="28"/>
      <c r="H511" s="35"/>
      <c r="I511" s="35"/>
      <c r="J511" s="35"/>
      <c r="K511" s="35"/>
      <c r="L511" s="35"/>
      <c r="M511" s="35"/>
      <c r="N511" s="35"/>
      <c r="O511" s="23"/>
      <c r="P511" s="35"/>
      <c r="Q511" s="188"/>
      <c r="R511" s="35"/>
      <c r="S511" s="35"/>
      <c r="T511" s="35"/>
    </row>
    <row r="512" spans="1:20" ht="29.25" customHeight="1" x14ac:dyDescent="0.2">
      <c r="A512" s="187"/>
      <c r="B512" s="35"/>
      <c r="C512" s="23"/>
      <c r="D512" s="35"/>
      <c r="E512" s="35"/>
      <c r="F512" s="35"/>
      <c r="G512" s="28"/>
      <c r="H512" s="35"/>
      <c r="I512" s="35"/>
      <c r="J512" s="35"/>
      <c r="K512" s="35"/>
      <c r="L512" s="35"/>
      <c r="M512" s="35"/>
      <c r="N512" s="35"/>
      <c r="O512" s="23"/>
      <c r="P512" s="35"/>
      <c r="Q512" s="188"/>
      <c r="R512" s="35"/>
      <c r="S512" s="35"/>
      <c r="T512" s="35"/>
    </row>
    <row r="513" spans="1:20" ht="29.25" customHeight="1" x14ac:dyDescent="0.2">
      <c r="A513" s="187"/>
      <c r="B513" s="35"/>
      <c r="C513" s="23"/>
      <c r="D513" s="35"/>
      <c r="E513" s="35"/>
      <c r="F513" s="35"/>
      <c r="G513" s="28"/>
      <c r="H513" s="35"/>
      <c r="I513" s="35"/>
      <c r="J513" s="35"/>
      <c r="K513" s="35"/>
      <c r="L513" s="35"/>
      <c r="M513" s="35"/>
      <c r="N513" s="35"/>
      <c r="O513" s="23"/>
      <c r="P513" s="35"/>
      <c r="Q513" s="188"/>
      <c r="R513" s="35"/>
      <c r="S513" s="35"/>
      <c r="T513" s="35"/>
    </row>
    <row r="514" spans="1:20" ht="29.25" customHeight="1" x14ac:dyDescent="0.2">
      <c r="A514" s="187"/>
      <c r="B514" s="35"/>
      <c r="C514" s="23"/>
      <c r="D514" s="35"/>
      <c r="E514" s="35"/>
      <c r="F514" s="35"/>
      <c r="G514" s="28"/>
      <c r="H514" s="35"/>
      <c r="I514" s="35"/>
      <c r="J514" s="35"/>
      <c r="K514" s="35"/>
      <c r="L514" s="35"/>
      <c r="M514" s="35"/>
      <c r="N514" s="35"/>
      <c r="O514" s="23"/>
      <c r="P514" s="35"/>
      <c r="Q514" s="188"/>
      <c r="R514" s="35"/>
      <c r="S514" s="35"/>
      <c r="T514" s="35"/>
    </row>
    <row r="515" spans="1:20" ht="29.25" customHeight="1" x14ac:dyDescent="0.2">
      <c r="A515" s="187"/>
      <c r="B515" s="35"/>
      <c r="C515" s="23"/>
      <c r="D515" s="35"/>
      <c r="E515" s="35"/>
      <c r="F515" s="35"/>
      <c r="G515" s="28"/>
      <c r="H515" s="35"/>
      <c r="I515" s="35"/>
      <c r="J515" s="35"/>
      <c r="K515" s="35"/>
      <c r="L515" s="35"/>
      <c r="M515" s="35"/>
      <c r="N515" s="35"/>
      <c r="O515" s="23"/>
      <c r="P515" s="35"/>
      <c r="Q515" s="188"/>
      <c r="R515" s="35"/>
      <c r="S515" s="35"/>
      <c r="T515" s="35"/>
    </row>
    <row r="516" spans="1:20" ht="29.25" customHeight="1" x14ac:dyDescent="0.2">
      <c r="A516" s="187"/>
      <c r="B516" s="35"/>
      <c r="C516" s="23"/>
      <c r="D516" s="35"/>
      <c r="E516" s="35"/>
      <c r="F516" s="35"/>
      <c r="G516" s="28"/>
      <c r="H516" s="35"/>
      <c r="I516" s="35"/>
      <c r="J516" s="35"/>
      <c r="K516" s="35"/>
      <c r="L516" s="35"/>
      <c r="M516" s="35"/>
      <c r="N516" s="35"/>
      <c r="O516" s="23"/>
      <c r="P516" s="35"/>
      <c r="Q516" s="188"/>
      <c r="R516" s="35"/>
      <c r="S516" s="35"/>
      <c r="T516" s="35"/>
    </row>
    <row r="517" spans="1:20" ht="29.25" customHeight="1" x14ac:dyDescent="0.2">
      <c r="A517" s="187"/>
      <c r="B517" s="35"/>
      <c r="C517" s="23"/>
      <c r="D517" s="35"/>
      <c r="E517" s="35"/>
      <c r="F517" s="35"/>
      <c r="G517" s="28"/>
      <c r="H517" s="35"/>
      <c r="I517" s="35"/>
      <c r="J517" s="35"/>
      <c r="K517" s="35"/>
      <c r="L517" s="35"/>
      <c r="M517" s="35"/>
      <c r="N517" s="35"/>
      <c r="O517" s="23"/>
      <c r="P517" s="35"/>
      <c r="Q517" s="188"/>
      <c r="R517" s="35"/>
      <c r="S517" s="35"/>
      <c r="T517" s="35"/>
    </row>
    <row r="518" spans="1:20" ht="29.25" customHeight="1" x14ac:dyDescent="0.2">
      <c r="A518" s="187"/>
      <c r="B518" s="35"/>
      <c r="C518" s="23"/>
      <c r="D518" s="35"/>
      <c r="E518" s="35"/>
      <c r="F518" s="35"/>
      <c r="G518" s="28"/>
      <c r="H518" s="35"/>
      <c r="I518" s="35"/>
      <c r="J518" s="35"/>
      <c r="K518" s="35"/>
      <c r="L518" s="35"/>
      <c r="M518" s="35"/>
      <c r="N518" s="35"/>
      <c r="O518" s="23"/>
      <c r="P518" s="35"/>
      <c r="Q518" s="188"/>
      <c r="R518" s="35"/>
      <c r="S518" s="35"/>
      <c r="T518" s="35"/>
    </row>
    <row r="519" spans="1:20" ht="29.25" customHeight="1" x14ac:dyDescent="0.2">
      <c r="A519" s="187"/>
      <c r="B519" s="35"/>
      <c r="C519" s="23"/>
      <c r="D519" s="35"/>
      <c r="E519" s="35"/>
      <c r="F519" s="35"/>
      <c r="G519" s="28"/>
      <c r="H519" s="35"/>
      <c r="I519" s="35"/>
      <c r="J519" s="35"/>
      <c r="K519" s="35"/>
      <c r="L519" s="35"/>
      <c r="M519" s="35"/>
      <c r="N519" s="35"/>
      <c r="O519" s="23"/>
      <c r="P519" s="35"/>
      <c r="Q519" s="188"/>
      <c r="R519" s="35"/>
      <c r="S519" s="35"/>
      <c r="T519" s="35"/>
    </row>
    <row r="520" spans="1:20" ht="29.25" customHeight="1" x14ac:dyDescent="0.2">
      <c r="A520" s="187"/>
      <c r="B520" s="35"/>
      <c r="C520" s="23"/>
      <c r="D520" s="35"/>
      <c r="E520" s="35"/>
      <c r="F520" s="35"/>
      <c r="G520" s="28"/>
      <c r="H520" s="35"/>
      <c r="I520" s="35"/>
      <c r="J520" s="35"/>
      <c r="K520" s="35"/>
      <c r="L520" s="35"/>
      <c r="M520" s="35"/>
      <c r="N520" s="35"/>
      <c r="O520" s="23"/>
      <c r="P520" s="35"/>
      <c r="Q520" s="188"/>
      <c r="R520" s="35"/>
      <c r="S520" s="35"/>
      <c r="T520" s="35"/>
    </row>
    <row r="521" spans="1:20" ht="29.25" customHeight="1" x14ac:dyDescent="0.2">
      <c r="A521" s="187"/>
      <c r="B521" s="35"/>
      <c r="C521" s="23"/>
      <c r="D521" s="35"/>
      <c r="E521" s="35"/>
      <c r="F521" s="35"/>
      <c r="G521" s="28"/>
      <c r="H521" s="35"/>
      <c r="I521" s="35"/>
      <c r="J521" s="35"/>
      <c r="K521" s="35"/>
      <c r="L521" s="35"/>
      <c r="M521" s="35"/>
      <c r="N521" s="35"/>
      <c r="O521" s="23"/>
      <c r="P521" s="35"/>
      <c r="Q521" s="188"/>
      <c r="R521" s="35"/>
      <c r="S521" s="35"/>
      <c r="T521" s="35"/>
    </row>
    <row r="522" spans="1:20" ht="29.25" customHeight="1" x14ac:dyDescent="0.2">
      <c r="A522" s="187"/>
      <c r="B522" s="35"/>
      <c r="C522" s="23"/>
      <c r="D522" s="35"/>
      <c r="E522" s="35"/>
      <c r="F522" s="35"/>
      <c r="G522" s="28"/>
      <c r="H522" s="35"/>
      <c r="I522" s="35"/>
      <c r="J522" s="35"/>
      <c r="K522" s="35"/>
      <c r="L522" s="35"/>
      <c r="M522" s="35"/>
      <c r="N522" s="35"/>
      <c r="O522" s="23"/>
      <c r="P522" s="35"/>
      <c r="Q522" s="188"/>
      <c r="R522" s="35"/>
      <c r="S522" s="35"/>
      <c r="T522" s="35"/>
    </row>
    <row r="523" spans="1:20" ht="29.25" customHeight="1" x14ac:dyDescent="0.2">
      <c r="A523" s="187"/>
      <c r="B523" s="35"/>
      <c r="C523" s="23"/>
      <c r="D523" s="35"/>
      <c r="E523" s="35"/>
      <c r="F523" s="35"/>
      <c r="G523" s="28"/>
      <c r="H523" s="35"/>
      <c r="I523" s="35"/>
      <c r="J523" s="35"/>
      <c r="K523" s="35"/>
      <c r="L523" s="35"/>
      <c r="M523" s="35"/>
      <c r="N523" s="35"/>
      <c r="O523" s="23"/>
      <c r="P523" s="35"/>
      <c r="Q523" s="188"/>
      <c r="R523" s="35"/>
      <c r="S523" s="35"/>
      <c r="T523" s="35"/>
    </row>
    <row r="524" spans="1:20" ht="29.25" customHeight="1" x14ac:dyDescent="0.2">
      <c r="A524" s="187"/>
      <c r="B524" s="35"/>
      <c r="C524" s="23"/>
      <c r="D524" s="35"/>
      <c r="E524" s="35"/>
      <c r="F524" s="35"/>
      <c r="G524" s="28"/>
      <c r="H524" s="35"/>
      <c r="I524" s="35"/>
      <c r="J524" s="35"/>
      <c r="K524" s="35"/>
      <c r="L524" s="35"/>
      <c r="M524" s="35"/>
      <c r="N524" s="35"/>
      <c r="O524" s="23"/>
      <c r="P524" s="35"/>
      <c r="Q524" s="188"/>
      <c r="R524" s="35"/>
      <c r="S524" s="35"/>
      <c r="T524" s="35"/>
    </row>
    <row r="525" spans="1:20" ht="29.25" customHeight="1" x14ac:dyDescent="0.2">
      <c r="A525" s="187"/>
      <c r="B525" s="35"/>
      <c r="C525" s="23"/>
      <c r="D525" s="35"/>
      <c r="E525" s="35"/>
      <c r="F525" s="35"/>
      <c r="G525" s="28"/>
      <c r="H525" s="35"/>
      <c r="I525" s="35"/>
      <c r="J525" s="35"/>
      <c r="K525" s="35"/>
      <c r="L525" s="35"/>
      <c r="M525" s="35"/>
      <c r="N525" s="35"/>
      <c r="O525" s="23"/>
      <c r="P525" s="35"/>
      <c r="Q525" s="188"/>
      <c r="R525" s="35"/>
      <c r="S525" s="35"/>
      <c r="T525" s="35"/>
    </row>
    <row r="526" spans="1:20" ht="29.25" customHeight="1" x14ac:dyDescent="0.2">
      <c r="A526" s="187"/>
      <c r="B526" s="35"/>
      <c r="C526" s="23"/>
      <c r="D526" s="35"/>
      <c r="E526" s="35"/>
      <c r="F526" s="35"/>
      <c r="G526" s="28"/>
      <c r="H526" s="35"/>
      <c r="I526" s="35"/>
      <c r="J526" s="35"/>
      <c r="K526" s="35"/>
      <c r="L526" s="35"/>
      <c r="M526" s="35"/>
      <c r="N526" s="35"/>
      <c r="O526" s="23"/>
      <c r="P526" s="35"/>
      <c r="Q526" s="188"/>
      <c r="R526" s="35"/>
      <c r="S526" s="35"/>
      <c r="T526" s="35"/>
    </row>
    <row r="527" spans="1:20" ht="29.25" customHeight="1" x14ac:dyDescent="0.2">
      <c r="A527" s="187"/>
      <c r="B527" s="35"/>
      <c r="C527" s="23"/>
      <c r="D527" s="35"/>
      <c r="E527" s="35"/>
      <c r="F527" s="35"/>
      <c r="G527" s="28"/>
      <c r="H527" s="35"/>
      <c r="I527" s="35"/>
      <c r="J527" s="35"/>
      <c r="K527" s="35"/>
      <c r="L527" s="35"/>
      <c r="M527" s="35"/>
      <c r="N527" s="35"/>
      <c r="O527" s="23"/>
      <c r="P527" s="35"/>
      <c r="Q527" s="188"/>
      <c r="R527" s="35"/>
      <c r="S527" s="35"/>
      <c r="T527" s="35"/>
    </row>
    <row r="528" spans="1:20" ht="29.25" customHeight="1" x14ac:dyDescent="0.2">
      <c r="A528" s="187"/>
      <c r="B528" s="35"/>
      <c r="C528" s="23"/>
      <c r="D528" s="35"/>
      <c r="E528" s="35"/>
      <c r="F528" s="35"/>
      <c r="G528" s="28"/>
      <c r="H528" s="35"/>
      <c r="I528" s="35"/>
      <c r="J528" s="35"/>
      <c r="K528" s="35"/>
      <c r="L528" s="35"/>
      <c r="M528" s="35"/>
      <c r="N528" s="35"/>
      <c r="O528" s="23"/>
      <c r="P528" s="35"/>
      <c r="Q528" s="188"/>
      <c r="R528" s="35"/>
      <c r="S528" s="35"/>
      <c r="T528" s="35"/>
    </row>
    <row r="529" spans="1:20" ht="29.25" customHeight="1" x14ac:dyDescent="0.2">
      <c r="A529" s="187"/>
      <c r="B529" s="35"/>
      <c r="C529" s="23"/>
      <c r="D529" s="35"/>
      <c r="E529" s="35"/>
      <c r="F529" s="35"/>
      <c r="G529" s="28"/>
      <c r="H529" s="35"/>
      <c r="I529" s="35"/>
      <c r="J529" s="35"/>
      <c r="K529" s="35"/>
      <c r="L529" s="35"/>
      <c r="M529" s="35"/>
      <c r="N529" s="35"/>
      <c r="O529" s="23"/>
      <c r="P529" s="35"/>
      <c r="Q529" s="188"/>
      <c r="R529" s="35"/>
      <c r="S529" s="35"/>
      <c r="T529" s="35"/>
    </row>
    <row r="530" spans="1:20" ht="29.25" customHeight="1" x14ac:dyDescent="0.2">
      <c r="A530" s="187"/>
      <c r="B530" s="35"/>
      <c r="C530" s="23"/>
      <c r="D530" s="35"/>
      <c r="E530" s="35"/>
      <c r="F530" s="35"/>
      <c r="G530" s="28"/>
      <c r="H530" s="35"/>
      <c r="I530" s="35"/>
      <c r="J530" s="35"/>
      <c r="K530" s="35"/>
      <c r="L530" s="35"/>
      <c r="M530" s="35"/>
      <c r="N530" s="35"/>
      <c r="O530" s="23"/>
      <c r="P530" s="35"/>
      <c r="Q530" s="188"/>
      <c r="R530" s="35"/>
      <c r="S530" s="35"/>
      <c r="T530" s="35"/>
    </row>
    <row r="531" spans="1:20" ht="29.25" customHeight="1" x14ac:dyDescent="0.2">
      <c r="A531" s="187"/>
      <c r="B531" s="35"/>
      <c r="C531" s="23"/>
      <c r="D531" s="35"/>
      <c r="E531" s="35"/>
      <c r="F531" s="35"/>
      <c r="G531" s="28"/>
      <c r="H531" s="35"/>
      <c r="I531" s="35"/>
      <c r="J531" s="35"/>
      <c r="K531" s="35"/>
      <c r="L531" s="35"/>
      <c r="M531" s="35"/>
      <c r="N531" s="35"/>
      <c r="O531" s="23"/>
      <c r="P531" s="35"/>
      <c r="Q531" s="188"/>
      <c r="R531" s="35"/>
      <c r="S531" s="35"/>
      <c r="T531" s="35"/>
    </row>
    <row r="532" spans="1:20" ht="29.25" customHeight="1" x14ac:dyDescent="0.2">
      <c r="A532" s="187"/>
      <c r="B532" s="35"/>
      <c r="C532" s="23"/>
      <c r="D532" s="35"/>
      <c r="E532" s="35"/>
      <c r="F532" s="35"/>
      <c r="G532" s="28"/>
      <c r="H532" s="35"/>
      <c r="I532" s="35"/>
      <c r="J532" s="35"/>
      <c r="K532" s="35"/>
      <c r="L532" s="35"/>
      <c r="M532" s="35"/>
      <c r="N532" s="35"/>
      <c r="O532" s="23"/>
      <c r="P532" s="35"/>
      <c r="Q532" s="188"/>
      <c r="R532" s="35"/>
      <c r="S532" s="35"/>
      <c r="T532" s="35"/>
    </row>
    <row r="533" spans="1:20" ht="29.25" customHeight="1" x14ac:dyDescent="0.2">
      <c r="A533" s="187"/>
      <c r="B533" s="35"/>
      <c r="C533" s="23"/>
      <c r="D533" s="35"/>
      <c r="E533" s="35"/>
      <c r="F533" s="35"/>
      <c r="G533" s="28"/>
      <c r="H533" s="35"/>
      <c r="I533" s="35"/>
      <c r="J533" s="35"/>
      <c r="K533" s="35"/>
      <c r="L533" s="35"/>
      <c r="M533" s="35"/>
      <c r="N533" s="35"/>
      <c r="O533" s="23"/>
      <c r="P533" s="35"/>
      <c r="Q533" s="188"/>
      <c r="R533" s="35"/>
      <c r="S533" s="35"/>
      <c r="T533" s="35"/>
    </row>
    <row r="534" spans="1:20" ht="29.25" customHeight="1" x14ac:dyDescent="0.2">
      <c r="A534" s="187"/>
      <c r="B534" s="35"/>
      <c r="C534" s="23"/>
      <c r="D534" s="35"/>
      <c r="E534" s="35"/>
      <c r="F534" s="35"/>
      <c r="G534" s="28"/>
      <c r="H534" s="35"/>
      <c r="I534" s="35"/>
      <c r="J534" s="35"/>
      <c r="K534" s="35"/>
      <c r="L534" s="35"/>
      <c r="M534" s="35"/>
      <c r="N534" s="35"/>
      <c r="O534" s="23"/>
      <c r="P534" s="35"/>
      <c r="Q534" s="188"/>
      <c r="R534" s="35"/>
      <c r="S534" s="35"/>
      <c r="T534" s="35"/>
    </row>
    <row r="535" spans="1:20" ht="29.25" customHeight="1" x14ac:dyDescent="0.2">
      <c r="A535" s="187"/>
      <c r="B535" s="35"/>
      <c r="C535" s="23"/>
      <c r="D535" s="35"/>
      <c r="E535" s="35"/>
      <c r="F535" s="35"/>
      <c r="G535" s="28"/>
      <c r="H535" s="35"/>
      <c r="I535" s="35"/>
      <c r="J535" s="35"/>
      <c r="K535" s="35"/>
      <c r="L535" s="35"/>
      <c r="M535" s="35"/>
      <c r="N535" s="35"/>
      <c r="O535" s="23"/>
      <c r="P535" s="35"/>
      <c r="Q535" s="188"/>
      <c r="R535" s="35"/>
      <c r="S535" s="35"/>
      <c r="T535" s="35"/>
    </row>
    <row r="536" spans="1:20" ht="29.25" customHeight="1" x14ac:dyDescent="0.2">
      <c r="A536" s="187"/>
      <c r="B536" s="35"/>
      <c r="C536" s="23"/>
      <c r="D536" s="35"/>
      <c r="E536" s="35"/>
      <c r="F536" s="35"/>
      <c r="G536" s="28"/>
      <c r="H536" s="35"/>
      <c r="I536" s="35"/>
      <c r="J536" s="35"/>
      <c r="K536" s="35"/>
      <c r="L536" s="35"/>
      <c r="M536" s="35"/>
      <c r="N536" s="35"/>
      <c r="O536" s="23"/>
      <c r="P536" s="35"/>
      <c r="Q536" s="188"/>
      <c r="R536" s="35"/>
      <c r="S536" s="35"/>
      <c r="T536" s="35"/>
    </row>
    <row r="537" spans="1:20" ht="29.25" customHeight="1" x14ac:dyDescent="0.2">
      <c r="A537" s="187"/>
      <c r="B537" s="35"/>
      <c r="C537" s="23"/>
      <c r="D537" s="35"/>
      <c r="E537" s="35"/>
      <c r="F537" s="35"/>
      <c r="G537" s="28"/>
      <c r="H537" s="35"/>
      <c r="I537" s="35"/>
      <c r="J537" s="35"/>
      <c r="K537" s="35"/>
      <c r="L537" s="35"/>
      <c r="M537" s="35"/>
      <c r="N537" s="35"/>
      <c r="O537" s="23"/>
      <c r="P537" s="35"/>
      <c r="Q537" s="188"/>
      <c r="R537" s="35"/>
      <c r="S537" s="35"/>
      <c r="T537" s="35"/>
    </row>
    <row r="538" spans="1:20" ht="29.25" customHeight="1" x14ac:dyDescent="0.2">
      <c r="A538" s="187"/>
      <c r="B538" s="35"/>
      <c r="C538" s="23"/>
      <c r="D538" s="35"/>
      <c r="E538" s="35"/>
      <c r="F538" s="35"/>
      <c r="G538" s="28"/>
      <c r="H538" s="35"/>
      <c r="I538" s="35"/>
      <c r="J538" s="35"/>
      <c r="K538" s="35"/>
      <c r="L538" s="35"/>
      <c r="M538" s="35"/>
      <c r="N538" s="35"/>
      <c r="O538" s="23"/>
      <c r="P538" s="35"/>
      <c r="Q538" s="188"/>
      <c r="R538" s="35"/>
      <c r="S538" s="35"/>
      <c r="T538" s="35"/>
    </row>
    <row r="539" spans="1:20" ht="29.25" customHeight="1" x14ac:dyDescent="0.2">
      <c r="A539" s="187"/>
      <c r="B539" s="35"/>
      <c r="C539" s="23"/>
      <c r="D539" s="35"/>
      <c r="E539" s="35"/>
      <c r="F539" s="35"/>
      <c r="G539" s="28"/>
      <c r="H539" s="35"/>
      <c r="I539" s="35"/>
      <c r="J539" s="35"/>
      <c r="K539" s="35"/>
      <c r="L539" s="35"/>
      <c r="M539" s="35"/>
      <c r="N539" s="35"/>
      <c r="O539" s="23"/>
      <c r="P539" s="35"/>
      <c r="Q539" s="188"/>
      <c r="R539" s="35"/>
      <c r="S539" s="35"/>
      <c r="T539" s="35"/>
    </row>
    <row r="540" spans="1:20" ht="29.25" customHeight="1" x14ac:dyDescent="0.2">
      <c r="A540" s="187"/>
      <c r="B540" s="35"/>
      <c r="C540" s="23"/>
      <c r="D540" s="35"/>
      <c r="E540" s="35"/>
      <c r="F540" s="35"/>
      <c r="G540" s="28"/>
      <c r="H540" s="35"/>
      <c r="I540" s="35"/>
      <c r="J540" s="35"/>
      <c r="K540" s="35"/>
      <c r="L540" s="35"/>
      <c r="M540" s="35"/>
      <c r="N540" s="35"/>
      <c r="O540" s="23"/>
      <c r="P540" s="35"/>
      <c r="Q540" s="188"/>
      <c r="R540" s="35"/>
      <c r="S540" s="35"/>
      <c r="T540" s="35"/>
    </row>
    <row r="541" spans="1:20" ht="29.25" customHeight="1" x14ac:dyDescent="0.2">
      <c r="A541" s="187"/>
      <c r="B541" s="35"/>
      <c r="C541" s="23"/>
      <c r="D541" s="35"/>
      <c r="E541" s="35"/>
      <c r="F541" s="35"/>
      <c r="G541" s="28"/>
      <c r="H541" s="35"/>
      <c r="I541" s="35"/>
      <c r="J541" s="35"/>
      <c r="K541" s="35"/>
      <c r="L541" s="35"/>
      <c r="M541" s="35"/>
      <c r="N541" s="35"/>
      <c r="O541" s="23"/>
      <c r="P541" s="35"/>
      <c r="Q541" s="188"/>
      <c r="R541" s="35"/>
      <c r="S541" s="35"/>
      <c r="T541" s="35"/>
    </row>
    <row r="542" spans="1:20" ht="29.25" customHeight="1" x14ac:dyDescent="0.2">
      <c r="A542" s="187"/>
      <c r="B542" s="35"/>
      <c r="C542" s="23"/>
      <c r="D542" s="35"/>
      <c r="E542" s="35"/>
      <c r="F542" s="35"/>
      <c r="G542" s="28"/>
      <c r="H542" s="35"/>
      <c r="I542" s="35"/>
      <c r="J542" s="35"/>
      <c r="K542" s="35"/>
      <c r="L542" s="35"/>
      <c r="M542" s="35"/>
      <c r="N542" s="35"/>
      <c r="O542" s="23"/>
      <c r="P542" s="35"/>
      <c r="Q542" s="188"/>
      <c r="R542" s="35"/>
      <c r="S542" s="35"/>
      <c r="T542" s="35"/>
    </row>
    <row r="543" spans="1:20" ht="29.25" customHeight="1" x14ac:dyDescent="0.2">
      <c r="A543" s="187"/>
      <c r="B543" s="35"/>
      <c r="C543" s="23"/>
      <c r="D543" s="35"/>
      <c r="E543" s="35"/>
      <c r="F543" s="35"/>
      <c r="G543" s="28"/>
      <c r="H543" s="35"/>
      <c r="I543" s="35"/>
      <c r="J543" s="35"/>
      <c r="K543" s="35"/>
      <c r="L543" s="35"/>
      <c r="M543" s="35"/>
      <c r="N543" s="35"/>
      <c r="O543" s="23"/>
      <c r="P543" s="35"/>
      <c r="Q543" s="188"/>
      <c r="R543" s="35"/>
      <c r="S543" s="35"/>
      <c r="T543" s="35"/>
    </row>
    <row r="544" spans="1:20" ht="29.25" customHeight="1" x14ac:dyDescent="0.2">
      <c r="A544" s="187"/>
      <c r="B544" s="35"/>
      <c r="C544" s="23"/>
      <c r="D544" s="35"/>
      <c r="E544" s="35"/>
      <c r="F544" s="35"/>
      <c r="G544" s="28"/>
      <c r="H544" s="35"/>
      <c r="I544" s="35"/>
      <c r="J544" s="35"/>
      <c r="K544" s="35"/>
      <c r="L544" s="35"/>
      <c r="M544" s="35"/>
      <c r="N544" s="35"/>
      <c r="O544" s="23"/>
      <c r="P544" s="35"/>
      <c r="Q544" s="188"/>
      <c r="R544" s="35"/>
      <c r="S544" s="35"/>
      <c r="T544" s="35"/>
    </row>
    <row r="545" spans="1:20" ht="29.25" customHeight="1" x14ac:dyDescent="0.2">
      <c r="A545" s="187"/>
      <c r="B545" s="35"/>
      <c r="C545" s="23"/>
      <c r="D545" s="35"/>
      <c r="E545" s="35"/>
      <c r="F545" s="35"/>
      <c r="G545" s="28"/>
      <c r="H545" s="35"/>
      <c r="I545" s="35"/>
      <c r="J545" s="35"/>
      <c r="K545" s="35"/>
      <c r="L545" s="35"/>
      <c r="M545" s="35"/>
      <c r="N545" s="35"/>
      <c r="O545" s="23"/>
      <c r="P545" s="35"/>
      <c r="Q545" s="188"/>
      <c r="R545" s="35"/>
      <c r="S545" s="35"/>
      <c r="T545" s="35"/>
    </row>
    <row r="546" spans="1:20" ht="29.25" customHeight="1" x14ac:dyDescent="0.2">
      <c r="A546" s="187"/>
      <c r="B546" s="35"/>
      <c r="C546" s="23"/>
      <c r="D546" s="35"/>
      <c r="E546" s="35"/>
      <c r="F546" s="35"/>
      <c r="G546" s="28"/>
      <c r="H546" s="35"/>
      <c r="I546" s="35"/>
      <c r="J546" s="35"/>
      <c r="K546" s="35"/>
      <c r="L546" s="35"/>
      <c r="M546" s="35"/>
      <c r="N546" s="35"/>
      <c r="O546" s="23"/>
      <c r="P546" s="35"/>
      <c r="Q546" s="188"/>
      <c r="R546" s="35"/>
      <c r="S546" s="35"/>
      <c r="T546" s="35"/>
    </row>
    <row r="547" spans="1:20" ht="29.25" customHeight="1" x14ac:dyDescent="0.2">
      <c r="A547" s="187"/>
      <c r="B547" s="35"/>
      <c r="C547" s="23"/>
      <c r="D547" s="35"/>
      <c r="E547" s="35"/>
      <c r="F547" s="35"/>
      <c r="G547" s="28"/>
      <c r="H547" s="35"/>
      <c r="I547" s="35"/>
      <c r="J547" s="35"/>
      <c r="K547" s="35"/>
      <c r="L547" s="35"/>
      <c r="M547" s="35"/>
      <c r="N547" s="35"/>
      <c r="O547" s="23"/>
      <c r="P547" s="35"/>
      <c r="Q547" s="188"/>
      <c r="R547" s="35"/>
      <c r="S547" s="35"/>
      <c r="T547" s="35"/>
    </row>
    <row r="548" spans="1:20" ht="29.25" customHeight="1" x14ac:dyDescent="0.2">
      <c r="A548" s="187"/>
      <c r="B548" s="35"/>
      <c r="C548" s="23"/>
      <c r="D548" s="35"/>
      <c r="E548" s="35"/>
      <c r="F548" s="35"/>
      <c r="G548" s="28"/>
      <c r="H548" s="35"/>
      <c r="I548" s="35"/>
      <c r="J548" s="35"/>
      <c r="K548" s="35"/>
      <c r="L548" s="35"/>
      <c r="M548" s="35"/>
      <c r="N548" s="35"/>
      <c r="O548" s="23"/>
      <c r="P548" s="35"/>
      <c r="Q548" s="188"/>
      <c r="R548" s="35"/>
      <c r="S548" s="35"/>
      <c r="T548" s="35"/>
    </row>
    <row r="549" spans="1:20" ht="29.25" customHeight="1" x14ac:dyDescent="0.2">
      <c r="A549" s="187"/>
      <c r="B549" s="35"/>
      <c r="C549" s="23"/>
      <c r="D549" s="35"/>
      <c r="E549" s="35"/>
      <c r="F549" s="35"/>
      <c r="G549" s="28"/>
      <c r="H549" s="35"/>
      <c r="I549" s="35"/>
      <c r="J549" s="35"/>
      <c r="K549" s="35"/>
      <c r="L549" s="35"/>
      <c r="M549" s="35"/>
      <c r="N549" s="35"/>
      <c r="O549" s="23"/>
      <c r="P549" s="35"/>
      <c r="Q549" s="188"/>
      <c r="R549" s="35"/>
      <c r="S549" s="35"/>
      <c r="T549" s="35"/>
    </row>
    <row r="550" spans="1:20" ht="29.25" customHeight="1" x14ac:dyDescent="0.2">
      <c r="A550" s="187"/>
      <c r="B550" s="35"/>
      <c r="C550" s="23"/>
      <c r="D550" s="35"/>
      <c r="E550" s="35"/>
      <c r="F550" s="35"/>
      <c r="G550" s="28"/>
      <c r="H550" s="35"/>
      <c r="I550" s="35"/>
      <c r="J550" s="35"/>
      <c r="K550" s="35"/>
      <c r="L550" s="35"/>
      <c r="M550" s="35"/>
      <c r="N550" s="35"/>
      <c r="O550" s="23"/>
      <c r="P550" s="35"/>
      <c r="Q550" s="188"/>
      <c r="R550" s="35"/>
      <c r="S550" s="35"/>
      <c r="T550" s="35"/>
    </row>
    <row r="551" spans="1:20" ht="29.25" customHeight="1" x14ac:dyDescent="0.2">
      <c r="A551" s="187"/>
      <c r="B551" s="35"/>
      <c r="C551" s="23"/>
      <c r="D551" s="35"/>
      <c r="E551" s="35"/>
      <c r="F551" s="35"/>
      <c r="G551" s="28"/>
      <c r="H551" s="35"/>
      <c r="I551" s="35"/>
      <c r="J551" s="35"/>
      <c r="K551" s="35"/>
      <c r="L551" s="35"/>
      <c r="M551" s="35"/>
      <c r="N551" s="35"/>
      <c r="O551" s="23"/>
      <c r="P551" s="35"/>
      <c r="Q551" s="188"/>
      <c r="R551" s="35"/>
      <c r="S551" s="35"/>
      <c r="T551" s="35"/>
    </row>
    <row r="552" spans="1:20" ht="29.25" customHeight="1" x14ac:dyDescent="0.2">
      <c r="A552" s="187"/>
      <c r="B552" s="35"/>
      <c r="C552" s="23"/>
      <c r="D552" s="35"/>
      <c r="E552" s="35"/>
      <c r="F552" s="35"/>
      <c r="G552" s="28"/>
      <c r="H552" s="35"/>
      <c r="I552" s="35"/>
      <c r="J552" s="35"/>
      <c r="K552" s="35"/>
      <c r="L552" s="35"/>
      <c r="M552" s="35"/>
      <c r="N552" s="35"/>
      <c r="O552" s="23"/>
      <c r="P552" s="35"/>
      <c r="Q552" s="188"/>
      <c r="R552" s="35"/>
      <c r="S552" s="35"/>
      <c r="T552" s="35"/>
    </row>
    <row r="553" spans="1:20" ht="29.25" customHeight="1" x14ac:dyDescent="0.2">
      <c r="A553" s="187"/>
      <c r="B553" s="35"/>
      <c r="C553" s="23"/>
      <c r="D553" s="35"/>
      <c r="E553" s="35"/>
      <c r="F553" s="35"/>
      <c r="G553" s="28"/>
      <c r="H553" s="35"/>
      <c r="I553" s="35"/>
      <c r="J553" s="35"/>
      <c r="K553" s="35"/>
      <c r="L553" s="35"/>
      <c r="M553" s="35"/>
      <c r="N553" s="35"/>
      <c r="O553" s="23"/>
      <c r="P553" s="35"/>
      <c r="Q553" s="188"/>
      <c r="R553" s="35"/>
      <c r="S553" s="35"/>
      <c r="T553" s="35"/>
    </row>
    <row r="554" spans="1:20" ht="29.25" customHeight="1" x14ac:dyDescent="0.2">
      <c r="A554" s="187"/>
      <c r="B554" s="35"/>
      <c r="C554" s="23"/>
      <c r="D554" s="35"/>
      <c r="E554" s="35"/>
      <c r="F554" s="35"/>
      <c r="G554" s="28"/>
      <c r="H554" s="35"/>
      <c r="I554" s="35"/>
      <c r="J554" s="35"/>
      <c r="K554" s="35"/>
      <c r="L554" s="35"/>
      <c r="M554" s="35"/>
      <c r="N554" s="35"/>
      <c r="O554" s="23"/>
      <c r="P554" s="35"/>
      <c r="Q554" s="188"/>
      <c r="R554" s="35"/>
      <c r="S554" s="35"/>
      <c r="T554" s="35"/>
    </row>
    <row r="555" spans="1:20" ht="29.25" customHeight="1" x14ac:dyDescent="0.2">
      <c r="A555" s="187"/>
      <c r="B555" s="35"/>
      <c r="C555" s="23"/>
      <c r="D555" s="35"/>
      <c r="E555" s="35"/>
      <c r="F555" s="35"/>
      <c r="G555" s="28"/>
      <c r="H555" s="35"/>
      <c r="I555" s="35"/>
      <c r="J555" s="35"/>
      <c r="K555" s="35"/>
      <c r="L555" s="35"/>
      <c r="M555" s="35"/>
      <c r="N555" s="35"/>
      <c r="O555" s="23"/>
      <c r="P555" s="35"/>
      <c r="Q555" s="188"/>
      <c r="R555" s="35"/>
      <c r="S555" s="35"/>
      <c r="T555" s="35"/>
    </row>
    <row r="556" spans="1:20" ht="29.25" customHeight="1" x14ac:dyDescent="0.2">
      <c r="A556" s="187"/>
      <c r="B556" s="35"/>
      <c r="C556" s="23"/>
      <c r="D556" s="35"/>
      <c r="E556" s="35"/>
      <c r="F556" s="35"/>
      <c r="G556" s="28"/>
      <c r="H556" s="35"/>
      <c r="I556" s="35"/>
      <c r="J556" s="35"/>
      <c r="K556" s="35"/>
      <c r="L556" s="35"/>
      <c r="M556" s="35"/>
      <c r="N556" s="35"/>
      <c r="O556" s="23"/>
      <c r="P556" s="35"/>
      <c r="Q556" s="188"/>
      <c r="R556" s="35"/>
      <c r="S556" s="35"/>
      <c r="T556" s="35"/>
    </row>
    <row r="557" spans="1:20" ht="29.25" customHeight="1" x14ac:dyDescent="0.2">
      <c r="A557" s="187"/>
      <c r="B557" s="35"/>
      <c r="C557" s="23"/>
      <c r="D557" s="35"/>
      <c r="E557" s="35"/>
      <c r="F557" s="35"/>
      <c r="G557" s="28"/>
      <c r="H557" s="35"/>
      <c r="I557" s="35"/>
      <c r="J557" s="35"/>
      <c r="K557" s="35"/>
      <c r="L557" s="35"/>
      <c r="M557" s="35"/>
      <c r="N557" s="35"/>
      <c r="O557" s="23"/>
      <c r="P557" s="35"/>
      <c r="Q557" s="188"/>
      <c r="R557" s="35"/>
      <c r="S557" s="35"/>
      <c r="T557" s="35"/>
    </row>
    <row r="558" spans="1:20" ht="29.25" customHeight="1" x14ac:dyDescent="0.2">
      <c r="A558" s="187"/>
      <c r="B558" s="35"/>
      <c r="C558" s="23"/>
      <c r="D558" s="35"/>
      <c r="E558" s="35"/>
      <c r="F558" s="35"/>
      <c r="G558" s="28"/>
      <c r="H558" s="35"/>
      <c r="I558" s="35"/>
      <c r="J558" s="35"/>
      <c r="K558" s="35"/>
      <c r="L558" s="35"/>
      <c r="M558" s="35"/>
      <c r="N558" s="35"/>
      <c r="O558" s="23"/>
      <c r="P558" s="35"/>
      <c r="Q558" s="188"/>
      <c r="R558" s="35"/>
      <c r="S558" s="35"/>
      <c r="T558" s="35"/>
    </row>
    <row r="559" spans="1:20" ht="29.25" customHeight="1" x14ac:dyDescent="0.2">
      <c r="A559" s="187"/>
      <c r="B559" s="35"/>
      <c r="C559" s="23"/>
      <c r="D559" s="35"/>
      <c r="E559" s="35"/>
      <c r="F559" s="35"/>
      <c r="G559" s="28"/>
      <c r="H559" s="35"/>
      <c r="I559" s="35"/>
      <c r="J559" s="35"/>
      <c r="K559" s="35"/>
      <c r="L559" s="35"/>
      <c r="M559" s="35"/>
      <c r="N559" s="35"/>
      <c r="O559" s="23"/>
      <c r="P559" s="35"/>
      <c r="Q559" s="188"/>
      <c r="R559" s="35"/>
      <c r="S559" s="35"/>
      <c r="T559" s="35"/>
    </row>
    <row r="560" spans="1:20" ht="29.25" customHeight="1" x14ac:dyDescent="0.2">
      <c r="A560" s="187"/>
      <c r="B560" s="35"/>
      <c r="C560" s="23"/>
      <c r="D560" s="35"/>
      <c r="E560" s="35"/>
      <c r="F560" s="35"/>
      <c r="G560" s="28"/>
      <c r="H560" s="35"/>
      <c r="I560" s="35"/>
      <c r="J560" s="35"/>
      <c r="K560" s="35"/>
      <c r="L560" s="35"/>
      <c r="M560" s="35"/>
      <c r="N560" s="35"/>
      <c r="O560" s="23"/>
      <c r="P560" s="35"/>
      <c r="Q560" s="188"/>
      <c r="R560" s="35"/>
      <c r="S560" s="35"/>
      <c r="T560" s="35"/>
    </row>
    <row r="561" spans="1:20" ht="29.25" customHeight="1" x14ac:dyDescent="0.2">
      <c r="A561" s="187"/>
      <c r="B561" s="35"/>
      <c r="C561" s="23"/>
      <c r="D561" s="35"/>
      <c r="E561" s="35"/>
      <c r="F561" s="35"/>
      <c r="G561" s="28"/>
      <c r="H561" s="35"/>
      <c r="I561" s="35"/>
      <c r="J561" s="35"/>
      <c r="K561" s="35"/>
      <c r="L561" s="35"/>
      <c r="M561" s="35"/>
      <c r="N561" s="35"/>
      <c r="O561" s="23"/>
      <c r="P561" s="35"/>
      <c r="Q561" s="188"/>
      <c r="R561" s="35"/>
      <c r="S561" s="35"/>
      <c r="T561" s="35"/>
    </row>
    <row r="562" spans="1:20" ht="29.25" customHeight="1" x14ac:dyDescent="0.2">
      <c r="A562" s="187"/>
      <c r="B562" s="35"/>
      <c r="C562" s="23"/>
      <c r="D562" s="35"/>
      <c r="E562" s="35"/>
      <c r="F562" s="35"/>
      <c r="G562" s="28"/>
      <c r="H562" s="35"/>
      <c r="I562" s="35"/>
      <c r="J562" s="35"/>
      <c r="K562" s="35"/>
      <c r="L562" s="35"/>
      <c r="M562" s="35"/>
      <c r="N562" s="35"/>
      <c r="O562" s="23"/>
      <c r="P562" s="35"/>
      <c r="Q562" s="188"/>
      <c r="R562" s="35"/>
      <c r="S562" s="35"/>
      <c r="T562" s="35"/>
    </row>
    <row r="563" spans="1:20" ht="29.25" customHeight="1" x14ac:dyDescent="0.2">
      <c r="A563" s="187"/>
      <c r="B563" s="35"/>
      <c r="C563" s="23"/>
      <c r="D563" s="35"/>
      <c r="E563" s="35"/>
      <c r="F563" s="35"/>
      <c r="G563" s="28"/>
      <c r="H563" s="35"/>
      <c r="I563" s="35"/>
      <c r="J563" s="35"/>
      <c r="K563" s="35"/>
      <c r="L563" s="35"/>
      <c r="M563" s="35"/>
      <c r="N563" s="35"/>
      <c r="O563" s="23"/>
      <c r="P563" s="35"/>
      <c r="Q563" s="188"/>
      <c r="R563" s="35"/>
      <c r="S563" s="35"/>
      <c r="T563" s="35"/>
    </row>
    <row r="564" spans="1:20" ht="29.25" customHeight="1" x14ac:dyDescent="0.2">
      <c r="A564" s="187"/>
      <c r="B564" s="35"/>
      <c r="C564" s="23"/>
      <c r="D564" s="35"/>
      <c r="E564" s="35"/>
      <c r="F564" s="35"/>
      <c r="G564" s="28"/>
      <c r="H564" s="35"/>
      <c r="I564" s="35"/>
      <c r="J564" s="35"/>
      <c r="K564" s="35"/>
      <c r="L564" s="35"/>
      <c r="M564" s="35"/>
      <c r="N564" s="35"/>
      <c r="O564" s="23"/>
      <c r="P564" s="35"/>
      <c r="Q564" s="188"/>
      <c r="R564" s="35"/>
      <c r="S564" s="35"/>
      <c r="T564" s="35"/>
    </row>
    <row r="565" spans="1:20" ht="29.25" customHeight="1" x14ac:dyDescent="0.2">
      <c r="A565" s="187"/>
      <c r="B565" s="35"/>
      <c r="C565" s="23"/>
      <c r="D565" s="35"/>
      <c r="E565" s="35"/>
      <c r="F565" s="35"/>
      <c r="G565" s="28"/>
      <c r="H565" s="35"/>
      <c r="I565" s="35"/>
      <c r="J565" s="35"/>
      <c r="K565" s="35"/>
      <c r="L565" s="35"/>
      <c r="M565" s="35"/>
      <c r="N565" s="35"/>
      <c r="O565" s="23"/>
      <c r="P565" s="35"/>
      <c r="Q565" s="188"/>
      <c r="R565" s="35"/>
      <c r="S565" s="35"/>
      <c r="T565" s="35"/>
    </row>
    <row r="566" spans="1:20" ht="29.25" customHeight="1" x14ac:dyDescent="0.2">
      <c r="A566" s="187"/>
      <c r="B566" s="35"/>
      <c r="C566" s="23"/>
      <c r="D566" s="35"/>
      <c r="E566" s="35"/>
      <c r="F566" s="35"/>
      <c r="G566" s="28"/>
      <c r="H566" s="35"/>
      <c r="I566" s="35"/>
      <c r="J566" s="35"/>
      <c r="K566" s="35"/>
      <c r="L566" s="35"/>
      <c r="M566" s="35"/>
      <c r="N566" s="35"/>
      <c r="O566" s="23"/>
      <c r="P566" s="35"/>
      <c r="Q566" s="188"/>
      <c r="R566" s="35"/>
      <c r="S566" s="35"/>
      <c r="T566" s="35"/>
    </row>
    <row r="567" spans="1:20" ht="29.25" customHeight="1" x14ac:dyDescent="0.2">
      <c r="A567" s="187"/>
      <c r="B567" s="35"/>
      <c r="C567" s="23"/>
      <c r="D567" s="35"/>
      <c r="E567" s="35"/>
      <c r="F567" s="35"/>
      <c r="G567" s="28"/>
      <c r="H567" s="35"/>
      <c r="I567" s="35"/>
      <c r="J567" s="35"/>
      <c r="K567" s="35"/>
      <c r="L567" s="35"/>
      <c r="M567" s="35"/>
      <c r="N567" s="35"/>
      <c r="O567" s="23"/>
      <c r="P567" s="35"/>
      <c r="Q567" s="188"/>
      <c r="R567" s="35"/>
      <c r="S567" s="35"/>
      <c r="T567" s="35"/>
    </row>
    <row r="568" spans="1:20" ht="29.25" customHeight="1" x14ac:dyDescent="0.2">
      <c r="A568" s="187"/>
      <c r="B568" s="35"/>
      <c r="C568" s="23"/>
      <c r="D568" s="35"/>
      <c r="E568" s="35"/>
      <c r="F568" s="35"/>
      <c r="G568" s="28"/>
      <c r="H568" s="35"/>
      <c r="I568" s="35"/>
      <c r="J568" s="35"/>
      <c r="K568" s="35"/>
      <c r="L568" s="35"/>
      <c r="M568" s="35"/>
      <c r="N568" s="35"/>
      <c r="O568" s="23"/>
      <c r="P568" s="35"/>
      <c r="Q568" s="188"/>
      <c r="R568" s="35"/>
      <c r="S568" s="35"/>
      <c r="T568" s="35"/>
    </row>
    <row r="569" spans="1:20" ht="29.25" customHeight="1" x14ac:dyDescent="0.2">
      <c r="A569" s="187"/>
      <c r="B569" s="35"/>
      <c r="C569" s="23"/>
      <c r="D569" s="35"/>
      <c r="E569" s="35"/>
      <c r="F569" s="35"/>
      <c r="G569" s="28"/>
      <c r="H569" s="35"/>
      <c r="I569" s="35"/>
      <c r="J569" s="35"/>
      <c r="K569" s="35"/>
      <c r="L569" s="35"/>
      <c r="M569" s="35"/>
      <c r="N569" s="35"/>
      <c r="O569" s="23"/>
      <c r="P569" s="35"/>
      <c r="Q569" s="188"/>
      <c r="R569" s="35"/>
      <c r="S569" s="35"/>
      <c r="T569" s="35"/>
    </row>
    <row r="570" spans="1:20" ht="29.25" customHeight="1" x14ac:dyDescent="0.2">
      <c r="A570" s="187"/>
      <c r="B570" s="35"/>
      <c r="C570" s="23"/>
      <c r="D570" s="35"/>
      <c r="E570" s="35"/>
      <c r="F570" s="35"/>
      <c r="G570" s="28"/>
      <c r="H570" s="35"/>
      <c r="I570" s="35"/>
      <c r="J570" s="35"/>
      <c r="K570" s="35"/>
      <c r="L570" s="35"/>
      <c r="M570" s="35"/>
      <c r="N570" s="35"/>
      <c r="O570" s="23"/>
      <c r="P570" s="35"/>
      <c r="Q570" s="188"/>
      <c r="R570" s="35"/>
      <c r="S570" s="35"/>
      <c r="T570" s="35"/>
    </row>
    <row r="571" spans="1:20" ht="29.25" customHeight="1" x14ac:dyDescent="0.2">
      <c r="A571" s="187"/>
      <c r="B571" s="35"/>
      <c r="C571" s="23"/>
      <c r="D571" s="35"/>
      <c r="E571" s="35"/>
      <c r="F571" s="35"/>
      <c r="G571" s="28"/>
      <c r="H571" s="35"/>
      <c r="I571" s="35"/>
      <c r="J571" s="35"/>
      <c r="K571" s="35"/>
      <c r="L571" s="35"/>
      <c r="M571" s="35"/>
      <c r="N571" s="35"/>
      <c r="O571" s="23"/>
      <c r="P571" s="35"/>
      <c r="Q571" s="188"/>
      <c r="R571" s="35"/>
      <c r="S571" s="35"/>
      <c r="T571" s="35"/>
    </row>
    <row r="572" spans="1:20" ht="29.25" customHeight="1" x14ac:dyDescent="0.2">
      <c r="A572" s="187"/>
      <c r="B572" s="35"/>
      <c r="C572" s="23"/>
      <c r="D572" s="35"/>
      <c r="E572" s="35"/>
      <c r="F572" s="35"/>
      <c r="G572" s="28"/>
      <c r="H572" s="35"/>
      <c r="I572" s="35"/>
      <c r="J572" s="35"/>
      <c r="K572" s="35"/>
      <c r="L572" s="35"/>
      <c r="M572" s="35"/>
      <c r="N572" s="35"/>
      <c r="O572" s="23"/>
      <c r="P572" s="35"/>
      <c r="Q572" s="188"/>
      <c r="R572" s="35"/>
      <c r="S572" s="35"/>
      <c r="T572" s="35"/>
    </row>
    <row r="573" spans="1:20" ht="29.25" customHeight="1" x14ac:dyDescent="0.2">
      <c r="A573" s="187"/>
      <c r="B573" s="35"/>
      <c r="C573" s="23"/>
      <c r="D573" s="35"/>
      <c r="E573" s="35"/>
      <c r="F573" s="35"/>
      <c r="G573" s="28"/>
      <c r="H573" s="35"/>
      <c r="I573" s="35"/>
      <c r="J573" s="35"/>
      <c r="K573" s="35"/>
      <c r="L573" s="35"/>
      <c r="M573" s="35"/>
      <c r="N573" s="35"/>
      <c r="O573" s="23"/>
      <c r="P573" s="35"/>
      <c r="Q573" s="188"/>
      <c r="R573" s="35"/>
      <c r="S573" s="35"/>
      <c r="T573" s="35"/>
    </row>
    <row r="574" spans="1:20" ht="29.25" customHeight="1" x14ac:dyDescent="0.2">
      <c r="A574" s="187"/>
      <c r="B574" s="35"/>
      <c r="C574" s="23"/>
      <c r="D574" s="35"/>
      <c r="E574" s="35"/>
      <c r="F574" s="35"/>
      <c r="G574" s="28"/>
      <c r="H574" s="35"/>
      <c r="I574" s="35"/>
      <c r="J574" s="35"/>
      <c r="K574" s="35"/>
      <c r="L574" s="35"/>
      <c r="M574" s="35"/>
      <c r="N574" s="35"/>
      <c r="O574" s="23"/>
      <c r="P574" s="35"/>
      <c r="Q574" s="188"/>
      <c r="R574" s="35"/>
      <c r="S574" s="35"/>
      <c r="T574" s="35"/>
    </row>
    <row r="575" spans="1:20" ht="29.25" customHeight="1" x14ac:dyDescent="0.2">
      <c r="A575" s="187"/>
      <c r="B575" s="35"/>
      <c r="C575" s="23"/>
      <c r="D575" s="35"/>
      <c r="E575" s="35"/>
      <c r="F575" s="35"/>
      <c r="G575" s="28"/>
      <c r="H575" s="35"/>
      <c r="I575" s="35"/>
      <c r="J575" s="35"/>
      <c r="K575" s="35"/>
      <c r="L575" s="35"/>
      <c r="M575" s="35"/>
      <c r="N575" s="35"/>
      <c r="O575" s="23"/>
      <c r="P575" s="35"/>
      <c r="Q575" s="188"/>
      <c r="R575" s="35"/>
      <c r="S575" s="35"/>
      <c r="T575" s="35"/>
    </row>
    <row r="576" spans="1:20" ht="29.25" customHeight="1" x14ac:dyDescent="0.2">
      <c r="A576" s="187"/>
      <c r="B576" s="35"/>
      <c r="C576" s="23"/>
      <c r="D576" s="35"/>
      <c r="E576" s="35"/>
      <c r="F576" s="35"/>
      <c r="G576" s="28"/>
      <c r="H576" s="35"/>
      <c r="I576" s="35"/>
      <c r="J576" s="35"/>
      <c r="K576" s="35"/>
      <c r="L576" s="35"/>
      <c r="M576" s="35"/>
      <c r="N576" s="35"/>
      <c r="O576" s="23"/>
      <c r="P576" s="35"/>
      <c r="Q576" s="188"/>
      <c r="R576" s="35"/>
      <c r="S576" s="35"/>
      <c r="T576" s="35"/>
    </row>
    <row r="577" spans="1:20" ht="29.25" customHeight="1" x14ac:dyDescent="0.2">
      <c r="A577" s="187"/>
      <c r="B577" s="35"/>
      <c r="C577" s="23"/>
      <c r="D577" s="35"/>
      <c r="E577" s="35"/>
      <c r="F577" s="35"/>
      <c r="G577" s="28"/>
      <c r="H577" s="35"/>
      <c r="I577" s="35"/>
      <c r="J577" s="35"/>
      <c r="K577" s="35"/>
      <c r="L577" s="35"/>
      <c r="M577" s="35"/>
      <c r="N577" s="35"/>
      <c r="O577" s="23"/>
      <c r="P577" s="35"/>
      <c r="Q577" s="188"/>
      <c r="R577" s="35"/>
      <c r="S577" s="35"/>
      <c r="T577" s="35"/>
    </row>
    <row r="578" spans="1:20" ht="29.25" customHeight="1" x14ac:dyDescent="0.2">
      <c r="A578" s="187"/>
      <c r="B578" s="35"/>
      <c r="C578" s="23"/>
      <c r="D578" s="35"/>
      <c r="E578" s="35"/>
      <c r="F578" s="35"/>
      <c r="G578" s="28"/>
      <c r="H578" s="35"/>
      <c r="I578" s="35"/>
      <c r="J578" s="35"/>
      <c r="K578" s="35"/>
      <c r="L578" s="35"/>
      <c r="M578" s="35"/>
      <c r="N578" s="35"/>
      <c r="O578" s="23"/>
      <c r="P578" s="35"/>
      <c r="Q578" s="188"/>
      <c r="R578" s="35"/>
      <c r="S578" s="35"/>
      <c r="T578" s="35"/>
    </row>
    <row r="579" spans="1:20" ht="29.25" customHeight="1" x14ac:dyDescent="0.2">
      <c r="A579" s="187"/>
      <c r="B579" s="35"/>
      <c r="C579" s="23"/>
      <c r="D579" s="35"/>
      <c r="E579" s="35"/>
      <c r="F579" s="35"/>
      <c r="G579" s="28"/>
      <c r="H579" s="35"/>
      <c r="I579" s="35"/>
      <c r="J579" s="35"/>
      <c r="K579" s="35"/>
      <c r="L579" s="35"/>
      <c r="M579" s="35"/>
      <c r="N579" s="35"/>
      <c r="O579" s="23"/>
      <c r="P579" s="35"/>
      <c r="Q579" s="188"/>
      <c r="R579" s="35"/>
      <c r="S579" s="35"/>
      <c r="T579" s="35"/>
    </row>
    <row r="580" spans="1:20" ht="29.25" customHeight="1" x14ac:dyDescent="0.2">
      <c r="A580" s="187"/>
      <c r="B580" s="35"/>
      <c r="C580" s="23"/>
      <c r="D580" s="35"/>
      <c r="E580" s="35"/>
      <c r="F580" s="35"/>
      <c r="G580" s="28"/>
      <c r="H580" s="35"/>
      <c r="I580" s="35"/>
      <c r="J580" s="35"/>
      <c r="K580" s="35"/>
      <c r="L580" s="35"/>
      <c r="M580" s="35"/>
      <c r="N580" s="35"/>
      <c r="O580" s="23"/>
      <c r="P580" s="35"/>
      <c r="Q580" s="188"/>
      <c r="R580" s="35"/>
      <c r="S580" s="35"/>
      <c r="T580" s="35"/>
    </row>
    <row r="581" spans="1:20" ht="29.25" customHeight="1" x14ac:dyDescent="0.2">
      <c r="A581" s="187"/>
      <c r="B581" s="35"/>
      <c r="C581" s="23"/>
      <c r="D581" s="35"/>
      <c r="E581" s="35"/>
      <c r="F581" s="35"/>
      <c r="G581" s="28"/>
      <c r="H581" s="35"/>
      <c r="I581" s="35"/>
      <c r="J581" s="35"/>
      <c r="K581" s="35"/>
      <c r="L581" s="35"/>
      <c r="M581" s="35"/>
      <c r="N581" s="35"/>
      <c r="O581" s="23"/>
      <c r="P581" s="35"/>
      <c r="Q581" s="188"/>
      <c r="R581" s="35"/>
      <c r="S581" s="35"/>
      <c r="T581" s="35"/>
    </row>
    <row r="582" spans="1:20" ht="29.25" customHeight="1" x14ac:dyDescent="0.2">
      <c r="A582" s="187"/>
      <c r="B582" s="35"/>
      <c r="C582" s="23"/>
      <c r="D582" s="35"/>
      <c r="E582" s="35"/>
      <c r="F582" s="35"/>
      <c r="G582" s="28"/>
      <c r="H582" s="35"/>
      <c r="I582" s="35"/>
      <c r="J582" s="35"/>
      <c r="K582" s="35"/>
      <c r="L582" s="35"/>
      <c r="M582" s="35"/>
      <c r="N582" s="35"/>
      <c r="O582" s="23"/>
      <c r="P582" s="35"/>
      <c r="Q582" s="188"/>
      <c r="R582" s="35"/>
      <c r="S582" s="35"/>
      <c r="T582" s="35"/>
    </row>
    <row r="583" spans="1:20" ht="29.25" customHeight="1" x14ac:dyDescent="0.2">
      <c r="A583" s="187"/>
      <c r="B583" s="35"/>
      <c r="C583" s="23"/>
      <c r="D583" s="35"/>
      <c r="E583" s="35"/>
      <c r="F583" s="35"/>
      <c r="G583" s="28"/>
      <c r="H583" s="35"/>
      <c r="I583" s="35"/>
      <c r="J583" s="35"/>
      <c r="K583" s="35"/>
      <c r="L583" s="35"/>
      <c r="M583" s="35"/>
      <c r="N583" s="35"/>
      <c r="O583" s="23"/>
      <c r="P583" s="35"/>
      <c r="Q583" s="188"/>
      <c r="R583" s="35"/>
      <c r="S583" s="35"/>
      <c r="T583" s="35"/>
    </row>
    <row r="584" spans="1:20" ht="29.25" customHeight="1" x14ac:dyDescent="0.2">
      <c r="A584" s="187"/>
      <c r="B584" s="35"/>
      <c r="C584" s="23"/>
      <c r="D584" s="35"/>
      <c r="E584" s="35"/>
      <c r="F584" s="35"/>
      <c r="G584" s="28"/>
      <c r="H584" s="35"/>
      <c r="I584" s="35"/>
      <c r="J584" s="35"/>
      <c r="K584" s="35"/>
      <c r="L584" s="35"/>
      <c r="M584" s="35"/>
      <c r="N584" s="35"/>
      <c r="O584" s="23"/>
      <c r="P584" s="35"/>
      <c r="Q584" s="188"/>
      <c r="R584" s="35"/>
      <c r="S584" s="35"/>
      <c r="T584" s="35"/>
    </row>
    <row r="585" spans="1:20" ht="29.25" customHeight="1" x14ac:dyDescent="0.2">
      <c r="A585" s="187"/>
      <c r="B585" s="35"/>
      <c r="C585" s="23"/>
      <c r="D585" s="35"/>
      <c r="E585" s="35"/>
      <c r="F585" s="35"/>
      <c r="G585" s="28"/>
      <c r="H585" s="35"/>
      <c r="I585" s="35"/>
      <c r="J585" s="35"/>
      <c r="K585" s="35"/>
      <c r="L585" s="35"/>
      <c r="M585" s="35"/>
      <c r="N585" s="35"/>
      <c r="O585" s="23"/>
      <c r="P585" s="35"/>
      <c r="Q585" s="188"/>
      <c r="R585" s="35"/>
      <c r="S585" s="35"/>
      <c r="T585" s="35"/>
    </row>
    <row r="586" spans="1:20" ht="29.25" customHeight="1" x14ac:dyDescent="0.2">
      <c r="A586" s="187"/>
      <c r="B586" s="35"/>
      <c r="C586" s="23"/>
      <c r="D586" s="35"/>
      <c r="E586" s="35"/>
      <c r="F586" s="35"/>
      <c r="G586" s="28"/>
      <c r="H586" s="35"/>
      <c r="I586" s="35"/>
      <c r="J586" s="35"/>
      <c r="K586" s="35"/>
      <c r="L586" s="35"/>
      <c r="M586" s="35"/>
      <c r="N586" s="35"/>
      <c r="O586" s="23"/>
      <c r="P586" s="35"/>
      <c r="Q586" s="188"/>
      <c r="R586" s="35"/>
      <c r="S586" s="35"/>
      <c r="T586" s="35"/>
    </row>
    <row r="587" spans="1:20" ht="29.25" customHeight="1" x14ac:dyDescent="0.2">
      <c r="A587" s="187"/>
      <c r="B587" s="35"/>
      <c r="C587" s="23"/>
      <c r="D587" s="35"/>
      <c r="E587" s="35"/>
      <c r="F587" s="35"/>
      <c r="G587" s="28"/>
      <c r="H587" s="35"/>
      <c r="I587" s="35"/>
      <c r="J587" s="35"/>
      <c r="K587" s="35"/>
      <c r="L587" s="35"/>
      <c r="M587" s="35"/>
      <c r="N587" s="35"/>
      <c r="O587" s="23"/>
      <c r="P587" s="35"/>
      <c r="Q587" s="188"/>
      <c r="R587" s="35"/>
      <c r="S587" s="35"/>
      <c r="T587" s="35"/>
    </row>
    <row r="588" spans="1:20" ht="29.25" customHeight="1" x14ac:dyDescent="0.2">
      <c r="A588" s="187"/>
      <c r="B588" s="35"/>
      <c r="C588" s="23"/>
      <c r="D588" s="35"/>
      <c r="E588" s="35"/>
      <c r="F588" s="35"/>
      <c r="G588" s="28"/>
      <c r="H588" s="35"/>
      <c r="I588" s="35"/>
      <c r="J588" s="35"/>
      <c r="K588" s="35"/>
      <c r="L588" s="35"/>
      <c r="M588" s="35"/>
      <c r="N588" s="35"/>
      <c r="O588" s="23"/>
      <c r="P588" s="35"/>
      <c r="Q588" s="188"/>
      <c r="R588" s="35"/>
      <c r="S588" s="35"/>
      <c r="T588" s="35"/>
    </row>
    <row r="589" spans="1:20" ht="29.25" customHeight="1" x14ac:dyDescent="0.2">
      <c r="A589" s="187"/>
      <c r="B589" s="35"/>
      <c r="C589" s="23"/>
      <c r="D589" s="35"/>
      <c r="E589" s="35"/>
      <c r="F589" s="35"/>
      <c r="G589" s="28"/>
      <c r="H589" s="35"/>
      <c r="I589" s="35"/>
      <c r="J589" s="35"/>
      <c r="K589" s="35"/>
      <c r="L589" s="35"/>
      <c r="M589" s="35"/>
      <c r="N589" s="35"/>
      <c r="O589" s="23"/>
      <c r="P589" s="35"/>
      <c r="Q589" s="188"/>
      <c r="R589" s="35"/>
      <c r="S589" s="35"/>
      <c r="T589" s="35"/>
    </row>
    <row r="590" spans="1:20" ht="29.25" customHeight="1" x14ac:dyDescent="0.2">
      <c r="A590" s="187"/>
      <c r="B590" s="35"/>
      <c r="C590" s="23"/>
      <c r="D590" s="35"/>
      <c r="E590" s="35"/>
      <c r="F590" s="35"/>
      <c r="G590" s="28"/>
      <c r="H590" s="35"/>
      <c r="I590" s="35"/>
      <c r="J590" s="35"/>
      <c r="K590" s="35"/>
      <c r="L590" s="35"/>
      <c r="M590" s="35"/>
      <c r="N590" s="35"/>
      <c r="O590" s="23"/>
      <c r="P590" s="35"/>
      <c r="Q590" s="188"/>
      <c r="R590" s="35"/>
      <c r="S590" s="35"/>
      <c r="T590" s="35"/>
    </row>
    <row r="591" spans="1:20" ht="29.25" customHeight="1" x14ac:dyDescent="0.2">
      <c r="A591" s="187"/>
      <c r="B591" s="35"/>
      <c r="C591" s="23"/>
      <c r="D591" s="35"/>
      <c r="E591" s="35"/>
      <c r="F591" s="35"/>
      <c r="G591" s="28"/>
      <c r="H591" s="35"/>
      <c r="I591" s="35"/>
      <c r="J591" s="35"/>
      <c r="K591" s="35"/>
      <c r="L591" s="35"/>
      <c r="M591" s="35"/>
      <c r="N591" s="35"/>
      <c r="O591" s="23"/>
      <c r="P591" s="35"/>
      <c r="Q591" s="188"/>
      <c r="R591" s="35"/>
      <c r="S591" s="35"/>
      <c r="T591" s="35"/>
    </row>
    <row r="592" spans="1:20" ht="29.25" customHeight="1" x14ac:dyDescent="0.2">
      <c r="A592" s="187"/>
      <c r="B592" s="35"/>
      <c r="C592" s="23"/>
      <c r="D592" s="35"/>
      <c r="E592" s="35"/>
      <c r="F592" s="35"/>
      <c r="G592" s="28"/>
      <c r="H592" s="35"/>
      <c r="I592" s="35"/>
      <c r="J592" s="35"/>
      <c r="K592" s="35"/>
      <c r="L592" s="35"/>
      <c r="M592" s="35"/>
      <c r="N592" s="35"/>
      <c r="O592" s="23"/>
      <c r="P592" s="35"/>
      <c r="Q592" s="188"/>
      <c r="R592" s="35"/>
      <c r="S592" s="35"/>
      <c r="T592" s="35"/>
    </row>
    <row r="593" spans="1:20" ht="29.25" customHeight="1" x14ac:dyDescent="0.2">
      <c r="A593" s="187"/>
      <c r="B593" s="35"/>
      <c r="C593" s="23"/>
      <c r="D593" s="35"/>
      <c r="E593" s="35"/>
      <c r="F593" s="35"/>
      <c r="G593" s="28"/>
      <c r="H593" s="35"/>
      <c r="I593" s="35"/>
      <c r="J593" s="35"/>
      <c r="K593" s="35"/>
      <c r="L593" s="35"/>
      <c r="M593" s="35"/>
      <c r="N593" s="35"/>
      <c r="O593" s="23"/>
      <c r="P593" s="35"/>
      <c r="Q593" s="188"/>
      <c r="R593" s="35"/>
      <c r="S593" s="35"/>
      <c r="T593" s="35"/>
    </row>
    <row r="594" spans="1:20" ht="29.25" customHeight="1" x14ac:dyDescent="0.2">
      <c r="A594" s="187"/>
      <c r="B594" s="35"/>
      <c r="C594" s="23"/>
      <c r="D594" s="35"/>
      <c r="E594" s="35"/>
      <c r="F594" s="35"/>
      <c r="G594" s="28"/>
      <c r="H594" s="35"/>
      <c r="I594" s="35"/>
      <c r="J594" s="35"/>
      <c r="K594" s="35"/>
      <c r="L594" s="35"/>
      <c r="M594" s="35"/>
      <c r="N594" s="35"/>
      <c r="O594" s="23"/>
      <c r="P594" s="35"/>
      <c r="Q594" s="188"/>
      <c r="R594" s="35"/>
      <c r="S594" s="35"/>
      <c r="T594" s="35"/>
    </row>
    <row r="595" spans="1:20" ht="29.25" customHeight="1" x14ac:dyDescent="0.2">
      <c r="A595" s="187"/>
      <c r="B595" s="35"/>
      <c r="C595" s="23"/>
      <c r="D595" s="35"/>
      <c r="E595" s="35"/>
      <c r="F595" s="35"/>
      <c r="G595" s="28"/>
      <c r="H595" s="35"/>
      <c r="I595" s="35"/>
      <c r="J595" s="35"/>
      <c r="K595" s="35"/>
      <c r="L595" s="35"/>
      <c r="M595" s="35"/>
      <c r="N595" s="35"/>
      <c r="O595" s="23"/>
      <c r="P595" s="35"/>
      <c r="Q595" s="188"/>
      <c r="R595" s="35"/>
      <c r="S595" s="35"/>
      <c r="T595" s="35"/>
    </row>
    <row r="596" spans="1:20" ht="29.25" customHeight="1" x14ac:dyDescent="0.2">
      <c r="A596" s="187"/>
      <c r="B596" s="35"/>
      <c r="C596" s="23"/>
      <c r="D596" s="35"/>
      <c r="E596" s="35"/>
      <c r="F596" s="35"/>
      <c r="G596" s="28"/>
      <c r="H596" s="35"/>
      <c r="I596" s="35"/>
      <c r="J596" s="35"/>
      <c r="K596" s="35"/>
      <c r="L596" s="35"/>
      <c r="M596" s="35"/>
      <c r="N596" s="35"/>
      <c r="O596" s="23"/>
      <c r="P596" s="35"/>
      <c r="Q596" s="188"/>
      <c r="R596" s="35"/>
      <c r="S596" s="35"/>
      <c r="T596" s="35"/>
    </row>
    <row r="597" spans="1:20" ht="29.25" customHeight="1" x14ac:dyDescent="0.2">
      <c r="A597" s="187"/>
      <c r="B597" s="35"/>
      <c r="C597" s="23"/>
      <c r="D597" s="35"/>
      <c r="E597" s="35"/>
      <c r="F597" s="35"/>
      <c r="G597" s="28"/>
      <c r="H597" s="35"/>
      <c r="I597" s="35"/>
      <c r="J597" s="35"/>
      <c r="K597" s="35"/>
      <c r="L597" s="35"/>
      <c r="M597" s="35"/>
      <c r="N597" s="35"/>
      <c r="O597" s="23"/>
      <c r="P597" s="35"/>
      <c r="Q597" s="188"/>
      <c r="R597" s="35"/>
      <c r="S597" s="35"/>
      <c r="T597" s="35"/>
    </row>
    <row r="598" spans="1:20" ht="29.25" customHeight="1" x14ac:dyDescent="0.2">
      <c r="A598" s="187"/>
      <c r="B598" s="35"/>
      <c r="C598" s="23"/>
      <c r="D598" s="35"/>
      <c r="E598" s="35"/>
      <c r="F598" s="35"/>
      <c r="G598" s="28"/>
      <c r="H598" s="35"/>
      <c r="I598" s="35"/>
      <c r="J598" s="35"/>
      <c r="K598" s="35"/>
      <c r="L598" s="35"/>
      <c r="M598" s="35"/>
      <c r="N598" s="35"/>
      <c r="O598" s="23"/>
      <c r="P598" s="35"/>
      <c r="Q598" s="188"/>
      <c r="R598" s="35"/>
      <c r="S598" s="35"/>
      <c r="T598" s="35"/>
    </row>
    <row r="599" spans="1:20" ht="29.25" customHeight="1" x14ac:dyDescent="0.2">
      <c r="A599" s="187"/>
      <c r="B599" s="35"/>
      <c r="C599" s="23"/>
      <c r="D599" s="35"/>
      <c r="E599" s="35"/>
      <c r="F599" s="35"/>
      <c r="G599" s="28"/>
      <c r="H599" s="35"/>
      <c r="I599" s="35"/>
      <c r="J599" s="35"/>
      <c r="K599" s="35"/>
      <c r="L599" s="35"/>
      <c r="M599" s="35"/>
      <c r="N599" s="35"/>
      <c r="O599" s="23"/>
      <c r="P599" s="35"/>
      <c r="Q599" s="188"/>
      <c r="R599" s="35"/>
      <c r="S599" s="35"/>
      <c r="T599" s="35"/>
    </row>
    <row r="600" spans="1:20" ht="29.25" customHeight="1" x14ac:dyDescent="0.2">
      <c r="A600" s="187"/>
      <c r="B600" s="35"/>
      <c r="C600" s="23"/>
      <c r="D600" s="35"/>
      <c r="E600" s="35"/>
      <c r="F600" s="35"/>
      <c r="G600" s="28"/>
      <c r="H600" s="35"/>
      <c r="I600" s="35"/>
      <c r="J600" s="35"/>
      <c r="K600" s="35"/>
      <c r="L600" s="35"/>
      <c r="M600" s="35"/>
      <c r="N600" s="35"/>
      <c r="O600" s="23"/>
      <c r="P600" s="35"/>
      <c r="Q600" s="188"/>
      <c r="R600" s="35"/>
      <c r="S600" s="35"/>
      <c r="T600" s="35"/>
    </row>
    <row r="601" spans="1:20" ht="29.25" customHeight="1" x14ac:dyDescent="0.2">
      <c r="A601" s="187"/>
      <c r="B601" s="35"/>
      <c r="C601" s="23"/>
      <c r="D601" s="35"/>
      <c r="E601" s="35"/>
      <c r="F601" s="35"/>
      <c r="G601" s="28"/>
      <c r="H601" s="35"/>
      <c r="I601" s="35"/>
      <c r="J601" s="35"/>
      <c r="K601" s="35"/>
      <c r="L601" s="35"/>
      <c r="M601" s="35"/>
      <c r="N601" s="35"/>
      <c r="O601" s="23"/>
      <c r="P601" s="35"/>
      <c r="Q601" s="188"/>
      <c r="R601" s="35"/>
      <c r="S601" s="35"/>
      <c r="T601" s="35"/>
    </row>
    <row r="602" spans="1:20" ht="29.25" customHeight="1" x14ac:dyDescent="0.2">
      <c r="A602" s="187"/>
      <c r="B602" s="35"/>
      <c r="C602" s="23"/>
      <c r="D602" s="35"/>
      <c r="E602" s="35"/>
      <c r="F602" s="35"/>
      <c r="G602" s="28"/>
      <c r="H602" s="35"/>
      <c r="I602" s="35"/>
      <c r="J602" s="35"/>
      <c r="K602" s="35"/>
      <c r="L602" s="35"/>
      <c r="M602" s="35"/>
      <c r="N602" s="35"/>
      <c r="O602" s="23"/>
      <c r="P602" s="35"/>
      <c r="Q602" s="188"/>
      <c r="R602" s="35"/>
      <c r="S602" s="35"/>
      <c r="T602" s="35"/>
    </row>
    <row r="603" spans="1:20" ht="29.25" customHeight="1" x14ac:dyDescent="0.2">
      <c r="A603" s="187"/>
      <c r="B603" s="35"/>
      <c r="C603" s="23"/>
      <c r="D603" s="35"/>
      <c r="E603" s="35"/>
      <c r="F603" s="35"/>
      <c r="G603" s="28"/>
      <c r="H603" s="35"/>
      <c r="I603" s="35"/>
      <c r="J603" s="35"/>
      <c r="K603" s="35"/>
      <c r="L603" s="35"/>
      <c r="M603" s="35"/>
      <c r="N603" s="35"/>
      <c r="O603" s="23"/>
      <c r="P603" s="35"/>
      <c r="Q603" s="188"/>
      <c r="R603" s="35"/>
      <c r="S603" s="35"/>
      <c r="T603" s="35"/>
    </row>
    <row r="604" spans="1:20" ht="29.25" customHeight="1" x14ac:dyDescent="0.2">
      <c r="A604" s="187"/>
      <c r="B604" s="35"/>
      <c r="C604" s="23"/>
      <c r="D604" s="35"/>
      <c r="E604" s="35"/>
      <c r="F604" s="35"/>
      <c r="G604" s="28"/>
      <c r="H604" s="35"/>
      <c r="I604" s="35"/>
      <c r="J604" s="35"/>
      <c r="K604" s="35"/>
      <c r="L604" s="35"/>
      <c r="M604" s="35"/>
      <c r="N604" s="35"/>
      <c r="O604" s="23"/>
      <c r="P604" s="35"/>
      <c r="Q604" s="188"/>
      <c r="R604" s="35"/>
      <c r="S604" s="35"/>
      <c r="T604" s="35"/>
    </row>
    <row r="605" spans="1:20" ht="29.25" customHeight="1" x14ac:dyDescent="0.2">
      <c r="A605" s="187"/>
      <c r="B605" s="35"/>
      <c r="C605" s="23"/>
      <c r="D605" s="35"/>
      <c r="E605" s="35"/>
      <c r="F605" s="35"/>
      <c r="G605" s="28"/>
      <c r="H605" s="35"/>
      <c r="I605" s="35"/>
      <c r="J605" s="35"/>
      <c r="K605" s="35"/>
      <c r="L605" s="35"/>
      <c r="M605" s="35"/>
      <c r="N605" s="35"/>
      <c r="O605" s="23"/>
      <c r="P605" s="35"/>
      <c r="Q605" s="188"/>
      <c r="R605" s="35"/>
      <c r="S605" s="35"/>
      <c r="T605" s="35"/>
    </row>
    <row r="606" spans="1:20" ht="29.25" customHeight="1" x14ac:dyDescent="0.2">
      <c r="A606" s="187"/>
      <c r="B606" s="35"/>
      <c r="C606" s="23"/>
      <c r="D606" s="35"/>
      <c r="E606" s="35"/>
      <c r="F606" s="35"/>
      <c r="G606" s="28"/>
      <c r="H606" s="35"/>
      <c r="I606" s="35"/>
      <c r="J606" s="35"/>
      <c r="K606" s="35"/>
      <c r="L606" s="35"/>
      <c r="M606" s="35"/>
      <c r="N606" s="35"/>
      <c r="O606" s="23"/>
      <c r="P606" s="35"/>
      <c r="Q606" s="188"/>
      <c r="R606" s="35"/>
      <c r="S606" s="35"/>
      <c r="T606" s="35"/>
    </row>
    <row r="607" spans="1:20" ht="29.25" customHeight="1" x14ac:dyDescent="0.2">
      <c r="A607" s="187"/>
      <c r="B607" s="35"/>
      <c r="C607" s="23"/>
      <c r="D607" s="35"/>
      <c r="E607" s="35"/>
      <c r="F607" s="35"/>
      <c r="G607" s="28"/>
      <c r="H607" s="35"/>
      <c r="I607" s="35"/>
      <c r="J607" s="35"/>
      <c r="K607" s="35"/>
      <c r="L607" s="35"/>
      <c r="M607" s="35"/>
      <c r="N607" s="35"/>
      <c r="O607" s="23"/>
      <c r="P607" s="35"/>
      <c r="Q607" s="188"/>
      <c r="R607" s="35"/>
      <c r="S607" s="35"/>
      <c r="T607" s="35"/>
    </row>
    <row r="608" spans="1:20" ht="29.25" customHeight="1" x14ac:dyDescent="0.2">
      <c r="A608" s="187"/>
      <c r="B608" s="35"/>
      <c r="C608" s="23"/>
      <c r="D608" s="35"/>
      <c r="E608" s="35"/>
      <c r="F608" s="35"/>
      <c r="G608" s="28"/>
      <c r="H608" s="35"/>
      <c r="I608" s="35"/>
      <c r="J608" s="35"/>
      <c r="K608" s="35"/>
      <c r="L608" s="35"/>
      <c r="M608" s="35"/>
      <c r="N608" s="35"/>
      <c r="O608" s="23"/>
      <c r="P608" s="35"/>
      <c r="Q608" s="188"/>
      <c r="R608" s="35"/>
      <c r="S608" s="35"/>
      <c r="T608" s="35"/>
    </row>
    <row r="609" spans="1:20" ht="29.25" customHeight="1" x14ac:dyDescent="0.2">
      <c r="A609" s="187"/>
      <c r="B609" s="35"/>
      <c r="C609" s="23"/>
      <c r="D609" s="35"/>
      <c r="E609" s="35"/>
      <c r="F609" s="35"/>
      <c r="G609" s="28"/>
      <c r="H609" s="35"/>
      <c r="I609" s="35"/>
      <c r="J609" s="35"/>
      <c r="K609" s="35"/>
      <c r="L609" s="35"/>
      <c r="M609" s="35"/>
      <c r="N609" s="35"/>
      <c r="O609" s="23"/>
      <c r="P609" s="35"/>
      <c r="Q609" s="188"/>
      <c r="R609" s="35"/>
      <c r="S609" s="35"/>
      <c r="T609" s="35"/>
    </row>
    <row r="610" spans="1:20" ht="29.25" customHeight="1" x14ac:dyDescent="0.2">
      <c r="A610" s="187"/>
      <c r="B610" s="35"/>
      <c r="C610" s="23"/>
      <c r="D610" s="35"/>
      <c r="E610" s="35"/>
      <c r="F610" s="35"/>
      <c r="G610" s="28"/>
      <c r="H610" s="35"/>
      <c r="I610" s="35"/>
      <c r="J610" s="35"/>
      <c r="K610" s="35"/>
      <c r="L610" s="35"/>
      <c r="M610" s="35"/>
      <c r="N610" s="35"/>
      <c r="O610" s="23"/>
      <c r="P610" s="35"/>
      <c r="Q610" s="188"/>
      <c r="R610" s="35"/>
      <c r="S610" s="35"/>
      <c r="T610" s="35"/>
    </row>
    <row r="611" spans="1:20" ht="29.25" customHeight="1" x14ac:dyDescent="0.2">
      <c r="A611" s="187"/>
      <c r="B611" s="35"/>
      <c r="C611" s="23"/>
      <c r="D611" s="35"/>
      <c r="E611" s="35"/>
      <c r="F611" s="35"/>
      <c r="G611" s="28"/>
      <c r="H611" s="35"/>
      <c r="I611" s="35"/>
      <c r="J611" s="35"/>
      <c r="K611" s="35"/>
      <c r="L611" s="35"/>
      <c r="M611" s="35"/>
      <c r="N611" s="35"/>
      <c r="O611" s="23"/>
      <c r="P611" s="35"/>
      <c r="Q611" s="188"/>
      <c r="R611" s="35"/>
      <c r="S611" s="35"/>
      <c r="T611" s="35"/>
    </row>
    <row r="612" spans="1:20" ht="29.25" customHeight="1" x14ac:dyDescent="0.2">
      <c r="A612" s="187"/>
      <c r="B612" s="35"/>
      <c r="C612" s="23"/>
      <c r="D612" s="35"/>
      <c r="E612" s="35"/>
      <c r="F612" s="35"/>
      <c r="G612" s="28"/>
      <c r="H612" s="35"/>
      <c r="I612" s="35"/>
      <c r="J612" s="35"/>
      <c r="K612" s="35"/>
      <c r="L612" s="35"/>
      <c r="M612" s="35"/>
      <c r="N612" s="35"/>
      <c r="O612" s="23"/>
      <c r="P612" s="35"/>
      <c r="Q612" s="188"/>
      <c r="R612" s="35"/>
      <c r="S612" s="35"/>
      <c r="T612" s="35"/>
    </row>
    <row r="613" spans="1:20" ht="29.25" customHeight="1" x14ac:dyDescent="0.2">
      <c r="A613" s="187"/>
      <c r="B613" s="35"/>
      <c r="C613" s="23"/>
      <c r="D613" s="35"/>
      <c r="E613" s="35"/>
      <c r="F613" s="35"/>
      <c r="G613" s="28"/>
      <c r="H613" s="35"/>
      <c r="I613" s="35"/>
      <c r="J613" s="35"/>
      <c r="K613" s="35"/>
      <c r="L613" s="35"/>
      <c r="M613" s="35"/>
      <c r="N613" s="35"/>
      <c r="O613" s="23"/>
      <c r="P613" s="35"/>
      <c r="Q613" s="188"/>
      <c r="R613" s="35"/>
      <c r="S613" s="35"/>
      <c r="T613" s="35"/>
    </row>
    <row r="614" spans="1:20" ht="29.25" customHeight="1" x14ac:dyDescent="0.2">
      <c r="A614" s="187"/>
      <c r="B614" s="35"/>
      <c r="C614" s="23"/>
      <c r="D614" s="35"/>
      <c r="E614" s="35"/>
      <c r="F614" s="35"/>
      <c r="G614" s="28"/>
      <c r="H614" s="35"/>
      <c r="I614" s="35"/>
      <c r="J614" s="35"/>
      <c r="K614" s="35"/>
      <c r="L614" s="35"/>
      <c r="M614" s="35"/>
      <c r="N614" s="35"/>
      <c r="O614" s="23"/>
      <c r="P614" s="35"/>
      <c r="Q614" s="188"/>
      <c r="R614" s="35"/>
      <c r="S614" s="35"/>
      <c r="T614" s="35"/>
    </row>
    <row r="615" spans="1:20" ht="29.25" customHeight="1" x14ac:dyDescent="0.2">
      <c r="A615" s="187"/>
      <c r="B615" s="35"/>
      <c r="C615" s="23"/>
      <c r="D615" s="35"/>
      <c r="E615" s="35"/>
      <c r="F615" s="35"/>
      <c r="G615" s="28"/>
      <c r="H615" s="35"/>
      <c r="I615" s="35"/>
      <c r="J615" s="35"/>
      <c r="K615" s="35"/>
      <c r="L615" s="35"/>
      <c r="M615" s="35"/>
      <c r="N615" s="35"/>
      <c r="O615" s="23"/>
      <c r="P615" s="35"/>
      <c r="Q615" s="188"/>
      <c r="R615" s="35"/>
      <c r="S615" s="35"/>
      <c r="T615" s="35"/>
    </row>
    <row r="616" spans="1:20" ht="29.25" customHeight="1" x14ac:dyDescent="0.2">
      <c r="A616" s="187"/>
      <c r="B616" s="35"/>
      <c r="C616" s="23"/>
      <c r="D616" s="35"/>
      <c r="E616" s="35"/>
      <c r="F616" s="35"/>
      <c r="G616" s="28"/>
      <c r="H616" s="35"/>
      <c r="I616" s="35"/>
      <c r="J616" s="35"/>
      <c r="K616" s="35"/>
      <c r="L616" s="35"/>
      <c r="M616" s="35"/>
      <c r="N616" s="35"/>
      <c r="O616" s="23"/>
      <c r="P616" s="35"/>
      <c r="Q616" s="188"/>
      <c r="R616" s="35"/>
      <c r="S616" s="35"/>
      <c r="T616" s="35"/>
    </row>
    <row r="617" spans="1:20" ht="29.25" customHeight="1" x14ac:dyDescent="0.2">
      <c r="A617" s="187"/>
      <c r="B617" s="35"/>
      <c r="C617" s="23"/>
      <c r="D617" s="35"/>
      <c r="E617" s="35"/>
      <c r="F617" s="35"/>
      <c r="G617" s="28"/>
      <c r="H617" s="35"/>
      <c r="I617" s="35"/>
      <c r="J617" s="35"/>
      <c r="K617" s="35"/>
      <c r="L617" s="35"/>
      <c r="M617" s="35"/>
      <c r="N617" s="35"/>
      <c r="O617" s="23"/>
      <c r="P617" s="35"/>
      <c r="Q617" s="188"/>
      <c r="R617" s="35"/>
      <c r="S617" s="35"/>
      <c r="T617" s="35"/>
    </row>
    <row r="618" spans="1:20" ht="29.25" customHeight="1" x14ac:dyDescent="0.2">
      <c r="A618" s="187"/>
      <c r="B618" s="35"/>
      <c r="C618" s="23"/>
      <c r="D618" s="35"/>
      <c r="E618" s="35"/>
      <c r="F618" s="35"/>
      <c r="G618" s="28"/>
      <c r="H618" s="35"/>
      <c r="I618" s="35"/>
      <c r="J618" s="35"/>
      <c r="K618" s="35"/>
      <c r="L618" s="35"/>
      <c r="M618" s="35"/>
      <c r="N618" s="35"/>
      <c r="O618" s="23"/>
      <c r="P618" s="35"/>
      <c r="Q618" s="188"/>
      <c r="R618" s="35"/>
      <c r="S618" s="35"/>
      <c r="T618" s="35"/>
    </row>
    <row r="619" spans="1:20" ht="29.25" customHeight="1" x14ac:dyDescent="0.2">
      <c r="A619" s="187"/>
      <c r="B619" s="35"/>
      <c r="C619" s="23"/>
      <c r="D619" s="35"/>
      <c r="E619" s="35"/>
      <c r="F619" s="35"/>
      <c r="G619" s="28"/>
      <c r="H619" s="35"/>
      <c r="I619" s="35"/>
      <c r="J619" s="35"/>
      <c r="K619" s="35"/>
      <c r="L619" s="35"/>
      <c r="M619" s="35"/>
      <c r="N619" s="35"/>
      <c r="O619" s="23"/>
      <c r="P619" s="35"/>
      <c r="Q619" s="188"/>
      <c r="R619" s="35"/>
      <c r="S619" s="35"/>
      <c r="T619" s="35"/>
    </row>
    <row r="620" spans="1:20" ht="29.25" customHeight="1" x14ac:dyDescent="0.2">
      <c r="A620" s="187"/>
      <c r="B620" s="35"/>
      <c r="C620" s="23"/>
      <c r="D620" s="35"/>
      <c r="E620" s="35"/>
      <c r="F620" s="35"/>
      <c r="G620" s="28"/>
      <c r="H620" s="35"/>
      <c r="I620" s="35"/>
      <c r="J620" s="35"/>
      <c r="K620" s="35"/>
      <c r="L620" s="35"/>
      <c r="M620" s="35"/>
      <c r="N620" s="35"/>
      <c r="O620" s="23"/>
      <c r="P620" s="35"/>
      <c r="Q620" s="188"/>
      <c r="R620" s="35"/>
      <c r="S620" s="35"/>
      <c r="T620" s="35"/>
    </row>
    <row r="621" spans="1:20" ht="29.25" customHeight="1" x14ac:dyDescent="0.2">
      <c r="A621" s="187"/>
      <c r="B621" s="35"/>
      <c r="C621" s="23"/>
      <c r="D621" s="35"/>
      <c r="E621" s="35"/>
      <c r="F621" s="35"/>
      <c r="G621" s="28"/>
      <c r="H621" s="35"/>
      <c r="I621" s="35"/>
      <c r="J621" s="35"/>
      <c r="K621" s="35"/>
      <c r="L621" s="35"/>
      <c r="M621" s="35"/>
      <c r="N621" s="35"/>
      <c r="O621" s="23"/>
      <c r="P621" s="35"/>
      <c r="Q621" s="188"/>
      <c r="R621" s="35"/>
      <c r="S621" s="35"/>
      <c r="T621" s="35"/>
    </row>
    <row r="622" spans="1:20" ht="29.25" customHeight="1" x14ac:dyDescent="0.2">
      <c r="A622" s="187"/>
      <c r="B622" s="35"/>
      <c r="C622" s="23"/>
      <c r="D622" s="35"/>
      <c r="E622" s="35"/>
      <c r="F622" s="35"/>
      <c r="G622" s="28"/>
      <c r="H622" s="35"/>
      <c r="I622" s="35"/>
      <c r="J622" s="35"/>
      <c r="K622" s="35"/>
      <c r="L622" s="35"/>
      <c r="M622" s="35"/>
      <c r="N622" s="35"/>
      <c r="O622" s="23"/>
      <c r="P622" s="35"/>
      <c r="Q622" s="188"/>
      <c r="R622" s="35"/>
      <c r="S622" s="35"/>
      <c r="T622" s="35"/>
    </row>
    <row r="623" spans="1:20" ht="29.25" customHeight="1" x14ac:dyDescent="0.2">
      <c r="A623" s="187"/>
      <c r="B623" s="35"/>
      <c r="C623" s="23"/>
      <c r="D623" s="35"/>
      <c r="E623" s="35"/>
      <c r="F623" s="35"/>
      <c r="G623" s="28"/>
      <c r="H623" s="35"/>
      <c r="I623" s="35"/>
      <c r="J623" s="35"/>
      <c r="K623" s="35"/>
      <c r="L623" s="35"/>
      <c r="M623" s="35"/>
      <c r="N623" s="35"/>
      <c r="O623" s="23"/>
      <c r="P623" s="35"/>
      <c r="Q623" s="188"/>
      <c r="R623" s="35"/>
      <c r="S623" s="35"/>
      <c r="T623" s="35"/>
    </row>
    <row r="624" spans="1:20" ht="29.25" customHeight="1" x14ac:dyDescent="0.2">
      <c r="A624" s="187"/>
      <c r="B624" s="35"/>
      <c r="C624" s="23"/>
      <c r="D624" s="35"/>
      <c r="E624" s="35"/>
      <c r="F624" s="35"/>
      <c r="G624" s="28"/>
      <c r="H624" s="35"/>
      <c r="I624" s="35"/>
      <c r="J624" s="35"/>
      <c r="K624" s="35"/>
      <c r="L624" s="35"/>
      <c r="M624" s="35"/>
      <c r="N624" s="35"/>
      <c r="O624" s="23"/>
      <c r="P624" s="35"/>
      <c r="Q624" s="188"/>
      <c r="R624" s="35"/>
      <c r="S624" s="35"/>
      <c r="T624" s="35"/>
    </row>
    <row r="625" spans="1:20" ht="29.25" customHeight="1" x14ac:dyDescent="0.2">
      <c r="A625" s="187"/>
      <c r="B625" s="35"/>
      <c r="C625" s="23"/>
      <c r="D625" s="35"/>
      <c r="E625" s="35"/>
      <c r="F625" s="35"/>
      <c r="G625" s="28"/>
      <c r="H625" s="35"/>
      <c r="I625" s="35"/>
      <c r="J625" s="35"/>
      <c r="K625" s="35"/>
      <c r="L625" s="35"/>
      <c r="M625" s="35"/>
      <c r="N625" s="35"/>
      <c r="O625" s="23"/>
      <c r="P625" s="35"/>
      <c r="Q625" s="188"/>
      <c r="R625" s="35"/>
      <c r="S625" s="35"/>
      <c r="T625" s="35"/>
    </row>
    <row r="626" spans="1:20" ht="29.25" customHeight="1" x14ac:dyDescent="0.2">
      <c r="A626" s="187"/>
      <c r="B626" s="35"/>
      <c r="C626" s="23"/>
      <c r="D626" s="35"/>
      <c r="E626" s="35"/>
      <c r="F626" s="35"/>
      <c r="G626" s="28"/>
      <c r="H626" s="35"/>
      <c r="I626" s="35"/>
      <c r="J626" s="35"/>
      <c r="K626" s="35"/>
      <c r="L626" s="35"/>
      <c r="M626" s="35"/>
      <c r="N626" s="35"/>
      <c r="O626" s="23"/>
      <c r="P626" s="35"/>
      <c r="Q626" s="188"/>
      <c r="R626" s="35"/>
      <c r="S626" s="35"/>
      <c r="T626" s="35"/>
    </row>
    <row r="627" spans="1:20" ht="29.25" customHeight="1" x14ac:dyDescent="0.2">
      <c r="A627" s="187"/>
      <c r="B627" s="35"/>
      <c r="C627" s="23"/>
      <c r="D627" s="35"/>
      <c r="E627" s="35"/>
      <c r="F627" s="35"/>
      <c r="G627" s="28"/>
      <c r="H627" s="35"/>
      <c r="I627" s="35"/>
      <c r="J627" s="35"/>
      <c r="K627" s="35"/>
      <c r="L627" s="35"/>
      <c r="M627" s="35"/>
      <c r="N627" s="35"/>
      <c r="O627" s="23"/>
      <c r="P627" s="35"/>
      <c r="Q627" s="188"/>
      <c r="R627" s="35"/>
      <c r="S627" s="35"/>
      <c r="T627" s="35"/>
    </row>
    <row r="628" spans="1:20" ht="29.25" customHeight="1" x14ac:dyDescent="0.2">
      <c r="A628" s="187"/>
      <c r="B628" s="35"/>
      <c r="C628" s="23"/>
      <c r="D628" s="35"/>
      <c r="E628" s="35"/>
      <c r="F628" s="35"/>
      <c r="G628" s="28"/>
      <c r="H628" s="35"/>
      <c r="I628" s="35"/>
      <c r="J628" s="35"/>
      <c r="K628" s="35"/>
      <c r="L628" s="35"/>
      <c r="M628" s="35"/>
      <c r="N628" s="35"/>
      <c r="O628" s="23"/>
      <c r="P628" s="35"/>
      <c r="Q628" s="188"/>
      <c r="R628" s="35"/>
      <c r="S628" s="35"/>
      <c r="T628" s="35"/>
    </row>
    <row r="629" spans="1:20" ht="29.25" customHeight="1" x14ac:dyDescent="0.2">
      <c r="A629" s="187"/>
      <c r="B629" s="35"/>
      <c r="C629" s="23"/>
      <c r="D629" s="35"/>
      <c r="E629" s="35"/>
      <c r="F629" s="35"/>
      <c r="G629" s="28"/>
      <c r="H629" s="35"/>
      <c r="I629" s="35"/>
      <c r="J629" s="35"/>
      <c r="K629" s="35"/>
      <c r="L629" s="35"/>
      <c r="M629" s="35"/>
      <c r="N629" s="35"/>
      <c r="O629" s="23"/>
      <c r="P629" s="35"/>
      <c r="Q629" s="188"/>
      <c r="R629" s="35"/>
      <c r="S629" s="35"/>
      <c r="T629" s="35"/>
    </row>
    <row r="630" spans="1:20" ht="29.25" customHeight="1" x14ac:dyDescent="0.2">
      <c r="A630" s="187"/>
      <c r="B630" s="35"/>
      <c r="C630" s="23"/>
      <c r="D630" s="35"/>
      <c r="E630" s="35"/>
      <c r="F630" s="35"/>
      <c r="G630" s="28"/>
      <c r="H630" s="35"/>
      <c r="I630" s="35"/>
      <c r="J630" s="35"/>
      <c r="K630" s="35"/>
      <c r="L630" s="35"/>
      <c r="M630" s="35"/>
      <c r="N630" s="35"/>
      <c r="O630" s="23"/>
      <c r="P630" s="35"/>
      <c r="Q630" s="188"/>
      <c r="R630" s="35"/>
      <c r="S630" s="35"/>
      <c r="T630" s="35"/>
    </row>
    <row r="631" spans="1:20" ht="29.25" customHeight="1" x14ac:dyDescent="0.2">
      <c r="A631" s="187"/>
      <c r="B631" s="35"/>
      <c r="C631" s="23"/>
      <c r="D631" s="35"/>
      <c r="E631" s="35"/>
      <c r="F631" s="35"/>
      <c r="G631" s="28"/>
      <c r="H631" s="35"/>
      <c r="I631" s="35"/>
      <c r="J631" s="35"/>
      <c r="K631" s="35"/>
      <c r="L631" s="35"/>
      <c r="M631" s="35"/>
      <c r="N631" s="35"/>
      <c r="O631" s="23"/>
      <c r="P631" s="35"/>
      <c r="Q631" s="188"/>
      <c r="R631" s="35"/>
      <c r="S631" s="35"/>
      <c r="T631" s="35"/>
    </row>
    <row r="632" spans="1:20" ht="29.25" customHeight="1" x14ac:dyDescent="0.2">
      <c r="A632" s="187"/>
      <c r="B632" s="35"/>
      <c r="C632" s="23"/>
      <c r="D632" s="35"/>
      <c r="E632" s="35"/>
      <c r="F632" s="35"/>
      <c r="G632" s="28"/>
      <c r="H632" s="35"/>
      <c r="I632" s="35"/>
      <c r="J632" s="35"/>
      <c r="K632" s="35"/>
      <c r="L632" s="35"/>
      <c r="M632" s="35"/>
      <c r="N632" s="35"/>
      <c r="O632" s="23"/>
      <c r="P632" s="35"/>
      <c r="Q632" s="188"/>
      <c r="R632" s="35"/>
      <c r="S632" s="35"/>
      <c r="T632" s="35"/>
    </row>
    <row r="633" spans="1:20" ht="29.25" customHeight="1" x14ac:dyDescent="0.2">
      <c r="A633" s="187"/>
      <c r="B633" s="35"/>
      <c r="C633" s="23"/>
      <c r="D633" s="35"/>
      <c r="E633" s="35"/>
      <c r="F633" s="35"/>
      <c r="G633" s="28"/>
      <c r="H633" s="35"/>
      <c r="I633" s="35"/>
      <c r="J633" s="35"/>
      <c r="K633" s="35"/>
      <c r="L633" s="35"/>
      <c r="M633" s="35"/>
      <c r="N633" s="35"/>
      <c r="O633" s="23"/>
      <c r="P633" s="35"/>
      <c r="Q633" s="188"/>
      <c r="R633" s="35"/>
      <c r="S633" s="35"/>
      <c r="T633" s="35"/>
    </row>
    <row r="634" spans="1:20" ht="29.25" customHeight="1" x14ac:dyDescent="0.2">
      <c r="A634" s="187"/>
      <c r="B634" s="35"/>
      <c r="C634" s="23"/>
      <c r="D634" s="35"/>
      <c r="E634" s="35"/>
      <c r="F634" s="35"/>
      <c r="G634" s="28"/>
      <c r="H634" s="35"/>
      <c r="I634" s="35"/>
      <c r="J634" s="35"/>
      <c r="K634" s="35"/>
      <c r="L634" s="35"/>
      <c r="M634" s="35"/>
      <c r="N634" s="35"/>
      <c r="O634" s="23"/>
      <c r="P634" s="35"/>
      <c r="Q634" s="188"/>
      <c r="R634" s="35"/>
      <c r="S634" s="35"/>
      <c r="T634" s="35"/>
    </row>
    <row r="635" spans="1:20" ht="29.25" customHeight="1" x14ac:dyDescent="0.2">
      <c r="A635" s="187"/>
      <c r="B635" s="35"/>
      <c r="C635" s="23"/>
      <c r="D635" s="35"/>
      <c r="E635" s="35"/>
      <c r="F635" s="35"/>
      <c r="G635" s="28"/>
      <c r="H635" s="35"/>
      <c r="I635" s="35"/>
      <c r="J635" s="35"/>
      <c r="K635" s="35"/>
      <c r="L635" s="35"/>
      <c r="M635" s="35"/>
      <c r="N635" s="35"/>
      <c r="O635" s="23"/>
      <c r="P635" s="35"/>
      <c r="Q635" s="188"/>
      <c r="R635" s="35"/>
      <c r="S635" s="35"/>
      <c r="T635" s="35"/>
    </row>
    <row r="636" spans="1:20" ht="29.25" customHeight="1" x14ac:dyDescent="0.2">
      <c r="A636" s="187"/>
      <c r="B636" s="35"/>
      <c r="C636" s="23"/>
      <c r="D636" s="35"/>
      <c r="E636" s="35"/>
      <c r="F636" s="35"/>
      <c r="G636" s="28"/>
      <c r="H636" s="35"/>
      <c r="I636" s="35"/>
      <c r="J636" s="35"/>
      <c r="K636" s="35"/>
      <c r="L636" s="35"/>
      <c r="M636" s="35"/>
      <c r="N636" s="35"/>
      <c r="O636" s="23"/>
      <c r="P636" s="35"/>
      <c r="Q636" s="188"/>
      <c r="R636" s="35"/>
      <c r="S636" s="35"/>
      <c r="T636" s="35"/>
    </row>
    <row r="637" spans="1:20" ht="29.25" customHeight="1" x14ac:dyDescent="0.2">
      <c r="A637" s="187"/>
      <c r="B637" s="35"/>
      <c r="C637" s="23"/>
      <c r="D637" s="35"/>
      <c r="E637" s="35"/>
      <c r="F637" s="35"/>
      <c r="G637" s="28"/>
      <c r="H637" s="35"/>
      <c r="I637" s="35"/>
      <c r="J637" s="35"/>
      <c r="K637" s="35"/>
      <c r="L637" s="35"/>
      <c r="M637" s="35"/>
      <c r="N637" s="35"/>
      <c r="O637" s="23"/>
      <c r="P637" s="35"/>
      <c r="Q637" s="188"/>
      <c r="R637" s="35"/>
      <c r="S637" s="35"/>
      <c r="T637" s="35"/>
    </row>
    <row r="638" spans="1:20" ht="29.25" customHeight="1" x14ac:dyDescent="0.2">
      <c r="A638" s="187"/>
      <c r="B638" s="35"/>
      <c r="C638" s="23"/>
      <c r="D638" s="35"/>
      <c r="E638" s="35"/>
      <c r="F638" s="35"/>
      <c r="G638" s="28"/>
      <c r="H638" s="35"/>
      <c r="I638" s="35"/>
      <c r="J638" s="35"/>
      <c r="K638" s="35"/>
      <c r="L638" s="35"/>
      <c r="M638" s="35"/>
      <c r="N638" s="35"/>
      <c r="O638" s="23"/>
      <c r="P638" s="35"/>
      <c r="Q638" s="188"/>
      <c r="R638" s="35"/>
      <c r="S638" s="35"/>
      <c r="T638" s="35"/>
    </row>
    <row r="639" spans="1:20" ht="29.25" customHeight="1" x14ac:dyDescent="0.2">
      <c r="A639" s="187"/>
      <c r="B639" s="35"/>
      <c r="C639" s="23"/>
      <c r="D639" s="35"/>
      <c r="E639" s="35"/>
      <c r="F639" s="35"/>
      <c r="G639" s="28"/>
      <c r="H639" s="35"/>
      <c r="I639" s="35"/>
      <c r="J639" s="35"/>
      <c r="K639" s="35"/>
      <c r="L639" s="35"/>
      <c r="M639" s="35"/>
      <c r="N639" s="35"/>
      <c r="O639" s="23"/>
      <c r="P639" s="35"/>
      <c r="Q639" s="188"/>
      <c r="R639" s="35"/>
      <c r="S639" s="35"/>
      <c r="T639" s="35"/>
    </row>
    <row r="640" spans="1:20" ht="29.25" customHeight="1" x14ac:dyDescent="0.2">
      <c r="A640" s="187"/>
      <c r="B640" s="35"/>
      <c r="C640" s="23"/>
      <c r="D640" s="35"/>
      <c r="E640" s="35"/>
      <c r="F640" s="35"/>
      <c r="G640" s="28"/>
      <c r="H640" s="35"/>
      <c r="I640" s="35"/>
      <c r="J640" s="35"/>
      <c r="K640" s="35"/>
      <c r="L640" s="35"/>
      <c r="M640" s="35"/>
      <c r="N640" s="35"/>
      <c r="O640" s="23"/>
      <c r="P640" s="35"/>
      <c r="Q640" s="188"/>
      <c r="R640" s="35"/>
      <c r="S640" s="35"/>
      <c r="T640" s="35"/>
    </row>
    <row r="641" spans="1:20" ht="29.25" customHeight="1" x14ac:dyDescent="0.2">
      <c r="A641" s="187"/>
      <c r="B641" s="35"/>
      <c r="C641" s="23"/>
      <c r="D641" s="35"/>
      <c r="E641" s="35"/>
      <c r="F641" s="35"/>
      <c r="G641" s="28"/>
      <c r="H641" s="35"/>
      <c r="I641" s="35"/>
      <c r="J641" s="35"/>
      <c r="K641" s="35"/>
      <c r="L641" s="35"/>
      <c r="M641" s="35"/>
      <c r="N641" s="35"/>
      <c r="O641" s="23"/>
      <c r="P641" s="35"/>
      <c r="Q641" s="188"/>
      <c r="R641" s="35"/>
      <c r="S641" s="35"/>
      <c r="T641" s="35"/>
    </row>
    <row r="642" spans="1:20" ht="29.25" customHeight="1" x14ac:dyDescent="0.2">
      <c r="A642" s="187"/>
      <c r="B642" s="35"/>
      <c r="C642" s="23"/>
      <c r="D642" s="35"/>
      <c r="E642" s="35"/>
      <c r="F642" s="35"/>
      <c r="G642" s="28"/>
      <c r="H642" s="35"/>
      <c r="I642" s="35"/>
      <c r="J642" s="35"/>
      <c r="K642" s="35"/>
      <c r="L642" s="35"/>
      <c r="M642" s="35"/>
      <c r="N642" s="35"/>
      <c r="O642" s="23"/>
      <c r="P642" s="35"/>
      <c r="Q642" s="188"/>
      <c r="R642" s="35"/>
      <c r="S642" s="35"/>
      <c r="T642" s="35"/>
    </row>
    <row r="643" spans="1:20" ht="29.25" customHeight="1" x14ac:dyDescent="0.2">
      <c r="A643" s="187"/>
      <c r="B643" s="35"/>
      <c r="C643" s="23"/>
      <c r="D643" s="35"/>
      <c r="E643" s="35"/>
      <c r="F643" s="35"/>
      <c r="G643" s="28"/>
      <c r="H643" s="35"/>
      <c r="I643" s="35"/>
      <c r="J643" s="35"/>
      <c r="K643" s="35"/>
      <c r="L643" s="35"/>
      <c r="M643" s="35"/>
      <c r="N643" s="35"/>
      <c r="O643" s="23"/>
      <c r="P643" s="35"/>
      <c r="Q643" s="188"/>
      <c r="R643" s="35"/>
      <c r="S643" s="35"/>
      <c r="T643" s="35"/>
    </row>
    <row r="644" spans="1:20" ht="29.25" customHeight="1" x14ac:dyDescent="0.2">
      <c r="A644" s="187"/>
      <c r="B644" s="35"/>
      <c r="C644" s="23"/>
      <c r="D644" s="35"/>
      <c r="E644" s="35"/>
      <c r="F644" s="35"/>
      <c r="G644" s="28"/>
      <c r="H644" s="35"/>
      <c r="I644" s="35"/>
      <c r="J644" s="35"/>
      <c r="K644" s="35"/>
      <c r="L644" s="35"/>
      <c r="M644" s="35"/>
      <c r="N644" s="35"/>
      <c r="O644" s="23"/>
      <c r="P644" s="35"/>
      <c r="Q644" s="188"/>
      <c r="R644" s="35"/>
      <c r="S644" s="35"/>
      <c r="T644" s="35"/>
    </row>
    <row r="645" spans="1:20" ht="29.25" customHeight="1" x14ac:dyDescent="0.2">
      <c r="A645" s="187"/>
      <c r="B645" s="35"/>
      <c r="C645" s="23"/>
      <c r="D645" s="35"/>
      <c r="E645" s="35"/>
      <c r="F645" s="35"/>
      <c r="G645" s="28"/>
      <c r="H645" s="35"/>
      <c r="I645" s="35"/>
      <c r="J645" s="35"/>
      <c r="K645" s="35"/>
      <c r="L645" s="35"/>
      <c r="M645" s="35"/>
      <c r="N645" s="35"/>
      <c r="O645" s="23"/>
      <c r="P645" s="35"/>
      <c r="Q645" s="188"/>
      <c r="R645" s="35"/>
      <c r="S645" s="35"/>
      <c r="T645" s="35"/>
    </row>
    <row r="646" spans="1:20" ht="29.25" customHeight="1" x14ac:dyDescent="0.2">
      <c r="A646" s="187"/>
      <c r="B646" s="35"/>
      <c r="C646" s="23"/>
      <c r="D646" s="35"/>
      <c r="E646" s="35"/>
      <c r="F646" s="35"/>
      <c r="G646" s="28"/>
      <c r="H646" s="35"/>
      <c r="I646" s="35"/>
      <c r="J646" s="35"/>
      <c r="K646" s="35"/>
      <c r="L646" s="35"/>
      <c r="M646" s="35"/>
      <c r="N646" s="35"/>
      <c r="O646" s="23"/>
      <c r="P646" s="35"/>
      <c r="Q646" s="188"/>
      <c r="R646" s="35"/>
      <c r="S646" s="35"/>
      <c r="T646" s="35"/>
    </row>
    <row r="647" spans="1:20" ht="29.25" customHeight="1" x14ac:dyDescent="0.2">
      <c r="A647" s="187"/>
      <c r="B647" s="35"/>
      <c r="C647" s="23"/>
      <c r="D647" s="35"/>
      <c r="E647" s="35"/>
      <c r="F647" s="35"/>
      <c r="G647" s="28"/>
      <c r="H647" s="35"/>
      <c r="I647" s="35"/>
      <c r="J647" s="35"/>
      <c r="K647" s="35"/>
      <c r="L647" s="35"/>
      <c r="M647" s="35"/>
      <c r="N647" s="35"/>
      <c r="O647" s="23"/>
      <c r="P647" s="35"/>
      <c r="Q647" s="188"/>
      <c r="R647" s="35"/>
      <c r="S647" s="35"/>
      <c r="T647" s="35"/>
    </row>
    <row r="648" spans="1:20" ht="29.25" customHeight="1" x14ac:dyDescent="0.2">
      <c r="A648" s="187"/>
      <c r="B648" s="35"/>
      <c r="C648" s="23"/>
      <c r="D648" s="35"/>
      <c r="E648" s="35"/>
      <c r="F648" s="35"/>
      <c r="G648" s="28"/>
      <c r="H648" s="35"/>
      <c r="I648" s="35"/>
      <c r="J648" s="35"/>
      <c r="K648" s="35"/>
      <c r="L648" s="35"/>
      <c r="M648" s="35"/>
      <c r="N648" s="35"/>
      <c r="O648" s="23"/>
      <c r="P648" s="35"/>
      <c r="Q648" s="188"/>
      <c r="R648" s="35"/>
      <c r="S648" s="35"/>
      <c r="T648" s="35"/>
    </row>
    <row r="649" spans="1:20" ht="29.25" customHeight="1" x14ac:dyDescent="0.2">
      <c r="A649" s="187"/>
      <c r="B649" s="35"/>
      <c r="C649" s="23"/>
      <c r="D649" s="35"/>
      <c r="E649" s="35"/>
      <c r="F649" s="35"/>
      <c r="G649" s="28"/>
      <c r="H649" s="35"/>
      <c r="I649" s="35"/>
      <c r="J649" s="35"/>
      <c r="K649" s="35"/>
      <c r="L649" s="35"/>
      <c r="M649" s="35"/>
      <c r="N649" s="35"/>
      <c r="O649" s="23"/>
      <c r="P649" s="35"/>
      <c r="Q649" s="188"/>
      <c r="R649" s="35"/>
      <c r="S649" s="35"/>
      <c r="T649" s="35"/>
    </row>
    <row r="650" spans="1:20" ht="29.25" customHeight="1" x14ac:dyDescent="0.2">
      <c r="A650" s="187"/>
      <c r="B650" s="35"/>
      <c r="C650" s="23"/>
      <c r="D650" s="35"/>
      <c r="E650" s="35"/>
      <c r="F650" s="35"/>
      <c r="G650" s="28"/>
      <c r="H650" s="35"/>
      <c r="I650" s="35"/>
      <c r="J650" s="35"/>
      <c r="K650" s="35"/>
      <c r="L650" s="35"/>
      <c r="M650" s="35"/>
      <c r="N650" s="35"/>
      <c r="O650" s="23"/>
      <c r="P650" s="35"/>
      <c r="Q650" s="188"/>
      <c r="R650" s="35"/>
      <c r="S650" s="35"/>
      <c r="T650" s="35"/>
    </row>
    <row r="651" spans="1:20" ht="29.25" customHeight="1" x14ac:dyDescent="0.2">
      <c r="A651" s="187"/>
      <c r="B651" s="35"/>
      <c r="C651" s="23"/>
      <c r="D651" s="35"/>
      <c r="E651" s="35"/>
      <c r="F651" s="35"/>
      <c r="G651" s="28"/>
      <c r="H651" s="35"/>
      <c r="I651" s="35"/>
      <c r="J651" s="35"/>
      <c r="K651" s="35"/>
      <c r="L651" s="35"/>
      <c r="M651" s="35"/>
      <c r="N651" s="35"/>
      <c r="O651" s="23"/>
      <c r="P651" s="35"/>
      <c r="Q651" s="188"/>
      <c r="R651" s="35"/>
      <c r="S651" s="35"/>
      <c r="T651" s="35"/>
    </row>
    <row r="652" spans="1:20" ht="29.25" customHeight="1" x14ac:dyDescent="0.2">
      <c r="A652" s="187"/>
      <c r="B652" s="35"/>
      <c r="C652" s="23"/>
      <c r="D652" s="35"/>
      <c r="E652" s="35"/>
      <c r="F652" s="35"/>
      <c r="G652" s="28"/>
      <c r="H652" s="35"/>
      <c r="I652" s="35"/>
      <c r="J652" s="35"/>
      <c r="K652" s="35"/>
      <c r="L652" s="35"/>
      <c r="M652" s="35"/>
      <c r="N652" s="35"/>
      <c r="O652" s="23"/>
      <c r="P652" s="35"/>
      <c r="Q652" s="188"/>
      <c r="R652" s="35"/>
      <c r="S652" s="35"/>
      <c r="T652" s="35"/>
    </row>
    <row r="653" spans="1:20" ht="29.25" customHeight="1" x14ac:dyDescent="0.2">
      <c r="A653" s="187"/>
      <c r="B653" s="35"/>
      <c r="C653" s="23"/>
      <c r="D653" s="35"/>
      <c r="E653" s="35"/>
      <c r="F653" s="35"/>
      <c r="G653" s="28"/>
      <c r="H653" s="35"/>
      <c r="I653" s="35"/>
      <c r="J653" s="35"/>
      <c r="K653" s="35"/>
      <c r="L653" s="35"/>
      <c r="M653" s="35"/>
      <c r="N653" s="35"/>
      <c r="O653" s="23"/>
      <c r="P653" s="35"/>
      <c r="Q653" s="188"/>
      <c r="R653" s="35"/>
      <c r="S653" s="35"/>
      <c r="T653" s="35"/>
    </row>
    <row r="654" spans="1:20" ht="29.25" customHeight="1" x14ac:dyDescent="0.2">
      <c r="A654" s="187"/>
      <c r="B654" s="35"/>
      <c r="C654" s="23"/>
      <c r="D654" s="35"/>
      <c r="E654" s="35"/>
      <c r="F654" s="35"/>
      <c r="G654" s="28"/>
      <c r="H654" s="35"/>
      <c r="I654" s="35"/>
      <c r="J654" s="35"/>
      <c r="K654" s="35"/>
      <c r="L654" s="35"/>
      <c r="M654" s="35"/>
      <c r="N654" s="35"/>
      <c r="O654" s="23"/>
      <c r="P654" s="35"/>
      <c r="Q654" s="188"/>
      <c r="R654" s="35"/>
      <c r="S654" s="35"/>
      <c r="T654" s="35"/>
    </row>
    <row r="655" spans="1:20" ht="29.25" customHeight="1" x14ac:dyDescent="0.2">
      <c r="A655" s="187"/>
      <c r="B655" s="35"/>
      <c r="C655" s="23"/>
      <c r="D655" s="35"/>
      <c r="E655" s="35"/>
      <c r="F655" s="35"/>
      <c r="G655" s="28"/>
      <c r="H655" s="35"/>
      <c r="I655" s="35"/>
      <c r="J655" s="35"/>
      <c r="K655" s="35"/>
      <c r="L655" s="35"/>
      <c r="M655" s="35"/>
      <c r="N655" s="35"/>
      <c r="O655" s="23"/>
      <c r="P655" s="35"/>
      <c r="Q655" s="188"/>
      <c r="R655" s="35"/>
      <c r="S655" s="35"/>
      <c r="T655" s="35"/>
    </row>
    <row r="656" spans="1:20" ht="29.25" customHeight="1" x14ac:dyDescent="0.2">
      <c r="A656" s="187"/>
      <c r="B656" s="35"/>
      <c r="C656" s="23"/>
      <c r="D656" s="35"/>
      <c r="E656" s="35"/>
      <c r="F656" s="35"/>
      <c r="G656" s="28"/>
      <c r="H656" s="35"/>
      <c r="I656" s="35"/>
      <c r="J656" s="35"/>
      <c r="K656" s="35"/>
      <c r="L656" s="35"/>
      <c r="M656" s="35"/>
      <c r="N656" s="35"/>
      <c r="O656" s="23"/>
      <c r="P656" s="35"/>
      <c r="Q656" s="188"/>
      <c r="R656" s="35"/>
      <c r="S656" s="35"/>
      <c r="T656" s="35"/>
    </row>
    <row r="657" spans="1:20" ht="29.25" customHeight="1" x14ac:dyDescent="0.2">
      <c r="A657" s="187"/>
      <c r="B657" s="35"/>
      <c r="C657" s="23"/>
      <c r="D657" s="35"/>
      <c r="E657" s="35"/>
      <c r="F657" s="35"/>
      <c r="G657" s="28"/>
      <c r="H657" s="35"/>
      <c r="I657" s="35"/>
      <c r="J657" s="35"/>
      <c r="K657" s="35"/>
      <c r="L657" s="35"/>
      <c r="M657" s="35"/>
      <c r="N657" s="35"/>
      <c r="O657" s="23"/>
      <c r="P657" s="35"/>
      <c r="Q657" s="188"/>
      <c r="R657" s="35"/>
      <c r="S657" s="35"/>
      <c r="T657" s="35"/>
    </row>
    <row r="658" spans="1:20" ht="29.25" customHeight="1" x14ac:dyDescent="0.2">
      <c r="A658" s="187"/>
      <c r="B658" s="35"/>
      <c r="C658" s="23"/>
      <c r="D658" s="35"/>
      <c r="E658" s="35"/>
      <c r="F658" s="35"/>
      <c r="G658" s="28"/>
      <c r="H658" s="35"/>
      <c r="I658" s="35"/>
      <c r="J658" s="35"/>
      <c r="K658" s="35"/>
      <c r="L658" s="35"/>
      <c r="M658" s="35"/>
      <c r="N658" s="35"/>
      <c r="O658" s="23"/>
      <c r="P658" s="35"/>
      <c r="Q658" s="188"/>
      <c r="R658" s="35"/>
      <c r="S658" s="35"/>
      <c r="T658" s="35"/>
    </row>
    <row r="659" spans="1:20" ht="29.25" customHeight="1" x14ac:dyDescent="0.2">
      <c r="A659" s="187"/>
      <c r="B659" s="35"/>
      <c r="C659" s="23"/>
      <c r="D659" s="35"/>
      <c r="E659" s="35"/>
      <c r="F659" s="35"/>
      <c r="G659" s="28"/>
      <c r="H659" s="35"/>
      <c r="I659" s="35"/>
      <c r="J659" s="35"/>
      <c r="K659" s="35"/>
      <c r="L659" s="35"/>
      <c r="M659" s="35"/>
      <c r="N659" s="35"/>
      <c r="O659" s="23"/>
      <c r="P659" s="35"/>
      <c r="Q659" s="188"/>
      <c r="R659" s="35"/>
      <c r="S659" s="35"/>
      <c r="T659" s="35"/>
    </row>
    <row r="660" spans="1:20" ht="29.25" customHeight="1" x14ac:dyDescent="0.2">
      <c r="A660" s="187"/>
      <c r="B660" s="35"/>
      <c r="C660" s="23"/>
      <c r="D660" s="35"/>
      <c r="E660" s="35"/>
      <c r="F660" s="35"/>
      <c r="G660" s="28"/>
      <c r="H660" s="35"/>
      <c r="I660" s="35"/>
      <c r="J660" s="35"/>
      <c r="K660" s="35"/>
      <c r="L660" s="35"/>
      <c r="M660" s="35"/>
      <c r="N660" s="35"/>
      <c r="O660" s="23"/>
      <c r="P660" s="35"/>
      <c r="Q660" s="188"/>
      <c r="R660" s="35"/>
      <c r="S660" s="35"/>
      <c r="T660" s="35"/>
    </row>
    <row r="661" spans="1:20" ht="29.25" customHeight="1" x14ac:dyDescent="0.2">
      <c r="A661" s="187"/>
      <c r="B661" s="35"/>
      <c r="C661" s="23"/>
      <c r="D661" s="35"/>
      <c r="E661" s="35"/>
      <c r="F661" s="35"/>
      <c r="G661" s="28"/>
      <c r="H661" s="35"/>
      <c r="I661" s="35"/>
      <c r="J661" s="35"/>
      <c r="K661" s="35"/>
      <c r="L661" s="35"/>
      <c r="M661" s="35"/>
      <c r="N661" s="35"/>
      <c r="O661" s="23"/>
      <c r="P661" s="35"/>
      <c r="Q661" s="188"/>
      <c r="R661" s="35"/>
      <c r="S661" s="35"/>
      <c r="T661" s="35"/>
    </row>
    <row r="662" spans="1:20" ht="29.25" customHeight="1" x14ac:dyDescent="0.2">
      <c r="A662" s="187"/>
      <c r="B662" s="35"/>
      <c r="C662" s="23"/>
      <c r="D662" s="35"/>
      <c r="E662" s="35"/>
      <c r="F662" s="35"/>
      <c r="G662" s="28"/>
      <c r="H662" s="35"/>
      <c r="I662" s="35"/>
      <c r="J662" s="35"/>
      <c r="K662" s="35"/>
      <c r="L662" s="35"/>
      <c r="M662" s="35"/>
      <c r="N662" s="35"/>
      <c r="O662" s="23"/>
      <c r="P662" s="35"/>
      <c r="Q662" s="188"/>
      <c r="R662" s="35"/>
      <c r="S662" s="35"/>
      <c r="T662" s="35"/>
    </row>
    <row r="663" spans="1:20" ht="29.25" customHeight="1" x14ac:dyDescent="0.2">
      <c r="A663" s="187"/>
      <c r="B663" s="35"/>
      <c r="C663" s="23"/>
      <c r="D663" s="35"/>
      <c r="E663" s="35"/>
      <c r="F663" s="35"/>
      <c r="G663" s="28"/>
      <c r="H663" s="35"/>
      <c r="I663" s="35"/>
      <c r="J663" s="35"/>
      <c r="K663" s="35"/>
      <c r="L663" s="35"/>
      <c r="M663" s="35"/>
      <c r="N663" s="35"/>
      <c r="O663" s="23"/>
      <c r="P663" s="35"/>
      <c r="Q663" s="188"/>
      <c r="R663" s="35"/>
      <c r="S663" s="35"/>
      <c r="T663" s="35"/>
    </row>
    <row r="664" spans="1:20" ht="29.25" customHeight="1" x14ac:dyDescent="0.2">
      <c r="A664" s="187"/>
      <c r="B664" s="35"/>
      <c r="C664" s="23"/>
      <c r="D664" s="35"/>
      <c r="E664" s="35"/>
      <c r="F664" s="35"/>
      <c r="G664" s="28"/>
      <c r="H664" s="35"/>
      <c r="I664" s="35"/>
      <c r="J664" s="35"/>
      <c r="K664" s="35"/>
      <c r="L664" s="35"/>
      <c r="M664" s="35"/>
      <c r="N664" s="35"/>
      <c r="O664" s="23"/>
      <c r="P664" s="35"/>
      <c r="Q664" s="188"/>
      <c r="R664" s="35"/>
      <c r="S664" s="35"/>
      <c r="T664" s="35"/>
    </row>
    <row r="665" spans="1:20" ht="29.25" customHeight="1" x14ac:dyDescent="0.2">
      <c r="A665" s="187"/>
      <c r="B665" s="35"/>
      <c r="C665" s="23"/>
      <c r="D665" s="35"/>
      <c r="E665" s="35"/>
      <c r="F665" s="35"/>
      <c r="G665" s="28"/>
      <c r="H665" s="35"/>
      <c r="I665" s="35"/>
      <c r="J665" s="35"/>
      <c r="K665" s="35"/>
      <c r="L665" s="35"/>
      <c r="M665" s="35"/>
      <c r="N665" s="35"/>
      <c r="O665" s="23"/>
      <c r="P665" s="35"/>
      <c r="Q665" s="188"/>
      <c r="R665" s="35"/>
      <c r="S665" s="35"/>
      <c r="T665" s="35"/>
    </row>
    <row r="666" spans="1:20" ht="29.25" customHeight="1" x14ac:dyDescent="0.2">
      <c r="A666" s="187"/>
      <c r="B666" s="35"/>
      <c r="C666" s="23"/>
      <c r="D666" s="35"/>
      <c r="E666" s="35"/>
      <c r="F666" s="35"/>
      <c r="G666" s="28"/>
      <c r="H666" s="35"/>
      <c r="I666" s="35"/>
      <c r="J666" s="35"/>
      <c r="K666" s="35"/>
      <c r="L666" s="35"/>
      <c r="M666" s="35"/>
      <c r="N666" s="35"/>
      <c r="O666" s="23"/>
      <c r="P666" s="35"/>
      <c r="Q666" s="188"/>
      <c r="R666" s="35"/>
      <c r="S666" s="35"/>
      <c r="T666" s="35"/>
    </row>
    <row r="667" spans="1:20" ht="29.25" customHeight="1" x14ac:dyDescent="0.2">
      <c r="A667" s="187"/>
      <c r="B667" s="35"/>
      <c r="C667" s="23"/>
      <c r="D667" s="35"/>
      <c r="E667" s="35"/>
      <c r="F667" s="35"/>
      <c r="G667" s="28"/>
      <c r="H667" s="35"/>
      <c r="I667" s="35"/>
      <c r="J667" s="35"/>
      <c r="K667" s="35"/>
      <c r="L667" s="35"/>
      <c r="M667" s="35"/>
      <c r="N667" s="35"/>
      <c r="O667" s="23"/>
      <c r="P667" s="35"/>
      <c r="Q667" s="188"/>
      <c r="R667" s="35"/>
      <c r="S667" s="35"/>
      <c r="T667" s="35"/>
    </row>
    <row r="668" spans="1:20" ht="29.25" customHeight="1" x14ac:dyDescent="0.2">
      <c r="A668" s="187"/>
      <c r="B668" s="35"/>
      <c r="C668" s="23"/>
      <c r="D668" s="35"/>
      <c r="E668" s="35"/>
      <c r="F668" s="35"/>
      <c r="G668" s="28"/>
      <c r="H668" s="35"/>
      <c r="I668" s="35"/>
      <c r="J668" s="35"/>
      <c r="K668" s="35"/>
      <c r="L668" s="35"/>
      <c r="M668" s="35"/>
      <c r="N668" s="35"/>
      <c r="O668" s="23"/>
      <c r="P668" s="35"/>
      <c r="Q668" s="188"/>
      <c r="R668" s="35"/>
      <c r="S668" s="35"/>
      <c r="T668" s="35"/>
    </row>
    <row r="669" spans="1:20" ht="29.25" customHeight="1" x14ac:dyDescent="0.2">
      <c r="A669" s="187"/>
      <c r="B669" s="35"/>
      <c r="C669" s="23"/>
      <c r="D669" s="35"/>
      <c r="E669" s="35"/>
      <c r="F669" s="35"/>
      <c r="G669" s="28"/>
      <c r="H669" s="35"/>
      <c r="I669" s="35"/>
      <c r="J669" s="35"/>
      <c r="K669" s="35"/>
      <c r="L669" s="35"/>
      <c r="M669" s="35"/>
      <c r="N669" s="35"/>
      <c r="O669" s="23"/>
      <c r="P669" s="35"/>
      <c r="Q669" s="188"/>
      <c r="R669" s="35"/>
      <c r="S669" s="35"/>
      <c r="T669" s="35"/>
    </row>
    <row r="670" spans="1:20" ht="29.25" customHeight="1" x14ac:dyDescent="0.2">
      <c r="A670" s="187"/>
      <c r="B670" s="35"/>
      <c r="C670" s="23"/>
      <c r="D670" s="35"/>
      <c r="E670" s="35"/>
      <c r="F670" s="35"/>
      <c r="G670" s="28"/>
      <c r="H670" s="35"/>
      <c r="I670" s="35"/>
      <c r="J670" s="35"/>
      <c r="K670" s="35"/>
      <c r="L670" s="35"/>
      <c r="M670" s="35"/>
      <c r="N670" s="35"/>
      <c r="O670" s="23"/>
      <c r="P670" s="35"/>
      <c r="Q670" s="188"/>
      <c r="R670" s="35"/>
      <c r="S670" s="35"/>
      <c r="T670" s="35"/>
    </row>
    <row r="671" spans="1:20" ht="29.25" customHeight="1" x14ac:dyDescent="0.2">
      <c r="A671" s="187"/>
      <c r="B671" s="35"/>
      <c r="C671" s="23"/>
      <c r="D671" s="35"/>
      <c r="E671" s="35"/>
      <c r="F671" s="35"/>
      <c r="G671" s="28"/>
      <c r="H671" s="35"/>
      <c r="I671" s="35"/>
      <c r="J671" s="35"/>
      <c r="K671" s="35"/>
      <c r="L671" s="35"/>
      <c r="M671" s="35"/>
      <c r="N671" s="35"/>
      <c r="O671" s="23"/>
      <c r="P671" s="35"/>
      <c r="Q671" s="188"/>
      <c r="R671" s="35"/>
      <c r="S671" s="35"/>
      <c r="T671" s="35"/>
    </row>
    <row r="672" spans="1:20" ht="29.25" customHeight="1" x14ac:dyDescent="0.2">
      <c r="A672" s="187"/>
      <c r="B672" s="35"/>
      <c r="C672" s="23"/>
      <c r="D672" s="35"/>
      <c r="E672" s="35"/>
      <c r="F672" s="35"/>
      <c r="G672" s="28"/>
      <c r="H672" s="35"/>
      <c r="I672" s="35"/>
      <c r="J672" s="35"/>
      <c r="K672" s="35"/>
      <c r="L672" s="35"/>
      <c r="M672" s="35"/>
      <c r="N672" s="35"/>
      <c r="O672" s="23"/>
      <c r="P672" s="35"/>
      <c r="Q672" s="188"/>
      <c r="R672" s="35"/>
      <c r="S672" s="35"/>
      <c r="T672" s="35"/>
    </row>
    <row r="673" spans="1:20" ht="29.25" customHeight="1" x14ac:dyDescent="0.2">
      <c r="A673" s="187"/>
      <c r="B673" s="35"/>
      <c r="C673" s="23"/>
      <c r="D673" s="35"/>
      <c r="E673" s="35"/>
      <c r="F673" s="35"/>
      <c r="G673" s="28"/>
      <c r="H673" s="35"/>
      <c r="I673" s="35"/>
      <c r="J673" s="35"/>
      <c r="K673" s="35"/>
      <c r="L673" s="35"/>
      <c r="M673" s="35"/>
      <c r="N673" s="35"/>
      <c r="O673" s="23"/>
      <c r="P673" s="35"/>
      <c r="Q673" s="188"/>
      <c r="R673" s="35"/>
      <c r="S673" s="35"/>
      <c r="T673" s="35"/>
    </row>
    <row r="674" spans="1:20" ht="29.25" customHeight="1" x14ac:dyDescent="0.2">
      <c r="A674" s="187"/>
      <c r="B674" s="35"/>
      <c r="C674" s="23"/>
      <c r="D674" s="35"/>
      <c r="E674" s="35"/>
      <c r="F674" s="35"/>
      <c r="G674" s="28"/>
      <c r="H674" s="35"/>
      <c r="I674" s="35"/>
      <c r="J674" s="35"/>
      <c r="K674" s="35"/>
      <c r="L674" s="35"/>
      <c r="M674" s="35"/>
      <c r="N674" s="35"/>
      <c r="O674" s="23"/>
      <c r="P674" s="35"/>
      <c r="Q674" s="188"/>
      <c r="R674" s="35"/>
      <c r="S674" s="35"/>
      <c r="T674" s="35"/>
    </row>
    <row r="675" spans="1:20" ht="29.25" customHeight="1" x14ac:dyDescent="0.2">
      <c r="A675" s="187"/>
      <c r="B675" s="35"/>
      <c r="C675" s="23"/>
      <c r="D675" s="35"/>
      <c r="E675" s="35"/>
      <c r="F675" s="35"/>
      <c r="G675" s="28"/>
      <c r="H675" s="35"/>
      <c r="I675" s="35"/>
      <c r="J675" s="35"/>
      <c r="K675" s="35"/>
      <c r="L675" s="35"/>
      <c r="M675" s="35"/>
      <c r="N675" s="35"/>
      <c r="O675" s="23"/>
      <c r="P675" s="35"/>
      <c r="Q675" s="188"/>
      <c r="R675" s="35"/>
      <c r="S675" s="35"/>
      <c r="T675" s="35"/>
    </row>
    <row r="676" spans="1:20" ht="29.25" customHeight="1" x14ac:dyDescent="0.2">
      <c r="A676" s="187"/>
      <c r="B676" s="35"/>
      <c r="C676" s="23"/>
      <c r="D676" s="35"/>
      <c r="E676" s="35"/>
      <c r="F676" s="35"/>
      <c r="G676" s="28"/>
      <c r="H676" s="35"/>
      <c r="I676" s="35"/>
      <c r="J676" s="35"/>
      <c r="K676" s="35"/>
      <c r="L676" s="35"/>
      <c r="M676" s="35"/>
      <c r="N676" s="35"/>
      <c r="O676" s="23"/>
      <c r="P676" s="35"/>
      <c r="Q676" s="188"/>
      <c r="R676" s="35"/>
      <c r="S676" s="35"/>
      <c r="T676" s="35"/>
    </row>
    <row r="677" spans="1:20" ht="29.25" customHeight="1" x14ac:dyDescent="0.2">
      <c r="A677" s="187"/>
      <c r="B677" s="35"/>
      <c r="C677" s="23"/>
      <c r="D677" s="35"/>
      <c r="E677" s="35"/>
      <c r="F677" s="35"/>
      <c r="G677" s="28"/>
      <c r="H677" s="35"/>
      <c r="I677" s="35"/>
      <c r="J677" s="35"/>
      <c r="K677" s="35"/>
      <c r="L677" s="35"/>
      <c r="M677" s="35"/>
      <c r="N677" s="35"/>
      <c r="O677" s="23"/>
      <c r="P677" s="35"/>
      <c r="Q677" s="188"/>
      <c r="R677" s="35"/>
      <c r="S677" s="35"/>
      <c r="T677" s="35"/>
    </row>
    <row r="678" spans="1:20" ht="29.25" customHeight="1" x14ac:dyDescent="0.2">
      <c r="A678" s="187"/>
      <c r="B678" s="35"/>
      <c r="C678" s="23"/>
      <c r="D678" s="35"/>
      <c r="E678" s="35"/>
      <c r="F678" s="35"/>
      <c r="G678" s="28"/>
      <c r="H678" s="35"/>
      <c r="I678" s="35"/>
      <c r="J678" s="35"/>
      <c r="K678" s="35"/>
      <c r="L678" s="35"/>
      <c r="M678" s="35"/>
      <c r="N678" s="35"/>
      <c r="O678" s="23"/>
      <c r="P678" s="35"/>
      <c r="Q678" s="188"/>
      <c r="R678" s="35"/>
      <c r="S678" s="35"/>
      <c r="T678" s="35"/>
    </row>
    <row r="679" spans="1:20" ht="29.25" customHeight="1" x14ac:dyDescent="0.2">
      <c r="A679" s="187"/>
      <c r="B679" s="35"/>
      <c r="C679" s="23"/>
      <c r="D679" s="35"/>
      <c r="E679" s="35"/>
      <c r="F679" s="35"/>
      <c r="G679" s="28"/>
      <c r="H679" s="35"/>
      <c r="I679" s="35"/>
      <c r="J679" s="35"/>
      <c r="K679" s="35"/>
      <c r="L679" s="35"/>
      <c r="M679" s="35"/>
      <c r="N679" s="35"/>
      <c r="O679" s="23"/>
      <c r="P679" s="35"/>
      <c r="Q679" s="188"/>
      <c r="R679" s="35"/>
      <c r="S679" s="35"/>
      <c r="T679" s="35"/>
    </row>
    <row r="680" spans="1:20" ht="29.25" customHeight="1" x14ac:dyDescent="0.2">
      <c r="A680" s="187"/>
      <c r="B680" s="35"/>
      <c r="C680" s="23"/>
      <c r="D680" s="35"/>
      <c r="E680" s="35"/>
      <c r="F680" s="35"/>
      <c r="G680" s="28"/>
      <c r="H680" s="35"/>
      <c r="I680" s="35"/>
      <c r="J680" s="35"/>
      <c r="K680" s="35"/>
      <c r="L680" s="35"/>
      <c r="M680" s="35"/>
      <c r="N680" s="35"/>
      <c r="O680" s="23"/>
      <c r="P680" s="35"/>
      <c r="Q680" s="188"/>
      <c r="R680" s="35"/>
      <c r="S680" s="35"/>
      <c r="T680" s="35"/>
    </row>
    <row r="681" spans="1:20" ht="29.25" customHeight="1" x14ac:dyDescent="0.2">
      <c r="A681" s="187"/>
      <c r="B681" s="35"/>
      <c r="C681" s="23"/>
      <c r="D681" s="35"/>
      <c r="E681" s="35"/>
      <c r="F681" s="35"/>
      <c r="G681" s="28"/>
      <c r="H681" s="35"/>
      <c r="I681" s="35"/>
      <c r="J681" s="35"/>
      <c r="K681" s="35"/>
      <c r="L681" s="35"/>
      <c r="M681" s="35"/>
      <c r="N681" s="35"/>
      <c r="O681" s="23"/>
      <c r="P681" s="35"/>
      <c r="Q681" s="188"/>
      <c r="R681" s="35"/>
      <c r="S681" s="35"/>
      <c r="T681" s="35"/>
    </row>
    <row r="682" spans="1:20" ht="29.25" customHeight="1" x14ac:dyDescent="0.2">
      <c r="A682" s="187"/>
      <c r="B682" s="35"/>
      <c r="C682" s="23"/>
      <c r="D682" s="35"/>
      <c r="E682" s="35"/>
      <c r="F682" s="35"/>
      <c r="G682" s="28"/>
      <c r="H682" s="35"/>
      <c r="I682" s="35"/>
      <c r="J682" s="35"/>
      <c r="K682" s="35"/>
      <c r="L682" s="35"/>
      <c r="M682" s="35"/>
      <c r="N682" s="35"/>
      <c r="O682" s="23"/>
      <c r="P682" s="35"/>
      <c r="Q682" s="188"/>
      <c r="R682" s="35"/>
      <c r="S682" s="35"/>
      <c r="T682" s="35"/>
    </row>
    <row r="683" spans="1:20" ht="29.25" customHeight="1" x14ac:dyDescent="0.2">
      <c r="A683" s="187"/>
      <c r="B683" s="35"/>
      <c r="C683" s="23"/>
      <c r="D683" s="35"/>
      <c r="E683" s="35"/>
      <c r="F683" s="35"/>
      <c r="G683" s="28"/>
      <c r="H683" s="35"/>
      <c r="I683" s="35"/>
      <c r="J683" s="35"/>
      <c r="K683" s="35"/>
      <c r="L683" s="35"/>
      <c r="M683" s="35"/>
      <c r="N683" s="35"/>
      <c r="O683" s="23"/>
      <c r="P683" s="35"/>
      <c r="Q683" s="188"/>
      <c r="R683" s="35"/>
      <c r="S683" s="35"/>
      <c r="T683" s="35"/>
    </row>
    <row r="684" spans="1:20" ht="29.25" customHeight="1" x14ac:dyDescent="0.2">
      <c r="A684" s="187"/>
      <c r="B684" s="35"/>
      <c r="C684" s="23"/>
      <c r="D684" s="35"/>
      <c r="E684" s="35"/>
      <c r="F684" s="35"/>
      <c r="G684" s="28"/>
      <c r="H684" s="35"/>
      <c r="I684" s="35"/>
      <c r="J684" s="35"/>
      <c r="K684" s="35"/>
      <c r="L684" s="35"/>
      <c r="M684" s="35"/>
      <c r="N684" s="35"/>
      <c r="O684" s="23"/>
      <c r="P684" s="35"/>
      <c r="Q684" s="188"/>
      <c r="R684" s="35"/>
      <c r="S684" s="35"/>
      <c r="T684" s="35"/>
    </row>
    <row r="685" spans="1:20" ht="29.25" customHeight="1" x14ac:dyDescent="0.2">
      <c r="A685" s="187"/>
      <c r="B685" s="35"/>
      <c r="C685" s="23"/>
      <c r="D685" s="35"/>
      <c r="E685" s="35"/>
      <c r="F685" s="35"/>
      <c r="G685" s="28"/>
      <c r="H685" s="35"/>
      <c r="I685" s="35"/>
      <c r="J685" s="35"/>
      <c r="K685" s="35"/>
      <c r="L685" s="35"/>
      <c r="M685" s="35"/>
      <c r="N685" s="35"/>
      <c r="O685" s="23"/>
      <c r="P685" s="35"/>
      <c r="Q685" s="188"/>
      <c r="R685" s="35"/>
      <c r="S685" s="35"/>
      <c r="T685" s="35"/>
    </row>
    <row r="686" spans="1:20" ht="29.25" customHeight="1" x14ac:dyDescent="0.2">
      <c r="A686" s="187"/>
      <c r="B686" s="35"/>
      <c r="C686" s="23"/>
      <c r="D686" s="35"/>
      <c r="E686" s="35"/>
      <c r="F686" s="35"/>
      <c r="G686" s="28"/>
      <c r="H686" s="35"/>
      <c r="I686" s="35"/>
      <c r="J686" s="35"/>
      <c r="K686" s="35"/>
      <c r="L686" s="35"/>
      <c r="M686" s="35"/>
      <c r="N686" s="35"/>
      <c r="O686" s="23"/>
      <c r="P686" s="35"/>
      <c r="Q686" s="188"/>
      <c r="R686" s="35"/>
      <c r="S686" s="35"/>
      <c r="T686" s="35"/>
    </row>
    <row r="687" spans="1:20" ht="29.25" customHeight="1" x14ac:dyDescent="0.2">
      <c r="A687" s="187"/>
      <c r="B687" s="35"/>
      <c r="C687" s="23"/>
      <c r="D687" s="35"/>
      <c r="E687" s="35"/>
      <c r="F687" s="35"/>
      <c r="G687" s="28"/>
      <c r="H687" s="35"/>
      <c r="I687" s="35"/>
      <c r="J687" s="35"/>
      <c r="K687" s="35"/>
      <c r="L687" s="35"/>
      <c r="M687" s="35"/>
      <c r="N687" s="35"/>
      <c r="O687" s="23"/>
      <c r="P687" s="35"/>
      <c r="Q687" s="188"/>
      <c r="R687" s="35"/>
      <c r="S687" s="35"/>
      <c r="T687" s="35"/>
    </row>
    <row r="688" spans="1:20" ht="29.25" customHeight="1" x14ac:dyDescent="0.2">
      <c r="A688" s="187"/>
      <c r="B688" s="35"/>
      <c r="C688" s="23"/>
      <c r="D688" s="35"/>
      <c r="E688" s="35"/>
      <c r="F688" s="35"/>
      <c r="G688" s="28"/>
      <c r="H688" s="35"/>
      <c r="I688" s="35"/>
      <c r="J688" s="35"/>
      <c r="K688" s="35"/>
      <c r="L688" s="35"/>
      <c r="M688" s="35"/>
      <c r="N688" s="35"/>
      <c r="O688" s="23"/>
      <c r="P688" s="35"/>
      <c r="Q688" s="188"/>
      <c r="R688" s="35"/>
      <c r="S688" s="35"/>
      <c r="T688" s="35"/>
    </row>
    <row r="689" spans="1:20" ht="29.25" customHeight="1" x14ac:dyDescent="0.2">
      <c r="A689" s="187"/>
      <c r="B689" s="35"/>
      <c r="C689" s="23"/>
      <c r="D689" s="35"/>
      <c r="E689" s="35"/>
      <c r="F689" s="35"/>
      <c r="G689" s="28"/>
      <c r="H689" s="35"/>
      <c r="I689" s="35"/>
      <c r="J689" s="35"/>
      <c r="K689" s="35"/>
      <c r="L689" s="35"/>
      <c r="M689" s="35"/>
      <c r="N689" s="35"/>
      <c r="O689" s="23"/>
      <c r="P689" s="35"/>
      <c r="Q689" s="188"/>
      <c r="R689" s="35"/>
      <c r="S689" s="35"/>
      <c r="T689" s="35"/>
    </row>
    <row r="690" spans="1:20" ht="29.25" customHeight="1" x14ac:dyDescent="0.2">
      <c r="A690" s="187"/>
      <c r="B690" s="35"/>
      <c r="C690" s="23"/>
      <c r="D690" s="35"/>
      <c r="E690" s="35"/>
      <c r="F690" s="35"/>
      <c r="G690" s="28"/>
      <c r="H690" s="35"/>
      <c r="I690" s="35"/>
      <c r="J690" s="35"/>
      <c r="K690" s="35"/>
      <c r="L690" s="35"/>
      <c r="M690" s="35"/>
      <c r="N690" s="35"/>
      <c r="O690" s="23"/>
      <c r="P690" s="35"/>
      <c r="Q690" s="188"/>
      <c r="R690" s="35"/>
      <c r="S690" s="35"/>
      <c r="T690" s="35"/>
    </row>
    <row r="691" spans="1:20" ht="29.25" customHeight="1" x14ac:dyDescent="0.2">
      <c r="A691" s="187"/>
      <c r="B691" s="35"/>
      <c r="C691" s="23"/>
      <c r="D691" s="35"/>
      <c r="E691" s="35"/>
      <c r="F691" s="35"/>
      <c r="G691" s="28"/>
      <c r="H691" s="35"/>
      <c r="I691" s="35"/>
      <c r="J691" s="35"/>
      <c r="K691" s="35"/>
      <c r="L691" s="35"/>
      <c r="M691" s="35"/>
      <c r="N691" s="35"/>
      <c r="O691" s="23"/>
      <c r="P691" s="35"/>
      <c r="Q691" s="188"/>
      <c r="R691" s="35"/>
      <c r="S691" s="35"/>
      <c r="T691" s="35"/>
    </row>
    <row r="692" spans="1:20" ht="29.25" customHeight="1" x14ac:dyDescent="0.2">
      <c r="A692" s="187"/>
      <c r="B692" s="35"/>
      <c r="C692" s="23"/>
      <c r="D692" s="35"/>
      <c r="E692" s="35"/>
      <c r="F692" s="35"/>
      <c r="G692" s="28"/>
      <c r="H692" s="35"/>
      <c r="I692" s="35"/>
      <c r="J692" s="35"/>
      <c r="K692" s="35"/>
      <c r="L692" s="35"/>
      <c r="M692" s="35"/>
      <c r="N692" s="35"/>
      <c r="O692" s="23"/>
      <c r="P692" s="35"/>
      <c r="Q692" s="188"/>
      <c r="R692" s="35"/>
      <c r="S692" s="35"/>
      <c r="T692" s="35"/>
    </row>
    <row r="693" spans="1:20" ht="29.25" customHeight="1" x14ac:dyDescent="0.2">
      <c r="A693" s="187"/>
      <c r="B693" s="35"/>
      <c r="C693" s="23"/>
      <c r="D693" s="35"/>
      <c r="E693" s="35"/>
      <c r="F693" s="35"/>
      <c r="G693" s="28"/>
      <c r="H693" s="35"/>
      <c r="I693" s="35"/>
      <c r="J693" s="35"/>
      <c r="K693" s="35"/>
      <c r="L693" s="35"/>
      <c r="M693" s="35"/>
      <c r="N693" s="35"/>
      <c r="O693" s="23"/>
      <c r="P693" s="35"/>
      <c r="Q693" s="188"/>
      <c r="R693" s="35"/>
      <c r="S693" s="35"/>
      <c r="T693" s="35"/>
    </row>
    <row r="694" spans="1:20" ht="29.25" customHeight="1" x14ac:dyDescent="0.2">
      <c r="A694" s="187"/>
      <c r="B694" s="35"/>
      <c r="C694" s="23"/>
      <c r="D694" s="35"/>
      <c r="E694" s="35"/>
      <c r="F694" s="35"/>
      <c r="G694" s="28"/>
      <c r="H694" s="35"/>
      <c r="I694" s="35"/>
      <c r="J694" s="35"/>
      <c r="K694" s="35"/>
      <c r="L694" s="35"/>
      <c r="M694" s="35"/>
      <c r="N694" s="35"/>
      <c r="O694" s="23"/>
      <c r="P694" s="35"/>
      <c r="Q694" s="188"/>
      <c r="R694" s="35"/>
      <c r="S694" s="35"/>
      <c r="T694" s="35"/>
    </row>
    <row r="695" spans="1:20" ht="29.25" customHeight="1" x14ac:dyDescent="0.2">
      <c r="A695" s="187"/>
      <c r="B695" s="35"/>
      <c r="C695" s="23"/>
      <c r="D695" s="35"/>
      <c r="E695" s="35"/>
      <c r="F695" s="35"/>
      <c r="G695" s="28"/>
      <c r="H695" s="35"/>
      <c r="I695" s="35"/>
      <c r="J695" s="35"/>
      <c r="K695" s="35"/>
      <c r="L695" s="35"/>
      <c r="M695" s="35"/>
      <c r="N695" s="35"/>
      <c r="O695" s="23"/>
      <c r="P695" s="35"/>
      <c r="Q695" s="188"/>
      <c r="R695" s="35"/>
      <c r="S695" s="35"/>
      <c r="T695" s="35"/>
    </row>
    <row r="696" spans="1:20" ht="29.25" customHeight="1" x14ac:dyDescent="0.2">
      <c r="A696" s="187"/>
      <c r="B696" s="35"/>
      <c r="C696" s="23"/>
      <c r="D696" s="35"/>
      <c r="E696" s="35"/>
      <c r="F696" s="35"/>
      <c r="G696" s="28"/>
      <c r="H696" s="35"/>
      <c r="I696" s="35"/>
      <c r="J696" s="35"/>
      <c r="K696" s="35"/>
      <c r="L696" s="35"/>
      <c r="M696" s="35"/>
      <c r="N696" s="35"/>
      <c r="O696" s="23"/>
      <c r="P696" s="35"/>
      <c r="Q696" s="188"/>
      <c r="R696" s="35"/>
      <c r="S696" s="35"/>
      <c r="T696" s="35"/>
    </row>
    <row r="697" spans="1:20" ht="29.25" customHeight="1" x14ac:dyDescent="0.2">
      <c r="A697" s="187"/>
      <c r="B697" s="35"/>
      <c r="C697" s="23"/>
      <c r="D697" s="35"/>
      <c r="E697" s="35"/>
      <c r="F697" s="35"/>
      <c r="G697" s="28"/>
      <c r="H697" s="35"/>
      <c r="I697" s="35"/>
      <c r="J697" s="35"/>
      <c r="K697" s="35"/>
      <c r="L697" s="35"/>
      <c r="M697" s="35"/>
      <c r="N697" s="35"/>
      <c r="O697" s="23"/>
      <c r="P697" s="35"/>
      <c r="Q697" s="188"/>
      <c r="R697" s="35"/>
      <c r="S697" s="35"/>
      <c r="T697" s="35"/>
    </row>
    <row r="698" spans="1:20" ht="29.25" customHeight="1" x14ac:dyDescent="0.2">
      <c r="A698" s="187"/>
      <c r="B698" s="35"/>
      <c r="C698" s="23"/>
      <c r="D698" s="35"/>
      <c r="E698" s="35"/>
      <c r="F698" s="35"/>
      <c r="G698" s="28"/>
      <c r="H698" s="35"/>
      <c r="I698" s="35"/>
      <c r="J698" s="35"/>
      <c r="K698" s="35"/>
      <c r="L698" s="35"/>
      <c r="M698" s="35"/>
      <c r="N698" s="35"/>
      <c r="O698" s="23"/>
      <c r="P698" s="35"/>
      <c r="Q698" s="188"/>
      <c r="R698" s="35"/>
      <c r="S698" s="35"/>
      <c r="T698" s="35"/>
    </row>
    <row r="699" spans="1:20" ht="29.25" customHeight="1" x14ac:dyDescent="0.2">
      <c r="A699" s="187"/>
      <c r="B699" s="35"/>
      <c r="C699" s="23"/>
      <c r="D699" s="35"/>
      <c r="E699" s="35"/>
      <c r="F699" s="35"/>
      <c r="G699" s="28"/>
      <c r="H699" s="35"/>
      <c r="I699" s="35"/>
      <c r="J699" s="35"/>
      <c r="K699" s="35"/>
      <c r="L699" s="35"/>
      <c r="M699" s="35"/>
      <c r="N699" s="35"/>
      <c r="O699" s="23"/>
      <c r="P699" s="35"/>
      <c r="Q699" s="188"/>
      <c r="R699" s="35"/>
      <c r="S699" s="35"/>
      <c r="T699" s="35"/>
    </row>
    <row r="700" spans="1:20" ht="29.25" customHeight="1" x14ac:dyDescent="0.2">
      <c r="A700" s="187"/>
      <c r="B700" s="35"/>
      <c r="C700" s="23"/>
      <c r="D700" s="35"/>
      <c r="E700" s="35"/>
      <c r="F700" s="35"/>
      <c r="G700" s="28"/>
      <c r="H700" s="35"/>
      <c r="I700" s="35"/>
      <c r="J700" s="35"/>
      <c r="K700" s="35"/>
      <c r="L700" s="35"/>
      <c r="M700" s="35"/>
      <c r="N700" s="35"/>
      <c r="O700" s="23"/>
      <c r="P700" s="35"/>
      <c r="Q700" s="188"/>
      <c r="R700" s="35"/>
      <c r="S700" s="35"/>
      <c r="T700" s="35"/>
    </row>
    <row r="701" spans="1:20" ht="29.25" customHeight="1" x14ac:dyDescent="0.2">
      <c r="A701" s="187"/>
      <c r="B701" s="35"/>
      <c r="C701" s="23"/>
      <c r="D701" s="35"/>
      <c r="E701" s="35"/>
      <c r="F701" s="35"/>
      <c r="G701" s="28"/>
      <c r="H701" s="35"/>
      <c r="I701" s="35"/>
      <c r="J701" s="35"/>
      <c r="K701" s="35"/>
      <c r="L701" s="35"/>
      <c r="M701" s="35"/>
      <c r="N701" s="35"/>
      <c r="O701" s="23"/>
      <c r="P701" s="35"/>
      <c r="Q701" s="188"/>
      <c r="R701" s="35"/>
      <c r="S701" s="35"/>
      <c r="T701" s="35"/>
    </row>
    <row r="702" spans="1:20" ht="29.25" customHeight="1" x14ac:dyDescent="0.2">
      <c r="A702" s="187"/>
      <c r="B702" s="35"/>
      <c r="C702" s="23"/>
      <c r="D702" s="35"/>
      <c r="E702" s="35"/>
      <c r="F702" s="35"/>
      <c r="G702" s="28"/>
      <c r="H702" s="35"/>
      <c r="I702" s="35"/>
      <c r="J702" s="35"/>
      <c r="K702" s="35"/>
      <c r="L702" s="35"/>
      <c r="M702" s="35"/>
      <c r="N702" s="35"/>
      <c r="O702" s="23"/>
      <c r="P702" s="35"/>
      <c r="Q702" s="188"/>
      <c r="R702" s="35"/>
      <c r="S702" s="35"/>
      <c r="T702" s="35"/>
    </row>
    <row r="703" spans="1:20" ht="29.25" customHeight="1" x14ac:dyDescent="0.2">
      <c r="A703" s="187"/>
      <c r="B703" s="35"/>
      <c r="C703" s="23"/>
      <c r="D703" s="35"/>
      <c r="E703" s="35"/>
      <c r="F703" s="35"/>
      <c r="G703" s="28"/>
      <c r="H703" s="35"/>
      <c r="I703" s="35"/>
      <c r="J703" s="35"/>
      <c r="K703" s="35"/>
      <c r="L703" s="35"/>
      <c r="M703" s="35"/>
      <c r="N703" s="35"/>
      <c r="O703" s="23"/>
      <c r="P703" s="35"/>
      <c r="Q703" s="188"/>
      <c r="R703" s="35"/>
      <c r="S703" s="35"/>
      <c r="T703" s="35"/>
    </row>
    <row r="704" spans="1:20" ht="29.25" customHeight="1" x14ac:dyDescent="0.2">
      <c r="A704" s="187"/>
      <c r="B704" s="35"/>
      <c r="C704" s="23"/>
      <c r="D704" s="35"/>
      <c r="E704" s="35"/>
      <c r="F704" s="35"/>
      <c r="G704" s="28"/>
      <c r="H704" s="35"/>
      <c r="I704" s="35"/>
      <c r="J704" s="35"/>
      <c r="K704" s="35"/>
      <c r="L704" s="35"/>
      <c r="M704" s="35"/>
      <c r="N704" s="35"/>
      <c r="O704" s="23"/>
      <c r="P704" s="35"/>
      <c r="Q704" s="188"/>
      <c r="R704" s="35"/>
      <c r="S704" s="35"/>
      <c r="T704" s="35"/>
    </row>
    <row r="705" spans="1:20" ht="29.25" customHeight="1" x14ac:dyDescent="0.2">
      <c r="A705" s="187"/>
      <c r="B705" s="35"/>
      <c r="C705" s="23"/>
      <c r="D705" s="35"/>
      <c r="E705" s="35"/>
      <c r="F705" s="35"/>
      <c r="G705" s="28"/>
      <c r="H705" s="35"/>
      <c r="I705" s="35"/>
      <c r="J705" s="35"/>
      <c r="K705" s="35"/>
      <c r="L705" s="35"/>
      <c r="M705" s="35"/>
      <c r="N705" s="35"/>
      <c r="O705" s="23"/>
      <c r="P705" s="35"/>
      <c r="Q705" s="188"/>
      <c r="R705" s="35"/>
      <c r="S705" s="35"/>
      <c r="T705" s="35"/>
    </row>
    <row r="706" spans="1:20" ht="29.25" customHeight="1" x14ac:dyDescent="0.2">
      <c r="A706" s="187"/>
      <c r="B706" s="35"/>
      <c r="C706" s="23"/>
      <c r="D706" s="35"/>
      <c r="E706" s="35"/>
      <c r="F706" s="35"/>
      <c r="G706" s="28"/>
      <c r="H706" s="35"/>
      <c r="I706" s="35"/>
      <c r="J706" s="35"/>
      <c r="K706" s="35"/>
      <c r="L706" s="35"/>
      <c r="M706" s="35"/>
      <c r="N706" s="35"/>
      <c r="O706" s="23"/>
      <c r="P706" s="35"/>
      <c r="Q706" s="188"/>
      <c r="R706" s="35"/>
      <c r="S706" s="35"/>
      <c r="T706" s="35"/>
    </row>
    <row r="707" spans="1:20" ht="29.25" customHeight="1" x14ac:dyDescent="0.2">
      <c r="A707" s="187"/>
      <c r="B707" s="35"/>
      <c r="C707" s="23"/>
      <c r="D707" s="35"/>
      <c r="E707" s="35"/>
      <c r="F707" s="35"/>
      <c r="G707" s="28"/>
      <c r="H707" s="35"/>
      <c r="I707" s="35"/>
      <c r="J707" s="35"/>
      <c r="K707" s="35"/>
      <c r="L707" s="35"/>
      <c r="M707" s="35"/>
      <c r="N707" s="35"/>
      <c r="O707" s="23"/>
      <c r="P707" s="35"/>
      <c r="Q707" s="188"/>
      <c r="R707" s="35"/>
      <c r="S707" s="35"/>
      <c r="T707" s="35"/>
    </row>
    <row r="708" spans="1:20" ht="29.25" customHeight="1" x14ac:dyDescent="0.2">
      <c r="A708" s="187"/>
      <c r="B708" s="35"/>
      <c r="C708" s="23"/>
      <c r="D708" s="35"/>
      <c r="E708" s="35"/>
      <c r="F708" s="35"/>
      <c r="G708" s="28"/>
      <c r="H708" s="35"/>
      <c r="I708" s="35"/>
      <c r="J708" s="35"/>
      <c r="K708" s="35"/>
      <c r="L708" s="35"/>
      <c r="M708" s="35"/>
      <c r="N708" s="35"/>
      <c r="O708" s="23"/>
      <c r="P708" s="35"/>
      <c r="Q708" s="188"/>
      <c r="R708" s="35"/>
      <c r="S708" s="35"/>
      <c r="T708" s="35"/>
    </row>
    <row r="709" spans="1:20" ht="29.25" customHeight="1" x14ac:dyDescent="0.2">
      <c r="A709" s="187"/>
      <c r="B709" s="35"/>
      <c r="C709" s="23"/>
      <c r="D709" s="35"/>
      <c r="E709" s="35"/>
      <c r="F709" s="35"/>
      <c r="G709" s="28"/>
      <c r="H709" s="35"/>
      <c r="I709" s="35"/>
      <c r="J709" s="35"/>
      <c r="K709" s="35"/>
      <c r="L709" s="35"/>
      <c r="M709" s="35"/>
      <c r="N709" s="35"/>
      <c r="O709" s="23"/>
      <c r="P709" s="35"/>
      <c r="Q709" s="188"/>
      <c r="R709" s="35"/>
      <c r="S709" s="35"/>
      <c r="T709" s="35"/>
    </row>
    <row r="710" spans="1:20" ht="29.25" customHeight="1" x14ac:dyDescent="0.2">
      <c r="A710" s="187"/>
      <c r="B710" s="35"/>
      <c r="C710" s="23"/>
      <c r="D710" s="35"/>
      <c r="E710" s="35"/>
      <c r="F710" s="35"/>
      <c r="G710" s="28"/>
      <c r="H710" s="35"/>
      <c r="I710" s="35"/>
      <c r="J710" s="35"/>
      <c r="K710" s="35"/>
      <c r="L710" s="35"/>
      <c r="M710" s="35"/>
      <c r="N710" s="35"/>
      <c r="O710" s="23"/>
      <c r="P710" s="35"/>
      <c r="Q710" s="188"/>
      <c r="R710" s="35"/>
      <c r="S710" s="35"/>
      <c r="T710" s="35"/>
    </row>
    <row r="711" spans="1:20" ht="29.25" customHeight="1" x14ac:dyDescent="0.2">
      <c r="A711" s="187"/>
      <c r="B711" s="35"/>
      <c r="C711" s="23"/>
      <c r="D711" s="35"/>
      <c r="E711" s="35"/>
      <c r="F711" s="35"/>
      <c r="G711" s="28"/>
      <c r="H711" s="35"/>
      <c r="I711" s="35"/>
      <c r="J711" s="35"/>
      <c r="K711" s="35"/>
      <c r="L711" s="35"/>
      <c r="M711" s="35"/>
      <c r="N711" s="35"/>
      <c r="O711" s="23"/>
      <c r="P711" s="35"/>
      <c r="Q711" s="188"/>
      <c r="R711" s="35"/>
      <c r="S711" s="35"/>
      <c r="T711" s="35"/>
    </row>
    <row r="712" spans="1:20" ht="29.25" customHeight="1" x14ac:dyDescent="0.2">
      <c r="A712" s="187"/>
      <c r="B712" s="35"/>
      <c r="C712" s="23"/>
      <c r="D712" s="35"/>
      <c r="E712" s="35"/>
      <c r="F712" s="35"/>
      <c r="G712" s="28"/>
      <c r="H712" s="35"/>
      <c r="I712" s="35"/>
      <c r="J712" s="35"/>
      <c r="K712" s="35"/>
      <c r="L712" s="35"/>
      <c r="M712" s="35"/>
      <c r="N712" s="35"/>
      <c r="O712" s="23"/>
      <c r="P712" s="35"/>
      <c r="Q712" s="188"/>
      <c r="R712" s="35"/>
      <c r="S712" s="35"/>
      <c r="T712" s="35"/>
    </row>
    <row r="713" spans="1:20" ht="29.25" customHeight="1" x14ac:dyDescent="0.2">
      <c r="A713" s="187"/>
      <c r="B713" s="35"/>
      <c r="C713" s="23"/>
      <c r="D713" s="35"/>
      <c r="E713" s="35"/>
      <c r="F713" s="35"/>
      <c r="G713" s="28"/>
      <c r="H713" s="35"/>
      <c r="I713" s="35"/>
      <c r="J713" s="35"/>
      <c r="K713" s="35"/>
      <c r="L713" s="35"/>
      <c r="M713" s="35"/>
      <c r="N713" s="35"/>
      <c r="O713" s="23"/>
      <c r="P713" s="35"/>
      <c r="Q713" s="188"/>
      <c r="R713" s="35"/>
      <c r="S713" s="35"/>
      <c r="T713" s="35"/>
    </row>
    <row r="714" spans="1:20" ht="29.25" customHeight="1" x14ac:dyDescent="0.2">
      <c r="A714" s="187"/>
      <c r="B714" s="35"/>
      <c r="C714" s="23"/>
      <c r="D714" s="35"/>
      <c r="E714" s="35"/>
      <c r="F714" s="35"/>
      <c r="G714" s="28"/>
      <c r="H714" s="35"/>
      <c r="I714" s="35"/>
      <c r="J714" s="35"/>
      <c r="K714" s="35"/>
      <c r="L714" s="35"/>
      <c r="M714" s="35"/>
      <c r="N714" s="35"/>
      <c r="O714" s="23"/>
      <c r="P714" s="35"/>
      <c r="Q714" s="188"/>
      <c r="R714" s="35"/>
      <c r="S714" s="35"/>
      <c r="T714" s="35"/>
    </row>
    <row r="715" spans="1:20" ht="29.25" customHeight="1" x14ac:dyDescent="0.2">
      <c r="A715" s="187"/>
      <c r="B715" s="35"/>
      <c r="C715" s="23"/>
      <c r="D715" s="35"/>
      <c r="E715" s="35"/>
      <c r="F715" s="35"/>
      <c r="G715" s="28"/>
      <c r="H715" s="35"/>
      <c r="I715" s="35"/>
      <c r="J715" s="35"/>
      <c r="K715" s="35"/>
      <c r="L715" s="35"/>
      <c r="M715" s="35"/>
      <c r="N715" s="35"/>
      <c r="O715" s="23"/>
      <c r="P715" s="35"/>
      <c r="Q715" s="188"/>
      <c r="R715" s="35"/>
      <c r="S715" s="35"/>
      <c r="T715" s="35"/>
    </row>
    <row r="716" spans="1:20" ht="29.25" customHeight="1" x14ac:dyDescent="0.2">
      <c r="A716" s="187"/>
      <c r="B716" s="35"/>
      <c r="C716" s="23"/>
      <c r="D716" s="35"/>
      <c r="E716" s="35"/>
      <c r="F716" s="35"/>
      <c r="G716" s="28"/>
      <c r="H716" s="35"/>
      <c r="I716" s="35"/>
      <c r="J716" s="35"/>
      <c r="K716" s="35"/>
      <c r="L716" s="35"/>
      <c r="M716" s="35"/>
      <c r="N716" s="35"/>
      <c r="O716" s="23"/>
      <c r="P716" s="35"/>
      <c r="Q716" s="188"/>
      <c r="R716" s="35"/>
      <c r="S716" s="35"/>
      <c r="T716" s="35"/>
    </row>
    <row r="717" spans="1:20" ht="29.25" customHeight="1" x14ac:dyDescent="0.2">
      <c r="A717" s="187"/>
      <c r="B717" s="35"/>
      <c r="C717" s="23"/>
      <c r="D717" s="35"/>
      <c r="E717" s="35"/>
      <c r="F717" s="35"/>
      <c r="G717" s="28"/>
      <c r="H717" s="35"/>
      <c r="I717" s="35"/>
      <c r="J717" s="35"/>
      <c r="K717" s="35"/>
      <c r="L717" s="35"/>
      <c r="M717" s="35"/>
      <c r="N717" s="35"/>
      <c r="O717" s="23"/>
      <c r="P717" s="35"/>
      <c r="Q717" s="188"/>
      <c r="R717" s="35"/>
      <c r="S717" s="35"/>
      <c r="T717" s="35"/>
    </row>
    <row r="718" spans="1:20" ht="29.25" customHeight="1" x14ac:dyDescent="0.2">
      <c r="A718" s="187"/>
      <c r="B718" s="35"/>
      <c r="C718" s="23"/>
      <c r="D718" s="35"/>
      <c r="E718" s="35"/>
      <c r="F718" s="35"/>
      <c r="G718" s="28"/>
      <c r="H718" s="35"/>
      <c r="I718" s="35"/>
      <c r="J718" s="35"/>
      <c r="K718" s="35"/>
      <c r="L718" s="35"/>
      <c r="M718" s="35"/>
      <c r="N718" s="35"/>
      <c r="O718" s="23"/>
      <c r="P718" s="35"/>
      <c r="Q718" s="188"/>
      <c r="R718" s="35"/>
      <c r="S718" s="35"/>
      <c r="T718" s="35"/>
    </row>
    <row r="719" spans="1:20" ht="29.25" customHeight="1" x14ac:dyDescent="0.2">
      <c r="A719" s="187"/>
      <c r="B719" s="35"/>
      <c r="C719" s="23"/>
      <c r="D719" s="35"/>
      <c r="E719" s="35"/>
      <c r="F719" s="35"/>
      <c r="G719" s="28"/>
      <c r="H719" s="35"/>
      <c r="I719" s="35"/>
      <c r="J719" s="35"/>
      <c r="K719" s="35"/>
      <c r="L719" s="35"/>
      <c r="M719" s="35"/>
      <c r="N719" s="35"/>
      <c r="O719" s="23"/>
      <c r="P719" s="35"/>
      <c r="Q719" s="188"/>
      <c r="R719" s="35"/>
      <c r="S719" s="35"/>
      <c r="T719" s="35"/>
    </row>
    <row r="720" spans="1:20" ht="29.25" customHeight="1" x14ac:dyDescent="0.2">
      <c r="A720" s="187"/>
      <c r="B720" s="35"/>
      <c r="C720" s="23"/>
      <c r="D720" s="35"/>
      <c r="E720" s="35"/>
      <c r="F720" s="35"/>
      <c r="G720" s="28"/>
      <c r="H720" s="35"/>
      <c r="I720" s="35"/>
      <c r="J720" s="35"/>
      <c r="K720" s="35"/>
      <c r="L720" s="35"/>
      <c r="M720" s="35"/>
      <c r="N720" s="35"/>
      <c r="O720" s="23"/>
      <c r="P720" s="35"/>
      <c r="Q720" s="188"/>
      <c r="R720" s="35"/>
      <c r="S720" s="35"/>
      <c r="T720" s="35"/>
    </row>
    <row r="721" spans="1:20" ht="29.25" customHeight="1" x14ac:dyDescent="0.2">
      <c r="A721" s="187"/>
      <c r="B721" s="35"/>
      <c r="C721" s="23"/>
      <c r="D721" s="35"/>
      <c r="E721" s="35"/>
      <c r="F721" s="35"/>
      <c r="G721" s="28"/>
      <c r="H721" s="35"/>
      <c r="I721" s="35"/>
      <c r="J721" s="35"/>
      <c r="K721" s="35"/>
      <c r="L721" s="35"/>
      <c r="M721" s="35"/>
      <c r="N721" s="35"/>
      <c r="O721" s="23"/>
      <c r="P721" s="35"/>
      <c r="Q721" s="188"/>
      <c r="R721" s="35"/>
      <c r="S721" s="35"/>
      <c r="T721" s="35"/>
    </row>
    <row r="722" spans="1:20" ht="29.25" customHeight="1" x14ac:dyDescent="0.2">
      <c r="A722" s="187"/>
      <c r="B722" s="35"/>
      <c r="C722" s="23"/>
      <c r="D722" s="35"/>
      <c r="E722" s="35"/>
      <c r="F722" s="35"/>
      <c r="G722" s="28"/>
      <c r="H722" s="35"/>
      <c r="I722" s="35"/>
      <c r="J722" s="35"/>
      <c r="K722" s="35"/>
      <c r="L722" s="35"/>
      <c r="M722" s="35"/>
      <c r="N722" s="35"/>
      <c r="O722" s="23"/>
      <c r="P722" s="35"/>
      <c r="Q722" s="188"/>
      <c r="R722" s="35"/>
      <c r="S722" s="35"/>
      <c r="T722" s="35"/>
    </row>
    <row r="723" spans="1:20" ht="29.25" customHeight="1" x14ac:dyDescent="0.2">
      <c r="A723" s="187"/>
      <c r="B723" s="35"/>
      <c r="C723" s="23"/>
      <c r="D723" s="35"/>
      <c r="E723" s="35"/>
      <c r="F723" s="35"/>
      <c r="G723" s="28"/>
      <c r="H723" s="35"/>
      <c r="I723" s="35"/>
      <c r="J723" s="35"/>
      <c r="K723" s="35"/>
      <c r="L723" s="35"/>
      <c r="M723" s="35"/>
      <c r="N723" s="35"/>
      <c r="O723" s="23"/>
      <c r="P723" s="35"/>
      <c r="Q723" s="188"/>
      <c r="R723" s="35"/>
      <c r="S723" s="35"/>
      <c r="T723" s="35"/>
    </row>
    <row r="724" spans="1:20" ht="29.25" customHeight="1" x14ac:dyDescent="0.2">
      <c r="A724" s="187"/>
      <c r="B724" s="35"/>
      <c r="C724" s="23"/>
      <c r="D724" s="35"/>
      <c r="E724" s="35"/>
      <c r="F724" s="35"/>
      <c r="G724" s="28"/>
      <c r="H724" s="35"/>
      <c r="I724" s="35"/>
      <c r="J724" s="35"/>
      <c r="K724" s="35"/>
      <c r="L724" s="35"/>
      <c r="M724" s="35"/>
      <c r="N724" s="35"/>
      <c r="O724" s="23"/>
      <c r="P724" s="35"/>
      <c r="Q724" s="188"/>
      <c r="R724" s="35"/>
      <c r="S724" s="35"/>
      <c r="T724" s="35"/>
    </row>
    <row r="725" spans="1:20" ht="29.25" customHeight="1" x14ac:dyDescent="0.2">
      <c r="A725" s="187"/>
      <c r="B725" s="35"/>
      <c r="C725" s="23"/>
      <c r="D725" s="35"/>
      <c r="E725" s="35"/>
      <c r="F725" s="35"/>
      <c r="G725" s="28"/>
      <c r="H725" s="35"/>
      <c r="I725" s="35"/>
      <c r="J725" s="35"/>
      <c r="K725" s="35"/>
      <c r="L725" s="35"/>
      <c r="M725" s="35"/>
      <c r="N725" s="35"/>
      <c r="O725" s="23"/>
      <c r="P725" s="35"/>
      <c r="Q725" s="188"/>
      <c r="R725" s="35"/>
      <c r="S725" s="35"/>
      <c r="T725" s="35"/>
    </row>
    <row r="726" spans="1:20" ht="29.25" customHeight="1" x14ac:dyDescent="0.2">
      <c r="A726" s="187"/>
      <c r="B726" s="35"/>
      <c r="C726" s="23"/>
      <c r="D726" s="35"/>
      <c r="E726" s="35"/>
      <c r="F726" s="35"/>
      <c r="G726" s="28"/>
      <c r="H726" s="35"/>
      <c r="I726" s="35"/>
      <c r="J726" s="35"/>
      <c r="K726" s="35"/>
      <c r="L726" s="35"/>
      <c r="M726" s="35"/>
      <c r="N726" s="35"/>
      <c r="O726" s="23"/>
      <c r="P726" s="35"/>
      <c r="Q726" s="188"/>
      <c r="R726" s="35"/>
      <c r="S726" s="35"/>
      <c r="T726" s="35"/>
    </row>
    <row r="727" spans="1:20" ht="29.25" customHeight="1" x14ac:dyDescent="0.2">
      <c r="A727" s="187"/>
      <c r="B727" s="35"/>
      <c r="C727" s="23"/>
      <c r="D727" s="35"/>
      <c r="E727" s="35"/>
      <c r="F727" s="35"/>
      <c r="G727" s="28"/>
      <c r="H727" s="35"/>
      <c r="I727" s="35"/>
      <c r="J727" s="35"/>
      <c r="K727" s="35"/>
      <c r="L727" s="35"/>
      <c r="M727" s="35"/>
      <c r="N727" s="35"/>
      <c r="O727" s="23"/>
      <c r="P727" s="35"/>
      <c r="Q727" s="188"/>
      <c r="R727" s="35"/>
      <c r="S727" s="35"/>
      <c r="T727" s="35"/>
    </row>
    <row r="728" spans="1:20" ht="29.25" customHeight="1" x14ac:dyDescent="0.2">
      <c r="A728" s="187"/>
      <c r="B728" s="35"/>
      <c r="C728" s="23"/>
      <c r="D728" s="35"/>
      <c r="E728" s="35"/>
      <c r="F728" s="35"/>
      <c r="G728" s="28"/>
      <c r="H728" s="35"/>
      <c r="I728" s="35"/>
      <c r="J728" s="35"/>
      <c r="K728" s="35"/>
      <c r="L728" s="35"/>
      <c r="M728" s="35"/>
      <c r="N728" s="35"/>
      <c r="O728" s="23"/>
      <c r="P728" s="35"/>
      <c r="Q728" s="188"/>
      <c r="R728" s="35"/>
      <c r="S728" s="35"/>
      <c r="T728" s="35"/>
    </row>
    <row r="729" spans="1:20" ht="29.25" customHeight="1" x14ac:dyDescent="0.2">
      <c r="A729" s="187"/>
      <c r="B729" s="35"/>
      <c r="C729" s="23"/>
      <c r="D729" s="35"/>
      <c r="E729" s="35"/>
      <c r="F729" s="35"/>
      <c r="G729" s="28"/>
      <c r="H729" s="35"/>
      <c r="I729" s="35"/>
      <c r="J729" s="35"/>
      <c r="K729" s="35"/>
      <c r="L729" s="35"/>
      <c r="M729" s="35"/>
      <c r="N729" s="35"/>
      <c r="O729" s="23"/>
      <c r="P729" s="35"/>
      <c r="Q729" s="188"/>
      <c r="R729" s="35"/>
      <c r="S729" s="35"/>
      <c r="T729" s="35"/>
    </row>
    <row r="730" spans="1:20" ht="29.25" customHeight="1" x14ac:dyDescent="0.2">
      <c r="A730" s="187"/>
      <c r="B730" s="35"/>
      <c r="C730" s="23"/>
      <c r="D730" s="35"/>
      <c r="E730" s="35"/>
      <c r="F730" s="35"/>
      <c r="G730" s="28"/>
      <c r="H730" s="35"/>
      <c r="I730" s="35"/>
      <c r="J730" s="35"/>
      <c r="K730" s="35"/>
      <c r="L730" s="35"/>
      <c r="M730" s="35"/>
      <c r="N730" s="35"/>
      <c r="O730" s="23"/>
      <c r="P730" s="35"/>
      <c r="Q730" s="188"/>
      <c r="R730" s="35"/>
      <c r="S730" s="35"/>
      <c r="T730" s="35"/>
    </row>
    <row r="731" spans="1:20" ht="29.25" customHeight="1" x14ac:dyDescent="0.2">
      <c r="A731" s="187"/>
      <c r="B731" s="35"/>
      <c r="C731" s="23"/>
      <c r="D731" s="35"/>
      <c r="E731" s="35"/>
      <c r="F731" s="35"/>
      <c r="G731" s="28"/>
      <c r="H731" s="35"/>
      <c r="I731" s="35"/>
      <c r="J731" s="35"/>
      <c r="K731" s="35"/>
      <c r="L731" s="35"/>
      <c r="M731" s="35"/>
      <c r="N731" s="35"/>
      <c r="O731" s="23"/>
      <c r="P731" s="35"/>
      <c r="Q731" s="188"/>
      <c r="R731" s="35"/>
      <c r="S731" s="35"/>
      <c r="T731" s="35"/>
    </row>
    <row r="732" spans="1:20" ht="29.25" customHeight="1" x14ac:dyDescent="0.2">
      <c r="A732" s="187"/>
      <c r="B732" s="35"/>
      <c r="C732" s="23"/>
      <c r="D732" s="35"/>
      <c r="E732" s="35"/>
      <c r="F732" s="35"/>
      <c r="G732" s="28"/>
      <c r="H732" s="35"/>
      <c r="I732" s="35"/>
      <c r="J732" s="35"/>
      <c r="K732" s="35"/>
      <c r="L732" s="35"/>
      <c r="M732" s="35"/>
      <c r="N732" s="35"/>
      <c r="O732" s="23"/>
      <c r="P732" s="35"/>
      <c r="Q732" s="188"/>
      <c r="R732" s="35"/>
      <c r="S732" s="35"/>
      <c r="T732" s="35"/>
    </row>
    <row r="733" spans="1:20" ht="29.25" customHeight="1" x14ac:dyDescent="0.2">
      <c r="A733" s="187"/>
      <c r="B733" s="35"/>
      <c r="C733" s="23"/>
      <c r="D733" s="35"/>
      <c r="E733" s="35"/>
      <c r="F733" s="35"/>
      <c r="G733" s="28"/>
      <c r="H733" s="35"/>
      <c r="I733" s="35"/>
      <c r="J733" s="35"/>
      <c r="K733" s="35"/>
      <c r="L733" s="35"/>
      <c r="M733" s="35"/>
      <c r="N733" s="35"/>
      <c r="O733" s="23"/>
      <c r="P733" s="35"/>
      <c r="Q733" s="188"/>
      <c r="R733" s="35"/>
      <c r="S733" s="35"/>
      <c r="T733" s="35"/>
    </row>
    <row r="734" spans="1:20" ht="29.25" customHeight="1" x14ac:dyDescent="0.2">
      <c r="A734" s="187"/>
      <c r="B734" s="35"/>
      <c r="C734" s="23"/>
      <c r="D734" s="35"/>
      <c r="E734" s="35"/>
      <c r="F734" s="35"/>
      <c r="G734" s="28"/>
      <c r="H734" s="35"/>
      <c r="I734" s="35"/>
      <c r="J734" s="35"/>
      <c r="K734" s="35"/>
      <c r="L734" s="35"/>
      <c r="M734" s="35"/>
      <c r="N734" s="35"/>
      <c r="O734" s="23"/>
      <c r="P734" s="35"/>
      <c r="Q734" s="188"/>
      <c r="R734" s="35"/>
      <c r="S734" s="35"/>
      <c r="T734" s="35"/>
    </row>
    <row r="735" spans="1:20" ht="29.25" customHeight="1" x14ac:dyDescent="0.2">
      <c r="A735" s="187"/>
      <c r="B735" s="35"/>
      <c r="C735" s="23"/>
      <c r="D735" s="35"/>
      <c r="E735" s="35"/>
      <c r="F735" s="35"/>
      <c r="G735" s="28"/>
      <c r="H735" s="35"/>
      <c r="I735" s="35"/>
      <c r="J735" s="35"/>
      <c r="K735" s="35"/>
      <c r="L735" s="35"/>
      <c r="M735" s="35"/>
      <c r="N735" s="35"/>
      <c r="O735" s="23"/>
      <c r="P735" s="35"/>
      <c r="Q735" s="188"/>
      <c r="R735" s="35"/>
      <c r="S735" s="35"/>
      <c r="T735" s="35"/>
    </row>
    <row r="736" spans="1:20" ht="29.25" customHeight="1" x14ac:dyDescent="0.2">
      <c r="A736" s="187"/>
      <c r="B736" s="35"/>
      <c r="C736" s="23"/>
      <c r="D736" s="35"/>
      <c r="E736" s="35"/>
      <c r="F736" s="35"/>
      <c r="G736" s="28"/>
      <c r="H736" s="35"/>
      <c r="I736" s="35"/>
      <c r="J736" s="35"/>
      <c r="K736" s="35"/>
      <c r="L736" s="35"/>
      <c r="M736" s="35"/>
      <c r="N736" s="35"/>
      <c r="O736" s="23"/>
      <c r="P736" s="35"/>
      <c r="Q736" s="188"/>
      <c r="R736" s="35"/>
      <c r="S736" s="35"/>
      <c r="T736" s="35"/>
    </row>
    <row r="737" spans="1:20" ht="29.25" customHeight="1" x14ac:dyDescent="0.2">
      <c r="A737" s="187"/>
      <c r="B737" s="35"/>
      <c r="C737" s="23"/>
      <c r="D737" s="35"/>
      <c r="E737" s="35"/>
      <c r="F737" s="35"/>
      <c r="G737" s="28"/>
      <c r="H737" s="35"/>
      <c r="I737" s="35"/>
      <c r="J737" s="35"/>
      <c r="K737" s="35"/>
      <c r="L737" s="35"/>
      <c r="M737" s="35"/>
      <c r="N737" s="35"/>
      <c r="O737" s="23"/>
      <c r="P737" s="35"/>
      <c r="Q737" s="188"/>
      <c r="R737" s="35"/>
      <c r="S737" s="35"/>
      <c r="T737" s="35"/>
    </row>
    <row r="738" spans="1:20" ht="29.25" customHeight="1" x14ac:dyDescent="0.2">
      <c r="A738" s="187"/>
      <c r="B738" s="35"/>
      <c r="C738" s="23"/>
      <c r="D738" s="35"/>
      <c r="E738" s="35"/>
      <c r="F738" s="35"/>
      <c r="G738" s="28"/>
      <c r="H738" s="35"/>
      <c r="I738" s="35"/>
      <c r="J738" s="35"/>
      <c r="K738" s="35"/>
      <c r="L738" s="35"/>
      <c r="M738" s="35"/>
      <c r="N738" s="35"/>
      <c r="O738" s="23"/>
      <c r="P738" s="35"/>
      <c r="Q738" s="188"/>
      <c r="R738" s="35"/>
      <c r="S738" s="35"/>
      <c r="T738" s="35"/>
    </row>
    <row r="739" spans="1:20" ht="29.25" customHeight="1" x14ac:dyDescent="0.2">
      <c r="A739" s="187"/>
      <c r="B739" s="35"/>
      <c r="C739" s="23"/>
      <c r="D739" s="35"/>
      <c r="E739" s="35"/>
      <c r="F739" s="35"/>
      <c r="G739" s="28"/>
      <c r="H739" s="35"/>
      <c r="I739" s="35"/>
      <c r="J739" s="35"/>
      <c r="K739" s="35"/>
      <c r="L739" s="35"/>
      <c r="M739" s="35"/>
      <c r="N739" s="35"/>
      <c r="O739" s="23"/>
      <c r="P739" s="35"/>
      <c r="Q739" s="188"/>
      <c r="R739" s="35"/>
      <c r="S739" s="35"/>
      <c r="T739" s="35"/>
    </row>
    <row r="740" spans="1:20" ht="29.25" customHeight="1" x14ac:dyDescent="0.2">
      <c r="A740" s="187"/>
      <c r="B740" s="35"/>
      <c r="C740" s="23"/>
      <c r="D740" s="35"/>
      <c r="E740" s="35"/>
      <c r="F740" s="35"/>
      <c r="G740" s="28"/>
      <c r="H740" s="35"/>
      <c r="I740" s="35"/>
      <c r="J740" s="35"/>
      <c r="K740" s="35"/>
      <c r="L740" s="35"/>
      <c r="M740" s="35"/>
      <c r="N740" s="35"/>
      <c r="O740" s="23"/>
      <c r="P740" s="35"/>
      <c r="Q740" s="188"/>
      <c r="R740" s="35"/>
      <c r="S740" s="35"/>
      <c r="T740" s="35"/>
    </row>
    <row r="741" spans="1:20" ht="29.25" customHeight="1" x14ac:dyDescent="0.2">
      <c r="A741" s="187"/>
      <c r="B741" s="35"/>
      <c r="C741" s="23"/>
      <c r="D741" s="35"/>
      <c r="E741" s="35"/>
      <c r="F741" s="35"/>
      <c r="G741" s="28"/>
      <c r="H741" s="35"/>
      <c r="I741" s="35"/>
      <c r="J741" s="35"/>
      <c r="K741" s="35"/>
      <c r="L741" s="35"/>
      <c r="M741" s="35"/>
      <c r="N741" s="35"/>
      <c r="O741" s="23"/>
      <c r="P741" s="35"/>
      <c r="Q741" s="188"/>
      <c r="R741" s="35"/>
      <c r="S741" s="35"/>
      <c r="T741" s="35"/>
    </row>
    <row r="742" spans="1:20" ht="29.25" customHeight="1" x14ac:dyDescent="0.2">
      <c r="A742" s="187"/>
      <c r="B742" s="35"/>
      <c r="C742" s="23"/>
      <c r="D742" s="35"/>
      <c r="E742" s="35"/>
      <c r="F742" s="35"/>
      <c r="G742" s="28"/>
      <c r="H742" s="35"/>
      <c r="I742" s="35"/>
      <c r="J742" s="35"/>
      <c r="K742" s="35"/>
      <c r="L742" s="35"/>
      <c r="M742" s="35"/>
      <c r="N742" s="35"/>
      <c r="O742" s="23"/>
      <c r="P742" s="35"/>
      <c r="Q742" s="188"/>
      <c r="R742" s="35"/>
      <c r="S742" s="35"/>
      <c r="T742" s="35"/>
    </row>
    <row r="743" spans="1:20" ht="29.25" customHeight="1" x14ac:dyDescent="0.2">
      <c r="A743" s="187"/>
      <c r="B743" s="35"/>
      <c r="C743" s="23"/>
      <c r="D743" s="35"/>
      <c r="E743" s="35"/>
      <c r="F743" s="35"/>
      <c r="G743" s="28"/>
      <c r="H743" s="35"/>
      <c r="I743" s="35"/>
      <c r="J743" s="35"/>
      <c r="K743" s="35"/>
      <c r="L743" s="35"/>
      <c r="M743" s="35"/>
      <c r="N743" s="35"/>
      <c r="O743" s="23"/>
      <c r="P743" s="35"/>
      <c r="Q743" s="188"/>
      <c r="R743" s="35"/>
      <c r="S743" s="35"/>
      <c r="T743" s="35"/>
    </row>
    <row r="744" spans="1:20" ht="29.25" customHeight="1" x14ac:dyDescent="0.2">
      <c r="A744" s="187"/>
      <c r="B744" s="35"/>
      <c r="C744" s="23"/>
      <c r="D744" s="35"/>
      <c r="E744" s="35"/>
      <c r="F744" s="35"/>
      <c r="G744" s="28"/>
      <c r="H744" s="35"/>
      <c r="I744" s="35"/>
      <c r="J744" s="35"/>
      <c r="K744" s="35"/>
      <c r="L744" s="35"/>
      <c r="M744" s="35"/>
      <c r="N744" s="35"/>
      <c r="O744" s="23"/>
      <c r="P744" s="35"/>
      <c r="Q744" s="188"/>
      <c r="R744" s="35"/>
      <c r="S744" s="35"/>
      <c r="T744" s="35"/>
    </row>
    <row r="745" spans="1:20" ht="29.25" customHeight="1" x14ac:dyDescent="0.2">
      <c r="A745" s="187"/>
      <c r="B745" s="35"/>
      <c r="C745" s="23"/>
      <c r="D745" s="35"/>
      <c r="E745" s="35"/>
      <c r="F745" s="35"/>
      <c r="G745" s="28"/>
      <c r="H745" s="35"/>
      <c r="I745" s="35"/>
      <c r="J745" s="35"/>
      <c r="K745" s="35"/>
      <c r="L745" s="35"/>
      <c r="M745" s="35"/>
      <c r="N745" s="35"/>
      <c r="O745" s="23"/>
      <c r="P745" s="35"/>
      <c r="Q745" s="188"/>
      <c r="R745" s="35"/>
      <c r="S745" s="35"/>
      <c r="T745" s="35"/>
    </row>
    <row r="746" spans="1:20" ht="29.25" customHeight="1" x14ac:dyDescent="0.2">
      <c r="A746" s="187"/>
      <c r="B746" s="35"/>
      <c r="C746" s="23"/>
      <c r="D746" s="35"/>
      <c r="E746" s="35"/>
      <c r="F746" s="35"/>
      <c r="G746" s="28"/>
      <c r="H746" s="35"/>
      <c r="I746" s="35"/>
      <c r="J746" s="35"/>
      <c r="K746" s="35"/>
      <c r="L746" s="35"/>
      <c r="M746" s="35"/>
      <c r="N746" s="35"/>
      <c r="O746" s="23"/>
      <c r="P746" s="35"/>
      <c r="Q746" s="188"/>
      <c r="R746" s="35"/>
      <c r="S746" s="35"/>
      <c r="T746" s="35"/>
    </row>
    <row r="747" spans="1:20" ht="29.25" customHeight="1" x14ac:dyDescent="0.2">
      <c r="A747" s="187"/>
      <c r="B747" s="35"/>
      <c r="C747" s="23"/>
      <c r="D747" s="35"/>
      <c r="E747" s="35"/>
      <c r="F747" s="35"/>
      <c r="G747" s="28"/>
      <c r="H747" s="35"/>
      <c r="I747" s="35"/>
      <c r="J747" s="35"/>
      <c r="K747" s="35"/>
      <c r="L747" s="35"/>
      <c r="M747" s="35"/>
      <c r="N747" s="35"/>
      <c r="O747" s="23"/>
      <c r="P747" s="35"/>
      <c r="Q747" s="188"/>
      <c r="R747" s="35"/>
      <c r="S747" s="35"/>
      <c r="T747" s="35"/>
    </row>
    <row r="748" spans="1:20" ht="29.25" customHeight="1" x14ac:dyDescent="0.2">
      <c r="A748" s="187"/>
      <c r="B748" s="35"/>
      <c r="C748" s="23"/>
      <c r="D748" s="35"/>
      <c r="E748" s="35"/>
      <c r="F748" s="35"/>
      <c r="G748" s="28"/>
      <c r="H748" s="35"/>
      <c r="I748" s="35"/>
      <c r="J748" s="35"/>
      <c r="K748" s="35"/>
      <c r="L748" s="35"/>
      <c r="M748" s="35"/>
      <c r="N748" s="35"/>
      <c r="O748" s="23"/>
      <c r="P748" s="35"/>
      <c r="Q748" s="188"/>
      <c r="R748" s="35"/>
      <c r="S748" s="35"/>
      <c r="T748" s="35"/>
    </row>
    <row r="749" spans="1:20" ht="29.25" customHeight="1" x14ac:dyDescent="0.2">
      <c r="A749" s="187"/>
      <c r="B749" s="35"/>
      <c r="C749" s="23"/>
      <c r="D749" s="35"/>
      <c r="E749" s="35"/>
      <c r="F749" s="35"/>
      <c r="G749" s="28"/>
      <c r="H749" s="35"/>
      <c r="I749" s="35"/>
      <c r="J749" s="35"/>
      <c r="K749" s="35"/>
      <c r="L749" s="35"/>
      <c r="M749" s="35"/>
      <c r="N749" s="35"/>
      <c r="O749" s="23"/>
      <c r="P749" s="35"/>
      <c r="Q749" s="188"/>
      <c r="R749" s="35"/>
      <c r="S749" s="35"/>
      <c r="T749" s="35"/>
    </row>
    <row r="750" spans="1:20" ht="29.25" customHeight="1" x14ac:dyDescent="0.2">
      <c r="A750" s="187"/>
      <c r="B750" s="35"/>
      <c r="C750" s="23"/>
      <c r="D750" s="35"/>
      <c r="E750" s="35"/>
      <c r="F750" s="35"/>
      <c r="G750" s="28"/>
      <c r="H750" s="35"/>
      <c r="I750" s="35"/>
      <c r="J750" s="35"/>
      <c r="K750" s="35"/>
      <c r="L750" s="35"/>
      <c r="M750" s="35"/>
      <c r="N750" s="35"/>
      <c r="O750" s="23"/>
      <c r="P750" s="35"/>
      <c r="Q750" s="188"/>
      <c r="R750" s="35"/>
      <c r="S750" s="35"/>
      <c r="T750" s="35"/>
    </row>
    <row r="751" spans="1:20" ht="29.25" customHeight="1" x14ac:dyDescent="0.2">
      <c r="A751" s="187"/>
      <c r="B751" s="35"/>
      <c r="C751" s="23"/>
      <c r="D751" s="35"/>
      <c r="E751" s="35"/>
      <c r="F751" s="35"/>
      <c r="G751" s="28"/>
      <c r="H751" s="35"/>
      <c r="I751" s="35"/>
      <c r="J751" s="35"/>
      <c r="K751" s="35"/>
      <c r="L751" s="35"/>
      <c r="M751" s="35"/>
      <c r="N751" s="35"/>
      <c r="O751" s="23"/>
      <c r="P751" s="35"/>
      <c r="Q751" s="188"/>
      <c r="R751" s="35"/>
      <c r="S751" s="35"/>
      <c r="T751" s="35"/>
    </row>
    <row r="752" spans="1:20" ht="29.25" customHeight="1" x14ac:dyDescent="0.2">
      <c r="A752" s="187"/>
      <c r="B752" s="35"/>
      <c r="C752" s="23"/>
      <c r="D752" s="35"/>
      <c r="E752" s="35"/>
      <c r="F752" s="35"/>
      <c r="G752" s="28"/>
      <c r="H752" s="35"/>
      <c r="I752" s="35"/>
      <c r="J752" s="35"/>
      <c r="K752" s="35"/>
      <c r="L752" s="35"/>
      <c r="M752" s="35"/>
      <c r="N752" s="35"/>
      <c r="O752" s="23"/>
      <c r="P752" s="35"/>
      <c r="Q752" s="188"/>
      <c r="R752" s="35"/>
      <c r="S752" s="35"/>
      <c r="T752" s="35"/>
    </row>
    <row r="753" spans="1:20" ht="29.25" customHeight="1" x14ac:dyDescent="0.2">
      <c r="A753" s="187"/>
      <c r="B753" s="35"/>
      <c r="C753" s="23"/>
      <c r="D753" s="35"/>
      <c r="E753" s="35"/>
      <c r="F753" s="35"/>
      <c r="G753" s="28"/>
      <c r="H753" s="35"/>
      <c r="I753" s="35"/>
      <c r="J753" s="35"/>
      <c r="K753" s="35"/>
      <c r="L753" s="35"/>
      <c r="M753" s="35"/>
      <c r="N753" s="35"/>
      <c r="O753" s="23"/>
      <c r="P753" s="35"/>
      <c r="Q753" s="188"/>
      <c r="R753" s="35"/>
      <c r="S753" s="35"/>
      <c r="T753" s="35"/>
    </row>
    <row r="754" spans="1:20" ht="29.25" customHeight="1" x14ac:dyDescent="0.2">
      <c r="A754" s="187"/>
      <c r="B754" s="35"/>
      <c r="C754" s="23"/>
      <c r="D754" s="35"/>
      <c r="E754" s="35"/>
      <c r="F754" s="35"/>
      <c r="G754" s="28"/>
      <c r="H754" s="35"/>
      <c r="I754" s="35"/>
      <c r="J754" s="35"/>
      <c r="K754" s="35"/>
      <c r="L754" s="35"/>
      <c r="M754" s="35"/>
      <c r="N754" s="35"/>
      <c r="O754" s="23"/>
      <c r="P754" s="35"/>
      <c r="Q754" s="188"/>
      <c r="R754" s="35"/>
      <c r="S754" s="35"/>
      <c r="T754" s="35"/>
    </row>
    <row r="755" spans="1:20" ht="29.25" customHeight="1" x14ac:dyDescent="0.2">
      <c r="A755" s="187"/>
      <c r="B755" s="35"/>
      <c r="C755" s="23"/>
      <c r="D755" s="35"/>
      <c r="E755" s="35"/>
      <c r="F755" s="35"/>
      <c r="G755" s="28"/>
      <c r="H755" s="35"/>
      <c r="I755" s="35"/>
      <c r="J755" s="35"/>
      <c r="K755" s="35"/>
      <c r="L755" s="35"/>
      <c r="M755" s="35"/>
      <c r="N755" s="35"/>
      <c r="O755" s="23"/>
      <c r="P755" s="35"/>
      <c r="Q755" s="188"/>
      <c r="R755" s="35"/>
      <c r="S755" s="35"/>
      <c r="T755" s="35"/>
    </row>
    <row r="756" spans="1:20" ht="29.25" customHeight="1" x14ac:dyDescent="0.2">
      <c r="A756" s="187"/>
      <c r="B756" s="35"/>
      <c r="C756" s="23"/>
      <c r="D756" s="35"/>
      <c r="E756" s="35"/>
      <c r="F756" s="35"/>
      <c r="G756" s="28"/>
      <c r="H756" s="35"/>
      <c r="I756" s="35"/>
      <c r="J756" s="35"/>
      <c r="K756" s="35"/>
      <c r="L756" s="35"/>
      <c r="M756" s="35"/>
      <c r="N756" s="35"/>
      <c r="O756" s="23"/>
      <c r="P756" s="35"/>
      <c r="Q756" s="188"/>
      <c r="R756" s="35"/>
      <c r="S756" s="35"/>
      <c r="T756" s="35"/>
    </row>
    <row r="757" spans="1:20" ht="29.25" customHeight="1" x14ac:dyDescent="0.2">
      <c r="A757" s="187"/>
      <c r="B757" s="35"/>
      <c r="C757" s="23"/>
      <c r="D757" s="35"/>
      <c r="E757" s="35"/>
      <c r="F757" s="35"/>
      <c r="G757" s="28"/>
      <c r="H757" s="35"/>
      <c r="I757" s="35"/>
      <c r="J757" s="35"/>
      <c r="K757" s="35"/>
      <c r="L757" s="35"/>
      <c r="M757" s="35"/>
      <c r="N757" s="35"/>
      <c r="O757" s="23"/>
      <c r="P757" s="35"/>
      <c r="Q757" s="188"/>
      <c r="R757" s="35"/>
      <c r="S757" s="35"/>
      <c r="T757" s="35"/>
    </row>
    <row r="758" spans="1:20" ht="29.25" customHeight="1" x14ac:dyDescent="0.2">
      <c r="A758" s="187"/>
      <c r="B758" s="35"/>
      <c r="C758" s="23"/>
      <c r="D758" s="35"/>
      <c r="E758" s="35"/>
      <c r="F758" s="35"/>
      <c r="G758" s="28"/>
      <c r="H758" s="35"/>
      <c r="I758" s="35"/>
      <c r="J758" s="35"/>
      <c r="K758" s="35"/>
      <c r="L758" s="35"/>
      <c r="M758" s="35"/>
      <c r="N758" s="35"/>
      <c r="O758" s="23"/>
      <c r="P758" s="35"/>
      <c r="Q758" s="188"/>
      <c r="R758" s="35"/>
      <c r="S758" s="35"/>
      <c r="T758" s="35"/>
    </row>
    <row r="759" spans="1:20" ht="29.25" customHeight="1" x14ac:dyDescent="0.2">
      <c r="A759" s="187"/>
      <c r="B759" s="35"/>
      <c r="C759" s="23"/>
      <c r="D759" s="35"/>
      <c r="E759" s="35"/>
      <c r="F759" s="35"/>
      <c r="G759" s="28"/>
      <c r="H759" s="35"/>
      <c r="I759" s="35"/>
      <c r="J759" s="35"/>
      <c r="K759" s="35"/>
      <c r="L759" s="35"/>
      <c r="M759" s="35"/>
      <c r="N759" s="35"/>
      <c r="O759" s="23"/>
      <c r="P759" s="35"/>
      <c r="Q759" s="188"/>
      <c r="R759" s="35"/>
      <c r="S759" s="35"/>
      <c r="T759" s="35"/>
    </row>
    <row r="760" spans="1:20" ht="29.25" customHeight="1" x14ac:dyDescent="0.2">
      <c r="A760" s="187"/>
      <c r="B760" s="35"/>
      <c r="C760" s="23"/>
      <c r="D760" s="35"/>
      <c r="E760" s="35"/>
      <c r="F760" s="35"/>
      <c r="G760" s="28"/>
      <c r="H760" s="35"/>
      <c r="I760" s="35"/>
      <c r="J760" s="35"/>
      <c r="K760" s="35"/>
      <c r="L760" s="35"/>
      <c r="M760" s="35"/>
      <c r="N760" s="35"/>
      <c r="O760" s="23"/>
      <c r="P760" s="35"/>
      <c r="Q760" s="188"/>
      <c r="R760" s="35"/>
      <c r="S760" s="35"/>
      <c r="T760" s="35"/>
    </row>
    <row r="761" spans="1:20" ht="29.25" customHeight="1" x14ac:dyDescent="0.2">
      <c r="A761" s="187"/>
      <c r="B761" s="35"/>
      <c r="C761" s="23"/>
      <c r="D761" s="35"/>
      <c r="E761" s="35"/>
      <c r="F761" s="35"/>
      <c r="G761" s="28"/>
      <c r="H761" s="35"/>
      <c r="I761" s="35"/>
      <c r="J761" s="35"/>
      <c r="K761" s="35"/>
      <c r="L761" s="35"/>
      <c r="M761" s="35"/>
      <c r="N761" s="35"/>
      <c r="O761" s="23"/>
      <c r="P761" s="35"/>
      <c r="Q761" s="188"/>
      <c r="R761" s="35"/>
      <c r="S761" s="35"/>
      <c r="T761" s="35"/>
    </row>
    <row r="762" spans="1:20" ht="29.25" customHeight="1" x14ac:dyDescent="0.2">
      <c r="A762" s="187"/>
      <c r="B762" s="35"/>
      <c r="C762" s="23"/>
      <c r="D762" s="35"/>
      <c r="E762" s="35"/>
      <c r="F762" s="35"/>
      <c r="G762" s="28"/>
      <c r="H762" s="35"/>
      <c r="I762" s="35"/>
      <c r="J762" s="35"/>
      <c r="K762" s="35"/>
      <c r="L762" s="35"/>
      <c r="M762" s="35"/>
      <c r="N762" s="35"/>
      <c r="O762" s="23"/>
      <c r="P762" s="35"/>
      <c r="Q762" s="188"/>
      <c r="R762" s="35"/>
      <c r="S762" s="35"/>
      <c r="T762" s="35"/>
    </row>
    <row r="763" spans="1:20" ht="29.25" customHeight="1" x14ac:dyDescent="0.2">
      <c r="A763" s="187"/>
      <c r="B763" s="35"/>
      <c r="C763" s="23"/>
      <c r="D763" s="35"/>
      <c r="E763" s="35"/>
      <c r="F763" s="35"/>
      <c r="G763" s="28"/>
      <c r="H763" s="35"/>
      <c r="I763" s="35"/>
      <c r="J763" s="35"/>
      <c r="K763" s="35"/>
      <c r="L763" s="35"/>
      <c r="M763" s="35"/>
      <c r="N763" s="35"/>
      <c r="O763" s="23"/>
      <c r="P763" s="35"/>
      <c r="Q763" s="188"/>
      <c r="R763" s="35"/>
      <c r="S763" s="35"/>
      <c r="T763" s="35"/>
    </row>
    <row r="764" spans="1:20" ht="29.25" customHeight="1" x14ac:dyDescent="0.2">
      <c r="A764" s="187"/>
      <c r="B764" s="35"/>
      <c r="C764" s="23"/>
      <c r="D764" s="35"/>
      <c r="E764" s="35"/>
      <c r="F764" s="35"/>
      <c r="G764" s="28"/>
      <c r="H764" s="35"/>
      <c r="I764" s="35"/>
      <c r="J764" s="35"/>
      <c r="K764" s="35"/>
      <c r="L764" s="35"/>
      <c r="M764" s="35"/>
      <c r="N764" s="35"/>
      <c r="O764" s="23"/>
      <c r="P764" s="35"/>
      <c r="Q764" s="188"/>
      <c r="R764" s="35"/>
      <c r="S764" s="35"/>
      <c r="T764" s="35"/>
    </row>
    <row r="765" spans="1:20" ht="29.25" customHeight="1" x14ac:dyDescent="0.2">
      <c r="A765" s="187"/>
      <c r="B765" s="35"/>
      <c r="C765" s="23"/>
      <c r="D765" s="35"/>
      <c r="E765" s="35"/>
      <c r="F765" s="35"/>
      <c r="G765" s="28"/>
      <c r="H765" s="35"/>
      <c r="I765" s="35"/>
      <c r="J765" s="35"/>
      <c r="K765" s="35"/>
      <c r="L765" s="35"/>
      <c r="M765" s="35"/>
      <c r="N765" s="35"/>
      <c r="O765" s="23"/>
      <c r="P765" s="35"/>
      <c r="Q765" s="188"/>
      <c r="R765" s="35"/>
      <c r="S765" s="35"/>
      <c r="T765" s="35"/>
    </row>
    <row r="766" spans="1:20" ht="29.25" customHeight="1" x14ac:dyDescent="0.2">
      <c r="A766" s="187"/>
      <c r="B766" s="35"/>
      <c r="C766" s="23"/>
      <c r="D766" s="35"/>
      <c r="E766" s="35"/>
      <c r="F766" s="35"/>
      <c r="G766" s="28"/>
      <c r="H766" s="35"/>
      <c r="I766" s="35"/>
      <c r="J766" s="35"/>
      <c r="K766" s="35"/>
      <c r="L766" s="35"/>
      <c r="M766" s="35"/>
      <c r="N766" s="35"/>
      <c r="O766" s="23"/>
      <c r="P766" s="35"/>
      <c r="Q766" s="188"/>
      <c r="R766" s="35"/>
      <c r="S766" s="35"/>
      <c r="T766" s="35"/>
    </row>
    <row r="767" spans="1:20" ht="29.25" customHeight="1" x14ac:dyDescent="0.2">
      <c r="A767" s="187"/>
      <c r="B767" s="35"/>
      <c r="C767" s="23"/>
      <c r="D767" s="35"/>
      <c r="E767" s="35"/>
      <c r="F767" s="35"/>
      <c r="G767" s="28"/>
      <c r="H767" s="35"/>
      <c r="I767" s="35"/>
      <c r="J767" s="35"/>
      <c r="K767" s="35"/>
      <c r="L767" s="35"/>
      <c r="M767" s="35"/>
      <c r="N767" s="35"/>
      <c r="O767" s="23"/>
      <c r="P767" s="35"/>
      <c r="Q767" s="188"/>
      <c r="R767" s="35"/>
      <c r="S767" s="35"/>
      <c r="T767" s="35"/>
    </row>
    <row r="768" spans="1:20" ht="29.25" customHeight="1" x14ac:dyDescent="0.2">
      <c r="A768" s="187"/>
      <c r="B768" s="35"/>
      <c r="C768" s="23"/>
      <c r="D768" s="35"/>
      <c r="E768" s="35"/>
      <c r="F768" s="35"/>
      <c r="G768" s="28"/>
      <c r="H768" s="35"/>
      <c r="I768" s="35"/>
      <c r="J768" s="35"/>
      <c r="K768" s="35"/>
      <c r="L768" s="35"/>
      <c r="M768" s="35"/>
      <c r="N768" s="35"/>
      <c r="O768" s="23"/>
      <c r="P768" s="35"/>
      <c r="Q768" s="188"/>
      <c r="R768" s="35"/>
      <c r="S768" s="35"/>
      <c r="T768" s="35"/>
    </row>
    <row r="769" spans="1:20" ht="29.25" customHeight="1" x14ac:dyDescent="0.2">
      <c r="A769" s="187"/>
      <c r="B769" s="35"/>
      <c r="C769" s="23"/>
      <c r="D769" s="35"/>
      <c r="E769" s="35"/>
      <c r="F769" s="35"/>
      <c r="G769" s="28"/>
      <c r="H769" s="35"/>
      <c r="I769" s="35"/>
      <c r="J769" s="35"/>
      <c r="K769" s="35"/>
      <c r="L769" s="35"/>
      <c r="M769" s="35"/>
      <c r="N769" s="35"/>
      <c r="O769" s="23"/>
      <c r="P769" s="35"/>
      <c r="Q769" s="188"/>
      <c r="R769" s="35"/>
      <c r="S769" s="35"/>
      <c r="T769" s="35"/>
    </row>
    <row r="770" spans="1:20" ht="29.25" customHeight="1" x14ac:dyDescent="0.2">
      <c r="A770" s="187"/>
      <c r="B770" s="35"/>
      <c r="C770" s="23"/>
      <c r="D770" s="35"/>
      <c r="E770" s="35"/>
      <c r="F770" s="35"/>
      <c r="G770" s="28"/>
      <c r="H770" s="35"/>
      <c r="I770" s="35"/>
      <c r="J770" s="35"/>
      <c r="K770" s="35"/>
      <c r="L770" s="35"/>
      <c r="M770" s="35"/>
      <c r="N770" s="35"/>
      <c r="O770" s="23"/>
      <c r="P770" s="35"/>
      <c r="Q770" s="188"/>
      <c r="R770" s="35"/>
      <c r="S770" s="35"/>
      <c r="T770" s="35"/>
    </row>
    <row r="771" spans="1:20" ht="29.25" customHeight="1" x14ac:dyDescent="0.2">
      <c r="A771" s="187"/>
      <c r="B771" s="35"/>
      <c r="C771" s="23"/>
      <c r="D771" s="35"/>
      <c r="E771" s="35"/>
      <c r="F771" s="35"/>
      <c r="G771" s="28"/>
      <c r="H771" s="35"/>
      <c r="I771" s="35"/>
      <c r="J771" s="35"/>
      <c r="K771" s="35"/>
      <c r="L771" s="35"/>
      <c r="M771" s="35"/>
      <c r="N771" s="35"/>
      <c r="O771" s="23"/>
      <c r="P771" s="35"/>
      <c r="Q771" s="188"/>
      <c r="R771" s="35"/>
      <c r="S771" s="35"/>
      <c r="T771" s="35"/>
    </row>
    <row r="772" spans="1:20" ht="29.25" customHeight="1" x14ac:dyDescent="0.2">
      <c r="A772" s="187"/>
      <c r="B772" s="35"/>
      <c r="C772" s="23"/>
      <c r="D772" s="35"/>
      <c r="E772" s="35"/>
      <c r="F772" s="35"/>
      <c r="G772" s="28"/>
      <c r="H772" s="35"/>
      <c r="I772" s="35"/>
      <c r="J772" s="35"/>
      <c r="K772" s="35"/>
      <c r="L772" s="35"/>
      <c r="M772" s="35"/>
      <c r="N772" s="35"/>
      <c r="O772" s="23"/>
      <c r="P772" s="35"/>
      <c r="Q772" s="188"/>
      <c r="R772" s="35"/>
      <c r="S772" s="35"/>
      <c r="T772" s="35"/>
    </row>
    <row r="773" spans="1:20" ht="29.25" customHeight="1" x14ac:dyDescent="0.2">
      <c r="A773" s="187"/>
      <c r="B773" s="35"/>
      <c r="C773" s="23"/>
      <c r="D773" s="35"/>
      <c r="E773" s="35"/>
      <c r="F773" s="35"/>
      <c r="G773" s="28"/>
      <c r="H773" s="35"/>
      <c r="I773" s="35"/>
      <c r="J773" s="35"/>
      <c r="K773" s="35"/>
      <c r="L773" s="35"/>
      <c r="M773" s="35"/>
      <c r="N773" s="35"/>
      <c r="O773" s="23"/>
      <c r="P773" s="35"/>
      <c r="Q773" s="188"/>
      <c r="R773" s="35"/>
      <c r="S773" s="35"/>
      <c r="T773" s="35"/>
    </row>
    <row r="774" spans="1:20" ht="29.25" customHeight="1" x14ac:dyDescent="0.2">
      <c r="A774" s="187"/>
      <c r="B774" s="35"/>
      <c r="C774" s="23"/>
      <c r="D774" s="35"/>
      <c r="E774" s="35"/>
      <c r="F774" s="35"/>
      <c r="G774" s="28"/>
      <c r="H774" s="35"/>
      <c r="I774" s="35"/>
      <c r="J774" s="35"/>
      <c r="K774" s="35"/>
      <c r="L774" s="35"/>
      <c r="M774" s="35"/>
      <c r="N774" s="35"/>
      <c r="O774" s="23"/>
      <c r="P774" s="35"/>
      <c r="Q774" s="188"/>
      <c r="R774" s="35"/>
      <c r="S774" s="35"/>
      <c r="T774" s="35"/>
    </row>
    <row r="775" spans="1:20" ht="29.25" customHeight="1" x14ac:dyDescent="0.2">
      <c r="A775" s="187"/>
      <c r="B775" s="35"/>
      <c r="C775" s="23"/>
      <c r="D775" s="35"/>
      <c r="E775" s="35"/>
      <c r="F775" s="35"/>
      <c r="G775" s="28"/>
      <c r="H775" s="35"/>
      <c r="I775" s="35"/>
      <c r="J775" s="35"/>
      <c r="K775" s="35"/>
      <c r="L775" s="35"/>
      <c r="M775" s="35"/>
      <c r="N775" s="35"/>
      <c r="O775" s="23"/>
      <c r="P775" s="35"/>
      <c r="Q775" s="188"/>
      <c r="R775" s="35"/>
      <c r="S775" s="35"/>
      <c r="T775" s="35"/>
    </row>
    <row r="776" spans="1:20" ht="29.25" customHeight="1" x14ac:dyDescent="0.2">
      <c r="A776" s="187"/>
      <c r="B776" s="35"/>
      <c r="C776" s="23"/>
      <c r="D776" s="35"/>
      <c r="E776" s="35"/>
      <c r="F776" s="35"/>
      <c r="G776" s="28"/>
      <c r="H776" s="35"/>
      <c r="I776" s="35"/>
      <c r="J776" s="35"/>
      <c r="K776" s="35"/>
      <c r="L776" s="35"/>
      <c r="M776" s="35"/>
      <c r="N776" s="35"/>
      <c r="O776" s="23"/>
      <c r="P776" s="35"/>
      <c r="Q776" s="188"/>
      <c r="R776" s="35"/>
      <c r="S776" s="35"/>
      <c r="T776" s="35"/>
    </row>
    <row r="777" spans="1:20" ht="29.25" customHeight="1" x14ac:dyDescent="0.2">
      <c r="A777" s="187"/>
      <c r="B777" s="35"/>
      <c r="C777" s="23"/>
      <c r="D777" s="35"/>
      <c r="E777" s="35"/>
      <c r="F777" s="35"/>
      <c r="G777" s="28"/>
      <c r="H777" s="35"/>
      <c r="I777" s="35"/>
      <c r="J777" s="35"/>
      <c r="K777" s="35"/>
      <c r="L777" s="35"/>
      <c r="M777" s="35"/>
      <c r="N777" s="35"/>
      <c r="O777" s="23"/>
      <c r="P777" s="35"/>
      <c r="Q777" s="188"/>
      <c r="R777" s="35"/>
      <c r="S777" s="35"/>
      <c r="T777" s="35"/>
    </row>
    <row r="778" spans="1:20" ht="29.25" customHeight="1" x14ac:dyDescent="0.2">
      <c r="A778" s="187"/>
      <c r="B778" s="35"/>
      <c r="C778" s="23"/>
      <c r="D778" s="35"/>
      <c r="E778" s="35"/>
      <c r="F778" s="35"/>
      <c r="G778" s="28"/>
      <c r="H778" s="35"/>
      <c r="I778" s="35"/>
      <c r="J778" s="35"/>
      <c r="K778" s="35"/>
      <c r="L778" s="35"/>
      <c r="M778" s="35"/>
      <c r="N778" s="35"/>
      <c r="O778" s="23"/>
      <c r="P778" s="35"/>
      <c r="Q778" s="188"/>
      <c r="R778" s="35"/>
      <c r="S778" s="35"/>
      <c r="T778" s="35"/>
    </row>
    <row r="779" spans="1:20" ht="29.25" customHeight="1" x14ac:dyDescent="0.2">
      <c r="A779" s="187"/>
      <c r="B779" s="35"/>
      <c r="C779" s="23"/>
      <c r="D779" s="35"/>
      <c r="E779" s="35"/>
      <c r="F779" s="35"/>
      <c r="G779" s="28"/>
      <c r="H779" s="35"/>
      <c r="I779" s="35"/>
      <c r="J779" s="35"/>
      <c r="K779" s="35"/>
      <c r="L779" s="35"/>
      <c r="M779" s="35"/>
      <c r="N779" s="35"/>
      <c r="O779" s="23"/>
      <c r="P779" s="35"/>
      <c r="Q779" s="188"/>
      <c r="R779" s="35"/>
      <c r="S779" s="35"/>
      <c r="T779" s="35"/>
    </row>
    <row r="780" spans="1:20" ht="29.25" customHeight="1" x14ac:dyDescent="0.2">
      <c r="A780" s="187"/>
      <c r="B780" s="35"/>
      <c r="C780" s="23"/>
      <c r="D780" s="35"/>
      <c r="E780" s="35"/>
      <c r="F780" s="35"/>
      <c r="G780" s="28"/>
      <c r="H780" s="35"/>
      <c r="I780" s="35"/>
      <c r="J780" s="35"/>
      <c r="K780" s="35"/>
      <c r="L780" s="35"/>
      <c r="M780" s="35"/>
      <c r="N780" s="35"/>
      <c r="O780" s="23"/>
      <c r="P780" s="35"/>
      <c r="Q780" s="188"/>
      <c r="R780" s="35"/>
      <c r="S780" s="35"/>
      <c r="T780" s="35"/>
    </row>
    <row r="781" spans="1:20" ht="29.25" customHeight="1" x14ac:dyDescent="0.2">
      <c r="A781" s="187"/>
      <c r="B781" s="35"/>
      <c r="C781" s="23"/>
      <c r="D781" s="35"/>
      <c r="E781" s="35"/>
      <c r="F781" s="35"/>
      <c r="G781" s="28"/>
      <c r="H781" s="35"/>
      <c r="I781" s="35"/>
      <c r="J781" s="35"/>
      <c r="K781" s="35"/>
      <c r="L781" s="35"/>
      <c r="M781" s="35"/>
      <c r="N781" s="35"/>
      <c r="O781" s="23"/>
      <c r="P781" s="35"/>
      <c r="Q781" s="188"/>
      <c r="R781" s="35"/>
      <c r="S781" s="35"/>
      <c r="T781" s="35"/>
    </row>
    <row r="782" spans="1:20" ht="29.25" customHeight="1" x14ac:dyDescent="0.2">
      <c r="A782" s="187"/>
      <c r="B782" s="35"/>
      <c r="C782" s="23"/>
      <c r="D782" s="35"/>
      <c r="E782" s="35"/>
      <c r="F782" s="35"/>
      <c r="G782" s="28"/>
      <c r="H782" s="35"/>
      <c r="I782" s="35"/>
      <c r="J782" s="35"/>
      <c r="K782" s="35"/>
      <c r="L782" s="35"/>
      <c r="M782" s="35"/>
      <c r="N782" s="35"/>
      <c r="O782" s="23"/>
      <c r="P782" s="35"/>
      <c r="Q782" s="188"/>
      <c r="R782" s="35"/>
      <c r="S782" s="35"/>
      <c r="T782" s="35"/>
    </row>
    <row r="783" spans="1:20" ht="29.25" customHeight="1" x14ac:dyDescent="0.2">
      <c r="A783" s="187"/>
      <c r="B783" s="35"/>
      <c r="C783" s="23"/>
      <c r="D783" s="35"/>
      <c r="E783" s="35"/>
      <c r="F783" s="35"/>
      <c r="G783" s="28"/>
      <c r="H783" s="35"/>
      <c r="I783" s="35"/>
      <c r="J783" s="35"/>
      <c r="K783" s="35"/>
      <c r="L783" s="35"/>
      <c r="M783" s="35"/>
      <c r="N783" s="35"/>
      <c r="O783" s="23"/>
      <c r="P783" s="35"/>
      <c r="Q783" s="188"/>
      <c r="R783" s="35"/>
      <c r="S783" s="35"/>
      <c r="T783" s="35"/>
    </row>
    <row r="784" spans="1:20" ht="29.25" customHeight="1" x14ac:dyDescent="0.2">
      <c r="A784" s="187"/>
      <c r="B784" s="35"/>
      <c r="C784" s="23"/>
      <c r="D784" s="35"/>
      <c r="E784" s="35"/>
      <c r="F784" s="35"/>
      <c r="G784" s="28"/>
      <c r="H784" s="35"/>
      <c r="I784" s="35"/>
      <c r="J784" s="35"/>
      <c r="K784" s="35"/>
      <c r="L784" s="35"/>
      <c r="M784" s="35"/>
      <c r="N784" s="35"/>
      <c r="O784" s="23"/>
      <c r="P784" s="35"/>
      <c r="Q784" s="188"/>
      <c r="R784" s="35"/>
      <c r="S784" s="35"/>
      <c r="T784" s="35"/>
    </row>
    <row r="785" spans="1:20" ht="29.25" customHeight="1" x14ac:dyDescent="0.2">
      <c r="A785" s="187"/>
      <c r="B785" s="35"/>
      <c r="C785" s="23"/>
      <c r="D785" s="35"/>
      <c r="E785" s="35"/>
      <c r="F785" s="35"/>
      <c r="G785" s="28"/>
      <c r="H785" s="35"/>
      <c r="I785" s="35"/>
      <c r="J785" s="35"/>
      <c r="K785" s="35"/>
      <c r="L785" s="35"/>
      <c r="M785" s="35"/>
      <c r="N785" s="35"/>
      <c r="O785" s="23"/>
      <c r="P785" s="35"/>
      <c r="Q785" s="188"/>
      <c r="R785" s="35"/>
      <c r="S785" s="35"/>
      <c r="T785" s="35"/>
    </row>
    <row r="786" spans="1:20" ht="29.25" customHeight="1" x14ac:dyDescent="0.2">
      <c r="A786" s="187"/>
      <c r="B786" s="35"/>
      <c r="C786" s="23"/>
      <c r="D786" s="35"/>
      <c r="E786" s="35"/>
      <c r="F786" s="35"/>
      <c r="G786" s="28"/>
      <c r="H786" s="35"/>
      <c r="I786" s="35"/>
      <c r="J786" s="35"/>
      <c r="K786" s="35"/>
      <c r="L786" s="35"/>
      <c r="M786" s="35"/>
      <c r="N786" s="35"/>
      <c r="O786" s="23"/>
      <c r="P786" s="35"/>
      <c r="Q786" s="188"/>
      <c r="R786" s="35"/>
      <c r="S786" s="35"/>
      <c r="T786" s="35"/>
    </row>
    <row r="787" spans="1:20" ht="29.25" customHeight="1" x14ac:dyDescent="0.2">
      <c r="A787" s="187"/>
      <c r="B787" s="35"/>
      <c r="C787" s="23"/>
      <c r="D787" s="35"/>
      <c r="E787" s="35"/>
      <c r="F787" s="35"/>
      <c r="G787" s="28"/>
      <c r="H787" s="35"/>
      <c r="I787" s="35"/>
      <c r="J787" s="35"/>
      <c r="K787" s="35"/>
      <c r="L787" s="35"/>
      <c r="M787" s="35"/>
      <c r="N787" s="35"/>
      <c r="O787" s="23"/>
      <c r="P787" s="35"/>
      <c r="Q787" s="188"/>
      <c r="R787" s="35"/>
      <c r="S787" s="35"/>
      <c r="T787" s="35"/>
    </row>
    <row r="788" spans="1:20" ht="29.25" customHeight="1" x14ac:dyDescent="0.2">
      <c r="A788" s="187"/>
      <c r="B788" s="35"/>
      <c r="C788" s="23"/>
      <c r="D788" s="35"/>
      <c r="E788" s="35"/>
      <c r="F788" s="35"/>
      <c r="G788" s="28"/>
      <c r="H788" s="35"/>
      <c r="I788" s="35"/>
      <c r="J788" s="35"/>
      <c r="K788" s="35"/>
      <c r="L788" s="35"/>
      <c r="M788" s="35"/>
      <c r="N788" s="35"/>
      <c r="O788" s="23"/>
      <c r="P788" s="35"/>
      <c r="Q788" s="188"/>
      <c r="R788" s="35"/>
      <c r="S788" s="35"/>
      <c r="T788" s="35"/>
    </row>
    <row r="789" spans="1:20" ht="29.25" customHeight="1" x14ac:dyDescent="0.2">
      <c r="A789" s="187"/>
      <c r="B789" s="35"/>
      <c r="C789" s="23"/>
      <c r="D789" s="35"/>
      <c r="E789" s="35"/>
      <c r="F789" s="35"/>
      <c r="G789" s="28"/>
      <c r="H789" s="35"/>
      <c r="I789" s="35"/>
      <c r="J789" s="35"/>
      <c r="K789" s="35"/>
      <c r="L789" s="35"/>
      <c r="M789" s="35"/>
      <c r="N789" s="35"/>
      <c r="O789" s="23"/>
      <c r="P789" s="35"/>
      <c r="Q789" s="188"/>
      <c r="R789" s="35"/>
      <c r="S789" s="35"/>
      <c r="T789" s="35"/>
    </row>
    <row r="790" spans="1:20" ht="29.25" customHeight="1" x14ac:dyDescent="0.2">
      <c r="A790" s="187"/>
      <c r="B790" s="35"/>
      <c r="C790" s="23"/>
      <c r="D790" s="35"/>
      <c r="E790" s="35"/>
      <c r="F790" s="35"/>
      <c r="G790" s="28"/>
      <c r="H790" s="35"/>
      <c r="I790" s="35"/>
      <c r="J790" s="35"/>
      <c r="K790" s="35"/>
      <c r="L790" s="35"/>
      <c r="M790" s="35"/>
      <c r="N790" s="35"/>
      <c r="O790" s="23"/>
      <c r="P790" s="35"/>
      <c r="Q790" s="188"/>
      <c r="R790" s="35"/>
      <c r="S790" s="35"/>
      <c r="T790" s="35"/>
    </row>
    <row r="791" spans="1:20" ht="29.25" customHeight="1" x14ac:dyDescent="0.2">
      <c r="A791" s="187"/>
      <c r="B791" s="35"/>
      <c r="C791" s="23"/>
      <c r="D791" s="35"/>
      <c r="E791" s="35"/>
      <c r="F791" s="35"/>
      <c r="G791" s="28"/>
      <c r="H791" s="35"/>
      <c r="I791" s="35"/>
      <c r="J791" s="35"/>
      <c r="K791" s="35"/>
      <c r="L791" s="35"/>
      <c r="M791" s="35"/>
      <c r="N791" s="35"/>
      <c r="O791" s="23"/>
      <c r="P791" s="35"/>
      <c r="Q791" s="188"/>
      <c r="R791" s="35"/>
      <c r="S791" s="35"/>
      <c r="T791" s="35"/>
    </row>
    <row r="792" spans="1:20" ht="29.25" customHeight="1" x14ac:dyDescent="0.2">
      <c r="A792" s="187"/>
      <c r="B792" s="35"/>
      <c r="C792" s="23"/>
      <c r="D792" s="35"/>
      <c r="E792" s="35"/>
      <c r="F792" s="35"/>
      <c r="G792" s="28"/>
      <c r="H792" s="35"/>
      <c r="I792" s="35"/>
      <c r="J792" s="35"/>
      <c r="K792" s="35"/>
      <c r="L792" s="35"/>
      <c r="M792" s="35"/>
      <c r="N792" s="35"/>
      <c r="O792" s="23"/>
      <c r="P792" s="35"/>
      <c r="Q792" s="188"/>
      <c r="R792" s="35"/>
      <c r="S792" s="35"/>
      <c r="T792" s="35"/>
    </row>
    <row r="793" spans="1:20" ht="29.25" customHeight="1" x14ac:dyDescent="0.2">
      <c r="A793" s="187"/>
      <c r="B793" s="35"/>
      <c r="C793" s="23"/>
      <c r="D793" s="35"/>
      <c r="E793" s="35"/>
      <c r="F793" s="35"/>
      <c r="G793" s="28"/>
      <c r="H793" s="35"/>
      <c r="I793" s="35"/>
      <c r="J793" s="35"/>
      <c r="K793" s="35"/>
      <c r="L793" s="35"/>
      <c r="M793" s="35"/>
      <c r="N793" s="35"/>
      <c r="O793" s="23"/>
      <c r="P793" s="35"/>
      <c r="Q793" s="188"/>
      <c r="R793" s="35"/>
      <c r="S793" s="35"/>
      <c r="T793" s="35"/>
    </row>
    <row r="794" spans="1:20" ht="29.25" customHeight="1" x14ac:dyDescent="0.2">
      <c r="A794" s="187"/>
      <c r="B794" s="35"/>
      <c r="C794" s="23"/>
      <c r="D794" s="35"/>
      <c r="E794" s="35"/>
      <c r="F794" s="35"/>
      <c r="G794" s="28"/>
      <c r="H794" s="35"/>
      <c r="I794" s="35"/>
      <c r="J794" s="35"/>
      <c r="K794" s="35"/>
      <c r="L794" s="35"/>
      <c r="M794" s="35"/>
      <c r="N794" s="35"/>
      <c r="O794" s="23"/>
      <c r="P794" s="35"/>
      <c r="Q794" s="188"/>
      <c r="R794" s="35"/>
      <c r="S794" s="35"/>
      <c r="T794" s="35"/>
    </row>
    <row r="795" spans="1:20" ht="29.25" customHeight="1" x14ac:dyDescent="0.2">
      <c r="A795" s="187"/>
      <c r="B795" s="35"/>
      <c r="C795" s="23"/>
      <c r="D795" s="35"/>
      <c r="E795" s="35"/>
      <c r="F795" s="35"/>
      <c r="G795" s="28"/>
      <c r="H795" s="35"/>
      <c r="I795" s="35"/>
      <c r="J795" s="35"/>
      <c r="K795" s="35"/>
      <c r="L795" s="35"/>
      <c r="M795" s="35"/>
      <c r="N795" s="35"/>
      <c r="O795" s="23"/>
      <c r="P795" s="35"/>
      <c r="Q795" s="188"/>
      <c r="R795" s="35"/>
      <c r="S795" s="35"/>
      <c r="T795" s="35"/>
    </row>
    <row r="796" spans="1:20" ht="29.25" customHeight="1" x14ac:dyDescent="0.2">
      <c r="A796" s="187"/>
      <c r="B796" s="35"/>
      <c r="C796" s="23"/>
      <c r="D796" s="35"/>
      <c r="E796" s="35"/>
      <c r="F796" s="35"/>
      <c r="G796" s="28"/>
      <c r="H796" s="35"/>
      <c r="I796" s="35"/>
      <c r="J796" s="35"/>
      <c r="K796" s="35"/>
      <c r="L796" s="35"/>
      <c r="M796" s="35"/>
      <c r="N796" s="35"/>
      <c r="O796" s="23"/>
      <c r="P796" s="35"/>
      <c r="Q796" s="188"/>
      <c r="R796" s="35"/>
      <c r="S796" s="35"/>
      <c r="T796" s="35"/>
    </row>
    <row r="797" spans="1:20" ht="29.25" customHeight="1" x14ac:dyDescent="0.2">
      <c r="A797" s="187"/>
      <c r="B797" s="35"/>
      <c r="C797" s="23"/>
      <c r="D797" s="35"/>
      <c r="E797" s="35"/>
      <c r="F797" s="35"/>
      <c r="G797" s="28"/>
      <c r="H797" s="35"/>
      <c r="I797" s="35"/>
      <c r="J797" s="35"/>
      <c r="K797" s="35"/>
      <c r="L797" s="35"/>
      <c r="M797" s="35"/>
      <c r="N797" s="35"/>
      <c r="O797" s="23"/>
      <c r="P797" s="35"/>
      <c r="Q797" s="188"/>
      <c r="R797" s="35"/>
      <c r="S797" s="35"/>
      <c r="T797" s="35"/>
    </row>
    <row r="798" spans="1:20" ht="29.25" customHeight="1" x14ac:dyDescent="0.2">
      <c r="A798" s="187"/>
      <c r="B798" s="35"/>
      <c r="C798" s="23"/>
      <c r="D798" s="35"/>
      <c r="E798" s="35"/>
      <c r="F798" s="35"/>
      <c r="G798" s="28"/>
      <c r="H798" s="35"/>
      <c r="I798" s="35"/>
      <c r="J798" s="35"/>
      <c r="K798" s="35"/>
      <c r="L798" s="35"/>
      <c r="M798" s="35"/>
      <c r="N798" s="35"/>
      <c r="O798" s="23"/>
      <c r="P798" s="35"/>
      <c r="Q798" s="188"/>
      <c r="R798" s="35"/>
      <c r="S798" s="35"/>
      <c r="T798" s="35"/>
    </row>
    <row r="799" spans="1:20" ht="29.25" customHeight="1" x14ac:dyDescent="0.2">
      <c r="A799" s="187"/>
      <c r="B799" s="35"/>
      <c r="C799" s="23"/>
      <c r="D799" s="35"/>
      <c r="E799" s="35"/>
      <c r="F799" s="35"/>
      <c r="G799" s="28"/>
      <c r="H799" s="35"/>
      <c r="I799" s="35"/>
      <c r="J799" s="35"/>
      <c r="K799" s="35"/>
      <c r="L799" s="35"/>
      <c r="M799" s="35"/>
      <c r="N799" s="35"/>
      <c r="O799" s="23"/>
      <c r="P799" s="35"/>
      <c r="Q799" s="188"/>
      <c r="R799" s="35"/>
      <c r="S799" s="35"/>
      <c r="T799" s="35"/>
    </row>
    <row r="800" spans="1:20" ht="29.25" customHeight="1" x14ac:dyDescent="0.2">
      <c r="A800" s="187"/>
      <c r="B800" s="35"/>
      <c r="C800" s="23"/>
      <c r="D800" s="35"/>
      <c r="E800" s="35"/>
      <c r="F800" s="35"/>
      <c r="G800" s="28"/>
      <c r="H800" s="35"/>
      <c r="I800" s="35"/>
      <c r="J800" s="35"/>
      <c r="K800" s="35"/>
      <c r="L800" s="35"/>
      <c r="M800" s="35"/>
      <c r="N800" s="35"/>
      <c r="O800" s="23"/>
      <c r="P800" s="35"/>
      <c r="Q800" s="188"/>
      <c r="R800" s="35"/>
      <c r="S800" s="35"/>
      <c r="T800" s="35"/>
    </row>
    <row r="801" spans="1:20" ht="29.25" customHeight="1" x14ac:dyDescent="0.2">
      <c r="A801" s="187"/>
      <c r="B801" s="35"/>
      <c r="C801" s="23"/>
      <c r="D801" s="35"/>
      <c r="E801" s="35"/>
      <c r="F801" s="35"/>
      <c r="G801" s="28"/>
      <c r="H801" s="35"/>
      <c r="I801" s="35"/>
      <c r="J801" s="35"/>
      <c r="K801" s="35"/>
      <c r="L801" s="35"/>
      <c r="M801" s="35"/>
      <c r="N801" s="35"/>
      <c r="O801" s="23"/>
      <c r="P801" s="35"/>
      <c r="Q801" s="188"/>
      <c r="R801" s="35"/>
      <c r="S801" s="35"/>
      <c r="T801" s="35"/>
    </row>
    <row r="802" spans="1:20" ht="29.25" customHeight="1" x14ac:dyDescent="0.2">
      <c r="A802" s="187"/>
      <c r="B802" s="35"/>
      <c r="C802" s="23"/>
      <c r="D802" s="35"/>
      <c r="E802" s="35"/>
      <c r="F802" s="35"/>
      <c r="G802" s="28"/>
      <c r="H802" s="35"/>
      <c r="I802" s="35"/>
      <c r="J802" s="35"/>
      <c r="K802" s="35"/>
      <c r="L802" s="35"/>
      <c r="M802" s="35"/>
      <c r="N802" s="35"/>
      <c r="O802" s="23"/>
      <c r="P802" s="35"/>
      <c r="Q802" s="188"/>
      <c r="R802" s="35"/>
      <c r="S802" s="35"/>
      <c r="T802" s="35"/>
    </row>
    <row r="803" spans="1:20" ht="29.25" customHeight="1" x14ac:dyDescent="0.2">
      <c r="A803" s="187"/>
      <c r="B803" s="35"/>
      <c r="C803" s="23"/>
      <c r="D803" s="35"/>
      <c r="E803" s="35"/>
      <c r="F803" s="35"/>
      <c r="G803" s="28"/>
      <c r="H803" s="35"/>
      <c r="I803" s="35"/>
      <c r="J803" s="35"/>
      <c r="K803" s="35"/>
      <c r="L803" s="35"/>
      <c r="M803" s="35"/>
      <c r="N803" s="35"/>
      <c r="O803" s="23"/>
      <c r="P803" s="35"/>
      <c r="Q803" s="188"/>
      <c r="R803" s="35"/>
      <c r="S803" s="35"/>
      <c r="T803" s="35"/>
    </row>
    <row r="804" spans="1:20" ht="29.25" customHeight="1" x14ac:dyDescent="0.2">
      <c r="A804" s="187"/>
      <c r="B804" s="35"/>
      <c r="C804" s="23"/>
      <c r="D804" s="35"/>
      <c r="E804" s="35"/>
      <c r="F804" s="35"/>
      <c r="G804" s="28"/>
      <c r="H804" s="35"/>
      <c r="I804" s="35"/>
      <c r="J804" s="35"/>
      <c r="K804" s="35"/>
      <c r="L804" s="35"/>
      <c r="M804" s="35"/>
      <c r="N804" s="35"/>
      <c r="O804" s="23"/>
      <c r="P804" s="35"/>
      <c r="Q804" s="188"/>
      <c r="R804" s="35"/>
      <c r="S804" s="35"/>
      <c r="T804" s="35"/>
    </row>
    <row r="805" spans="1:20" ht="29.25" customHeight="1" x14ac:dyDescent="0.2">
      <c r="A805" s="187"/>
      <c r="B805" s="35"/>
      <c r="C805" s="23"/>
      <c r="D805" s="35"/>
      <c r="E805" s="35"/>
      <c r="F805" s="35"/>
      <c r="G805" s="28"/>
      <c r="H805" s="35"/>
      <c r="I805" s="35"/>
      <c r="J805" s="35"/>
      <c r="K805" s="35"/>
      <c r="L805" s="35"/>
      <c r="M805" s="35"/>
      <c r="N805" s="35"/>
      <c r="O805" s="23"/>
      <c r="P805" s="35"/>
      <c r="Q805" s="188"/>
      <c r="R805" s="35"/>
      <c r="S805" s="35"/>
      <c r="T805" s="35"/>
    </row>
    <row r="806" spans="1:20" ht="29.25" customHeight="1" x14ac:dyDescent="0.2">
      <c r="A806" s="187"/>
      <c r="B806" s="35"/>
      <c r="C806" s="23"/>
      <c r="D806" s="35"/>
      <c r="E806" s="35"/>
      <c r="F806" s="35"/>
      <c r="G806" s="28"/>
      <c r="H806" s="35"/>
      <c r="I806" s="35"/>
      <c r="J806" s="35"/>
      <c r="K806" s="35"/>
      <c r="L806" s="35"/>
      <c r="M806" s="35"/>
      <c r="N806" s="35"/>
      <c r="O806" s="23"/>
      <c r="P806" s="35"/>
      <c r="Q806" s="188"/>
      <c r="R806" s="35"/>
      <c r="S806" s="35"/>
      <c r="T806" s="35"/>
    </row>
    <row r="807" spans="1:20" ht="29.25" customHeight="1" x14ac:dyDescent="0.2">
      <c r="A807" s="187"/>
      <c r="B807" s="35"/>
      <c r="C807" s="23"/>
      <c r="D807" s="35"/>
      <c r="E807" s="35"/>
      <c r="F807" s="35"/>
      <c r="G807" s="28"/>
      <c r="H807" s="35"/>
      <c r="I807" s="35"/>
      <c r="J807" s="35"/>
      <c r="K807" s="35"/>
      <c r="L807" s="35"/>
      <c r="M807" s="35"/>
      <c r="N807" s="35"/>
      <c r="O807" s="23"/>
      <c r="P807" s="35"/>
      <c r="Q807" s="188"/>
      <c r="R807" s="35"/>
      <c r="S807" s="35"/>
      <c r="T807" s="35"/>
    </row>
    <row r="808" spans="1:20" ht="29.25" customHeight="1" x14ac:dyDescent="0.2">
      <c r="A808" s="187"/>
      <c r="B808" s="35"/>
      <c r="C808" s="23"/>
      <c r="D808" s="35"/>
      <c r="E808" s="35"/>
      <c r="F808" s="35"/>
      <c r="G808" s="28"/>
      <c r="H808" s="35"/>
      <c r="I808" s="35"/>
      <c r="J808" s="35"/>
      <c r="K808" s="35"/>
      <c r="L808" s="35"/>
      <c r="M808" s="35"/>
      <c r="N808" s="35"/>
      <c r="O808" s="23"/>
      <c r="P808" s="35"/>
      <c r="Q808" s="188"/>
      <c r="R808" s="35"/>
      <c r="S808" s="35"/>
      <c r="T808" s="35"/>
    </row>
    <row r="809" spans="1:20" ht="29.25" customHeight="1" x14ac:dyDescent="0.2">
      <c r="A809" s="187"/>
      <c r="B809" s="35"/>
      <c r="C809" s="23"/>
      <c r="D809" s="35"/>
      <c r="E809" s="35"/>
      <c r="F809" s="35"/>
      <c r="G809" s="28"/>
      <c r="H809" s="35"/>
      <c r="I809" s="35"/>
      <c r="J809" s="35"/>
      <c r="K809" s="35"/>
      <c r="L809" s="35"/>
      <c r="M809" s="35"/>
      <c r="N809" s="35"/>
      <c r="O809" s="23"/>
      <c r="P809" s="35"/>
      <c r="Q809" s="188"/>
      <c r="R809" s="35"/>
      <c r="S809" s="35"/>
      <c r="T809" s="35"/>
    </row>
    <row r="810" spans="1:20" ht="29.25" customHeight="1" x14ac:dyDescent="0.2">
      <c r="A810" s="187"/>
      <c r="B810" s="35"/>
      <c r="C810" s="23"/>
      <c r="D810" s="35"/>
      <c r="E810" s="35"/>
      <c r="F810" s="35"/>
      <c r="G810" s="28"/>
      <c r="H810" s="35"/>
      <c r="I810" s="35"/>
      <c r="J810" s="35"/>
      <c r="K810" s="35"/>
      <c r="L810" s="35"/>
      <c r="M810" s="35"/>
      <c r="N810" s="35"/>
      <c r="O810" s="23"/>
      <c r="P810" s="35"/>
      <c r="Q810" s="188"/>
      <c r="R810" s="35"/>
      <c r="S810" s="35"/>
      <c r="T810" s="35"/>
    </row>
    <row r="811" spans="1:20" ht="29.25" customHeight="1" x14ac:dyDescent="0.2">
      <c r="A811" s="187"/>
      <c r="B811" s="35"/>
      <c r="C811" s="23"/>
      <c r="D811" s="35"/>
      <c r="E811" s="35"/>
      <c r="F811" s="35"/>
      <c r="G811" s="28"/>
      <c r="H811" s="35"/>
      <c r="I811" s="35"/>
      <c r="J811" s="35"/>
      <c r="K811" s="35"/>
      <c r="L811" s="35"/>
      <c r="M811" s="35"/>
      <c r="N811" s="35"/>
      <c r="O811" s="23"/>
      <c r="P811" s="35"/>
      <c r="Q811" s="188"/>
      <c r="R811" s="35"/>
      <c r="S811" s="35"/>
      <c r="T811" s="35"/>
    </row>
    <row r="812" spans="1:20" ht="29.25" customHeight="1" x14ac:dyDescent="0.2">
      <c r="A812" s="187"/>
      <c r="B812" s="35"/>
      <c r="C812" s="23"/>
      <c r="D812" s="35"/>
      <c r="E812" s="35"/>
      <c r="F812" s="35"/>
      <c r="G812" s="28"/>
      <c r="H812" s="35"/>
      <c r="I812" s="35"/>
      <c r="J812" s="35"/>
      <c r="K812" s="35"/>
      <c r="L812" s="35"/>
      <c r="M812" s="35"/>
      <c r="N812" s="35"/>
      <c r="O812" s="23"/>
      <c r="P812" s="35"/>
      <c r="Q812" s="188"/>
      <c r="R812" s="35"/>
      <c r="S812" s="35"/>
      <c r="T812" s="35"/>
    </row>
    <row r="813" spans="1:20" ht="29.25" customHeight="1" x14ac:dyDescent="0.2">
      <c r="A813" s="187"/>
      <c r="B813" s="35"/>
      <c r="C813" s="23"/>
      <c r="D813" s="35"/>
      <c r="E813" s="35"/>
      <c r="F813" s="35"/>
      <c r="G813" s="28"/>
      <c r="H813" s="35"/>
      <c r="I813" s="35"/>
      <c r="J813" s="35"/>
      <c r="K813" s="35"/>
      <c r="L813" s="35"/>
      <c r="M813" s="35"/>
      <c r="N813" s="35"/>
      <c r="O813" s="23"/>
      <c r="P813" s="35"/>
      <c r="Q813" s="188"/>
      <c r="R813" s="35"/>
      <c r="S813" s="35"/>
      <c r="T813" s="35"/>
    </row>
    <row r="814" spans="1:20" ht="29.25" customHeight="1" x14ac:dyDescent="0.2">
      <c r="A814" s="187"/>
      <c r="B814" s="35"/>
      <c r="C814" s="23"/>
      <c r="D814" s="35"/>
      <c r="E814" s="35"/>
      <c r="F814" s="35"/>
      <c r="G814" s="28"/>
      <c r="H814" s="35"/>
      <c r="I814" s="35"/>
      <c r="J814" s="35"/>
      <c r="K814" s="35"/>
      <c r="L814" s="35"/>
      <c r="M814" s="35"/>
      <c r="N814" s="35"/>
      <c r="O814" s="23"/>
      <c r="P814" s="35"/>
      <c r="Q814" s="188"/>
      <c r="R814" s="35"/>
      <c r="S814" s="35"/>
      <c r="T814" s="35"/>
    </row>
    <row r="815" spans="1:20" ht="29.25" customHeight="1" x14ac:dyDescent="0.2">
      <c r="A815" s="187"/>
      <c r="B815" s="35"/>
      <c r="C815" s="23"/>
      <c r="D815" s="35"/>
      <c r="E815" s="35"/>
      <c r="F815" s="35"/>
      <c r="G815" s="28"/>
      <c r="H815" s="35"/>
      <c r="I815" s="35"/>
      <c r="J815" s="35"/>
      <c r="K815" s="35"/>
      <c r="L815" s="35"/>
      <c r="M815" s="35"/>
      <c r="N815" s="35"/>
      <c r="O815" s="23"/>
      <c r="P815" s="35"/>
      <c r="Q815" s="188"/>
      <c r="R815" s="35"/>
      <c r="S815" s="35"/>
      <c r="T815" s="35"/>
    </row>
    <row r="816" spans="1:20" ht="29.25" customHeight="1" x14ac:dyDescent="0.2">
      <c r="A816" s="187"/>
      <c r="B816" s="35"/>
      <c r="C816" s="23"/>
      <c r="D816" s="35"/>
      <c r="E816" s="35"/>
      <c r="F816" s="35"/>
      <c r="G816" s="28"/>
      <c r="H816" s="35"/>
      <c r="I816" s="35"/>
      <c r="J816" s="35"/>
      <c r="K816" s="35"/>
      <c r="L816" s="35"/>
      <c r="M816" s="35"/>
      <c r="N816" s="35"/>
      <c r="O816" s="23"/>
      <c r="P816" s="35"/>
      <c r="Q816" s="188"/>
      <c r="R816" s="35"/>
      <c r="S816" s="35"/>
      <c r="T816" s="35"/>
    </row>
    <row r="817" spans="1:20" ht="29.25" customHeight="1" x14ac:dyDescent="0.2">
      <c r="A817" s="187"/>
      <c r="B817" s="35"/>
      <c r="C817" s="23"/>
      <c r="D817" s="35"/>
      <c r="E817" s="35"/>
      <c r="F817" s="35"/>
      <c r="G817" s="28"/>
      <c r="H817" s="35"/>
      <c r="I817" s="35"/>
      <c r="J817" s="35"/>
      <c r="K817" s="35"/>
      <c r="L817" s="35"/>
      <c r="M817" s="35"/>
      <c r="N817" s="35"/>
      <c r="O817" s="23"/>
      <c r="P817" s="35"/>
      <c r="Q817" s="188"/>
      <c r="R817" s="35"/>
      <c r="S817" s="35"/>
      <c r="T817" s="35"/>
    </row>
    <row r="818" spans="1:20" ht="29.25" customHeight="1" x14ac:dyDescent="0.2">
      <c r="A818" s="187"/>
      <c r="B818" s="35"/>
      <c r="C818" s="23"/>
      <c r="D818" s="35"/>
      <c r="E818" s="35"/>
      <c r="F818" s="35"/>
      <c r="G818" s="28"/>
      <c r="H818" s="35"/>
      <c r="I818" s="35"/>
      <c r="J818" s="35"/>
      <c r="K818" s="35"/>
      <c r="L818" s="35"/>
      <c r="M818" s="35"/>
      <c r="N818" s="35"/>
      <c r="O818" s="23"/>
      <c r="P818" s="35"/>
      <c r="Q818" s="188"/>
      <c r="R818" s="35"/>
      <c r="S818" s="35"/>
      <c r="T818" s="35"/>
    </row>
    <row r="819" spans="1:20" ht="29.25" customHeight="1" x14ac:dyDescent="0.2">
      <c r="A819" s="187"/>
      <c r="B819" s="35"/>
      <c r="C819" s="23"/>
      <c r="D819" s="35"/>
      <c r="E819" s="35"/>
      <c r="F819" s="35"/>
      <c r="G819" s="28"/>
      <c r="H819" s="35"/>
      <c r="I819" s="35"/>
      <c r="J819" s="35"/>
      <c r="K819" s="35"/>
      <c r="L819" s="35"/>
      <c r="M819" s="35"/>
      <c r="N819" s="35"/>
      <c r="O819" s="23"/>
      <c r="P819" s="35"/>
      <c r="Q819" s="188"/>
      <c r="R819" s="35"/>
      <c r="S819" s="35"/>
      <c r="T819" s="35"/>
    </row>
    <row r="820" spans="1:20" ht="29.25" customHeight="1" x14ac:dyDescent="0.2">
      <c r="A820" s="187"/>
      <c r="B820" s="35"/>
      <c r="C820" s="23"/>
      <c r="D820" s="35"/>
      <c r="E820" s="35"/>
      <c r="F820" s="35"/>
      <c r="G820" s="28"/>
      <c r="H820" s="35"/>
      <c r="I820" s="35"/>
      <c r="J820" s="35"/>
      <c r="K820" s="35"/>
      <c r="L820" s="35"/>
      <c r="M820" s="35"/>
      <c r="N820" s="35"/>
      <c r="O820" s="23"/>
      <c r="P820" s="35"/>
      <c r="Q820" s="188"/>
      <c r="R820" s="35"/>
      <c r="S820" s="35"/>
      <c r="T820" s="35"/>
    </row>
    <row r="821" spans="1:20" ht="29.25" customHeight="1" x14ac:dyDescent="0.2">
      <c r="A821" s="187"/>
      <c r="B821" s="35"/>
      <c r="C821" s="23"/>
      <c r="D821" s="35"/>
      <c r="E821" s="35"/>
      <c r="F821" s="35"/>
      <c r="G821" s="28"/>
      <c r="H821" s="35"/>
      <c r="I821" s="35"/>
      <c r="J821" s="35"/>
      <c r="K821" s="35"/>
      <c r="L821" s="35"/>
      <c r="M821" s="35"/>
      <c r="N821" s="35"/>
      <c r="O821" s="23"/>
      <c r="P821" s="35"/>
      <c r="Q821" s="188"/>
      <c r="R821" s="35"/>
      <c r="S821" s="35"/>
      <c r="T821" s="35"/>
    </row>
    <row r="822" spans="1:20" ht="29.25" customHeight="1" x14ac:dyDescent="0.2">
      <c r="A822" s="187"/>
      <c r="B822" s="35"/>
      <c r="C822" s="23"/>
      <c r="D822" s="35"/>
      <c r="E822" s="35"/>
      <c r="F822" s="35"/>
      <c r="G822" s="28"/>
      <c r="H822" s="35"/>
      <c r="I822" s="35"/>
      <c r="J822" s="35"/>
      <c r="K822" s="35"/>
      <c r="L822" s="35"/>
      <c r="M822" s="35"/>
      <c r="N822" s="35"/>
      <c r="O822" s="23"/>
      <c r="P822" s="35"/>
      <c r="Q822" s="188"/>
      <c r="R822" s="35"/>
      <c r="S822" s="35"/>
      <c r="T822" s="35"/>
    </row>
    <row r="823" spans="1:20" ht="29.25" customHeight="1" x14ac:dyDescent="0.2">
      <c r="A823" s="187"/>
      <c r="B823" s="35"/>
      <c r="C823" s="23"/>
      <c r="D823" s="35"/>
      <c r="E823" s="35"/>
      <c r="F823" s="35"/>
      <c r="G823" s="28"/>
      <c r="H823" s="35"/>
      <c r="I823" s="35"/>
      <c r="J823" s="35"/>
      <c r="K823" s="35"/>
      <c r="L823" s="35"/>
      <c r="M823" s="35"/>
      <c r="N823" s="35"/>
      <c r="O823" s="23"/>
      <c r="P823" s="35"/>
      <c r="Q823" s="188"/>
      <c r="R823" s="35"/>
      <c r="S823" s="35"/>
      <c r="T823" s="35"/>
    </row>
    <row r="824" spans="1:20" ht="29.25" customHeight="1" x14ac:dyDescent="0.2">
      <c r="A824" s="187"/>
      <c r="B824" s="35"/>
      <c r="C824" s="23"/>
      <c r="D824" s="35"/>
      <c r="E824" s="35"/>
      <c r="F824" s="35"/>
      <c r="G824" s="28"/>
      <c r="H824" s="35"/>
      <c r="I824" s="35"/>
      <c r="J824" s="35"/>
      <c r="K824" s="35"/>
      <c r="L824" s="35"/>
      <c r="M824" s="35"/>
      <c r="N824" s="35"/>
      <c r="O824" s="23"/>
      <c r="P824" s="35"/>
      <c r="Q824" s="188"/>
      <c r="R824" s="35"/>
      <c r="S824" s="35"/>
      <c r="T824" s="35"/>
    </row>
    <row r="825" spans="1:20" ht="29.25" customHeight="1" x14ac:dyDescent="0.2">
      <c r="A825" s="187"/>
      <c r="B825" s="35"/>
      <c r="C825" s="23"/>
      <c r="D825" s="35"/>
      <c r="E825" s="35"/>
      <c r="F825" s="35"/>
      <c r="G825" s="28"/>
      <c r="H825" s="35"/>
      <c r="I825" s="35"/>
      <c r="J825" s="35"/>
      <c r="K825" s="35"/>
      <c r="L825" s="35"/>
      <c r="M825" s="35"/>
      <c r="N825" s="35"/>
      <c r="O825" s="23"/>
      <c r="P825" s="35"/>
      <c r="Q825" s="188"/>
      <c r="R825" s="35"/>
      <c r="S825" s="35"/>
      <c r="T825" s="35"/>
    </row>
    <row r="826" spans="1:20" ht="29.25" customHeight="1" x14ac:dyDescent="0.2">
      <c r="A826" s="187"/>
      <c r="B826" s="35"/>
      <c r="C826" s="23"/>
      <c r="D826" s="35"/>
      <c r="E826" s="35"/>
      <c r="F826" s="35"/>
      <c r="G826" s="28"/>
      <c r="H826" s="35"/>
      <c r="I826" s="35"/>
      <c r="J826" s="35"/>
      <c r="K826" s="35"/>
      <c r="L826" s="35"/>
      <c r="M826" s="35"/>
      <c r="N826" s="35"/>
      <c r="O826" s="23"/>
      <c r="P826" s="35"/>
      <c r="Q826" s="188"/>
      <c r="R826" s="35"/>
      <c r="S826" s="35"/>
      <c r="T826" s="35"/>
    </row>
    <row r="827" spans="1:20" ht="29.25" customHeight="1" x14ac:dyDescent="0.2">
      <c r="A827" s="187"/>
      <c r="B827" s="35"/>
      <c r="C827" s="23"/>
      <c r="D827" s="35"/>
      <c r="E827" s="35"/>
      <c r="F827" s="35"/>
      <c r="G827" s="28"/>
      <c r="H827" s="35"/>
      <c r="I827" s="35"/>
      <c r="J827" s="35"/>
      <c r="K827" s="35"/>
      <c r="L827" s="35"/>
      <c r="M827" s="35"/>
      <c r="N827" s="35"/>
      <c r="O827" s="23"/>
      <c r="P827" s="35"/>
      <c r="Q827" s="188"/>
      <c r="R827" s="35"/>
      <c r="S827" s="35"/>
      <c r="T827" s="35"/>
    </row>
    <row r="828" spans="1:20" ht="29.25" customHeight="1" x14ac:dyDescent="0.2">
      <c r="A828" s="187"/>
      <c r="B828" s="35"/>
      <c r="C828" s="23"/>
      <c r="D828" s="35"/>
      <c r="E828" s="35"/>
      <c r="F828" s="35"/>
      <c r="G828" s="28"/>
      <c r="H828" s="35"/>
      <c r="I828" s="35"/>
      <c r="J828" s="35"/>
      <c r="K828" s="35"/>
      <c r="L828" s="35"/>
      <c r="M828" s="35"/>
      <c r="N828" s="35"/>
      <c r="O828" s="23"/>
      <c r="P828" s="35"/>
      <c r="Q828" s="188"/>
      <c r="R828" s="35"/>
      <c r="S828" s="35"/>
      <c r="T828" s="35"/>
    </row>
    <row r="829" spans="1:20" ht="29.25" customHeight="1" x14ac:dyDescent="0.2">
      <c r="A829" s="187"/>
      <c r="B829" s="35"/>
      <c r="C829" s="23"/>
      <c r="D829" s="35"/>
      <c r="E829" s="35"/>
      <c r="F829" s="35"/>
      <c r="G829" s="28"/>
      <c r="H829" s="35"/>
      <c r="I829" s="35"/>
      <c r="J829" s="35"/>
      <c r="K829" s="35"/>
      <c r="L829" s="35"/>
      <c r="M829" s="35"/>
      <c r="N829" s="35"/>
      <c r="O829" s="23"/>
      <c r="P829" s="35"/>
      <c r="Q829" s="188"/>
      <c r="R829" s="35"/>
      <c r="S829" s="35"/>
      <c r="T829" s="35"/>
    </row>
    <row r="830" spans="1:20" ht="29.25" customHeight="1" x14ac:dyDescent="0.2">
      <c r="A830" s="187"/>
      <c r="B830" s="35"/>
      <c r="C830" s="23"/>
      <c r="D830" s="35"/>
      <c r="E830" s="35"/>
      <c r="F830" s="35"/>
      <c r="G830" s="28"/>
      <c r="H830" s="35"/>
      <c r="I830" s="35"/>
      <c r="J830" s="35"/>
      <c r="K830" s="35"/>
      <c r="L830" s="35"/>
      <c r="M830" s="35"/>
      <c r="N830" s="35"/>
      <c r="O830" s="23"/>
      <c r="P830" s="35"/>
      <c r="Q830" s="188"/>
      <c r="R830" s="35"/>
      <c r="S830" s="35"/>
      <c r="T830" s="35"/>
    </row>
    <row r="831" spans="1:20" ht="29.25" customHeight="1" x14ac:dyDescent="0.2">
      <c r="A831" s="187"/>
      <c r="B831" s="35"/>
      <c r="C831" s="23"/>
      <c r="D831" s="35"/>
      <c r="E831" s="35"/>
      <c r="F831" s="35"/>
      <c r="G831" s="28"/>
      <c r="H831" s="35"/>
      <c r="I831" s="35"/>
      <c r="J831" s="35"/>
      <c r="K831" s="35"/>
      <c r="L831" s="35"/>
      <c r="M831" s="35"/>
      <c r="N831" s="35"/>
      <c r="O831" s="23"/>
      <c r="P831" s="35"/>
      <c r="Q831" s="188"/>
      <c r="R831" s="35"/>
      <c r="S831" s="35"/>
      <c r="T831" s="35"/>
    </row>
    <row r="832" spans="1:20" ht="29.25" customHeight="1" x14ac:dyDescent="0.2">
      <c r="A832" s="187"/>
      <c r="B832" s="35"/>
      <c r="C832" s="23"/>
      <c r="D832" s="35"/>
      <c r="E832" s="35"/>
      <c r="F832" s="35"/>
      <c r="G832" s="28"/>
      <c r="H832" s="35"/>
      <c r="I832" s="35"/>
      <c r="J832" s="35"/>
      <c r="K832" s="35"/>
      <c r="L832" s="35"/>
      <c r="M832" s="35"/>
      <c r="N832" s="35"/>
      <c r="O832" s="23"/>
      <c r="P832" s="35"/>
      <c r="Q832" s="188"/>
      <c r="R832" s="35"/>
      <c r="S832" s="35"/>
      <c r="T832" s="35"/>
    </row>
    <row r="833" spans="1:20" ht="29.25" customHeight="1" x14ac:dyDescent="0.2">
      <c r="A833" s="187"/>
      <c r="B833" s="35"/>
      <c r="C833" s="23"/>
      <c r="D833" s="35"/>
      <c r="E833" s="35"/>
      <c r="F833" s="35"/>
      <c r="G833" s="28"/>
      <c r="H833" s="35"/>
      <c r="I833" s="35"/>
      <c r="J833" s="35"/>
      <c r="K833" s="35"/>
      <c r="L833" s="35"/>
      <c r="M833" s="35"/>
      <c r="N833" s="35"/>
      <c r="O833" s="23"/>
      <c r="P833" s="35"/>
      <c r="Q833" s="188"/>
      <c r="R833" s="35"/>
      <c r="S833" s="35"/>
      <c r="T833" s="35"/>
    </row>
    <row r="834" spans="1:20" ht="29.25" customHeight="1" x14ac:dyDescent="0.2">
      <c r="A834" s="187"/>
      <c r="B834" s="35"/>
      <c r="C834" s="23"/>
      <c r="D834" s="35"/>
      <c r="E834" s="35"/>
      <c r="F834" s="35"/>
      <c r="G834" s="28"/>
      <c r="H834" s="35"/>
      <c r="I834" s="35"/>
      <c r="J834" s="35"/>
      <c r="K834" s="35"/>
      <c r="L834" s="35"/>
      <c r="M834" s="35"/>
      <c r="N834" s="35"/>
      <c r="O834" s="23"/>
      <c r="P834" s="35"/>
      <c r="Q834" s="188"/>
      <c r="R834" s="35"/>
      <c r="S834" s="35"/>
      <c r="T834" s="35"/>
    </row>
    <row r="835" spans="1:20" ht="29.25" customHeight="1" x14ac:dyDescent="0.2">
      <c r="A835" s="187"/>
      <c r="B835" s="35"/>
      <c r="C835" s="23"/>
      <c r="D835" s="35"/>
      <c r="E835" s="35"/>
      <c r="F835" s="35"/>
      <c r="G835" s="28"/>
      <c r="H835" s="35"/>
      <c r="I835" s="35"/>
      <c r="J835" s="35"/>
      <c r="K835" s="35"/>
      <c r="L835" s="35"/>
      <c r="M835" s="35"/>
      <c r="N835" s="35"/>
      <c r="O835" s="23"/>
      <c r="P835" s="35"/>
      <c r="Q835" s="188"/>
      <c r="R835" s="35"/>
      <c r="S835" s="35"/>
      <c r="T835" s="35"/>
    </row>
    <row r="836" spans="1:20" ht="29.25" customHeight="1" x14ac:dyDescent="0.2">
      <c r="A836" s="187"/>
      <c r="B836" s="35"/>
      <c r="C836" s="23"/>
      <c r="D836" s="35"/>
      <c r="E836" s="35"/>
      <c r="F836" s="35"/>
      <c r="G836" s="28"/>
      <c r="H836" s="35"/>
      <c r="I836" s="35"/>
      <c r="J836" s="35"/>
      <c r="K836" s="35"/>
      <c r="L836" s="35"/>
      <c r="M836" s="35"/>
      <c r="N836" s="35"/>
      <c r="O836" s="23"/>
      <c r="P836" s="35"/>
      <c r="Q836" s="188"/>
      <c r="R836" s="35"/>
      <c r="S836" s="35"/>
      <c r="T836" s="35"/>
    </row>
    <row r="837" spans="1:20" ht="29.25" customHeight="1" x14ac:dyDescent="0.2">
      <c r="A837" s="187"/>
      <c r="B837" s="35"/>
      <c r="C837" s="23"/>
      <c r="D837" s="35"/>
      <c r="E837" s="35"/>
      <c r="F837" s="35"/>
      <c r="G837" s="28"/>
      <c r="H837" s="35"/>
      <c r="I837" s="35"/>
      <c r="J837" s="35"/>
      <c r="K837" s="35"/>
      <c r="L837" s="35"/>
      <c r="M837" s="35"/>
      <c r="N837" s="35"/>
      <c r="O837" s="23"/>
      <c r="P837" s="35"/>
      <c r="Q837" s="188"/>
      <c r="R837" s="35"/>
      <c r="S837" s="35"/>
      <c r="T837" s="35"/>
    </row>
    <row r="838" spans="1:20" ht="29.25" customHeight="1" x14ac:dyDescent="0.2">
      <c r="A838" s="187"/>
      <c r="B838" s="35"/>
      <c r="C838" s="23"/>
      <c r="D838" s="35"/>
      <c r="E838" s="35"/>
      <c r="F838" s="35"/>
      <c r="G838" s="28"/>
      <c r="H838" s="35"/>
      <c r="I838" s="35"/>
      <c r="J838" s="35"/>
      <c r="K838" s="35"/>
      <c r="L838" s="35"/>
      <c r="M838" s="35"/>
      <c r="N838" s="35"/>
      <c r="O838" s="23"/>
      <c r="P838" s="35"/>
      <c r="Q838" s="188"/>
      <c r="R838" s="35"/>
      <c r="S838" s="35"/>
      <c r="T838" s="35"/>
    </row>
    <row r="839" spans="1:20" ht="29.25" customHeight="1" x14ac:dyDescent="0.2">
      <c r="A839" s="187"/>
      <c r="B839" s="35"/>
      <c r="C839" s="23"/>
      <c r="D839" s="35"/>
      <c r="E839" s="35"/>
      <c r="F839" s="35"/>
      <c r="G839" s="28"/>
      <c r="H839" s="35"/>
      <c r="I839" s="35"/>
      <c r="J839" s="35"/>
      <c r="K839" s="35"/>
      <c r="L839" s="35"/>
      <c r="M839" s="35"/>
      <c r="N839" s="35"/>
      <c r="O839" s="23"/>
      <c r="P839" s="35"/>
      <c r="Q839" s="188"/>
      <c r="R839" s="35"/>
      <c r="S839" s="35"/>
      <c r="T839" s="35"/>
    </row>
    <row r="840" spans="1:20" ht="29.25" customHeight="1" x14ac:dyDescent="0.2">
      <c r="A840" s="187"/>
      <c r="B840" s="35"/>
      <c r="C840" s="23"/>
      <c r="D840" s="35"/>
      <c r="E840" s="35"/>
      <c r="F840" s="35"/>
      <c r="G840" s="28"/>
      <c r="H840" s="35"/>
      <c r="I840" s="35"/>
      <c r="J840" s="35"/>
      <c r="K840" s="35"/>
      <c r="L840" s="35"/>
      <c r="M840" s="35"/>
      <c r="N840" s="35"/>
      <c r="O840" s="23"/>
      <c r="P840" s="35"/>
      <c r="Q840" s="188"/>
      <c r="R840" s="35"/>
      <c r="S840" s="35"/>
      <c r="T840" s="35"/>
    </row>
    <row r="841" spans="1:20" ht="29.25" customHeight="1" x14ac:dyDescent="0.2">
      <c r="A841" s="187"/>
      <c r="B841" s="35"/>
      <c r="C841" s="23"/>
      <c r="D841" s="35"/>
      <c r="E841" s="35"/>
      <c r="F841" s="35"/>
      <c r="G841" s="28"/>
      <c r="H841" s="35"/>
      <c r="I841" s="35"/>
      <c r="J841" s="35"/>
      <c r="K841" s="35"/>
      <c r="L841" s="35"/>
      <c r="M841" s="35"/>
      <c r="N841" s="35"/>
      <c r="O841" s="23"/>
      <c r="P841" s="35"/>
      <c r="Q841" s="188"/>
      <c r="R841" s="35"/>
      <c r="S841" s="35"/>
      <c r="T841" s="35"/>
    </row>
    <row r="842" spans="1:20" ht="29.25" customHeight="1" x14ac:dyDescent="0.2">
      <c r="A842" s="187"/>
      <c r="B842" s="35"/>
      <c r="C842" s="23"/>
      <c r="D842" s="35"/>
      <c r="E842" s="35"/>
      <c r="F842" s="35"/>
      <c r="G842" s="28"/>
      <c r="H842" s="35"/>
      <c r="I842" s="35"/>
      <c r="J842" s="35"/>
      <c r="K842" s="35"/>
      <c r="L842" s="35"/>
      <c r="M842" s="35"/>
      <c r="N842" s="35"/>
      <c r="O842" s="23"/>
      <c r="P842" s="35"/>
      <c r="Q842" s="188"/>
      <c r="R842" s="35"/>
      <c r="S842" s="35"/>
      <c r="T842" s="35"/>
    </row>
    <row r="843" spans="1:20" ht="29.25" customHeight="1" x14ac:dyDescent="0.2">
      <c r="A843" s="187"/>
      <c r="B843" s="35"/>
      <c r="C843" s="23"/>
      <c r="D843" s="35"/>
      <c r="E843" s="35"/>
      <c r="F843" s="35"/>
      <c r="G843" s="28"/>
      <c r="H843" s="35"/>
      <c r="I843" s="35"/>
      <c r="J843" s="35"/>
      <c r="K843" s="35"/>
      <c r="L843" s="35"/>
      <c r="M843" s="35"/>
      <c r="N843" s="35"/>
      <c r="O843" s="23"/>
      <c r="P843" s="35"/>
      <c r="Q843" s="188"/>
      <c r="R843" s="35"/>
      <c r="S843" s="35"/>
      <c r="T843" s="35"/>
    </row>
    <row r="844" spans="1:20" ht="29.25" customHeight="1" x14ac:dyDescent="0.2">
      <c r="A844" s="187"/>
      <c r="B844" s="35"/>
      <c r="C844" s="23"/>
      <c r="D844" s="35"/>
      <c r="E844" s="35"/>
      <c r="F844" s="35"/>
      <c r="G844" s="28"/>
      <c r="H844" s="35"/>
      <c r="I844" s="35"/>
      <c r="J844" s="35"/>
      <c r="K844" s="35"/>
      <c r="L844" s="35"/>
      <c r="M844" s="35"/>
      <c r="N844" s="35"/>
      <c r="O844" s="23"/>
      <c r="P844" s="35"/>
      <c r="Q844" s="188"/>
      <c r="R844" s="35"/>
      <c r="S844" s="35"/>
      <c r="T844" s="35"/>
    </row>
    <row r="845" spans="1:20" ht="29.25" customHeight="1" x14ac:dyDescent="0.2">
      <c r="A845" s="187"/>
      <c r="B845" s="35"/>
      <c r="C845" s="23"/>
      <c r="D845" s="35"/>
      <c r="E845" s="35"/>
      <c r="F845" s="35"/>
      <c r="G845" s="28"/>
      <c r="H845" s="35"/>
      <c r="I845" s="35"/>
      <c r="J845" s="35"/>
      <c r="K845" s="35"/>
      <c r="L845" s="35"/>
      <c r="M845" s="35"/>
      <c r="N845" s="35"/>
      <c r="O845" s="23"/>
      <c r="P845" s="35"/>
      <c r="Q845" s="188"/>
      <c r="R845" s="35"/>
      <c r="S845" s="35"/>
      <c r="T845" s="35"/>
    </row>
    <row r="846" spans="1:20" ht="29.25" customHeight="1" x14ac:dyDescent="0.2">
      <c r="A846" s="187"/>
      <c r="B846" s="35"/>
      <c r="C846" s="23"/>
      <c r="D846" s="35"/>
      <c r="E846" s="35"/>
      <c r="F846" s="35"/>
      <c r="G846" s="28"/>
      <c r="H846" s="35"/>
      <c r="I846" s="35"/>
      <c r="J846" s="35"/>
      <c r="K846" s="35"/>
      <c r="L846" s="35"/>
      <c r="M846" s="35"/>
      <c r="N846" s="35"/>
      <c r="O846" s="23"/>
      <c r="P846" s="35"/>
      <c r="Q846" s="188"/>
      <c r="R846" s="35"/>
      <c r="S846" s="35"/>
      <c r="T846" s="35"/>
    </row>
    <row r="847" spans="1:20" ht="29.25" customHeight="1" x14ac:dyDescent="0.2">
      <c r="A847" s="187"/>
      <c r="B847" s="35"/>
      <c r="C847" s="23"/>
      <c r="D847" s="35"/>
      <c r="E847" s="35"/>
      <c r="F847" s="35"/>
      <c r="G847" s="28"/>
      <c r="H847" s="35"/>
      <c r="I847" s="35"/>
      <c r="J847" s="35"/>
      <c r="K847" s="35"/>
      <c r="L847" s="35"/>
      <c r="M847" s="35"/>
      <c r="N847" s="35"/>
      <c r="O847" s="23"/>
      <c r="P847" s="35"/>
      <c r="Q847" s="188"/>
      <c r="R847" s="35"/>
      <c r="S847" s="35"/>
      <c r="T847" s="35"/>
    </row>
    <row r="848" spans="1:20" ht="29.25" customHeight="1" x14ac:dyDescent="0.2">
      <c r="A848" s="187"/>
      <c r="B848" s="35"/>
      <c r="C848" s="23"/>
      <c r="D848" s="35"/>
      <c r="E848" s="35"/>
      <c r="F848" s="35"/>
      <c r="G848" s="28"/>
      <c r="H848" s="35"/>
      <c r="I848" s="35"/>
      <c r="J848" s="35"/>
      <c r="K848" s="35"/>
      <c r="L848" s="35"/>
      <c r="M848" s="35"/>
      <c r="N848" s="35"/>
      <c r="O848" s="23"/>
      <c r="P848" s="35"/>
      <c r="Q848" s="188"/>
      <c r="R848" s="35"/>
      <c r="S848" s="35"/>
      <c r="T848" s="35"/>
    </row>
    <row r="849" spans="1:20" ht="29.25" customHeight="1" x14ac:dyDescent="0.2">
      <c r="A849" s="187"/>
      <c r="B849" s="35"/>
      <c r="C849" s="23"/>
      <c r="D849" s="35"/>
      <c r="E849" s="35"/>
      <c r="F849" s="35"/>
      <c r="G849" s="28"/>
      <c r="H849" s="35"/>
      <c r="I849" s="35"/>
      <c r="J849" s="35"/>
      <c r="K849" s="35"/>
      <c r="L849" s="35"/>
      <c r="M849" s="35"/>
      <c r="N849" s="35"/>
      <c r="O849" s="23"/>
      <c r="P849" s="35"/>
      <c r="Q849" s="188"/>
      <c r="R849" s="35"/>
      <c r="S849" s="35"/>
      <c r="T849" s="35"/>
    </row>
    <row r="850" spans="1:20" ht="29.25" customHeight="1" x14ac:dyDescent="0.2">
      <c r="A850" s="187"/>
      <c r="B850" s="35"/>
      <c r="C850" s="23"/>
      <c r="D850" s="35"/>
      <c r="E850" s="35"/>
      <c r="F850" s="35"/>
      <c r="G850" s="28"/>
      <c r="H850" s="35"/>
      <c r="I850" s="35"/>
      <c r="J850" s="35"/>
      <c r="K850" s="35"/>
      <c r="L850" s="35"/>
      <c r="M850" s="35"/>
      <c r="N850" s="35"/>
      <c r="O850" s="23"/>
      <c r="P850" s="35"/>
      <c r="Q850" s="188"/>
      <c r="R850" s="35"/>
      <c r="S850" s="35"/>
      <c r="T850" s="35"/>
    </row>
    <row r="851" spans="1:20" ht="29.25" customHeight="1" x14ac:dyDescent="0.2">
      <c r="A851" s="187"/>
      <c r="B851" s="35"/>
      <c r="C851" s="23"/>
      <c r="D851" s="35"/>
      <c r="E851" s="35"/>
      <c r="F851" s="35"/>
      <c r="G851" s="28"/>
      <c r="H851" s="35"/>
      <c r="I851" s="35"/>
      <c r="J851" s="35"/>
      <c r="K851" s="35"/>
      <c r="L851" s="35"/>
      <c r="M851" s="35"/>
      <c r="N851" s="35"/>
      <c r="O851" s="23"/>
      <c r="P851" s="35"/>
      <c r="Q851" s="188"/>
      <c r="R851" s="35"/>
      <c r="S851" s="35"/>
      <c r="T851" s="35"/>
    </row>
    <row r="852" spans="1:20" ht="29.25" customHeight="1" x14ac:dyDescent="0.2">
      <c r="A852" s="187"/>
      <c r="B852" s="35"/>
      <c r="C852" s="23"/>
      <c r="D852" s="35"/>
      <c r="E852" s="35"/>
      <c r="F852" s="35"/>
      <c r="G852" s="28"/>
      <c r="H852" s="35"/>
      <c r="I852" s="35"/>
      <c r="J852" s="35"/>
      <c r="K852" s="35"/>
      <c r="L852" s="35"/>
      <c r="M852" s="35"/>
      <c r="N852" s="35"/>
      <c r="O852" s="23"/>
      <c r="P852" s="35"/>
      <c r="Q852" s="188"/>
      <c r="R852" s="35"/>
      <c r="S852" s="35"/>
      <c r="T852" s="35"/>
    </row>
    <row r="853" spans="1:20" ht="29.25" customHeight="1" x14ac:dyDescent="0.2">
      <c r="A853" s="187"/>
      <c r="B853" s="35"/>
      <c r="C853" s="23"/>
      <c r="D853" s="35"/>
      <c r="E853" s="35"/>
      <c r="F853" s="35"/>
      <c r="G853" s="28"/>
      <c r="H853" s="35"/>
      <c r="I853" s="35"/>
      <c r="J853" s="35"/>
      <c r="K853" s="35"/>
      <c r="L853" s="35"/>
      <c r="M853" s="35"/>
      <c r="N853" s="35"/>
      <c r="O853" s="23"/>
      <c r="P853" s="35"/>
      <c r="Q853" s="188"/>
      <c r="R853" s="35"/>
      <c r="S853" s="35"/>
      <c r="T853" s="35"/>
    </row>
    <row r="854" spans="1:20" ht="29.25" customHeight="1" x14ac:dyDescent="0.2">
      <c r="A854" s="187"/>
      <c r="B854" s="35"/>
      <c r="C854" s="23"/>
      <c r="D854" s="35"/>
      <c r="E854" s="35"/>
      <c r="F854" s="35"/>
      <c r="G854" s="28"/>
      <c r="H854" s="35"/>
      <c r="I854" s="35"/>
      <c r="J854" s="35"/>
      <c r="K854" s="35"/>
      <c r="L854" s="35"/>
      <c r="M854" s="35"/>
      <c r="N854" s="35"/>
      <c r="O854" s="23"/>
      <c r="P854" s="35"/>
      <c r="Q854" s="188"/>
      <c r="R854" s="35"/>
      <c r="S854" s="35"/>
      <c r="T854" s="35"/>
    </row>
    <row r="855" spans="1:20" ht="29.25" customHeight="1" x14ac:dyDescent="0.2">
      <c r="A855" s="187"/>
      <c r="B855" s="35"/>
      <c r="C855" s="23"/>
      <c r="D855" s="35"/>
      <c r="E855" s="35"/>
      <c r="F855" s="35"/>
      <c r="G855" s="28"/>
      <c r="H855" s="35"/>
      <c r="I855" s="35"/>
      <c r="J855" s="35"/>
      <c r="K855" s="35"/>
      <c r="L855" s="35"/>
      <c r="M855" s="35"/>
      <c r="N855" s="35"/>
      <c r="O855" s="23"/>
      <c r="P855" s="35"/>
      <c r="Q855" s="188"/>
      <c r="R855" s="35"/>
      <c r="S855" s="35"/>
      <c r="T855" s="35"/>
    </row>
    <row r="856" spans="1:20" ht="29.25" customHeight="1" x14ac:dyDescent="0.2">
      <c r="A856" s="187"/>
      <c r="B856" s="35"/>
      <c r="C856" s="23"/>
      <c r="D856" s="35"/>
      <c r="E856" s="35"/>
      <c r="F856" s="35"/>
      <c r="G856" s="28"/>
      <c r="H856" s="35"/>
      <c r="I856" s="35"/>
      <c r="J856" s="35"/>
      <c r="K856" s="35"/>
      <c r="L856" s="35"/>
      <c r="M856" s="35"/>
      <c r="N856" s="35"/>
      <c r="O856" s="23"/>
      <c r="P856" s="35"/>
      <c r="Q856" s="188"/>
      <c r="R856" s="35"/>
      <c r="S856" s="35"/>
      <c r="T856" s="35"/>
    </row>
    <row r="857" spans="1:20" ht="29.25" customHeight="1" x14ac:dyDescent="0.2">
      <c r="A857" s="187"/>
      <c r="B857" s="35"/>
      <c r="C857" s="23"/>
      <c r="D857" s="35"/>
      <c r="E857" s="35"/>
      <c r="F857" s="35"/>
      <c r="G857" s="28"/>
      <c r="H857" s="35"/>
      <c r="I857" s="35"/>
      <c r="J857" s="35"/>
      <c r="K857" s="35"/>
      <c r="L857" s="35"/>
      <c r="M857" s="35"/>
      <c r="N857" s="35"/>
      <c r="O857" s="23"/>
      <c r="P857" s="35"/>
      <c r="Q857" s="188"/>
      <c r="R857" s="35"/>
      <c r="S857" s="35"/>
      <c r="T857" s="35"/>
    </row>
    <row r="858" spans="1:20" ht="29.25" customHeight="1" x14ac:dyDescent="0.2">
      <c r="A858" s="187"/>
      <c r="B858" s="35"/>
      <c r="C858" s="23"/>
      <c r="D858" s="35"/>
      <c r="E858" s="35"/>
      <c r="F858" s="35"/>
      <c r="G858" s="28"/>
      <c r="H858" s="35"/>
      <c r="I858" s="35"/>
      <c r="J858" s="35"/>
      <c r="K858" s="35"/>
      <c r="L858" s="35"/>
      <c r="M858" s="35"/>
      <c r="N858" s="35"/>
      <c r="O858" s="23"/>
      <c r="P858" s="35"/>
      <c r="Q858" s="188"/>
      <c r="R858" s="35"/>
      <c r="S858" s="35"/>
      <c r="T858" s="35"/>
    </row>
    <row r="859" spans="1:20" ht="29.25" customHeight="1" x14ac:dyDescent="0.2">
      <c r="A859" s="187"/>
      <c r="B859" s="35"/>
      <c r="C859" s="23"/>
      <c r="D859" s="35"/>
      <c r="E859" s="35"/>
      <c r="F859" s="35"/>
      <c r="G859" s="28"/>
      <c r="H859" s="35"/>
      <c r="I859" s="35"/>
      <c r="J859" s="35"/>
      <c r="K859" s="35"/>
      <c r="L859" s="35"/>
      <c r="M859" s="35"/>
      <c r="N859" s="35"/>
      <c r="O859" s="23"/>
      <c r="P859" s="35"/>
      <c r="Q859" s="188"/>
      <c r="R859" s="35"/>
      <c r="S859" s="35"/>
      <c r="T859" s="35"/>
    </row>
    <row r="860" spans="1:20" ht="29.25" customHeight="1" x14ac:dyDescent="0.2">
      <c r="A860" s="187"/>
      <c r="B860" s="35"/>
      <c r="C860" s="23"/>
      <c r="D860" s="35"/>
      <c r="E860" s="35"/>
      <c r="F860" s="35"/>
      <c r="G860" s="28"/>
      <c r="H860" s="35"/>
      <c r="I860" s="35"/>
      <c r="J860" s="35"/>
      <c r="K860" s="35"/>
      <c r="L860" s="35"/>
      <c r="M860" s="35"/>
      <c r="N860" s="35"/>
      <c r="O860" s="23"/>
      <c r="P860" s="35"/>
      <c r="Q860" s="188"/>
      <c r="R860" s="35"/>
      <c r="S860" s="35"/>
      <c r="T860" s="35"/>
    </row>
    <row r="861" spans="1:20" ht="29.25" customHeight="1" x14ac:dyDescent="0.2">
      <c r="A861" s="187"/>
      <c r="B861" s="35"/>
      <c r="C861" s="23"/>
      <c r="D861" s="35"/>
      <c r="E861" s="35"/>
      <c r="F861" s="35"/>
      <c r="G861" s="28"/>
      <c r="H861" s="35"/>
      <c r="I861" s="35"/>
      <c r="J861" s="35"/>
      <c r="K861" s="35"/>
      <c r="L861" s="35"/>
      <c r="M861" s="35"/>
      <c r="N861" s="35"/>
      <c r="O861" s="23"/>
      <c r="P861" s="35"/>
      <c r="Q861" s="188"/>
      <c r="R861" s="35"/>
      <c r="S861" s="35"/>
      <c r="T861" s="35"/>
    </row>
    <row r="862" spans="1:20" ht="29.25" customHeight="1" x14ac:dyDescent="0.2">
      <c r="A862" s="187"/>
      <c r="B862" s="35"/>
      <c r="C862" s="23"/>
      <c r="D862" s="35"/>
      <c r="E862" s="35"/>
      <c r="F862" s="35"/>
      <c r="G862" s="28"/>
      <c r="H862" s="35"/>
      <c r="I862" s="35"/>
      <c r="J862" s="35"/>
      <c r="K862" s="35"/>
      <c r="L862" s="35"/>
      <c r="M862" s="35"/>
      <c r="N862" s="35"/>
      <c r="O862" s="23"/>
      <c r="P862" s="35"/>
      <c r="Q862" s="188"/>
      <c r="R862" s="35"/>
      <c r="S862" s="35"/>
      <c r="T862" s="35"/>
    </row>
    <row r="863" spans="1:20" ht="29.25" customHeight="1" x14ac:dyDescent="0.2">
      <c r="A863" s="187"/>
      <c r="B863" s="35"/>
      <c r="C863" s="23"/>
      <c r="D863" s="35"/>
      <c r="E863" s="35"/>
      <c r="F863" s="35"/>
      <c r="G863" s="28"/>
      <c r="H863" s="35"/>
      <c r="I863" s="35"/>
      <c r="J863" s="35"/>
      <c r="K863" s="35"/>
      <c r="L863" s="35"/>
      <c r="M863" s="35"/>
      <c r="N863" s="35"/>
      <c r="O863" s="23"/>
      <c r="P863" s="35"/>
      <c r="Q863" s="188"/>
      <c r="R863" s="35"/>
      <c r="S863" s="35"/>
      <c r="T863" s="35"/>
    </row>
    <row r="864" spans="1:20" ht="29.25" customHeight="1" x14ac:dyDescent="0.2">
      <c r="A864" s="187"/>
      <c r="B864" s="35"/>
      <c r="C864" s="23"/>
      <c r="D864" s="35"/>
      <c r="E864" s="35"/>
      <c r="F864" s="35"/>
      <c r="G864" s="28"/>
      <c r="H864" s="35"/>
      <c r="I864" s="35"/>
      <c r="J864" s="35"/>
      <c r="K864" s="35"/>
      <c r="L864" s="35"/>
      <c r="M864" s="35"/>
      <c r="N864" s="35"/>
      <c r="O864" s="23"/>
      <c r="P864" s="35"/>
      <c r="Q864" s="188"/>
      <c r="R864" s="35"/>
      <c r="S864" s="35"/>
      <c r="T864" s="35"/>
    </row>
    <row r="865" spans="1:20" ht="29.25" customHeight="1" x14ac:dyDescent="0.2">
      <c r="A865" s="187"/>
      <c r="B865" s="35"/>
      <c r="C865" s="23"/>
      <c r="D865" s="35"/>
      <c r="E865" s="35"/>
      <c r="F865" s="35"/>
      <c r="G865" s="28"/>
      <c r="H865" s="35"/>
      <c r="I865" s="35"/>
      <c r="J865" s="35"/>
      <c r="K865" s="35"/>
      <c r="L865" s="35"/>
      <c r="M865" s="35"/>
      <c r="N865" s="35"/>
      <c r="O865" s="23"/>
      <c r="P865" s="35"/>
      <c r="Q865" s="188"/>
      <c r="R865" s="35"/>
      <c r="S865" s="35"/>
      <c r="T865" s="35"/>
    </row>
    <row r="866" spans="1:20" ht="29.25" customHeight="1" x14ac:dyDescent="0.2">
      <c r="A866" s="187"/>
      <c r="B866" s="35"/>
      <c r="C866" s="23"/>
      <c r="D866" s="35"/>
      <c r="E866" s="35"/>
      <c r="F866" s="35"/>
      <c r="G866" s="28"/>
      <c r="H866" s="35"/>
      <c r="I866" s="35"/>
      <c r="J866" s="35"/>
      <c r="K866" s="35"/>
      <c r="L866" s="35"/>
      <c r="M866" s="35"/>
      <c r="N866" s="35"/>
      <c r="O866" s="23"/>
      <c r="P866" s="35"/>
      <c r="Q866" s="188"/>
      <c r="R866" s="35"/>
      <c r="S866" s="35"/>
      <c r="T866" s="35"/>
    </row>
    <row r="867" spans="1:20" ht="29.25" customHeight="1" x14ac:dyDescent="0.2">
      <c r="A867" s="187"/>
      <c r="B867" s="35"/>
      <c r="C867" s="23"/>
      <c r="D867" s="35"/>
      <c r="E867" s="35"/>
      <c r="F867" s="35"/>
      <c r="G867" s="28"/>
      <c r="H867" s="35"/>
      <c r="I867" s="35"/>
      <c r="J867" s="35"/>
      <c r="K867" s="35"/>
      <c r="L867" s="35"/>
      <c r="M867" s="35"/>
      <c r="N867" s="35"/>
      <c r="O867" s="23"/>
      <c r="P867" s="35"/>
      <c r="Q867" s="188"/>
      <c r="R867" s="35"/>
      <c r="S867" s="35"/>
      <c r="T867" s="35"/>
    </row>
    <row r="868" spans="1:20" ht="29.25" customHeight="1" x14ac:dyDescent="0.2">
      <c r="A868" s="187"/>
      <c r="B868" s="35"/>
      <c r="C868" s="23"/>
      <c r="D868" s="35"/>
      <c r="E868" s="35"/>
      <c r="F868" s="35"/>
      <c r="G868" s="28"/>
      <c r="H868" s="35"/>
      <c r="I868" s="35"/>
      <c r="J868" s="35"/>
      <c r="K868" s="35"/>
      <c r="L868" s="35"/>
      <c r="M868" s="35"/>
      <c r="N868" s="35"/>
      <c r="O868" s="23"/>
      <c r="P868" s="35"/>
      <c r="Q868" s="188"/>
      <c r="R868" s="35"/>
      <c r="S868" s="35"/>
      <c r="T868" s="35"/>
    </row>
    <row r="869" spans="1:20" ht="29.25" customHeight="1" x14ac:dyDescent="0.2">
      <c r="A869" s="187"/>
      <c r="B869" s="35"/>
      <c r="C869" s="23"/>
      <c r="D869" s="35"/>
      <c r="E869" s="35"/>
      <c r="F869" s="35"/>
      <c r="G869" s="28"/>
      <c r="H869" s="35"/>
      <c r="I869" s="35"/>
      <c r="J869" s="35"/>
      <c r="K869" s="35"/>
      <c r="L869" s="35"/>
      <c r="M869" s="35"/>
      <c r="N869" s="35"/>
      <c r="O869" s="23"/>
      <c r="P869" s="35"/>
      <c r="Q869" s="188"/>
      <c r="R869" s="35"/>
      <c r="S869" s="35"/>
      <c r="T869" s="35"/>
    </row>
    <row r="870" spans="1:20" ht="29.25" customHeight="1" x14ac:dyDescent="0.2">
      <c r="A870" s="187"/>
      <c r="B870" s="35"/>
      <c r="C870" s="23"/>
      <c r="D870" s="35"/>
      <c r="E870" s="35"/>
      <c r="F870" s="35"/>
      <c r="G870" s="28"/>
      <c r="H870" s="35"/>
      <c r="I870" s="35"/>
      <c r="J870" s="35"/>
      <c r="K870" s="35"/>
      <c r="L870" s="35"/>
      <c r="M870" s="35"/>
      <c r="N870" s="35"/>
      <c r="O870" s="23"/>
      <c r="P870" s="35"/>
      <c r="Q870" s="188"/>
      <c r="R870" s="35"/>
      <c r="S870" s="35"/>
      <c r="T870" s="35"/>
    </row>
    <row r="871" spans="1:20" ht="29.25" customHeight="1" x14ac:dyDescent="0.2">
      <c r="A871" s="187"/>
      <c r="B871" s="35"/>
      <c r="C871" s="23"/>
      <c r="D871" s="35"/>
      <c r="E871" s="35"/>
      <c r="F871" s="35"/>
      <c r="G871" s="28"/>
      <c r="H871" s="35"/>
      <c r="I871" s="35"/>
      <c r="J871" s="35"/>
      <c r="K871" s="35"/>
      <c r="L871" s="35"/>
      <c r="M871" s="35"/>
      <c r="N871" s="35"/>
      <c r="O871" s="23"/>
      <c r="P871" s="35"/>
      <c r="Q871" s="188"/>
      <c r="R871" s="35"/>
      <c r="S871" s="35"/>
      <c r="T871" s="35"/>
    </row>
    <row r="872" spans="1:20" ht="29.25" customHeight="1" x14ac:dyDescent="0.2">
      <c r="A872" s="187"/>
      <c r="B872" s="35"/>
      <c r="C872" s="23"/>
      <c r="D872" s="35"/>
      <c r="E872" s="35"/>
      <c r="F872" s="35"/>
      <c r="G872" s="28"/>
      <c r="H872" s="35"/>
      <c r="I872" s="35"/>
      <c r="J872" s="35"/>
      <c r="K872" s="35"/>
      <c r="L872" s="35"/>
      <c r="M872" s="35"/>
      <c r="N872" s="35"/>
      <c r="O872" s="23"/>
      <c r="P872" s="35"/>
      <c r="Q872" s="188"/>
      <c r="R872" s="35"/>
      <c r="S872" s="35"/>
      <c r="T872" s="35"/>
    </row>
    <row r="873" spans="1:20" ht="29.25" customHeight="1" x14ac:dyDescent="0.2">
      <c r="A873" s="187"/>
      <c r="B873" s="35"/>
      <c r="C873" s="23"/>
      <c r="D873" s="35"/>
      <c r="E873" s="35"/>
      <c r="F873" s="35"/>
      <c r="G873" s="28"/>
      <c r="H873" s="35"/>
      <c r="I873" s="35"/>
      <c r="J873" s="35"/>
      <c r="K873" s="35"/>
      <c r="L873" s="35"/>
      <c r="M873" s="35"/>
      <c r="N873" s="35"/>
      <c r="O873" s="23"/>
      <c r="P873" s="35"/>
      <c r="Q873" s="188"/>
      <c r="R873" s="35"/>
      <c r="S873" s="35"/>
      <c r="T873" s="35"/>
    </row>
    <row r="874" spans="1:20" ht="29.25" customHeight="1" x14ac:dyDescent="0.2">
      <c r="A874" s="187"/>
      <c r="B874" s="35"/>
      <c r="C874" s="23"/>
      <c r="D874" s="35"/>
      <c r="E874" s="35"/>
      <c r="F874" s="35"/>
      <c r="G874" s="28"/>
      <c r="H874" s="35"/>
      <c r="I874" s="35"/>
      <c r="J874" s="35"/>
      <c r="K874" s="35"/>
      <c r="L874" s="35"/>
      <c r="M874" s="35"/>
      <c r="N874" s="35"/>
      <c r="O874" s="23"/>
      <c r="P874" s="35"/>
      <c r="Q874" s="188"/>
      <c r="R874" s="35"/>
      <c r="S874" s="35"/>
      <c r="T874" s="35"/>
    </row>
    <row r="875" spans="1:20" ht="29.25" customHeight="1" x14ac:dyDescent="0.2">
      <c r="A875" s="187"/>
      <c r="B875" s="35"/>
      <c r="C875" s="23"/>
      <c r="D875" s="35"/>
      <c r="E875" s="35"/>
      <c r="F875" s="35"/>
      <c r="G875" s="28"/>
      <c r="H875" s="35"/>
      <c r="I875" s="35"/>
      <c r="J875" s="35"/>
      <c r="K875" s="35"/>
      <c r="L875" s="35"/>
      <c r="M875" s="35"/>
      <c r="N875" s="35"/>
      <c r="O875" s="23"/>
      <c r="P875" s="35"/>
      <c r="Q875" s="188"/>
      <c r="R875" s="35"/>
      <c r="S875" s="35"/>
      <c r="T875" s="35"/>
    </row>
    <row r="876" spans="1:20" ht="29.25" customHeight="1" x14ac:dyDescent="0.2">
      <c r="A876" s="187"/>
      <c r="B876" s="35"/>
      <c r="C876" s="23"/>
      <c r="D876" s="35"/>
      <c r="E876" s="35"/>
      <c r="F876" s="35"/>
      <c r="G876" s="28"/>
      <c r="H876" s="35"/>
      <c r="I876" s="35"/>
      <c r="J876" s="35"/>
      <c r="K876" s="35"/>
      <c r="L876" s="35"/>
      <c r="M876" s="35"/>
      <c r="N876" s="35"/>
      <c r="O876" s="23"/>
      <c r="P876" s="35"/>
      <c r="Q876" s="188"/>
      <c r="R876" s="35"/>
      <c r="S876" s="35"/>
      <c r="T876" s="35"/>
    </row>
    <row r="877" spans="1:20" ht="29.25" customHeight="1" x14ac:dyDescent="0.2">
      <c r="A877" s="187"/>
      <c r="B877" s="35"/>
      <c r="C877" s="23"/>
      <c r="D877" s="35"/>
      <c r="E877" s="35"/>
      <c r="F877" s="35"/>
      <c r="G877" s="28"/>
      <c r="H877" s="35"/>
      <c r="I877" s="35"/>
      <c r="J877" s="35"/>
      <c r="K877" s="35"/>
      <c r="L877" s="35"/>
      <c r="M877" s="35"/>
      <c r="N877" s="35"/>
      <c r="O877" s="23"/>
      <c r="P877" s="35"/>
      <c r="Q877" s="188"/>
      <c r="R877" s="35"/>
      <c r="S877" s="35"/>
      <c r="T877" s="35"/>
    </row>
    <row r="878" spans="1:20" ht="29.25" customHeight="1" x14ac:dyDescent="0.2">
      <c r="A878" s="187"/>
      <c r="B878" s="35"/>
      <c r="C878" s="23"/>
      <c r="D878" s="35"/>
      <c r="E878" s="35"/>
      <c r="F878" s="35"/>
      <c r="G878" s="28"/>
      <c r="H878" s="35"/>
      <c r="I878" s="35"/>
      <c r="J878" s="35"/>
      <c r="K878" s="35"/>
      <c r="L878" s="35"/>
      <c r="M878" s="35"/>
      <c r="N878" s="35"/>
      <c r="O878" s="23"/>
      <c r="P878" s="35"/>
      <c r="Q878" s="188"/>
      <c r="R878" s="35"/>
      <c r="S878" s="35"/>
      <c r="T878" s="35"/>
    </row>
    <row r="879" spans="1:20" ht="29.25" customHeight="1" x14ac:dyDescent="0.2">
      <c r="A879" s="187"/>
      <c r="B879" s="35"/>
      <c r="C879" s="23"/>
      <c r="D879" s="35"/>
      <c r="E879" s="35"/>
      <c r="F879" s="35"/>
      <c r="G879" s="28"/>
      <c r="H879" s="35"/>
      <c r="I879" s="35"/>
      <c r="J879" s="35"/>
      <c r="K879" s="35"/>
      <c r="L879" s="35"/>
      <c r="M879" s="35"/>
      <c r="N879" s="35"/>
      <c r="O879" s="23"/>
      <c r="P879" s="35"/>
      <c r="Q879" s="188"/>
      <c r="R879" s="35"/>
      <c r="S879" s="35"/>
      <c r="T879" s="35"/>
    </row>
    <row r="880" spans="1:20" ht="29.25" customHeight="1" x14ac:dyDescent="0.2">
      <c r="A880" s="187"/>
      <c r="B880" s="35"/>
      <c r="C880" s="23"/>
      <c r="D880" s="35"/>
      <c r="E880" s="35"/>
      <c r="F880" s="35"/>
      <c r="G880" s="28"/>
      <c r="H880" s="35"/>
      <c r="I880" s="35"/>
      <c r="J880" s="35"/>
      <c r="K880" s="35"/>
      <c r="L880" s="35"/>
      <c r="M880" s="35"/>
      <c r="N880" s="35"/>
      <c r="O880" s="23"/>
      <c r="P880" s="35"/>
      <c r="Q880" s="188"/>
      <c r="R880" s="35"/>
      <c r="S880" s="35"/>
      <c r="T880" s="35"/>
    </row>
    <row r="881" spans="1:20" ht="29.25" customHeight="1" x14ac:dyDescent="0.2">
      <c r="A881" s="187"/>
      <c r="B881" s="35"/>
      <c r="C881" s="23"/>
      <c r="D881" s="35"/>
      <c r="E881" s="35"/>
      <c r="F881" s="35"/>
      <c r="G881" s="28"/>
      <c r="H881" s="35"/>
      <c r="I881" s="35"/>
      <c r="J881" s="35"/>
      <c r="K881" s="35"/>
      <c r="L881" s="35"/>
      <c r="M881" s="35"/>
      <c r="N881" s="35"/>
      <c r="O881" s="23"/>
      <c r="P881" s="35"/>
      <c r="Q881" s="188"/>
      <c r="R881" s="35"/>
      <c r="S881" s="35"/>
      <c r="T881" s="35"/>
    </row>
    <row r="882" spans="1:20" ht="29.25" customHeight="1" x14ac:dyDescent="0.2">
      <c r="A882" s="187"/>
      <c r="B882" s="35"/>
      <c r="C882" s="23"/>
      <c r="D882" s="35"/>
      <c r="E882" s="35"/>
      <c r="F882" s="35"/>
      <c r="G882" s="28"/>
      <c r="H882" s="35"/>
      <c r="I882" s="35"/>
      <c r="J882" s="35"/>
      <c r="K882" s="35"/>
      <c r="L882" s="35"/>
      <c r="M882" s="35"/>
      <c r="N882" s="35"/>
      <c r="O882" s="23"/>
      <c r="P882" s="35"/>
      <c r="Q882" s="188"/>
      <c r="R882" s="35"/>
      <c r="S882" s="35"/>
      <c r="T882" s="35"/>
    </row>
    <row r="883" spans="1:20" ht="29.25" customHeight="1" x14ac:dyDescent="0.2">
      <c r="A883" s="187"/>
      <c r="B883" s="35"/>
      <c r="C883" s="23"/>
      <c r="D883" s="35"/>
      <c r="E883" s="35"/>
      <c r="F883" s="35"/>
      <c r="G883" s="28"/>
      <c r="H883" s="35"/>
      <c r="I883" s="35"/>
      <c r="J883" s="35"/>
      <c r="K883" s="35"/>
      <c r="L883" s="35"/>
      <c r="M883" s="35"/>
      <c r="N883" s="35"/>
      <c r="O883" s="23"/>
      <c r="P883" s="35"/>
      <c r="Q883" s="188"/>
      <c r="R883" s="35"/>
      <c r="S883" s="35"/>
      <c r="T883" s="35"/>
    </row>
    <row r="884" spans="1:20" ht="29.25" customHeight="1" x14ac:dyDescent="0.2">
      <c r="A884" s="187"/>
      <c r="B884" s="35"/>
      <c r="C884" s="23"/>
      <c r="D884" s="35"/>
      <c r="E884" s="35"/>
      <c r="F884" s="35"/>
      <c r="G884" s="28"/>
      <c r="H884" s="35"/>
      <c r="I884" s="35"/>
      <c r="J884" s="35"/>
      <c r="K884" s="35"/>
      <c r="L884" s="35"/>
      <c r="M884" s="35"/>
      <c r="N884" s="35"/>
      <c r="O884" s="23"/>
      <c r="P884" s="35"/>
      <c r="Q884" s="188"/>
      <c r="R884" s="35"/>
      <c r="S884" s="35"/>
      <c r="T884" s="35"/>
    </row>
    <row r="885" spans="1:20" ht="29.25" customHeight="1" x14ac:dyDescent="0.2">
      <c r="A885" s="187"/>
      <c r="B885" s="35"/>
      <c r="C885" s="23"/>
      <c r="D885" s="35"/>
      <c r="E885" s="35"/>
      <c r="F885" s="35"/>
      <c r="G885" s="28"/>
      <c r="H885" s="35"/>
      <c r="I885" s="35"/>
      <c r="J885" s="35"/>
      <c r="K885" s="35"/>
      <c r="L885" s="35"/>
      <c r="M885" s="35"/>
      <c r="N885" s="35"/>
      <c r="O885" s="23"/>
      <c r="P885" s="35"/>
      <c r="Q885" s="188"/>
      <c r="R885" s="35"/>
      <c r="S885" s="35"/>
      <c r="T885" s="35"/>
    </row>
    <row r="886" spans="1:20" ht="29.25" customHeight="1" x14ac:dyDescent="0.2">
      <c r="A886" s="187"/>
      <c r="B886" s="35"/>
      <c r="C886" s="23"/>
      <c r="D886" s="35"/>
      <c r="E886" s="35"/>
      <c r="F886" s="35"/>
      <c r="G886" s="28"/>
      <c r="H886" s="35"/>
      <c r="I886" s="35"/>
      <c r="J886" s="35"/>
      <c r="K886" s="35"/>
      <c r="L886" s="35"/>
      <c r="M886" s="35"/>
      <c r="N886" s="35"/>
      <c r="O886" s="23"/>
      <c r="P886" s="35"/>
      <c r="Q886" s="188"/>
      <c r="R886" s="35"/>
      <c r="S886" s="35"/>
      <c r="T886" s="35"/>
    </row>
    <row r="887" spans="1:20" ht="29.25" customHeight="1" x14ac:dyDescent="0.2">
      <c r="A887" s="187"/>
      <c r="B887" s="35"/>
      <c r="C887" s="23"/>
      <c r="D887" s="35"/>
      <c r="E887" s="35"/>
      <c r="F887" s="35"/>
      <c r="G887" s="28"/>
      <c r="H887" s="35"/>
      <c r="I887" s="35"/>
      <c r="J887" s="35"/>
      <c r="K887" s="35"/>
      <c r="L887" s="35"/>
      <c r="M887" s="35"/>
      <c r="N887" s="35"/>
      <c r="O887" s="23"/>
      <c r="P887" s="35"/>
      <c r="Q887" s="188"/>
      <c r="R887" s="35"/>
      <c r="S887" s="35"/>
      <c r="T887" s="35"/>
    </row>
    <row r="888" spans="1:20" ht="29.25" customHeight="1" x14ac:dyDescent="0.2">
      <c r="A888" s="187"/>
      <c r="B888" s="35"/>
      <c r="C888" s="23"/>
      <c r="D888" s="35"/>
      <c r="E888" s="35"/>
      <c r="F888" s="35"/>
      <c r="G888" s="28"/>
      <c r="H888" s="35"/>
      <c r="I888" s="35"/>
      <c r="J888" s="35"/>
      <c r="K888" s="35"/>
      <c r="L888" s="35"/>
      <c r="M888" s="35"/>
      <c r="N888" s="35"/>
      <c r="O888" s="23"/>
      <c r="P888" s="35"/>
      <c r="Q888" s="188"/>
      <c r="R888" s="35"/>
      <c r="S888" s="35"/>
      <c r="T888" s="35"/>
    </row>
    <row r="889" spans="1:20" ht="29.25" customHeight="1" x14ac:dyDescent="0.2">
      <c r="A889" s="187"/>
      <c r="B889" s="35"/>
      <c r="C889" s="23"/>
      <c r="D889" s="35"/>
      <c r="E889" s="35"/>
      <c r="F889" s="35"/>
      <c r="G889" s="28"/>
      <c r="H889" s="35"/>
      <c r="I889" s="35"/>
      <c r="J889" s="35"/>
      <c r="K889" s="35"/>
      <c r="L889" s="35"/>
      <c r="M889" s="35"/>
      <c r="N889" s="35"/>
      <c r="O889" s="23"/>
      <c r="P889" s="35"/>
      <c r="Q889" s="188"/>
      <c r="R889" s="35"/>
      <c r="S889" s="35"/>
      <c r="T889" s="35"/>
    </row>
    <row r="890" spans="1:20" ht="29.25" customHeight="1" x14ac:dyDescent="0.2">
      <c r="A890" s="187"/>
      <c r="B890" s="35"/>
      <c r="C890" s="23"/>
      <c r="D890" s="35"/>
      <c r="E890" s="35"/>
      <c r="F890" s="35"/>
      <c r="G890" s="28"/>
      <c r="H890" s="35"/>
      <c r="I890" s="35"/>
      <c r="J890" s="35"/>
      <c r="K890" s="35"/>
      <c r="L890" s="35"/>
      <c r="M890" s="35"/>
      <c r="N890" s="35"/>
      <c r="O890" s="23"/>
      <c r="P890" s="35"/>
      <c r="Q890" s="188"/>
      <c r="R890" s="35"/>
      <c r="S890" s="35"/>
      <c r="T890" s="35"/>
    </row>
    <row r="891" spans="1:20" ht="29.25" customHeight="1" x14ac:dyDescent="0.2">
      <c r="A891" s="187"/>
      <c r="B891" s="35"/>
      <c r="C891" s="23"/>
      <c r="D891" s="35"/>
      <c r="E891" s="35"/>
      <c r="F891" s="35"/>
      <c r="G891" s="28"/>
      <c r="H891" s="35"/>
      <c r="I891" s="35"/>
      <c r="J891" s="35"/>
      <c r="K891" s="35"/>
      <c r="L891" s="35"/>
      <c r="M891" s="35"/>
      <c r="N891" s="35"/>
      <c r="O891" s="23"/>
      <c r="P891" s="35"/>
      <c r="Q891" s="188"/>
      <c r="R891" s="35"/>
      <c r="S891" s="35"/>
      <c r="T891" s="35"/>
    </row>
    <row r="892" spans="1:20" ht="29.25" customHeight="1" x14ac:dyDescent="0.2">
      <c r="A892" s="187"/>
      <c r="B892" s="35"/>
      <c r="C892" s="23"/>
      <c r="D892" s="35"/>
      <c r="E892" s="35"/>
      <c r="F892" s="35"/>
      <c r="G892" s="28"/>
      <c r="H892" s="35"/>
      <c r="I892" s="35"/>
      <c r="J892" s="35"/>
      <c r="K892" s="35"/>
      <c r="L892" s="35"/>
      <c r="M892" s="35"/>
      <c r="N892" s="35"/>
      <c r="O892" s="23"/>
      <c r="P892" s="35"/>
      <c r="Q892" s="188"/>
      <c r="R892" s="35"/>
      <c r="S892" s="35"/>
      <c r="T892" s="35"/>
    </row>
    <row r="893" spans="1:20" ht="29.25" customHeight="1" x14ac:dyDescent="0.2">
      <c r="A893" s="187"/>
      <c r="B893" s="35"/>
      <c r="C893" s="23"/>
      <c r="D893" s="35"/>
      <c r="E893" s="35"/>
      <c r="F893" s="35"/>
      <c r="G893" s="28"/>
      <c r="H893" s="35"/>
      <c r="I893" s="35"/>
      <c r="J893" s="35"/>
      <c r="K893" s="35"/>
      <c r="L893" s="35"/>
      <c r="M893" s="35"/>
      <c r="N893" s="35"/>
      <c r="O893" s="23"/>
      <c r="P893" s="35"/>
      <c r="Q893" s="188"/>
      <c r="R893" s="35"/>
      <c r="S893" s="35"/>
      <c r="T893" s="35"/>
    </row>
    <row r="894" spans="1:20" ht="29.25" customHeight="1" x14ac:dyDescent="0.2">
      <c r="A894" s="187"/>
      <c r="B894" s="35"/>
      <c r="C894" s="23"/>
      <c r="D894" s="35"/>
      <c r="E894" s="35"/>
      <c r="F894" s="35"/>
      <c r="G894" s="28"/>
      <c r="H894" s="35"/>
      <c r="I894" s="35"/>
      <c r="J894" s="35"/>
      <c r="K894" s="35"/>
      <c r="L894" s="35"/>
      <c r="M894" s="35"/>
      <c r="N894" s="35"/>
      <c r="O894" s="23"/>
      <c r="P894" s="35"/>
      <c r="Q894" s="188"/>
      <c r="R894" s="35"/>
      <c r="S894" s="35"/>
      <c r="T894" s="35"/>
    </row>
    <row r="895" spans="1:20" ht="29.25" customHeight="1" x14ac:dyDescent="0.2">
      <c r="A895" s="187"/>
      <c r="B895" s="35"/>
      <c r="C895" s="23"/>
      <c r="D895" s="35"/>
      <c r="E895" s="35"/>
      <c r="F895" s="35"/>
      <c r="G895" s="28"/>
      <c r="H895" s="35"/>
      <c r="I895" s="35"/>
      <c r="J895" s="35"/>
      <c r="K895" s="35"/>
      <c r="L895" s="35"/>
      <c r="M895" s="35"/>
      <c r="N895" s="35"/>
      <c r="O895" s="23"/>
      <c r="P895" s="35"/>
      <c r="Q895" s="188"/>
      <c r="R895" s="35"/>
      <c r="S895" s="35"/>
      <c r="T895" s="35"/>
    </row>
    <row r="896" spans="1:20" ht="29.25" customHeight="1" x14ac:dyDescent="0.2">
      <c r="A896" s="187"/>
      <c r="B896" s="35"/>
      <c r="C896" s="23"/>
      <c r="D896" s="35"/>
      <c r="E896" s="35"/>
      <c r="F896" s="35"/>
      <c r="G896" s="28"/>
      <c r="H896" s="35"/>
      <c r="I896" s="35"/>
      <c r="J896" s="35"/>
      <c r="K896" s="35"/>
      <c r="L896" s="35"/>
      <c r="M896" s="35"/>
      <c r="N896" s="35"/>
      <c r="O896" s="23"/>
      <c r="P896" s="35"/>
      <c r="Q896" s="188"/>
      <c r="R896" s="35"/>
      <c r="S896" s="35"/>
      <c r="T896" s="35"/>
    </row>
    <row r="897" spans="1:20" ht="29.25" customHeight="1" x14ac:dyDescent="0.2">
      <c r="A897" s="187"/>
      <c r="B897" s="35"/>
      <c r="C897" s="23"/>
      <c r="D897" s="35"/>
      <c r="E897" s="35"/>
      <c r="F897" s="35"/>
      <c r="G897" s="28"/>
      <c r="H897" s="35"/>
      <c r="I897" s="35"/>
      <c r="J897" s="35"/>
      <c r="K897" s="35"/>
      <c r="L897" s="35"/>
      <c r="M897" s="35"/>
      <c r="N897" s="35"/>
      <c r="O897" s="23"/>
      <c r="P897" s="35"/>
      <c r="Q897" s="188"/>
      <c r="R897" s="35"/>
      <c r="S897" s="35"/>
      <c r="T897" s="35"/>
    </row>
    <row r="898" spans="1:20" ht="29.25" customHeight="1" x14ac:dyDescent="0.2">
      <c r="A898" s="187"/>
      <c r="B898" s="35"/>
      <c r="C898" s="23"/>
      <c r="D898" s="35"/>
      <c r="E898" s="35"/>
      <c r="F898" s="35"/>
      <c r="G898" s="28"/>
      <c r="H898" s="35"/>
      <c r="I898" s="35"/>
      <c r="J898" s="35"/>
      <c r="K898" s="35"/>
      <c r="L898" s="35"/>
      <c r="M898" s="35"/>
      <c r="N898" s="35"/>
      <c r="O898" s="23"/>
      <c r="P898" s="35"/>
      <c r="Q898" s="188"/>
      <c r="R898" s="35"/>
      <c r="S898" s="35"/>
      <c r="T898" s="35"/>
    </row>
    <row r="899" spans="1:20" ht="29.25" customHeight="1" x14ac:dyDescent="0.2">
      <c r="A899" s="187"/>
      <c r="B899" s="35"/>
      <c r="C899" s="23"/>
      <c r="D899" s="35"/>
      <c r="E899" s="35"/>
      <c r="F899" s="35"/>
      <c r="G899" s="28"/>
      <c r="H899" s="35"/>
      <c r="I899" s="35"/>
      <c r="J899" s="35"/>
      <c r="K899" s="35"/>
      <c r="L899" s="35"/>
      <c r="M899" s="35"/>
      <c r="N899" s="35"/>
      <c r="O899" s="23"/>
      <c r="P899" s="35"/>
      <c r="Q899" s="188"/>
      <c r="R899" s="35"/>
      <c r="S899" s="35"/>
      <c r="T899" s="35"/>
    </row>
    <row r="900" spans="1:20" ht="29.25" customHeight="1" x14ac:dyDescent="0.2">
      <c r="A900" s="187"/>
      <c r="B900" s="35"/>
      <c r="C900" s="23"/>
      <c r="D900" s="35"/>
      <c r="E900" s="35"/>
      <c r="F900" s="35"/>
      <c r="G900" s="28"/>
      <c r="H900" s="35"/>
      <c r="I900" s="35"/>
      <c r="J900" s="35"/>
      <c r="K900" s="35"/>
      <c r="L900" s="35"/>
      <c r="M900" s="35"/>
      <c r="N900" s="35"/>
      <c r="O900" s="23"/>
      <c r="P900" s="35"/>
      <c r="Q900" s="188"/>
      <c r="R900" s="35"/>
      <c r="S900" s="35"/>
      <c r="T900" s="35"/>
    </row>
    <row r="901" spans="1:20" ht="29.25" customHeight="1" x14ac:dyDescent="0.2">
      <c r="A901" s="187"/>
      <c r="B901" s="35"/>
      <c r="C901" s="23"/>
      <c r="D901" s="35"/>
      <c r="E901" s="35"/>
      <c r="F901" s="35"/>
      <c r="G901" s="28"/>
      <c r="H901" s="35"/>
      <c r="I901" s="35"/>
      <c r="J901" s="35"/>
      <c r="K901" s="35"/>
      <c r="L901" s="35"/>
      <c r="M901" s="35"/>
      <c r="N901" s="35"/>
      <c r="O901" s="23"/>
      <c r="P901" s="35"/>
      <c r="Q901" s="188"/>
      <c r="R901" s="35"/>
      <c r="S901" s="35"/>
      <c r="T901" s="35"/>
    </row>
    <row r="902" spans="1:20" ht="29.25" customHeight="1" x14ac:dyDescent="0.2">
      <c r="A902" s="187"/>
      <c r="B902" s="35"/>
      <c r="C902" s="23"/>
      <c r="D902" s="35"/>
      <c r="E902" s="35"/>
      <c r="F902" s="35"/>
      <c r="G902" s="28"/>
      <c r="H902" s="35"/>
      <c r="I902" s="35"/>
      <c r="J902" s="35"/>
      <c r="K902" s="35"/>
      <c r="L902" s="35"/>
      <c r="M902" s="35"/>
      <c r="N902" s="35"/>
      <c r="O902" s="23"/>
      <c r="P902" s="35"/>
      <c r="Q902" s="188"/>
      <c r="R902" s="35"/>
      <c r="S902" s="35"/>
      <c r="T902" s="35"/>
    </row>
    <row r="903" spans="1:20" ht="29.25" customHeight="1" x14ac:dyDescent="0.2">
      <c r="A903" s="187"/>
      <c r="B903" s="35"/>
      <c r="C903" s="23"/>
      <c r="D903" s="35"/>
      <c r="E903" s="35"/>
      <c r="F903" s="35"/>
      <c r="G903" s="28"/>
      <c r="H903" s="35"/>
      <c r="I903" s="35"/>
      <c r="J903" s="35"/>
      <c r="K903" s="35"/>
      <c r="L903" s="35"/>
      <c r="M903" s="35"/>
      <c r="N903" s="35"/>
      <c r="O903" s="23"/>
      <c r="P903" s="35"/>
      <c r="Q903" s="188"/>
      <c r="R903" s="35"/>
      <c r="S903" s="35"/>
      <c r="T903" s="35"/>
    </row>
    <row r="904" spans="1:20" ht="29.25" customHeight="1" x14ac:dyDescent="0.2">
      <c r="A904" s="187"/>
      <c r="B904" s="35"/>
      <c r="C904" s="23"/>
      <c r="D904" s="35"/>
      <c r="E904" s="35"/>
      <c r="F904" s="35"/>
      <c r="G904" s="28"/>
      <c r="H904" s="35"/>
      <c r="I904" s="35"/>
      <c r="J904" s="35"/>
      <c r="K904" s="35"/>
      <c r="L904" s="35"/>
      <c r="M904" s="35"/>
      <c r="N904" s="35"/>
      <c r="O904" s="23"/>
      <c r="P904" s="35"/>
      <c r="Q904" s="188"/>
      <c r="R904" s="35"/>
      <c r="S904" s="35"/>
      <c r="T904" s="35"/>
    </row>
    <row r="905" spans="1:20" ht="29.25" customHeight="1" x14ac:dyDescent="0.2">
      <c r="A905" s="187"/>
      <c r="B905" s="35"/>
      <c r="C905" s="23"/>
      <c r="D905" s="35"/>
      <c r="E905" s="35"/>
      <c r="F905" s="35"/>
      <c r="G905" s="28"/>
      <c r="H905" s="35"/>
      <c r="I905" s="35"/>
      <c r="J905" s="35"/>
      <c r="K905" s="35"/>
      <c r="L905" s="35"/>
      <c r="M905" s="35"/>
      <c r="N905" s="35"/>
      <c r="O905" s="23"/>
      <c r="P905" s="35"/>
      <c r="Q905" s="188"/>
      <c r="R905" s="35"/>
      <c r="S905" s="35"/>
      <c r="T905" s="35"/>
    </row>
    <row r="906" spans="1:20" ht="29.25" customHeight="1" x14ac:dyDescent="0.2">
      <c r="A906" s="187"/>
      <c r="B906" s="35"/>
      <c r="C906" s="23"/>
      <c r="D906" s="35"/>
      <c r="E906" s="35"/>
      <c r="F906" s="35"/>
      <c r="G906" s="28"/>
      <c r="H906" s="35"/>
      <c r="I906" s="35"/>
      <c r="J906" s="35"/>
      <c r="K906" s="35"/>
      <c r="L906" s="35"/>
      <c r="M906" s="35"/>
      <c r="N906" s="35"/>
      <c r="O906" s="23"/>
      <c r="P906" s="35"/>
      <c r="Q906" s="188"/>
      <c r="R906" s="35"/>
      <c r="S906" s="35"/>
      <c r="T906" s="35"/>
    </row>
    <row r="907" spans="1:20" ht="29.25" customHeight="1" x14ac:dyDescent="0.2">
      <c r="A907" s="187"/>
      <c r="B907" s="35"/>
      <c r="C907" s="23"/>
      <c r="D907" s="35"/>
      <c r="E907" s="35"/>
      <c r="F907" s="35"/>
      <c r="G907" s="28"/>
      <c r="H907" s="35"/>
      <c r="I907" s="35"/>
      <c r="J907" s="35"/>
      <c r="K907" s="35"/>
      <c r="L907" s="35"/>
      <c r="M907" s="35"/>
      <c r="N907" s="35"/>
      <c r="O907" s="23"/>
      <c r="P907" s="35"/>
      <c r="Q907" s="188"/>
      <c r="R907" s="35"/>
      <c r="S907" s="35"/>
      <c r="T907" s="35"/>
    </row>
    <row r="908" spans="1:20" ht="29.25" customHeight="1" x14ac:dyDescent="0.2">
      <c r="A908" s="187"/>
      <c r="B908" s="35"/>
      <c r="C908" s="23"/>
      <c r="D908" s="35"/>
      <c r="E908" s="35"/>
      <c r="F908" s="35"/>
      <c r="G908" s="28"/>
      <c r="H908" s="35"/>
      <c r="I908" s="35"/>
      <c r="J908" s="35"/>
      <c r="K908" s="35"/>
      <c r="L908" s="35"/>
      <c r="M908" s="35"/>
      <c r="N908" s="35"/>
      <c r="O908" s="23"/>
      <c r="P908" s="35"/>
      <c r="Q908" s="188"/>
      <c r="R908" s="35"/>
      <c r="S908" s="35"/>
      <c r="T908" s="35"/>
    </row>
    <row r="909" spans="1:20" ht="29.25" customHeight="1" x14ac:dyDescent="0.2">
      <c r="A909" s="187"/>
      <c r="B909" s="35"/>
      <c r="C909" s="23"/>
      <c r="D909" s="35"/>
      <c r="E909" s="35"/>
      <c r="F909" s="35"/>
      <c r="G909" s="28"/>
      <c r="H909" s="35"/>
      <c r="I909" s="35"/>
      <c r="J909" s="35"/>
      <c r="K909" s="35"/>
      <c r="L909" s="35"/>
      <c r="M909" s="35"/>
      <c r="N909" s="35"/>
      <c r="O909" s="23"/>
      <c r="P909" s="35"/>
      <c r="Q909" s="188"/>
      <c r="R909" s="35"/>
      <c r="S909" s="35"/>
      <c r="T909" s="35"/>
    </row>
    <row r="910" spans="1:20" ht="29.25" customHeight="1" x14ac:dyDescent="0.2">
      <c r="A910" s="187"/>
      <c r="B910" s="35"/>
      <c r="C910" s="23"/>
      <c r="D910" s="35"/>
      <c r="E910" s="35"/>
      <c r="F910" s="35"/>
      <c r="G910" s="28"/>
      <c r="H910" s="35"/>
      <c r="I910" s="35"/>
      <c r="J910" s="35"/>
      <c r="K910" s="35"/>
      <c r="L910" s="35"/>
      <c r="M910" s="35"/>
      <c r="N910" s="35"/>
      <c r="O910" s="23"/>
      <c r="P910" s="35"/>
      <c r="Q910" s="188"/>
      <c r="R910" s="35"/>
      <c r="S910" s="35"/>
      <c r="T910" s="35"/>
    </row>
    <row r="911" spans="1:20" ht="29.25" customHeight="1" x14ac:dyDescent="0.2">
      <c r="A911" s="187"/>
      <c r="B911" s="35"/>
      <c r="C911" s="23"/>
      <c r="D911" s="35"/>
      <c r="E911" s="35"/>
      <c r="F911" s="35"/>
      <c r="G911" s="28"/>
      <c r="H911" s="35"/>
      <c r="I911" s="35"/>
      <c r="J911" s="35"/>
      <c r="K911" s="35"/>
      <c r="L911" s="35"/>
      <c r="M911" s="35"/>
      <c r="N911" s="35"/>
      <c r="O911" s="23"/>
      <c r="P911" s="35"/>
      <c r="Q911" s="188"/>
      <c r="R911" s="35"/>
      <c r="S911" s="35"/>
      <c r="T911" s="35"/>
    </row>
    <row r="912" spans="1:20" ht="29.25" customHeight="1" x14ac:dyDescent="0.2">
      <c r="A912" s="187"/>
      <c r="B912" s="35"/>
      <c r="C912" s="23"/>
      <c r="D912" s="35"/>
      <c r="E912" s="35"/>
      <c r="F912" s="35"/>
      <c r="G912" s="28"/>
      <c r="H912" s="35"/>
      <c r="I912" s="35"/>
      <c r="J912" s="35"/>
      <c r="K912" s="35"/>
      <c r="L912" s="35"/>
      <c r="M912" s="35"/>
      <c r="N912" s="35"/>
      <c r="O912" s="23"/>
      <c r="P912" s="35"/>
      <c r="Q912" s="188"/>
      <c r="R912" s="35"/>
      <c r="S912" s="35"/>
      <c r="T912" s="35"/>
    </row>
    <row r="913" spans="1:20" ht="29.25" customHeight="1" x14ac:dyDescent="0.2">
      <c r="A913" s="187"/>
      <c r="B913" s="35"/>
      <c r="C913" s="23"/>
      <c r="D913" s="35"/>
      <c r="E913" s="35"/>
      <c r="F913" s="35"/>
      <c r="G913" s="28"/>
      <c r="H913" s="35"/>
      <c r="I913" s="35"/>
      <c r="J913" s="35"/>
      <c r="K913" s="35"/>
      <c r="L913" s="35"/>
      <c r="M913" s="35"/>
      <c r="N913" s="35"/>
      <c r="O913" s="23"/>
      <c r="P913" s="35"/>
      <c r="Q913" s="188"/>
      <c r="R913" s="35"/>
      <c r="S913" s="35"/>
      <c r="T913" s="35"/>
    </row>
    <row r="914" spans="1:20" ht="29.25" customHeight="1" x14ac:dyDescent="0.2">
      <c r="A914" s="187"/>
      <c r="B914" s="35"/>
      <c r="C914" s="23"/>
      <c r="D914" s="35"/>
      <c r="E914" s="35"/>
      <c r="F914" s="35"/>
      <c r="G914" s="28"/>
      <c r="H914" s="35"/>
      <c r="I914" s="35"/>
      <c r="J914" s="35"/>
      <c r="K914" s="35"/>
      <c r="L914" s="35"/>
      <c r="M914" s="35"/>
      <c r="N914" s="35"/>
      <c r="O914" s="23"/>
      <c r="P914" s="35"/>
      <c r="Q914" s="188"/>
      <c r="R914" s="35"/>
      <c r="S914" s="35"/>
      <c r="T914" s="35"/>
    </row>
    <row r="915" spans="1:20" ht="29.25" customHeight="1" x14ac:dyDescent="0.2">
      <c r="A915" s="187"/>
      <c r="B915" s="35"/>
      <c r="C915" s="23"/>
      <c r="D915" s="35"/>
      <c r="E915" s="35"/>
      <c r="F915" s="35"/>
      <c r="G915" s="28"/>
      <c r="H915" s="35"/>
      <c r="I915" s="35"/>
      <c r="J915" s="35"/>
      <c r="K915" s="35"/>
      <c r="L915" s="35"/>
      <c r="M915" s="35"/>
      <c r="N915" s="35"/>
      <c r="O915" s="23"/>
      <c r="P915" s="35"/>
      <c r="Q915" s="188"/>
      <c r="R915" s="35"/>
      <c r="S915" s="35"/>
      <c r="T915" s="35"/>
    </row>
    <row r="916" spans="1:20" ht="29.25" customHeight="1" x14ac:dyDescent="0.2">
      <c r="A916" s="187"/>
      <c r="B916" s="35"/>
      <c r="C916" s="23"/>
      <c r="D916" s="35"/>
      <c r="E916" s="35"/>
      <c r="F916" s="35"/>
      <c r="G916" s="28"/>
      <c r="H916" s="35"/>
      <c r="I916" s="35"/>
      <c r="J916" s="35"/>
      <c r="K916" s="35"/>
      <c r="L916" s="35"/>
      <c r="M916" s="35"/>
      <c r="N916" s="35"/>
      <c r="O916" s="23"/>
      <c r="P916" s="35"/>
      <c r="Q916" s="188"/>
      <c r="R916" s="35"/>
      <c r="S916" s="35"/>
      <c r="T916" s="35"/>
    </row>
    <row r="917" spans="1:20" ht="29.25" customHeight="1" x14ac:dyDescent="0.2">
      <c r="A917" s="187"/>
      <c r="B917" s="35"/>
      <c r="C917" s="23"/>
      <c r="D917" s="35"/>
      <c r="E917" s="35"/>
      <c r="F917" s="35"/>
      <c r="G917" s="28"/>
      <c r="H917" s="35"/>
      <c r="I917" s="35"/>
      <c r="J917" s="35"/>
      <c r="K917" s="35"/>
      <c r="L917" s="35"/>
      <c r="M917" s="35"/>
      <c r="N917" s="35"/>
      <c r="O917" s="23"/>
      <c r="P917" s="35"/>
      <c r="Q917" s="188"/>
      <c r="R917" s="35"/>
      <c r="S917" s="35"/>
      <c r="T917" s="35"/>
    </row>
    <row r="918" spans="1:20" ht="29.25" customHeight="1" x14ac:dyDescent="0.2">
      <c r="A918" s="187"/>
      <c r="B918" s="35"/>
      <c r="C918" s="23"/>
      <c r="D918" s="35"/>
      <c r="E918" s="35"/>
      <c r="F918" s="35"/>
      <c r="G918" s="28"/>
      <c r="H918" s="35"/>
      <c r="I918" s="35"/>
      <c r="J918" s="35"/>
      <c r="K918" s="35"/>
      <c r="L918" s="35"/>
      <c r="M918" s="35"/>
      <c r="N918" s="35"/>
      <c r="O918" s="23"/>
      <c r="P918" s="35"/>
      <c r="Q918" s="188"/>
      <c r="R918" s="35"/>
      <c r="S918" s="35"/>
      <c r="T918" s="35"/>
    </row>
    <row r="919" spans="1:20" ht="29.25" customHeight="1" x14ac:dyDescent="0.2">
      <c r="A919" s="187"/>
      <c r="B919" s="35"/>
      <c r="C919" s="23"/>
      <c r="D919" s="35"/>
      <c r="E919" s="35"/>
      <c r="F919" s="35"/>
      <c r="G919" s="28"/>
      <c r="H919" s="35"/>
      <c r="I919" s="35"/>
      <c r="J919" s="35"/>
      <c r="K919" s="35"/>
      <c r="L919" s="35"/>
      <c r="M919" s="35"/>
      <c r="N919" s="35"/>
      <c r="O919" s="23"/>
      <c r="P919" s="35"/>
      <c r="Q919" s="188"/>
      <c r="R919" s="35"/>
      <c r="S919" s="35"/>
      <c r="T919" s="35"/>
    </row>
    <row r="920" spans="1:20" ht="29.25" customHeight="1" x14ac:dyDescent="0.2">
      <c r="A920" s="187"/>
      <c r="B920" s="35"/>
      <c r="C920" s="23"/>
      <c r="D920" s="35"/>
      <c r="E920" s="35"/>
      <c r="F920" s="35"/>
      <c r="G920" s="28"/>
      <c r="H920" s="35"/>
      <c r="I920" s="35"/>
      <c r="J920" s="35"/>
      <c r="K920" s="35"/>
      <c r="L920" s="35"/>
      <c r="M920" s="35"/>
      <c r="N920" s="35"/>
      <c r="O920" s="23"/>
      <c r="P920" s="35"/>
      <c r="Q920" s="188"/>
      <c r="R920" s="35"/>
      <c r="S920" s="35"/>
      <c r="T920" s="35"/>
    </row>
    <row r="921" spans="1:20" ht="29.25" customHeight="1" x14ac:dyDescent="0.2">
      <c r="A921" s="187"/>
      <c r="B921" s="35"/>
      <c r="C921" s="23"/>
      <c r="D921" s="35"/>
      <c r="E921" s="35"/>
      <c r="F921" s="35"/>
      <c r="G921" s="28"/>
      <c r="H921" s="35"/>
      <c r="I921" s="35"/>
      <c r="J921" s="35"/>
      <c r="K921" s="35"/>
      <c r="L921" s="35"/>
      <c r="M921" s="35"/>
      <c r="N921" s="35"/>
      <c r="O921" s="23"/>
      <c r="P921" s="35"/>
      <c r="Q921" s="188"/>
      <c r="R921" s="35"/>
      <c r="S921" s="35"/>
      <c r="T921" s="35"/>
    </row>
    <row r="922" spans="1:20" ht="29.25" customHeight="1" x14ac:dyDescent="0.2">
      <c r="A922" s="187"/>
      <c r="B922" s="35"/>
      <c r="C922" s="23"/>
      <c r="D922" s="35"/>
      <c r="E922" s="35"/>
      <c r="F922" s="35"/>
      <c r="G922" s="28"/>
      <c r="H922" s="35"/>
      <c r="I922" s="35"/>
      <c r="J922" s="35"/>
      <c r="K922" s="35"/>
      <c r="L922" s="35"/>
      <c r="M922" s="35"/>
      <c r="N922" s="35"/>
      <c r="O922" s="23"/>
      <c r="P922" s="35"/>
      <c r="Q922" s="188"/>
      <c r="R922" s="35"/>
      <c r="S922" s="35"/>
      <c r="T922" s="35"/>
    </row>
    <row r="923" spans="1:20" ht="29.25" customHeight="1" x14ac:dyDescent="0.2">
      <c r="A923" s="187"/>
      <c r="B923" s="35"/>
      <c r="C923" s="23"/>
      <c r="D923" s="35"/>
      <c r="E923" s="35"/>
      <c r="F923" s="35"/>
      <c r="G923" s="28"/>
      <c r="H923" s="35"/>
      <c r="I923" s="35"/>
      <c r="J923" s="35"/>
      <c r="K923" s="35"/>
      <c r="L923" s="35"/>
      <c r="M923" s="35"/>
      <c r="N923" s="35"/>
      <c r="O923" s="23"/>
      <c r="P923" s="35"/>
      <c r="Q923" s="188"/>
      <c r="R923" s="35"/>
      <c r="S923" s="35"/>
      <c r="T923" s="35"/>
    </row>
    <row r="924" spans="1:20" ht="29.25" customHeight="1" x14ac:dyDescent="0.2">
      <c r="A924" s="187"/>
      <c r="B924" s="35"/>
      <c r="C924" s="23"/>
      <c r="D924" s="35"/>
      <c r="E924" s="35"/>
      <c r="F924" s="35"/>
      <c r="G924" s="28"/>
      <c r="H924" s="35"/>
      <c r="I924" s="35"/>
      <c r="J924" s="35"/>
      <c r="K924" s="35"/>
      <c r="L924" s="35"/>
      <c r="M924" s="35"/>
      <c r="N924" s="35"/>
      <c r="O924" s="23"/>
      <c r="P924" s="35"/>
      <c r="Q924" s="188"/>
      <c r="R924" s="35"/>
      <c r="S924" s="35"/>
      <c r="T924" s="35"/>
    </row>
    <row r="925" spans="1:20" ht="29.25" customHeight="1" x14ac:dyDescent="0.2">
      <c r="A925" s="187"/>
      <c r="B925" s="35"/>
      <c r="C925" s="23"/>
      <c r="D925" s="35"/>
      <c r="E925" s="35"/>
      <c r="F925" s="35"/>
      <c r="G925" s="28"/>
      <c r="H925" s="35"/>
      <c r="I925" s="35"/>
      <c r="J925" s="35"/>
      <c r="K925" s="35"/>
      <c r="L925" s="35"/>
      <c r="M925" s="35"/>
      <c r="N925" s="35"/>
      <c r="O925" s="23"/>
      <c r="P925" s="35"/>
      <c r="Q925" s="188"/>
      <c r="R925" s="35"/>
      <c r="S925" s="35"/>
      <c r="T925" s="35"/>
    </row>
    <row r="926" spans="1:20" ht="29.25" customHeight="1" x14ac:dyDescent="0.2">
      <c r="A926" s="187"/>
      <c r="B926" s="35"/>
      <c r="C926" s="23"/>
      <c r="D926" s="35"/>
      <c r="E926" s="35"/>
      <c r="F926" s="35"/>
      <c r="G926" s="28"/>
      <c r="H926" s="35"/>
      <c r="I926" s="35"/>
      <c r="J926" s="35"/>
      <c r="K926" s="35"/>
      <c r="L926" s="35"/>
      <c r="M926" s="35"/>
      <c r="N926" s="35"/>
      <c r="O926" s="23"/>
      <c r="P926" s="35"/>
      <c r="Q926" s="188"/>
      <c r="R926" s="35"/>
      <c r="S926" s="35"/>
      <c r="T926" s="35"/>
    </row>
    <row r="927" spans="1:20" ht="29.25" customHeight="1" x14ac:dyDescent="0.2">
      <c r="A927" s="187"/>
      <c r="B927" s="35"/>
      <c r="C927" s="23"/>
      <c r="D927" s="35"/>
      <c r="E927" s="35"/>
      <c r="F927" s="35"/>
      <c r="G927" s="28"/>
      <c r="H927" s="35"/>
      <c r="I927" s="35"/>
      <c r="J927" s="35"/>
      <c r="K927" s="35"/>
      <c r="L927" s="35"/>
      <c r="M927" s="35"/>
      <c r="N927" s="35"/>
      <c r="O927" s="23"/>
      <c r="P927" s="35"/>
      <c r="Q927" s="188"/>
      <c r="R927" s="35"/>
      <c r="S927" s="35"/>
      <c r="T927" s="35"/>
    </row>
    <row r="928" spans="1:20" ht="29.25" customHeight="1" x14ac:dyDescent="0.2">
      <c r="A928" s="187"/>
      <c r="B928" s="35"/>
      <c r="C928" s="23"/>
      <c r="D928" s="35"/>
      <c r="E928" s="35"/>
      <c r="F928" s="35"/>
      <c r="G928" s="28"/>
      <c r="H928" s="35"/>
      <c r="I928" s="35"/>
      <c r="J928" s="35"/>
      <c r="K928" s="35"/>
      <c r="L928" s="35"/>
      <c r="M928" s="35"/>
      <c r="N928" s="35"/>
      <c r="O928" s="23"/>
      <c r="P928" s="35"/>
      <c r="Q928" s="188"/>
      <c r="R928" s="35"/>
      <c r="S928" s="35"/>
      <c r="T928" s="35"/>
    </row>
    <row r="929" spans="1:20" ht="29.25" customHeight="1" x14ac:dyDescent="0.2">
      <c r="A929" s="187"/>
      <c r="B929" s="35"/>
      <c r="C929" s="23"/>
      <c r="D929" s="35"/>
      <c r="E929" s="35"/>
      <c r="F929" s="35"/>
      <c r="G929" s="28"/>
      <c r="H929" s="35"/>
      <c r="I929" s="35"/>
      <c r="J929" s="35"/>
      <c r="K929" s="35"/>
      <c r="L929" s="35"/>
      <c r="M929" s="35"/>
      <c r="N929" s="35"/>
      <c r="O929" s="23"/>
      <c r="P929" s="35"/>
      <c r="Q929" s="188"/>
      <c r="R929" s="35"/>
      <c r="S929" s="35"/>
      <c r="T929" s="35"/>
    </row>
    <row r="930" spans="1:20" ht="29.25" customHeight="1" x14ac:dyDescent="0.2">
      <c r="A930" s="187"/>
      <c r="B930" s="35"/>
      <c r="C930" s="23"/>
      <c r="D930" s="35"/>
      <c r="E930" s="35"/>
      <c r="F930" s="35"/>
      <c r="G930" s="28"/>
      <c r="H930" s="35"/>
      <c r="I930" s="35"/>
      <c r="J930" s="35"/>
      <c r="K930" s="35"/>
      <c r="L930" s="35"/>
      <c r="M930" s="35"/>
      <c r="N930" s="35"/>
      <c r="O930" s="23"/>
      <c r="P930" s="35"/>
      <c r="Q930" s="188"/>
      <c r="R930" s="35"/>
      <c r="S930" s="35"/>
      <c r="T930" s="35"/>
    </row>
    <row r="931" spans="1:20" ht="29.25" customHeight="1" x14ac:dyDescent="0.2">
      <c r="A931" s="187"/>
      <c r="B931" s="35"/>
      <c r="C931" s="23"/>
      <c r="D931" s="35"/>
      <c r="E931" s="35"/>
      <c r="F931" s="35"/>
      <c r="G931" s="28"/>
      <c r="H931" s="35"/>
      <c r="I931" s="35"/>
      <c r="J931" s="35"/>
      <c r="K931" s="35"/>
      <c r="L931" s="35"/>
      <c r="M931" s="35"/>
      <c r="N931" s="35"/>
      <c r="O931" s="23"/>
      <c r="P931" s="35"/>
      <c r="Q931" s="188"/>
      <c r="R931" s="35"/>
      <c r="S931" s="35"/>
      <c r="T931" s="35"/>
    </row>
    <row r="932" spans="1:20" ht="29.25" customHeight="1" x14ac:dyDescent="0.2">
      <c r="A932" s="187"/>
      <c r="B932" s="35"/>
      <c r="C932" s="23"/>
      <c r="D932" s="35"/>
      <c r="E932" s="35"/>
      <c r="F932" s="35"/>
      <c r="G932" s="28"/>
      <c r="H932" s="35"/>
      <c r="I932" s="35"/>
      <c r="J932" s="35"/>
      <c r="K932" s="35"/>
      <c r="L932" s="35"/>
      <c r="M932" s="35"/>
      <c r="N932" s="35"/>
      <c r="O932" s="23"/>
      <c r="P932" s="35"/>
      <c r="Q932" s="188"/>
      <c r="R932" s="35"/>
      <c r="S932" s="35"/>
      <c r="T932" s="35"/>
    </row>
    <row r="933" spans="1:20" ht="29.25" customHeight="1" x14ac:dyDescent="0.2">
      <c r="A933" s="187"/>
      <c r="B933" s="35"/>
      <c r="C933" s="23"/>
      <c r="D933" s="35"/>
      <c r="E933" s="35"/>
      <c r="F933" s="35"/>
      <c r="G933" s="28"/>
      <c r="H933" s="35"/>
      <c r="I933" s="35"/>
      <c r="J933" s="35"/>
      <c r="K933" s="35"/>
      <c r="L933" s="35"/>
      <c r="M933" s="35"/>
      <c r="N933" s="35"/>
      <c r="O933" s="23"/>
      <c r="P933" s="35"/>
      <c r="Q933" s="188"/>
      <c r="R933" s="35"/>
      <c r="S933" s="35"/>
      <c r="T933" s="35"/>
    </row>
    <row r="934" spans="1:20" ht="29.25" customHeight="1" x14ac:dyDescent="0.2">
      <c r="A934" s="187"/>
      <c r="B934" s="35"/>
      <c r="C934" s="23"/>
      <c r="D934" s="35"/>
      <c r="E934" s="35"/>
      <c r="F934" s="35"/>
      <c r="G934" s="28"/>
      <c r="H934" s="35"/>
      <c r="I934" s="35"/>
      <c r="J934" s="35"/>
      <c r="K934" s="35"/>
      <c r="L934" s="35"/>
      <c r="M934" s="35"/>
      <c r="N934" s="35"/>
      <c r="O934" s="23"/>
      <c r="P934" s="35"/>
      <c r="Q934" s="188"/>
      <c r="R934" s="35"/>
      <c r="S934" s="35"/>
      <c r="T934" s="35"/>
    </row>
    <row r="935" spans="1:20" ht="29.25" customHeight="1" x14ac:dyDescent="0.2">
      <c r="A935" s="187"/>
      <c r="B935" s="35"/>
      <c r="C935" s="23"/>
      <c r="D935" s="35"/>
      <c r="E935" s="35"/>
      <c r="F935" s="35"/>
      <c r="G935" s="28"/>
      <c r="H935" s="35"/>
      <c r="I935" s="35"/>
      <c r="J935" s="35"/>
      <c r="K935" s="35"/>
      <c r="L935" s="35"/>
      <c r="M935" s="35"/>
      <c r="N935" s="35"/>
      <c r="O935" s="23"/>
      <c r="P935" s="35"/>
      <c r="Q935" s="188"/>
      <c r="R935" s="35"/>
      <c r="S935" s="35"/>
      <c r="T935" s="35"/>
    </row>
    <row r="936" spans="1:20" ht="29.25" customHeight="1" x14ac:dyDescent="0.2">
      <c r="A936" s="187"/>
      <c r="B936" s="35"/>
      <c r="C936" s="23"/>
      <c r="D936" s="35"/>
      <c r="E936" s="35"/>
      <c r="F936" s="35"/>
      <c r="G936" s="28"/>
      <c r="H936" s="35"/>
      <c r="I936" s="35"/>
      <c r="J936" s="35"/>
      <c r="K936" s="35"/>
      <c r="L936" s="35"/>
      <c r="M936" s="35"/>
      <c r="N936" s="35"/>
      <c r="O936" s="23"/>
      <c r="P936" s="35"/>
      <c r="Q936" s="188"/>
      <c r="R936" s="35"/>
      <c r="S936" s="35"/>
      <c r="T936" s="35"/>
    </row>
    <row r="937" spans="1:20" ht="29.25" customHeight="1" x14ac:dyDescent="0.2">
      <c r="A937" s="187"/>
      <c r="B937" s="35"/>
      <c r="C937" s="23"/>
      <c r="D937" s="35"/>
      <c r="E937" s="35"/>
      <c r="F937" s="35"/>
      <c r="G937" s="28"/>
      <c r="H937" s="35"/>
      <c r="I937" s="35"/>
      <c r="J937" s="35"/>
      <c r="K937" s="35"/>
      <c r="L937" s="35"/>
      <c r="M937" s="35"/>
      <c r="N937" s="35"/>
      <c r="O937" s="23"/>
      <c r="P937" s="35"/>
      <c r="Q937" s="188"/>
      <c r="R937" s="35"/>
      <c r="S937" s="35"/>
      <c r="T937" s="35"/>
    </row>
    <row r="938" spans="1:20" ht="29.25" customHeight="1" x14ac:dyDescent="0.2">
      <c r="A938" s="187"/>
      <c r="B938" s="35"/>
      <c r="C938" s="23"/>
      <c r="D938" s="35"/>
      <c r="E938" s="35"/>
      <c r="F938" s="35"/>
      <c r="G938" s="28"/>
      <c r="H938" s="35"/>
      <c r="I938" s="35"/>
      <c r="J938" s="35"/>
      <c r="K938" s="35"/>
      <c r="L938" s="35"/>
      <c r="M938" s="35"/>
      <c r="N938" s="35"/>
      <c r="O938" s="23"/>
      <c r="P938" s="35"/>
      <c r="Q938" s="188"/>
      <c r="R938" s="35"/>
      <c r="S938" s="35"/>
      <c r="T938" s="35"/>
    </row>
    <row r="939" spans="1:20" ht="29.25" customHeight="1" x14ac:dyDescent="0.2">
      <c r="A939" s="187"/>
      <c r="B939" s="35"/>
      <c r="C939" s="23"/>
      <c r="D939" s="35"/>
      <c r="E939" s="35"/>
      <c r="F939" s="35"/>
      <c r="G939" s="28"/>
      <c r="H939" s="35"/>
      <c r="I939" s="35"/>
      <c r="J939" s="35"/>
      <c r="K939" s="35"/>
      <c r="L939" s="35"/>
      <c r="M939" s="35"/>
      <c r="N939" s="35"/>
      <c r="O939" s="23"/>
      <c r="P939" s="35"/>
      <c r="Q939" s="188"/>
      <c r="R939" s="35"/>
      <c r="S939" s="35"/>
      <c r="T939" s="35"/>
    </row>
    <row r="940" spans="1:20" ht="29.25" customHeight="1" x14ac:dyDescent="0.2">
      <c r="A940" s="187"/>
      <c r="B940" s="35"/>
      <c r="C940" s="23"/>
      <c r="D940" s="35"/>
      <c r="E940" s="35"/>
      <c r="F940" s="35"/>
      <c r="G940" s="28"/>
      <c r="H940" s="35"/>
      <c r="I940" s="35"/>
      <c r="J940" s="35"/>
      <c r="K940" s="35"/>
      <c r="L940" s="35"/>
      <c r="M940" s="35"/>
      <c r="N940" s="35"/>
      <c r="O940" s="23"/>
      <c r="P940" s="35"/>
      <c r="Q940" s="188"/>
      <c r="R940" s="35"/>
      <c r="S940" s="35"/>
      <c r="T940" s="35"/>
    </row>
    <row r="941" spans="1:20" ht="29.25" customHeight="1" x14ac:dyDescent="0.2">
      <c r="A941" s="187"/>
      <c r="B941" s="35"/>
      <c r="C941" s="23"/>
      <c r="D941" s="35"/>
      <c r="E941" s="35"/>
      <c r="F941" s="35"/>
      <c r="G941" s="28"/>
      <c r="H941" s="35"/>
      <c r="I941" s="35"/>
      <c r="J941" s="35"/>
      <c r="K941" s="35"/>
      <c r="L941" s="35"/>
      <c r="M941" s="35"/>
      <c r="N941" s="35"/>
      <c r="O941" s="23"/>
      <c r="P941" s="35"/>
      <c r="Q941" s="188"/>
      <c r="R941" s="35"/>
      <c r="S941" s="35"/>
      <c r="T941" s="35"/>
    </row>
    <row r="942" spans="1:20" ht="29.25" customHeight="1" x14ac:dyDescent="0.2">
      <c r="A942" s="187"/>
      <c r="B942" s="35"/>
      <c r="C942" s="23"/>
      <c r="D942" s="35"/>
      <c r="E942" s="35"/>
      <c r="F942" s="35"/>
      <c r="G942" s="28"/>
      <c r="H942" s="35"/>
      <c r="I942" s="35"/>
      <c r="J942" s="35"/>
      <c r="K942" s="35"/>
      <c r="L942" s="35"/>
      <c r="M942" s="35"/>
      <c r="N942" s="35"/>
      <c r="O942" s="23"/>
      <c r="P942" s="35"/>
      <c r="Q942" s="188"/>
      <c r="R942" s="35"/>
      <c r="S942" s="35"/>
      <c r="T942" s="35"/>
    </row>
    <row r="943" spans="1:20" ht="29.25" customHeight="1" x14ac:dyDescent="0.2">
      <c r="A943" s="187"/>
      <c r="B943" s="35"/>
      <c r="C943" s="23"/>
      <c r="D943" s="35"/>
      <c r="E943" s="35"/>
      <c r="F943" s="35"/>
      <c r="G943" s="28"/>
      <c r="H943" s="35"/>
      <c r="I943" s="35"/>
      <c r="J943" s="35"/>
      <c r="K943" s="35"/>
      <c r="L943" s="35"/>
      <c r="M943" s="35"/>
      <c r="N943" s="35"/>
      <c r="O943" s="23"/>
      <c r="P943" s="35"/>
      <c r="Q943" s="188"/>
      <c r="R943" s="35"/>
      <c r="S943" s="35"/>
      <c r="T943" s="35"/>
    </row>
    <row r="944" spans="1:20" ht="29.25" customHeight="1" x14ac:dyDescent="0.2">
      <c r="A944" s="187"/>
      <c r="B944" s="35"/>
      <c r="C944" s="23"/>
      <c r="D944" s="35"/>
      <c r="E944" s="35"/>
      <c r="F944" s="35"/>
      <c r="G944" s="28"/>
      <c r="H944" s="35"/>
      <c r="I944" s="35"/>
      <c r="J944" s="35"/>
      <c r="K944" s="35"/>
      <c r="L944" s="35"/>
      <c r="M944" s="35"/>
      <c r="N944" s="35"/>
      <c r="O944" s="23"/>
      <c r="P944" s="35"/>
      <c r="Q944" s="188"/>
      <c r="R944" s="35"/>
      <c r="S944" s="35"/>
      <c r="T944" s="35"/>
    </row>
    <row r="945" spans="1:20" ht="29.25" customHeight="1" x14ac:dyDescent="0.2">
      <c r="A945" s="187"/>
      <c r="B945" s="35"/>
      <c r="C945" s="23"/>
      <c r="D945" s="35"/>
      <c r="E945" s="35"/>
      <c r="F945" s="35"/>
      <c r="G945" s="28"/>
      <c r="H945" s="35"/>
      <c r="I945" s="35"/>
      <c r="J945" s="35"/>
      <c r="K945" s="35"/>
      <c r="L945" s="35"/>
      <c r="M945" s="35"/>
      <c r="N945" s="35"/>
      <c r="O945" s="23"/>
      <c r="P945" s="35"/>
      <c r="Q945" s="188"/>
      <c r="R945" s="35"/>
      <c r="S945" s="35"/>
      <c r="T945" s="35"/>
    </row>
    <row r="946" spans="1:20" ht="29.25" customHeight="1" x14ac:dyDescent="0.2">
      <c r="A946" s="187"/>
      <c r="B946" s="35"/>
      <c r="C946" s="23"/>
      <c r="D946" s="35"/>
      <c r="E946" s="35"/>
      <c r="F946" s="35"/>
      <c r="G946" s="28"/>
      <c r="H946" s="35"/>
      <c r="I946" s="35"/>
      <c r="J946" s="35"/>
      <c r="K946" s="35"/>
      <c r="L946" s="35"/>
      <c r="M946" s="35"/>
      <c r="N946" s="35"/>
      <c r="O946" s="23"/>
      <c r="P946" s="35"/>
      <c r="Q946" s="188"/>
      <c r="R946" s="35"/>
      <c r="S946" s="35"/>
      <c r="T946" s="35"/>
    </row>
    <row r="947" spans="1:20" ht="29.25" customHeight="1" x14ac:dyDescent="0.2">
      <c r="A947" s="187"/>
      <c r="B947" s="35"/>
      <c r="C947" s="23"/>
      <c r="D947" s="35"/>
      <c r="E947" s="35"/>
      <c r="F947" s="35"/>
      <c r="G947" s="28"/>
      <c r="H947" s="35"/>
      <c r="I947" s="35"/>
      <c r="J947" s="35"/>
      <c r="K947" s="35"/>
      <c r="L947" s="35"/>
      <c r="M947" s="35"/>
      <c r="N947" s="35"/>
      <c r="O947" s="23"/>
      <c r="P947" s="35"/>
      <c r="Q947" s="188"/>
      <c r="R947" s="35"/>
      <c r="S947" s="35"/>
      <c r="T947" s="35"/>
    </row>
    <row r="948" spans="1:20" ht="29.25" customHeight="1" x14ac:dyDescent="0.2">
      <c r="A948" s="187"/>
      <c r="B948" s="35"/>
      <c r="C948" s="23"/>
      <c r="D948" s="35"/>
      <c r="E948" s="35"/>
      <c r="F948" s="35"/>
      <c r="G948" s="28"/>
      <c r="H948" s="35"/>
      <c r="I948" s="35"/>
      <c r="J948" s="35"/>
      <c r="K948" s="35"/>
      <c r="L948" s="35"/>
      <c r="M948" s="35"/>
      <c r="N948" s="35"/>
      <c r="O948" s="23"/>
      <c r="P948" s="35"/>
      <c r="Q948" s="188"/>
      <c r="R948" s="35"/>
      <c r="S948" s="35"/>
      <c r="T948" s="35"/>
    </row>
    <row r="949" spans="1:20" ht="29.25" customHeight="1" x14ac:dyDescent="0.2">
      <c r="A949" s="187"/>
      <c r="B949" s="35"/>
      <c r="C949" s="23"/>
      <c r="D949" s="35"/>
      <c r="E949" s="35"/>
      <c r="F949" s="35"/>
      <c r="G949" s="28"/>
      <c r="H949" s="35"/>
      <c r="I949" s="35"/>
      <c r="J949" s="35"/>
      <c r="K949" s="35"/>
      <c r="L949" s="35"/>
      <c r="M949" s="35"/>
      <c r="N949" s="35"/>
      <c r="O949" s="23"/>
      <c r="P949" s="35"/>
      <c r="Q949" s="188"/>
      <c r="R949" s="35"/>
      <c r="S949" s="35"/>
      <c r="T949" s="35"/>
    </row>
    <row r="950" spans="1:20" ht="29.25" customHeight="1" x14ac:dyDescent="0.2">
      <c r="A950" s="187"/>
      <c r="B950" s="35"/>
      <c r="C950" s="23"/>
      <c r="D950" s="35"/>
      <c r="E950" s="35"/>
      <c r="F950" s="35"/>
      <c r="G950" s="28"/>
      <c r="H950" s="35"/>
      <c r="I950" s="35"/>
      <c r="J950" s="35"/>
      <c r="K950" s="35"/>
      <c r="L950" s="35"/>
      <c r="M950" s="35"/>
      <c r="N950" s="35"/>
      <c r="O950" s="23"/>
      <c r="P950" s="35"/>
      <c r="Q950" s="188"/>
      <c r="R950" s="35"/>
      <c r="S950" s="35"/>
      <c r="T950" s="35"/>
    </row>
    <row r="951" spans="1:20" ht="29.25" customHeight="1" x14ac:dyDescent="0.2">
      <c r="A951" s="187"/>
      <c r="B951" s="35"/>
      <c r="C951" s="23"/>
      <c r="D951" s="35"/>
      <c r="E951" s="35"/>
      <c r="F951" s="35"/>
      <c r="G951" s="28"/>
      <c r="H951" s="35"/>
      <c r="I951" s="35"/>
      <c r="J951" s="35"/>
      <c r="K951" s="35"/>
      <c r="L951" s="35"/>
      <c r="M951" s="35"/>
      <c r="N951" s="35"/>
      <c r="O951" s="23"/>
      <c r="P951" s="35"/>
      <c r="Q951" s="188"/>
      <c r="R951" s="35"/>
      <c r="S951" s="35"/>
      <c r="T951" s="35"/>
    </row>
    <row r="952" spans="1:20" ht="29.25" customHeight="1" x14ac:dyDescent="0.2">
      <c r="A952" s="187"/>
      <c r="B952" s="35"/>
      <c r="C952" s="23"/>
      <c r="D952" s="35"/>
      <c r="E952" s="35"/>
      <c r="F952" s="35"/>
      <c r="G952" s="28"/>
      <c r="H952" s="35"/>
      <c r="I952" s="35"/>
      <c r="J952" s="35"/>
      <c r="K952" s="35"/>
      <c r="L952" s="35"/>
      <c r="M952" s="35"/>
      <c r="N952" s="35"/>
      <c r="O952" s="23"/>
      <c r="P952" s="35"/>
      <c r="Q952" s="188"/>
      <c r="R952" s="35"/>
      <c r="S952" s="35"/>
      <c r="T952" s="35"/>
    </row>
    <row r="953" spans="1:20" ht="29.25" customHeight="1" x14ac:dyDescent="0.2">
      <c r="A953" s="187"/>
      <c r="B953" s="35"/>
      <c r="C953" s="23"/>
      <c r="D953" s="35"/>
      <c r="E953" s="35"/>
      <c r="F953" s="35"/>
      <c r="G953" s="28"/>
      <c r="H953" s="35"/>
      <c r="I953" s="35"/>
      <c r="J953" s="35"/>
      <c r="K953" s="35"/>
      <c r="L953" s="35"/>
      <c r="M953" s="35"/>
      <c r="N953" s="35"/>
      <c r="O953" s="23"/>
      <c r="P953" s="35"/>
      <c r="Q953" s="188"/>
      <c r="R953" s="35"/>
      <c r="S953" s="35"/>
      <c r="T953" s="35"/>
    </row>
    <row r="954" spans="1:20" ht="29.25" customHeight="1" x14ac:dyDescent="0.2">
      <c r="A954" s="187"/>
      <c r="B954" s="35"/>
      <c r="C954" s="23"/>
      <c r="D954" s="35"/>
      <c r="E954" s="35"/>
      <c r="F954" s="35"/>
      <c r="G954" s="28"/>
      <c r="H954" s="35"/>
      <c r="I954" s="35"/>
      <c r="J954" s="35"/>
      <c r="K954" s="35"/>
      <c r="L954" s="35"/>
      <c r="M954" s="35"/>
      <c r="N954" s="35"/>
      <c r="O954" s="23"/>
      <c r="P954" s="35"/>
      <c r="Q954" s="188"/>
      <c r="R954" s="35"/>
      <c r="S954" s="35"/>
      <c r="T954" s="35"/>
    </row>
    <row r="955" spans="1:20" ht="29.25" customHeight="1" x14ac:dyDescent="0.2">
      <c r="A955" s="187"/>
      <c r="B955" s="35"/>
      <c r="C955" s="23"/>
      <c r="D955" s="35"/>
      <c r="E955" s="35"/>
      <c r="F955" s="35"/>
      <c r="G955" s="28"/>
      <c r="H955" s="35"/>
      <c r="I955" s="35"/>
      <c r="J955" s="35"/>
      <c r="K955" s="35"/>
      <c r="L955" s="35"/>
      <c r="M955" s="35"/>
      <c r="N955" s="35"/>
      <c r="O955" s="23"/>
      <c r="P955" s="35"/>
      <c r="Q955" s="188"/>
      <c r="R955" s="35"/>
      <c r="S955" s="35"/>
      <c r="T955" s="35"/>
    </row>
    <row r="956" spans="1:20" ht="29.25" customHeight="1" x14ac:dyDescent="0.2">
      <c r="A956" s="187"/>
      <c r="B956" s="35"/>
      <c r="C956" s="23"/>
      <c r="D956" s="35"/>
      <c r="E956" s="35"/>
      <c r="F956" s="35"/>
      <c r="G956" s="28"/>
      <c r="H956" s="35"/>
      <c r="I956" s="35"/>
      <c r="J956" s="35"/>
      <c r="K956" s="35"/>
      <c r="L956" s="35"/>
      <c r="M956" s="35"/>
      <c r="N956" s="35"/>
      <c r="O956" s="23"/>
      <c r="P956" s="35"/>
      <c r="Q956" s="188"/>
      <c r="R956" s="35"/>
      <c r="S956" s="35"/>
      <c r="T956" s="35"/>
    </row>
    <row r="957" spans="1:20" ht="29.25" customHeight="1" x14ac:dyDescent="0.2">
      <c r="A957" s="187"/>
      <c r="B957" s="35"/>
      <c r="C957" s="23"/>
      <c r="D957" s="35"/>
      <c r="E957" s="35"/>
      <c r="F957" s="35"/>
      <c r="G957" s="28"/>
      <c r="H957" s="35"/>
      <c r="I957" s="35"/>
      <c r="J957" s="35"/>
      <c r="K957" s="35"/>
      <c r="L957" s="35"/>
      <c r="M957" s="35"/>
      <c r="N957" s="35"/>
      <c r="O957" s="23"/>
      <c r="P957" s="35"/>
      <c r="Q957" s="188"/>
      <c r="R957" s="35"/>
      <c r="S957" s="35"/>
      <c r="T957" s="35"/>
    </row>
    <row r="958" spans="1:20" ht="29.25" customHeight="1" x14ac:dyDescent="0.2">
      <c r="A958" s="187"/>
      <c r="B958" s="35"/>
      <c r="C958" s="23"/>
      <c r="D958" s="35"/>
      <c r="E958" s="35"/>
      <c r="F958" s="35"/>
      <c r="G958" s="28"/>
      <c r="H958" s="35"/>
      <c r="I958" s="35"/>
      <c r="J958" s="35"/>
      <c r="K958" s="35"/>
      <c r="L958" s="35"/>
      <c r="M958" s="35"/>
      <c r="N958" s="35"/>
      <c r="O958" s="23"/>
      <c r="P958" s="35"/>
      <c r="Q958" s="188"/>
      <c r="R958" s="35"/>
      <c r="S958" s="35"/>
      <c r="T958" s="35"/>
    </row>
    <row r="959" spans="1:20" ht="29.25" customHeight="1" x14ac:dyDescent="0.2">
      <c r="A959" s="187"/>
      <c r="B959" s="35"/>
      <c r="C959" s="23"/>
      <c r="D959" s="35"/>
      <c r="E959" s="35"/>
      <c r="F959" s="35"/>
      <c r="G959" s="28"/>
      <c r="H959" s="35"/>
      <c r="I959" s="35"/>
      <c r="J959" s="35"/>
      <c r="K959" s="35"/>
      <c r="L959" s="35"/>
      <c r="M959" s="35"/>
      <c r="N959" s="35"/>
      <c r="O959" s="23"/>
      <c r="P959" s="35"/>
      <c r="Q959" s="188"/>
      <c r="R959" s="35"/>
      <c r="S959" s="35"/>
      <c r="T959" s="35"/>
    </row>
    <row r="960" spans="1:20" ht="29.25" customHeight="1" x14ac:dyDescent="0.2">
      <c r="A960" s="187"/>
      <c r="B960" s="35"/>
      <c r="C960" s="23"/>
      <c r="D960" s="35"/>
      <c r="E960" s="35"/>
      <c r="F960" s="35"/>
      <c r="G960" s="28"/>
      <c r="H960" s="35"/>
      <c r="I960" s="35"/>
      <c r="J960" s="35"/>
      <c r="K960" s="35"/>
      <c r="L960" s="35"/>
      <c r="M960" s="35"/>
      <c r="N960" s="35"/>
      <c r="O960" s="23"/>
      <c r="P960" s="35"/>
      <c r="Q960" s="188"/>
      <c r="R960" s="35"/>
      <c r="S960" s="35"/>
      <c r="T960" s="35"/>
    </row>
    <row r="961" spans="1:20" ht="29.25" customHeight="1" x14ac:dyDescent="0.2">
      <c r="A961" s="187"/>
      <c r="B961" s="35"/>
      <c r="C961" s="23"/>
      <c r="D961" s="35"/>
      <c r="E961" s="35"/>
      <c r="F961" s="35"/>
      <c r="G961" s="28"/>
      <c r="H961" s="35"/>
      <c r="I961" s="35"/>
      <c r="J961" s="35"/>
      <c r="K961" s="35"/>
      <c r="L961" s="35"/>
      <c r="M961" s="35"/>
      <c r="N961" s="35"/>
      <c r="O961" s="23"/>
      <c r="P961" s="35"/>
      <c r="Q961" s="188"/>
      <c r="R961" s="35"/>
      <c r="S961" s="35"/>
      <c r="T961" s="35"/>
    </row>
    <row r="962" spans="1:20" ht="29.25" customHeight="1" x14ac:dyDescent="0.2">
      <c r="A962" s="187"/>
      <c r="B962" s="35"/>
      <c r="C962" s="23"/>
      <c r="D962" s="35"/>
      <c r="E962" s="35"/>
      <c r="F962" s="35"/>
      <c r="G962" s="28"/>
      <c r="H962" s="35"/>
      <c r="I962" s="35"/>
      <c r="J962" s="35"/>
      <c r="K962" s="35"/>
      <c r="L962" s="35"/>
      <c r="M962" s="35"/>
      <c r="N962" s="35"/>
      <c r="O962" s="23"/>
      <c r="P962" s="35"/>
      <c r="Q962" s="188"/>
      <c r="R962" s="35"/>
      <c r="S962" s="35"/>
      <c r="T962" s="35"/>
    </row>
    <row r="963" spans="1:20" ht="29.25" customHeight="1" x14ac:dyDescent="0.2">
      <c r="A963" s="187"/>
      <c r="B963" s="35"/>
      <c r="C963" s="23"/>
      <c r="D963" s="35"/>
      <c r="E963" s="35"/>
      <c r="F963" s="35"/>
      <c r="G963" s="28"/>
      <c r="H963" s="35"/>
      <c r="I963" s="35"/>
      <c r="J963" s="35"/>
      <c r="K963" s="35"/>
      <c r="L963" s="35"/>
      <c r="M963" s="35"/>
      <c r="N963" s="35"/>
      <c r="O963" s="23"/>
      <c r="P963" s="35"/>
      <c r="Q963" s="188"/>
      <c r="R963" s="35"/>
      <c r="S963" s="35"/>
      <c r="T963" s="35"/>
    </row>
    <row r="964" spans="1:20" ht="29.25" customHeight="1" x14ac:dyDescent="0.2">
      <c r="A964" s="187"/>
      <c r="B964" s="35"/>
      <c r="C964" s="23"/>
      <c r="D964" s="35"/>
      <c r="E964" s="35"/>
      <c r="F964" s="35"/>
      <c r="G964" s="28"/>
      <c r="H964" s="35"/>
      <c r="I964" s="35"/>
      <c r="J964" s="35"/>
      <c r="K964" s="35"/>
      <c r="L964" s="35"/>
      <c r="M964" s="35"/>
      <c r="N964" s="35"/>
      <c r="O964" s="23"/>
      <c r="P964" s="35"/>
      <c r="Q964" s="188"/>
      <c r="R964" s="35"/>
      <c r="S964" s="35"/>
      <c r="T964" s="35"/>
    </row>
    <row r="965" spans="1:20" ht="29.25" customHeight="1" x14ac:dyDescent="0.2">
      <c r="A965" s="187"/>
      <c r="B965" s="35"/>
      <c r="C965" s="23"/>
      <c r="D965" s="35"/>
      <c r="E965" s="35"/>
      <c r="F965" s="35"/>
      <c r="G965" s="28"/>
      <c r="H965" s="35"/>
      <c r="I965" s="35"/>
      <c r="J965" s="35"/>
      <c r="K965" s="35"/>
      <c r="L965" s="35"/>
      <c r="M965" s="35"/>
      <c r="N965" s="35"/>
      <c r="O965" s="23"/>
      <c r="P965" s="35"/>
      <c r="Q965" s="188"/>
      <c r="R965" s="35"/>
      <c r="S965" s="35"/>
      <c r="T965" s="35"/>
    </row>
    <row r="966" spans="1:20" ht="29.25" customHeight="1" x14ac:dyDescent="0.2">
      <c r="A966" s="187"/>
      <c r="B966" s="35"/>
      <c r="C966" s="23"/>
      <c r="D966" s="35"/>
      <c r="E966" s="35"/>
      <c r="F966" s="35"/>
      <c r="G966" s="28"/>
      <c r="H966" s="35"/>
      <c r="I966" s="35"/>
      <c r="J966" s="35"/>
      <c r="K966" s="35"/>
      <c r="L966" s="35"/>
      <c r="M966" s="35"/>
      <c r="N966" s="35"/>
      <c r="O966" s="23"/>
      <c r="P966" s="35"/>
      <c r="Q966" s="188"/>
      <c r="R966" s="35"/>
      <c r="S966" s="35"/>
      <c r="T966" s="35"/>
    </row>
    <row r="967" spans="1:20" ht="29.25" customHeight="1" x14ac:dyDescent="0.2">
      <c r="A967" s="187"/>
      <c r="B967" s="35"/>
      <c r="C967" s="23"/>
      <c r="D967" s="35"/>
      <c r="E967" s="35"/>
      <c r="F967" s="35"/>
      <c r="G967" s="28"/>
      <c r="H967" s="35"/>
      <c r="I967" s="35"/>
      <c r="J967" s="35"/>
      <c r="K967" s="35"/>
      <c r="L967" s="35"/>
      <c r="M967" s="35"/>
      <c r="N967" s="35"/>
      <c r="O967" s="23"/>
      <c r="P967" s="35"/>
      <c r="Q967" s="188"/>
      <c r="R967" s="35"/>
      <c r="S967" s="35"/>
      <c r="T967" s="35"/>
    </row>
    <row r="968" spans="1:20" ht="29.25" customHeight="1" x14ac:dyDescent="0.2">
      <c r="A968" s="187"/>
      <c r="B968" s="35"/>
      <c r="C968" s="23"/>
      <c r="D968" s="35"/>
      <c r="E968" s="35"/>
      <c r="F968" s="35"/>
      <c r="G968" s="28"/>
      <c r="H968" s="35"/>
      <c r="I968" s="35"/>
      <c r="J968" s="35"/>
      <c r="K968" s="35"/>
      <c r="L968" s="35"/>
      <c r="M968" s="35"/>
      <c r="N968" s="35"/>
      <c r="O968" s="23"/>
      <c r="P968" s="35"/>
      <c r="Q968" s="188"/>
      <c r="R968" s="35"/>
      <c r="S968" s="35"/>
      <c r="T968" s="35"/>
    </row>
    <row r="969" spans="1:20" ht="29.25" customHeight="1" x14ac:dyDescent="0.2">
      <c r="A969" s="187"/>
      <c r="B969" s="35"/>
      <c r="C969" s="23"/>
      <c r="D969" s="35"/>
      <c r="E969" s="35"/>
      <c r="F969" s="35"/>
      <c r="G969" s="28"/>
      <c r="H969" s="35"/>
      <c r="I969" s="35"/>
      <c r="J969" s="35"/>
      <c r="K969" s="35"/>
      <c r="L969" s="35"/>
      <c r="M969" s="35"/>
      <c r="N969" s="35"/>
      <c r="O969" s="23"/>
      <c r="P969" s="35"/>
      <c r="Q969" s="188"/>
      <c r="R969" s="35"/>
      <c r="S969" s="35"/>
      <c r="T969" s="35"/>
    </row>
    <row r="970" spans="1:20" ht="29.25" customHeight="1" x14ac:dyDescent="0.2">
      <c r="A970" s="187"/>
      <c r="B970" s="35"/>
      <c r="C970" s="23"/>
      <c r="D970" s="35"/>
      <c r="E970" s="35"/>
      <c r="F970" s="35"/>
      <c r="G970" s="28"/>
      <c r="H970" s="35"/>
      <c r="I970" s="35"/>
      <c r="J970" s="35"/>
      <c r="K970" s="35"/>
      <c r="L970" s="35"/>
      <c r="M970" s="35"/>
      <c r="N970" s="35"/>
      <c r="O970" s="23"/>
      <c r="P970" s="35"/>
      <c r="Q970" s="188"/>
      <c r="R970" s="35"/>
      <c r="S970" s="35"/>
      <c r="T970" s="35"/>
    </row>
    <row r="971" spans="1:20" ht="29.25" customHeight="1" x14ac:dyDescent="0.2">
      <c r="A971" s="187"/>
      <c r="B971" s="35"/>
      <c r="C971" s="23"/>
      <c r="D971" s="35"/>
      <c r="E971" s="35"/>
      <c r="F971" s="35"/>
      <c r="G971" s="28"/>
      <c r="H971" s="35"/>
      <c r="I971" s="35"/>
      <c r="J971" s="35"/>
      <c r="K971" s="35"/>
      <c r="L971" s="35"/>
      <c r="M971" s="35"/>
      <c r="N971" s="35"/>
      <c r="O971" s="23"/>
      <c r="P971" s="35"/>
      <c r="Q971" s="188"/>
      <c r="R971" s="35"/>
      <c r="S971" s="35"/>
      <c r="T971" s="35"/>
    </row>
    <row r="972" spans="1:20" ht="29.25" customHeight="1" x14ac:dyDescent="0.2">
      <c r="A972" s="187"/>
      <c r="B972" s="35"/>
      <c r="C972" s="23"/>
      <c r="D972" s="35"/>
      <c r="E972" s="35"/>
      <c r="F972" s="35"/>
      <c r="G972" s="28"/>
      <c r="H972" s="35"/>
      <c r="I972" s="35"/>
      <c r="J972" s="35"/>
      <c r="K972" s="35"/>
      <c r="L972" s="35"/>
      <c r="M972" s="35"/>
      <c r="N972" s="35"/>
      <c r="O972" s="23"/>
      <c r="P972" s="35"/>
      <c r="Q972" s="188"/>
      <c r="R972" s="35"/>
      <c r="S972" s="35"/>
      <c r="T972" s="35"/>
    </row>
    <row r="973" spans="1:20" ht="29.25" customHeight="1" x14ac:dyDescent="0.2">
      <c r="A973" s="187"/>
      <c r="B973" s="35"/>
      <c r="C973" s="23"/>
      <c r="D973" s="35"/>
      <c r="E973" s="35"/>
      <c r="F973" s="35"/>
      <c r="G973" s="28"/>
      <c r="H973" s="35"/>
      <c r="I973" s="35"/>
      <c r="J973" s="35"/>
      <c r="K973" s="35"/>
      <c r="L973" s="35"/>
      <c r="M973" s="35"/>
      <c r="N973" s="35"/>
      <c r="O973" s="23"/>
      <c r="P973" s="35"/>
      <c r="Q973" s="188"/>
      <c r="R973" s="35"/>
      <c r="S973" s="35"/>
      <c r="T973" s="35"/>
    </row>
    <row r="974" spans="1:20" ht="29.25" customHeight="1" x14ac:dyDescent="0.2">
      <c r="A974" s="187"/>
      <c r="B974" s="35"/>
      <c r="C974" s="23"/>
      <c r="D974" s="35"/>
      <c r="E974" s="35"/>
      <c r="F974" s="35"/>
      <c r="G974" s="28"/>
      <c r="H974" s="35"/>
      <c r="I974" s="35"/>
      <c r="J974" s="35"/>
      <c r="K974" s="35"/>
      <c r="L974" s="35"/>
      <c r="M974" s="35"/>
      <c r="N974" s="35"/>
      <c r="O974" s="23"/>
      <c r="P974" s="35"/>
      <c r="Q974" s="188"/>
      <c r="R974" s="35"/>
      <c r="S974" s="35"/>
      <c r="T974" s="35"/>
    </row>
    <row r="975" spans="1:20" ht="29.25" customHeight="1" x14ac:dyDescent="0.2">
      <c r="A975" s="187"/>
      <c r="B975" s="35"/>
      <c r="C975" s="23"/>
      <c r="D975" s="35"/>
      <c r="E975" s="35"/>
      <c r="F975" s="35"/>
      <c r="G975" s="28"/>
      <c r="H975" s="35"/>
      <c r="I975" s="35"/>
      <c r="J975" s="35"/>
      <c r="K975" s="35"/>
      <c r="L975" s="35"/>
      <c r="M975" s="35"/>
      <c r="N975" s="35"/>
      <c r="O975" s="23"/>
      <c r="P975" s="35"/>
      <c r="Q975" s="188"/>
      <c r="R975" s="35"/>
      <c r="S975" s="35"/>
      <c r="T975" s="35"/>
    </row>
    <row r="976" spans="1:20" ht="29.25" customHeight="1" x14ac:dyDescent="0.2">
      <c r="A976" s="187"/>
      <c r="B976" s="35"/>
      <c r="C976" s="23"/>
      <c r="D976" s="35"/>
      <c r="E976" s="35"/>
      <c r="F976" s="35"/>
      <c r="G976" s="28"/>
      <c r="H976" s="35"/>
      <c r="I976" s="35"/>
      <c r="J976" s="35"/>
      <c r="K976" s="35"/>
      <c r="L976" s="35"/>
      <c r="M976" s="35"/>
      <c r="N976" s="35"/>
      <c r="O976" s="23"/>
      <c r="P976" s="35"/>
      <c r="Q976" s="188"/>
      <c r="R976" s="35"/>
      <c r="S976" s="35"/>
      <c r="T976" s="35"/>
    </row>
    <row r="977" spans="1:20" ht="29.25" customHeight="1" x14ac:dyDescent="0.2">
      <c r="A977" s="187"/>
      <c r="B977" s="35"/>
      <c r="C977" s="23"/>
      <c r="D977" s="35"/>
      <c r="E977" s="35"/>
      <c r="F977" s="35"/>
      <c r="G977" s="28"/>
      <c r="H977" s="35"/>
      <c r="I977" s="35"/>
      <c r="J977" s="35"/>
      <c r="K977" s="35"/>
      <c r="L977" s="35"/>
      <c r="M977" s="35"/>
      <c r="N977" s="35"/>
      <c r="O977" s="23"/>
      <c r="P977" s="35"/>
      <c r="Q977" s="188"/>
      <c r="R977" s="35"/>
      <c r="S977" s="35"/>
      <c r="T977" s="35"/>
    </row>
    <row r="978" spans="1:20" ht="29.25" customHeight="1" x14ac:dyDescent="0.2">
      <c r="A978" s="187"/>
      <c r="B978" s="35"/>
      <c r="C978" s="23"/>
      <c r="D978" s="35"/>
      <c r="E978" s="35"/>
      <c r="F978" s="35"/>
      <c r="G978" s="28"/>
      <c r="H978" s="35"/>
      <c r="I978" s="35"/>
      <c r="J978" s="35"/>
      <c r="K978" s="35"/>
      <c r="L978" s="35"/>
      <c r="M978" s="35"/>
      <c r="N978" s="35"/>
      <c r="O978" s="23"/>
      <c r="P978" s="35"/>
      <c r="Q978" s="188"/>
      <c r="R978" s="35"/>
      <c r="S978" s="35"/>
      <c r="T978" s="35"/>
    </row>
    <row r="979" spans="1:20" ht="29.25" customHeight="1" x14ac:dyDescent="0.2">
      <c r="A979" s="187"/>
      <c r="B979" s="35"/>
      <c r="C979" s="23"/>
      <c r="D979" s="35"/>
      <c r="E979" s="35"/>
      <c r="F979" s="35"/>
      <c r="G979" s="28"/>
      <c r="H979" s="35"/>
      <c r="I979" s="35"/>
      <c r="J979" s="35"/>
      <c r="K979" s="35"/>
      <c r="L979" s="35"/>
      <c r="M979" s="35"/>
      <c r="N979" s="35"/>
      <c r="O979" s="23"/>
      <c r="P979" s="35"/>
      <c r="Q979" s="188"/>
      <c r="R979" s="35"/>
      <c r="S979" s="35"/>
      <c r="T979" s="35"/>
    </row>
    <row r="980" spans="1:20" ht="29.25" customHeight="1" x14ac:dyDescent="0.2">
      <c r="A980" s="187"/>
      <c r="B980" s="35"/>
      <c r="C980" s="23"/>
      <c r="D980" s="35"/>
      <c r="E980" s="35"/>
      <c r="F980" s="35"/>
      <c r="G980" s="28"/>
      <c r="H980" s="35"/>
      <c r="I980" s="35"/>
      <c r="J980" s="35"/>
      <c r="K980" s="35"/>
      <c r="L980" s="35"/>
      <c r="M980" s="35"/>
      <c r="N980" s="35"/>
      <c r="O980" s="23"/>
      <c r="P980" s="35"/>
      <c r="Q980" s="188"/>
      <c r="R980" s="35"/>
      <c r="S980" s="35"/>
      <c r="T980" s="35"/>
    </row>
    <row r="981" spans="1:20" ht="29.25" customHeight="1" x14ac:dyDescent="0.2">
      <c r="A981" s="187"/>
      <c r="B981" s="35"/>
      <c r="C981" s="23"/>
      <c r="D981" s="35"/>
      <c r="E981" s="35"/>
      <c r="F981" s="35"/>
      <c r="G981" s="28"/>
      <c r="H981" s="35"/>
      <c r="I981" s="35"/>
      <c r="J981" s="35"/>
      <c r="K981" s="35"/>
      <c r="L981" s="35"/>
      <c r="M981" s="35"/>
      <c r="N981" s="35"/>
      <c r="O981" s="23"/>
      <c r="P981" s="35"/>
      <c r="Q981" s="188"/>
      <c r="R981" s="35"/>
      <c r="S981" s="35"/>
      <c r="T981" s="35"/>
    </row>
    <row r="982" spans="1:20" ht="29.25" customHeight="1" x14ac:dyDescent="0.2">
      <c r="A982" s="187"/>
      <c r="B982" s="35"/>
      <c r="C982" s="23"/>
      <c r="D982" s="35"/>
      <c r="E982" s="35"/>
      <c r="F982" s="35"/>
      <c r="G982" s="28"/>
      <c r="H982" s="35"/>
      <c r="I982" s="35"/>
      <c r="J982" s="35"/>
      <c r="K982" s="35"/>
      <c r="L982" s="35"/>
      <c r="M982" s="35"/>
      <c r="N982" s="35"/>
      <c r="O982" s="23"/>
      <c r="P982" s="35"/>
      <c r="Q982" s="188"/>
      <c r="R982" s="35"/>
      <c r="S982" s="35"/>
      <c r="T982" s="35"/>
    </row>
    <row r="983" spans="1:20" ht="29.25" customHeight="1" x14ac:dyDescent="0.2">
      <c r="A983" s="187"/>
      <c r="B983" s="35"/>
      <c r="C983" s="23"/>
      <c r="D983" s="35"/>
      <c r="E983" s="35"/>
      <c r="F983" s="35"/>
      <c r="G983" s="28"/>
      <c r="H983" s="35"/>
      <c r="I983" s="35"/>
      <c r="J983" s="35"/>
      <c r="K983" s="35"/>
      <c r="L983" s="35"/>
      <c r="M983" s="35"/>
      <c r="N983" s="35"/>
      <c r="O983" s="23"/>
      <c r="P983" s="35"/>
      <c r="Q983" s="188"/>
      <c r="R983" s="35"/>
      <c r="S983" s="35"/>
      <c r="T983" s="35"/>
    </row>
    <row r="984" spans="1:20" ht="29.25" customHeight="1" x14ac:dyDescent="0.2">
      <c r="A984" s="187"/>
      <c r="B984" s="35"/>
      <c r="C984" s="23"/>
      <c r="D984" s="35"/>
      <c r="E984" s="35"/>
      <c r="F984" s="35"/>
      <c r="G984" s="28"/>
      <c r="H984" s="35"/>
      <c r="I984" s="35"/>
      <c r="J984" s="35"/>
      <c r="K984" s="35"/>
      <c r="L984" s="35"/>
      <c r="M984" s="35"/>
      <c r="N984" s="35"/>
      <c r="O984" s="23"/>
      <c r="P984" s="35"/>
      <c r="Q984" s="188"/>
      <c r="R984" s="35"/>
      <c r="S984" s="35"/>
      <c r="T984" s="35"/>
    </row>
    <row r="985" spans="1:20" ht="29.25" customHeight="1" x14ac:dyDescent="0.2">
      <c r="A985" s="187"/>
      <c r="B985" s="35"/>
      <c r="C985" s="23"/>
      <c r="D985" s="35"/>
      <c r="E985" s="35"/>
      <c r="F985" s="35"/>
      <c r="G985" s="28"/>
      <c r="H985" s="35"/>
      <c r="I985" s="35"/>
      <c r="J985" s="35"/>
      <c r="K985" s="35"/>
      <c r="L985" s="35"/>
      <c r="M985" s="35"/>
      <c r="N985" s="35"/>
      <c r="O985" s="23"/>
      <c r="P985" s="35"/>
      <c r="Q985" s="188"/>
      <c r="R985" s="35"/>
      <c r="S985" s="35"/>
      <c r="T985" s="35"/>
    </row>
    <row r="986" spans="1:20" ht="29.25" customHeight="1" x14ac:dyDescent="0.2">
      <c r="A986" s="187"/>
      <c r="B986" s="35"/>
      <c r="C986" s="23"/>
      <c r="D986" s="35"/>
      <c r="E986" s="35"/>
      <c r="F986" s="35"/>
      <c r="G986" s="28"/>
      <c r="H986" s="35"/>
      <c r="I986" s="35"/>
      <c r="J986" s="35"/>
      <c r="K986" s="35"/>
      <c r="L986" s="35"/>
      <c r="M986" s="35"/>
      <c r="N986" s="35"/>
      <c r="O986" s="23"/>
      <c r="P986" s="35"/>
      <c r="Q986" s="188"/>
      <c r="R986" s="35"/>
      <c r="S986" s="35"/>
      <c r="T986" s="35"/>
    </row>
    <row r="987" spans="1:20" ht="29.25" customHeight="1" x14ac:dyDescent="0.2">
      <c r="A987" s="187"/>
      <c r="B987" s="35"/>
      <c r="C987" s="23"/>
      <c r="D987" s="35"/>
      <c r="E987" s="35"/>
      <c r="F987" s="35"/>
      <c r="G987" s="28"/>
      <c r="H987" s="35"/>
      <c r="I987" s="35"/>
      <c r="J987" s="35"/>
      <c r="K987" s="35"/>
      <c r="L987" s="35"/>
      <c r="M987" s="35"/>
      <c r="N987" s="35"/>
      <c r="O987" s="23"/>
      <c r="P987" s="35"/>
      <c r="Q987" s="188"/>
      <c r="R987" s="35"/>
      <c r="S987" s="35"/>
      <c r="T987" s="35"/>
    </row>
    <row r="988" spans="1:20" ht="29.25" customHeight="1" x14ac:dyDescent="0.2">
      <c r="A988" s="187"/>
      <c r="B988" s="35"/>
      <c r="C988" s="23"/>
      <c r="D988" s="35"/>
      <c r="E988" s="35"/>
      <c r="F988" s="35"/>
      <c r="G988" s="28"/>
      <c r="H988" s="35"/>
      <c r="I988" s="35"/>
      <c r="J988" s="35"/>
      <c r="K988" s="35"/>
      <c r="L988" s="35"/>
      <c r="M988" s="35"/>
      <c r="N988" s="35"/>
      <c r="O988" s="23"/>
      <c r="P988" s="35"/>
      <c r="Q988" s="188"/>
      <c r="R988" s="35"/>
      <c r="S988" s="35"/>
      <c r="T988" s="35"/>
    </row>
    <row r="989" spans="1:20" ht="29.25" customHeight="1" x14ac:dyDescent="0.2">
      <c r="A989" s="187"/>
      <c r="B989" s="35"/>
      <c r="C989" s="23"/>
      <c r="D989" s="35"/>
      <c r="E989" s="35"/>
      <c r="F989" s="35"/>
      <c r="G989" s="28"/>
      <c r="H989" s="35"/>
      <c r="I989" s="35"/>
      <c r="J989" s="35"/>
      <c r="K989" s="35"/>
      <c r="L989" s="35"/>
      <c r="M989" s="35"/>
      <c r="N989" s="35"/>
      <c r="O989" s="23"/>
      <c r="P989" s="35"/>
      <c r="Q989" s="188"/>
      <c r="R989" s="35"/>
      <c r="S989" s="35"/>
      <c r="T989" s="35"/>
    </row>
    <row r="990" spans="1:20" ht="29.25" customHeight="1" x14ac:dyDescent="0.2">
      <c r="A990" s="187"/>
      <c r="B990" s="35"/>
      <c r="C990" s="23"/>
      <c r="D990" s="35"/>
      <c r="E990" s="35"/>
      <c r="F990" s="35"/>
      <c r="G990" s="28"/>
      <c r="H990" s="35"/>
      <c r="I990" s="35"/>
      <c r="J990" s="35"/>
      <c r="K990" s="35"/>
      <c r="L990" s="35"/>
      <c r="M990" s="35"/>
      <c r="N990" s="35"/>
      <c r="O990" s="23"/>
      <c r="P990" s="35"/>
      <c r="Q990" s="188"/>
      <c r="R990" s="35"/>
      <c r="S990" s="35"/>
      <c r="T990" s="35"/>
    </row>
    <row r="991" spans="1:20" ht="29.25" customHeight="1" x14ac:dyDescent="0.2">
      <c r="A991" s="187"/>
      <c r="B991" s="35"/>
      <c r="C991" s="23"/>
      <c r="D991" s="35"/>
      <c r="E991" s="35"/>
      <c r="F991" s="35"/>
      <c r="G991" s="28"/>
      <c r="H991" s="35"/>
      <c r="I991" s="35"/>
      <c r="J991" s="35"/>
      <c r="K991" s="35"/>
      <c r="L991" s="35"/>
      <c r="M991" s="35"/>
      <c r="N991" s="35"/>
      <c r="O991" s="23"/>
      <c r="P991" s="35"/>
      <c r="Q991" s="188"/>
      <c r="R991" s="35"/>
      <c r="S991" s="35"/>
      <c r="T991" s="35"/>
    </row>
    <row r="992" spans="1:20" ht="29.25" customHeight="1" x14ac:dyDescent="0.2">
      <c r="A992" s="187"/>
      <c r="B992" s="35"/>
      <c r="C992" s="23"/>
      <c r="D992" s="35"/>
      <c r="E992" s="35"/>
      <c r="F992" s="35"/>
      <c r="G992" s="28"/>
      <c r="H992" s="35"/>
      <c r="I992" s="35"/>
      <c r="J992" s="35"/>
      <c r="K992" s="35"/>
      <c r="L992" s="35"/>
      <c r="M992" s="35"/>
      <c r="N992" s="35"/>
      <c r="O992" s="23"/>
      <c r="P992" s="35"/>
      <c r="Q992" s="188"/>
      <c r="R992" s="35"/>
      <c r="S992" s="35"/>
      <c r="T992" s="35"/>
    </row>
    <row r="993" spans="1:20" ht="29.25" customHeight="1" x14ac:dyDescent="0.2">
      <c r="A993" s="187"/>
      <c r="B993" s="35"/>
      <c r="C993" s="23"/>
      <c r="D993" s="35"/>
      <c r="E993" s="35"/>
      <c r="F993" s="35"/>
      <c r="G993" s="28"/>
      <c r="H993" s="35"/>
      <c r="I993" s="35"/>
      <c r="J993" s="35"/>
      <c r="K993" s="35"/>
      <c r="L993" s="35"/>
      <c r="M993" s="35"/>
      <c r="N993" s="35"/>
      <c r="O993" s="23"/>
      <c r="P993" s="35"/>
      <c r="Q993" s="188"/>
      <c r="R993" s="35"/>
      <c r="S993" s="35"/>
      <c r="T993" s="35"/>
    </row>
    <row r="994" spans="1:20" ht="29.25" customHeight="1" x14ac:dyDescent="0.2">
      <c r="A994" s="187"/>
      <c r="B994" s="35"/>
      <c r="C994" s="23"/>
      <c r="D994" s="35"/>
      <c r="E994" s="35"/>
      <c r="F994" s="35"/>
      <c r="G994" s="28"/>
      <c r="H994" s="35"/>
      <c r="I994" s="35"/>
      <c r="J994" s="35"/>
      <c r="K994" s="35"/>
      <c r="L994" s="35"/>
      <c r="M994" s="35"/>
      <c r="N994" s="35"/>
      <c r="O994" s="23"/>
      <c r="P994" s="35"/>
      <c r="Q994" s="188"/>
      <c r="R994" s="35"/>
      <c r="S994" s="35"/>
      <c r="T994" s="35"/>
    </row>
    <row r="995" spans="1:20" ht="29.25" customHeight="1" x14ac:dyDescent="0.2">
      <c r="A995" s="187"/>
      <c r="B995" s="35"/>
      <c r="C995" s="23"/>
      <c r="D995" s="35"/>
      <c r="E995" s="35"/>
      <c r="F995" s="35"/>
      <c r="G995" s="28"/>
      <c r="H995" s="35"/>
      <c r="I995" s="35"/>
      <c r="J995" s="35"/>
      <c r="K995" s="35"/>
      <c r="L995" s="35"/>
      <c r="M995" s="35"/>
      <c r="N995" s="35"/>
      <c r="O995" s="23"/>
      <c r="P995" s="35"/>
      <c r="Q995" s="188"/>
      <c r="R995" s="35"/>
      <c r="S995" s="35"/>
      <c r="T995" s="35"/>
    </row>
    <row r="996" spans="1:20" ht="29.25" customHeight="1" x14ac:dyDescent="0.2">
      <c r="A996" s="187"/>
      <c r="B996" s="35"/>
      <c r="C996" s="23"/>
      <c r="D996" s="35"/>
      <c r="E996" s="35"/>
      <c r="F996" s="35"/>
      <c r="G996" s="28"/>
      <c r="H996" s="35"/>
      <c r="I996" s="35"/>
      <c r="J996" s="35"/>
      <c r="K996" s="35"/>
      <c r="L996" s="35"/>
      <c r="M996" s="35"/>
      <c r="N996" s="35"/>
      <c r="O996" s="23"/>
      <c r="P996" s="35"/>
      <c r="Q996" s="188"/>
      <c r="R996" s="35"/>
      <c r="S996" s="35"/>
      <c r="T996" s="35"/>
    </row>
    <row r="997" spans="1:20" ht="29.25" customHeight="1" x14ac:dyDescent="0.2">
      <c r="A997" s="187"/>
      <c r="B997" s="35"/>
      <c r="C997" s="23"/>
      <c r="D997" s="35"/>
      <c r="E997" s="35"/>
      <c r="F997" s="35"/>
      <c r="G997" s="28"/>
      <c r="H997" s="35"/>
      <c r="I997" s="35"/>
      <c r="J997" s="35"/>
      <c r="K997" s="35"/>
      <c r="L997" s="35"/>
      <c r="M997" s="35"/>
      <c r="N997" s="35"/>
      <c r="O997" s="23"/>
      <c r="P997" s="35"/>
      <c r="Q997" s="188"/>
      <c r="R997" s="35"/>
      <c r="S997" s="35"/>
      <c r="T997" s="35"/>
    </row>
    <row r="998" spans="1:20" ht="29.25" customHeight="1" x14ac:dyDescent="0.2">
      <c r="A998" s="187"/>
      <c r="B998" s="35"/>
      <c r="C998" s="23"/>
      <c r="D998" s="35"/>
      <c r="E998" s="35"/>
      <c r="F998" s="35"/>
      <c r="G998" s="28"/>
      <c r="H998" s="35"/>
      <c r="I998" s="35"/>
      <c r="J998" s="35"/>
      <c r="K998" s="35"/>
      <c r="L998" s="35"/>
      <c r="M998" s="35"/>
      <c r="N998" s="35"/>
      <c r="O998" s="23"/>
      <c r="P998" s="35"/>
      <c r="Q998" s="188"/>
      <c r="R998" s="35"/>
      <c r="S998" s="35"/>
      <c r="T998" s="35"/>
    </row>
    <row r="999" spans="1:20" ht="29.25" customHeight="1" x14ac:dyDescent="0.2">
      <c r="A999" s="187"/>
      <c r="B999" s="35"/>
      <c r="C999" s="23"/>
      <c r="D999" s="35"/>
      <c r="E999" s="35"/>
      <c r="F999" s="35"/>
      <c r="G999" s="28"/>
      <c r="H999" s="35"/>
      <c r="I999" s="35"/>
      <c r="J999" s="35"/>
      <c r="K999" s="35"/>
      <c r="L999" s="35"/>
      <c r="M999" s="35"/>
      <c r="N999" s="35"/>
      <c r="O999" s="23"/>
      <c r="P999" s="35"/>
      <c r="Q999" s="188"/>
      <c r="R999" s="35"/>
      <c r="S999" s="35"/>
      <c r="T999" s="35"/>
    </row>
    <row r="1000" spans="1:20" ht="29.25" customHeight="1" x14ac:dyDescent="0.2">
      <c r="A1000" s="187"/>
      <c r="B1000" s="35"/>
      <c r="C1000" s="23"/>
      <c r="D1000" s="35"/>
      <c r="E1000" s="35"/>
      <c r="F1000" s="35"/>
      <c r="G1000" s="28"/>
      <c r="H1000" s="35"/>
      <c r="I1000" s="35"/>
      <c r="J1000" s="35"/>
      <c r="K1000" s="35"/>
      <c r="L1000" s="35"/>
      <c r="M1000" s="35"/>
      <c r="N1000" s="35"/>
      <c r="O1000" s="23"/>
      <c r="P1000" s="35"/>
      <c r="Q1000" s="188"/>
      <c r="R1000" s="35"/>
      <c r="S1000" s="35"/>
      <c r="T1000" s="35"/>
    </row>
    <row r="1001" spans="1:20" ht="15" x14ac:dyDescent="0.2">
      <c r="A1001" s="187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S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4" max="14" width="14.7109375" customWidth="1"/>
    <col min="18" max="18" width="11.7109375" customWidth="1"/>
    <col min="19" max="19" width="15.28515625" customWidth="1"/>
  </cols>
  <sheetData>
    <row r="1" spans="1:19" ht="29.25" customHeight="1" x14ac:dyDescent="0.2">
      <c r="A1" s="175" t="str">
        <f t="array" ref="A1:A1000">'CityFilter(Ignore)'!C:C</f>
        <v>Province</v>
      </c>
      <c r="B1" s="175" t="str">
        <f t="array" ref="B1:B1000">'CityFilter(Ignore)'!E:E</f>
        <v>State</v>
      </c>
      <c r="C1" s="175" t="str">
        <f t="array" ref="C1:C1000">'CityFilter(Ignore)'!B:B</f>
        <v>Burg</v>
      </c>
      <c r="D1" s="175" t="str">
        <f t="array" ref="D1:D1000">'CityFilter(Ignore)'!H:H</f>
        <v>Religion</v>
      </c>
      <c r="E1" s="184" t="str">
        <f t="array" ref="E1:E1000">'CityFilter(Ignore)'!I:I</f>
        <v>Population</v>
      </c>
      <c r="F1" s="175" t="str">
        <f t="array" ref="F1:F1000">'CityFilter(Ignore)'!N:N</f>
        <v>Elevation (ft)</v>
      </c>
      <c r="G1" s="175" t="s">
        <v>11</v>
      </c>
      <c r="H1" s="175" t="s">
        <v>241</v>
      </c>
      <c r="I1" s="175" t="s">
        <v>242</v>
      </c>
      <c r="J1" s="175" t="s">
        <v>243</v>
      </c>
      <c r="K1" s="175" t="s">
        <v>244</v>
      </c>
      <c r="L1" s="175" t="s">
        <v>245</v>
      </c>
      <c r="M1" s="175" t="s">
        <v>246</v>
      </c>
      <c r="N1" s="174" t="s">
        <v>267</v>
      </c>
      <c r="O1" s="174" t="s">
        <v>249</v>
      </c>
      <c r="P1" s="169" t="s">
        <v>236</v>
      </c>
      <c r="Q1" s="175"/>
      <c r="R1" s="175"/>
      <c r="S1" s="175"/>
    </row>
    <row r="2" spans="1:19" ht="29.25" customHeight="1" x14ac:dyDescent="0.2">
      <c r="A2" s="175" t="str">
        <f ca="1"/>
        <v>Crownlands</v>
      </c>
      <c r="B2" s="178" t="str">
        <f ca="1"/>
        <v>Shavia</v>
      </c>
      <c r="C2" s="178" t="str">
        <f ca="1"/>
        <v>Heartwell</v>
      </c>
      <c r="D2" s="178" t="str">
        <f ca="1"/>
        <v>Path of Guiding Light</v>
      </c>
      <c r="E2" s="179">
        <f ca="1"/>
        <v>100109</v>
      </c>
      <c r="F2" s="178">
        <f ca="1"/>
        <v>13</v>
      </c>
      <c r="G2" s="178" t="str">
        <f t="array" ref="G2:K506" ca="1">'CityFilter(Ignore)'!Q2:U506</f>
        <v>capital</v>
      </c>
      <c r="H2" s="178" t="str">
        <f ca="1"/>
        <v>port</v>
      </c>
      <c r="I2" s="178" t="str">
        <f ca="1"/>
        <v>citadel</v>
      </c>
      <c r="J2" s="178" t="str">
        <f ca="1"/>
        <v>walls</v>
      </c>
      <c r="K2" s="178" t="str">
        <f ca="1"/>
        <v>plaza</v>
      </c>
      <c r="L2" s="178"/>
      <c r="M2" s="178"/>
      <c r="N2" s="181">
        <f t="shared" ref="N2:N166" ca="1" si="0">IF(G2="capital",0.1)+IF(H2="port",0.1)+IF(I2="citadel",0.05)+IF(J2="walls",-0.07)+IF(K2="plaza",0.05)+IF(L2="temple",0.01)+IF(M2="shanty town",0.05)</f>
        <v>0.22999999999999998</v>
      </c>
      <c r="O2" s="183">
        <f ca="1">IF(N2&gt;0.25,N2,N2+'Price Sheet (Ignore)'!$G$2)</f>
        <v>0.38</v>
      </c>
      <c r="P2" s="177">
        <f ca="1">O2*'Price Sheet (Ignore)'!$H$2*(E2/3)</f>
        <v>6340.2366666666667</v>
      </c>
      <c r="Q2" s="178"/>
      <c r="R2" s="178"/>
      <c r="S2" s="178"/>
    </row>
    <row r="3" spans="1:19" ht="29.25" customHeight="1" x14ac:dyDescent="0.2">
      <c r="A3" s="175" t="str">
        <f ca="1"/>
        <v>Sirong</v>
      </c>
      <c r="B3" s="178" t="str">
        <f ca="1"/>
        <v>Shavia</v>
      </c>
      <c r="C3" s="178" t="str">
        <f ca="1"/>
        <v>Shimerme</v>
      </c>
      <c r="D3" s="178" t="str">
        <f ca="1"/>
        <v>Path of Guiding Light</v>
      </c>
      <c r="E3" s="179">
        <f ca="1"/>
        <v>3360</v>
      </c>
      <c r="F3" s="178">
        <f ca="1"/>
        <v>118</v>
      </c>
      <c r="G3" s="178" t="str">
        <f ca="1"/>
        <v/>
      </c>
      <c r="H3" s="178" t="str">
        <f ca="1"/>
        <v>port</v>
      </c>
      <c r="I3" s="178" t="str">
        <f ca="1"/>
        <v>citadel</v>
      </c>
      <c r="J3" s="178" t="str">
        <f ca="1"/>
        <v>walls</v>
      </c>
      <c r="K3" s="178" t="str">
        <f ca="1"/>
        <v/>
      </c>
      <c r="L3" s="178"/>
      <c r="M3" s="178"/>
      <c r="N3" s="185">
        <f t="shared" ca="1" si="0"/>
        <v>8.0000000000000016E-2</v>
      </c>
      <c r="O3" s="182">
        <f ca="1">IF(N3&gt;0.25,N3,N3+'Price Sheet (Ignore)'!$G$2)</f>
        <v>0.23</v>
      </c>
      <c r="P3" s="177">
        <f ca="1">O3*'Price Sheet (Ignore)'!$H$2*(E3/3)</f>
        <v>128.80000000000001</v>
      </c>
      <c r="Q3" s="178"/>
      <c r="R3" s="178"/>
      <c r="S3" s="178"/>
    </row>
    <row r="4" spans="1:19" ht="29.25" customHeight="1" x14ac:dyDescent="0.2">
      <c r="A4" s="175" t="str">
        <f ca="1"/>
        <v>Dreghold</v>
      </c>
      <c r="B4" s="178" t="str">
        <f ca="1"/>
        <v>Shavia</v>
      </c>
      <c r="C4" s="178" t="str">
        <f ca="1"/>
        <v>Timbergro</v>
      </c>
      <c r="D4" s="178" t="str">
        <f ca="1"/>
        <v>Path of Guiding Light</v>
      </c>
      <c r="E4" s="179">
        <f ca="1"/>
        <v>6916</v>
      </c>
      <c r="F4" s="178">
        <f ca="1"/>
        <v>82</v>
      </c>
      <c r="G4" s="178" t="str">
        <f ca="1"/>
        <v/>
      </c>
      <c r="H4" s="178" t="str">
        <f ca="1"/>
        <v/>
      </c>
      <c r="I4" s="178" t="str">
        <f ca="1"/>
        <v>citadel</v>
      </c>
      <c r="J4" s="178" t="str">
        <f ca="1"/>
        <v/>
      </c>
      <c r="K4" s="178" t="str">
        <f ca="1"/>
        <v/>
      </c>
      <c r="L4" s="178"/>
      <c r="M4" s="178"/>
      <c r="N4" s="180">
        <f t="shared" ca="1" si="0"/>
        <v>0.05</v>
      </c>
      <c r="O4" s="183">
        <f ca="1">IF(N4&gt;0.25,N4,N4+'Price Sheet (Ignore)'!$G$2)</f>
        <v>0.2</v>
      </c>
      <c r="P4" s="177">
        <f ca="1">O4*'Price Sheet (Ignore)'!$H$2*(E4/3)</f>
        <v>230.53333333333336</v>
      </c>
      <c r="Q4" s="178"/>
      <c r="R4" s="178"/>
      <c r="S4" s="178"/>
    </row>
    <row r="5" spans="1:19" ht="29.25" customHeight="1" x14ac:dyDescent="0.2">
      <c r="A5" s="175" t="str">
        <f ca="1"/>
        <v>Sirong</v>
      </c>
      <c r="B5" s="178" t="str">
        <f ca="1"/>
        <v>Shavia</v>
      </c>
      <c r="C5" s="178" t="str">
        <f ca="1"/>
        <v>Belldedagon</v>
      </c>
      <c r="D5" s="178" t="str">
        <f ca="1"/>
        <v>Path of Guiding Light</v>
      </c>
      <c r="E5" s="179">
        <f ca="1"/>
        <v>1652</v>
      </c>
      <c r="F5" s="178">
        <f ca="1"/>
        <v>554</v>
      </c>
      <c r="G5" s="178" t="str">
        <f ca="1"/>
        <v/>
      </c>
      <c r="H5" s="178" t="str">
        <f ca="1"/>
        <v/>
      </c>
      <c r="I5" s="178" t="str">
        <f ca="1"/>
        <v/>
      </c>
      <c r="J5" s="178" t="str">
        <f ca="1"/>
        <v/>
      </c>
      <c r="K5" s="178" t="str">
        <f ca="1"/>
        <v/>
      </c>
      <c r="L5" s="178"/>
      <c r="M5" s="178"/>
      <c r="N5" s="180">
        <f t="shared" ca="1" si="0"/>
        <v>0</v>
      </c>
      <c r="O5" s="181">
        <f ca="1">IF(N5&gt;0.25,N5,N5+'Price Sheet (Ignore)'!$G$2)</f>
        <v>0.15</v>
      </c>
      <c r="P5" s="177">
        <f ca="1">O5*'Price Sheet (Ignore)'!$H$2*(E5/3)</f>
        <v>41.3</v>
      </c>
      <c r="Q5" s="178"/>
      <c r="R5" s="178"/>
      <c r="S5" s="178"/>
    </row>
    <row r="6" spans="1:19" ht="29.25" customHeight="1" x14ac:dyDescent="0.2">
      <c r="A6" s="175" t="str">
        <f ca="1"/>
        <v>Ralim</v>
      </c>
      <c r="B6" s="178" t="str">
        <f ca="1"/>
        <v>Shavia</v>
      </c>
      <c r="C6" s="178" t="str">
        <f ca="1"/>
        <v>Banashel'lalos</v>
      </c>
      <c r="D6" s="178" t="str">
        <f ca="1"/>
        <v>Path of Guiding Light</v>
      </c>
      <c r="E6" s="179">
        <f ca="1"/>
        <v>5892</v>
      </c>
      <c r="F6" s="178">
        <f ca="1"/>
        <v>82</v>
      </c>
      <c r="G6" s="178" t="str">
        <f ca="1"/>
        <v/>
      </c>
      <c r="H6" s="178" t="str">
        <f ca="1"/>
        <v/>
      </c>
      <c r="I6" s="178" t="str">
        <f ca="1"/>
        <v>citadel</v>
      </c>
      <c r="J6" s="178" t="str">
        <f ca="1"/>
        <v/>
      </c>
      <c r="K6" s="178" t="str">
        <f ca="1"/>
        <v/>
      </c>
      <c r="L6" s="178"/>
      <c r="M6" s="178"/>
      <c r="N6" s="180">
        <f t="shared" ca="1" si="0"/>
        <v>0.05</v>
      </c>
      <c r="O6" s="181">
        <f ca="1">IF(N6&gt;0.25,N6,N6+'Price Sheet (Ignore)'!$G$2)</f>
        <v>0.2</v>
      </c>
      <c r="P6" s="177">
        <f ca="1">O6*'Price Sheet (Ignore)'!$H$2*(E6/3)</f>
        <v>196.4</v>
      </c>
      <c r="Q6" s="178"/>
      <c r="R6" s="178"/>
      <c r="S6" s="178"/>
    </row>
    <row r="7" spans="1:19" ht="29.25" customHeight="1" x14ac:dyDescent="0.2">
      <c r="A7" s="175" t="str">
        <f ca="1"/>
        <v>Swanhall</v>
      </c>
      <c r="B7" s="178" t="str">
        <f ca="1"/>
        <v>Shavia</v>
      </c>
      <c r="C7" s="178" t="str">
        <f ca="1"/>
        <v>Whitmegulch</v>
      </c>
      <c r="D7" s="178" t="str">
        <f ca="1"/>
        <v>Path of Guiding Light</v>
      </c>
      <c r="E7" s="179">
        <f ca="1"/>
        <v>16601</v>
      </c>
      <c r="F7" s="178">
        <f ca="1"/>
        <v>82</v>
      </c>
      <c r="G7" s="178" t="str">
        <f ca="1"/>
        <v/>
      </c>
      <c r="H7" s="178" t="str">
        <f ca="1"/>
        <v/>
      </c>
      <c r="I7" s="178" t="str">
        <f ca="1"/>
        <v>citadel</v>
      </c>
      <c r="J7" s="178" t="str">
        <f ca="1"/>
        <v/>
      </c>
      <c r="K7" s="178" t="str">
        <f ca="1"/>
        <v/>
      </c>
      <c r="L7" s="178"/>
      <c r="M7" s="178"/>
      <c r="N7" s="180">
        <f t="shared" ca="1" si="0"/>
        <v>0.05</v>
      </c>
      <c r="O7" s="181">
        <f ca="1">IF(N7&gt;0.25,N7,N7+'Price Sheet (Ignore)'!$G$2)</f>
        <v>0.2</v>
      </c>
      <c r="P7" s="177">
        <f ca="1">O7*'Price Sheet (Ignore)'!$H$2*(E7/3)</f>
        <v>553.36666666666667</v>
      </c>
      <c r="Q7" s="178"/>
      <c r="R7" s="178"/>
      <c r="S7" s="178"/>
    </row>
    <row r="8" spans="1:19" ht="29.25" customHeight="1" x14ac:dyDescent="0.2">
      <c r="A8" s="175" t="str">
        <f ca="1"/>
        <v>Ralim</v>
      </c>
      <c r="B8" s="178" t="str">
        <f ca="1"/>
        <v>Shavia</v>
      </c>
      <c r="C8" s="178" t="str">
        <f ca="1"/>
        <v>Oaledale</v>
      </c>
      <c r="D8" s="178" t="str">
        <f ca="1"/>
        <v>Path of Guiding Light</v>
      </c>
      <c r="E8" s="179">
        <f ca="1"/>
        <v>18598</v>
      </c>
      <c r="F8" s="178">
        <f ca="1"/>
        <v>82</v>
      </c>
      <c r="G8" s="178" t="str">
        <f ca="1"/>
        <v/>
      </c>
      <c r="H8" s="178" t="str">
        <f ca="1"/>
        <v/>
      </c>
      <c r="I8" s="178" t="str">
        <f ca="1"/>
        <v/>
      </c>
      <c r="J8" s="178" t="str">
        <f ca="1"/>
        <v>walls</v>
      </c>
      <c r="K8" s="178" t="str">
        <f ca="1"/>
        <v/>
      </c>
      <c r="L8" s="178"/>
      <c r="M8" s="178"/>
      <c r="N8" s="180">
        <f t="shared" ca="1" si="0"/>
        <v>-7.0000000000000007E-2</v>
      </c>
      <c r="O8" s="181">
        <f ca="1">IF(N8&gt;0.25,N8,N8+'Price Sheet (Ignore)'!$G$2)</f>
        <v>7.9999999999999988E-2</v>
      </c>
      <c r="P8" s="177">
        <f ca="1">O8*'Price Sheet (Ignore)'!$H$2*(E8/3)</f>
        <v>247.97333333333327</v>
      </c>
      <c r="Q8" s="178"/>
      <c r="R8" s="178"/>
      <c r="S8" s="178"/>
    </row>
    <row r="9" spans="1:19" ht="29.25" customHeight="1" x14ac:dyDescent="0.2">
      <c r="A9" s="175" t="str">
        <f ca="1"/>
        <v>Swanhall</v>
      </c>
      <c r="B9" s="178" t="str">
        <f ca="1"/>
        <v>Shavia</v>
      </c>
      <c r="C9" s="178" t="str">
        <f ca="1"/>
        <v>Stagrasp</v>
      </c>
      <c r="D9" s="178" t="str">
        <f ca="1"/>
        <v>Path of Guiding Light</v>
      </c>
      <c r="E9" s="179">
        <f ca="1"/>
        <v>1727</v>
      </c>
      <c r="F9" s="178">
        <f ca="1"/>
        <v>210</v>
      </c>
      <c r="G9" s="178" t="str">
        <f ca="1"/>
        <v/>
      </c>
      <c r="H9" s="178" t="str">
        <f ca="1"/>
        <v/>
      </c>
      <c r="I9" s="178" t="str">
        <f ca="1"/>
        <v/>
      </c>
      <c r="J9" s="178" t="str">
        <f ca="1"/>
        <v/>
      </c>
      <c r="K9" s="178" t="str">
        <f ca="1"/>
        <v/>
      </c>
      <c r="L9" s="178"/>
      <c r="M9" s="178"/>
      <c r="N9" s="180">
        <f t="shared" ca="1" si="0"/>
        <v>0</v>
      </c>
      <c r="O9" s="181">
        <f ca="1">IF(N9&gt;0.25,N9,N9+'Price Sheet (Ignore)'!$G$2)</f>
        <v>0.15</v>
      </c>
      <c r="P9" s="177">
        <f ca="1">O9*'Price Sheet (Ignore)'!$H$2*(E9/3)</f>
        <v>43.174999999999997</v>
      </c>
      <c r="Q9" s="178"/>
      <c r="R9" s="178"/>
      <c r="S9" s="178"/>
    </row>
    <row r="10" spans="1:19" ht="29.25" customHeight="1" x14ac:dyDescent="0.2">
      <c r="A10" s="175" t="str">
        <f ca="1"/>
        <v>Dreghold</v>
      </c>
      <c r="B10" s="178" t="str">
        <f ca="1"/>
        <v>Shavia</v>
      </c>
      <c r="C10" s="178" t="str">
        <f ca="1"/>
        <v>Dogport</v>
      </c>
      <c r="D10" s="178" t="str">
        <f ca="1"/>
        <v>Path of Guiding Light</v>
      </c>
      <c r="E10" s="179">
        <f ca="1"/>
        <v>14433</v>
      </c>
      <c r="F10" s="178">
        <f ca="1"/>
        <v>397</v>
      </c>
      <c r="G10" s="178" t="str">
        <f ca="1"/>
        <v/>
      </c>
      <c r="H10" s="178" t="str">
        <f ca="1"/>
        <v/>
      </c>
      <c r="I10" s="178" t="str">
        <f ca="1"/>
        <v>citadel</v>
      </c>
      <c r="J10" s="178" t="str">
        <f ca="1"/>
        <v/>
      </c>
      <c r="K10" s="178" t="str">
        <f ca="1"/>
        <v>plaza</v>
      </c>
      <c r="L10" s="178"/>
      <c r="M10" s="178"/>
      <c r="N10" s="180">
        <f t="shared" ca="1" si="0"/>
        <v>0.1</v>
      </c>
      <c r="O10" s="181">
        <f ca="1">IF(N10&gt;0.25,N10,N10+'Price Sheet (Ignore)'!$G$2)</f>
        <v>0.25</v>
      </c>
      <c r="P10" s="177">
        <f ca="1">O10*'Price Sheet (Ignore)'!$H$2*(E10/3)</f>
        <v>601.375</v>
      </c>
      <c r="Q10" s="178"/>
      <c r="R10" s="178"/>
      <c r="S10" s="178"/>
    </row>
    <row r="11" spans="1:19" ht="29.25" customHeight="1" x14ac:dyDescent="0.2">
      <c r="A11" s="175" t="str">
        <f ca="1"/>
        <v>Crownlands</v>
      </c>
      <c r="B11" s="178" t="str">
        <f ca="1"/>
        <v>Shavia</v>
      </c>
      <c r="C11" s="178" t="str">
        <f ca="1"/>
        <v>Drelme</v>
      </c>
      <c r="D11" s="178" t="str">
        <f ca="1"/>
        <v>Path of Guiding Light</v>
      </c>
      <c r="E11" s="179">
        <f ca="1"/>
        <v>11053</v>
      </c>
      <c r="F11" s="178">
        <f ca="1"/>
        <v>161</v>
      </c>
      <c r="G11" s="178" t="str">
        <f ca="1"/>
        <v/>
      </c>
      <c r="H11" s="178" t="str">
        <f ca="1"/>
        <v/>
      </c>
      <c r="I11" s="178" t="str">
        <f ca="1"/>
        <v/>
      </c>
      <c r="J11" s="178" t="str">
        <f ca="1"/>
        <v>walls</v>
      </c>
      <c r="K11" s="178" t="str">
        <f ca="1"/>
        <v>plaza</v>
      </c>
      <c r="L11" s="178"/>
      <c r="M11" s="178"/>
      <c r="N11" s="180">
        <f t="shared" ca="1" si="0"/>
        <v>-2.0000000000000004E-2</v>
      </c>
      <c r="O11" s="181">
        <f ca="1">IF(N11&gt;0.25,N11,N11+'Price Sheet (Ignore)'!$G$2)</f>
        <v>0.13</v>
      </c>
      <c r="P11" s="177">
        <f ca="1">O11*'Price Sheet (Ignore)'!$H$2*(E11/3)</f>
        <v>239.48166666666668</v>
      </c>
      <c r="Q11" s="178"/>
      <c r="R11" s="178"/>
      <c r="S11" s="178"/>
    </row>
    <row r="12" spans="1:19" ht="29.25" customHeight="1" x14ac:dyDescent="0.2">
      <c r="A12" s="175" t="str">
        <f ca="1"/>
        <v>Sirong</v>
      </c>
      <c r="B12" s="178" t="str">
        <f ca="1"/>
        <v>Shavia</v>
      </c>
      <c r="C12" s="178" t="str">
        <f ca="1"/>
        <v>Sirong</v>
      </c>
      <c r="D12" s="178" t="str">
        <f ca="1"/>
        <v>Path of Guiding Light</v>
      </c>
      <c r="E12" s="179">
        <f ca="1"/>
        <v>29657</v>
      </c>
      <c r="F12" s="178">
        <f ca="1"/>
        <v>13</v>
      </c>
      <c r="G12" s="178" t="str">
        <f ca="1"/>
        <v/>
      </c>
      <c r="H12" s="178" t="str">
        <f ca="1"/>
        <v>port</v>
      </c>
      <c r="I12" s="178" t="str">
        <f ca="1"/>
        <v>citadel</v>
      </c>
      <c r="J12" s="178" t="str">
        <f ca="1"/>
        <v/>
      </c>
      <c r="K12" s="178" t="str">
        <f ca="1"/>
        <v/>
      </c>
      <c r="L12" s="178"/>
      <c r="M12" s="178"/>
      <c r="N12" s="180">
        <f t="shared" ca="1" si="0"/>
        <v>0.15000000000000002</v>
      </c>
      <c r="O12" s="181">
        <f ca="1">IF(N12&gt;0.25,N12,N12+'Price Sheet (Ignore)'!$G$2)</f>
        <v>0.30000000000000004</v>
      </c>
      <c r="P12" s="177">
        <f ca="1">O12*'Price Sheet (Ignore)'!$H$2*(E12/3)</f>
        <v>1482.8500000000001</v>
      </c>
      <c r="Q12" s="178"/>
      <c r="R12" s="178"/>
      <c r="S12" s="178"/>
    </row>
    <row r="13" spans="1:19" ht="29.25" customHeight="1" x14ac:dyDescent="0.2">
      <c r="A13" s="175" t="str">
        <f ca="1"/>
        <v>Crownlands</v>
      </c>
      <c r="B13" s="178" t="str">
        <f ca="1"/>
        <v>Shavia</v>
      </c>
      <c r="C13" s="178" t="str">
        <f ca="1"/>
        <v>Mistmorest</v>
      </c>
      <c r="D13" s="178" t="str">
        <f ca="1"/>
        <v>Path of Guiding Light</v>
      </c>
      <c r="E13" s="179">
        <f ca="1"/>
        <v>1773</v>
      </c>
      <c r="F13" s="178">
        <f ca="1"/>
        <v>118</v>
      </c>
      <c r="G13" s="178" t="str">
        <f ca="1"/>
        <v/>
      </c>
      <c r="H13" s="178" t="str">
        <f ca="1"/>
        <v/>
      </c>
      <c r="I13" s="178" t="str">
        <f ca="1"/>
        <v>citadel</v>
      </c>
      <c r="J13" s="178" t="str">
        <f ca="1"/>
        <v/>
      </c>
      <c r="K13" s="178" t="str">
        <f ca="1"/>
        <v/>
      </c>
      <c r="L13" s="178"/>
      <c r="M13" s="178"/>
      <c r="N13" s="180">
        <f t="shared" ca="1" si="0"/>
        <v>0.05</v>
      </c>
      <c r="O13" s="181">
        <f ca="1">IF(N13&gt;0.25,N13,N13+'Price Sheet (Ignore)'!$G$2)</f>
        <v>0.2</v>
      </c>
      <c r="P13" s="177">
        <f ca="1">O13*'Price Sheet (Ignore)'!$H$2*(E13/3)</f>
        <v>59.1</v>
      </c>
      <c r="Q13" s="178"/>
      <c r="R13" s="178"/>
      <c r="S13" s="178"/>
    </row>
    <row r="14" spans="1:19" ht="29.25" customHeight="1" x14ac:dyDescent="0.2">
      <c r="A14" s="175" t="str">
        <f ca="1"/>
        <v>Swanhall</v>
      </c>
      <c r="B14" s="178" t="str">
        <f ca="1"/>
        <v>Shavia</v>
      </c>
      <c r="C14" s="178" t="str">
        <f ca="1"/>
        <v>Moonpasshi</v>
      </c>
      <c r="D14" s="178" t="str">
        <f ca="1"/>
        <v>Path of Guiding Light</v>
      </c>
      <c r="E14" s="179">
        <f ca="1"/>
        <v>9554</v>
      </c>
      <c r="F14" s="178">
        <f ca="1"/>
        <v>82</v>
      </c>
      <c r="G14" s="178" t="str">
        <f ca="1"/>
        <v/>
      </c>
      <c r="H14" s="178" t="str">
        <f ca="1"/>
        <v/>
      </c>
      <c r="I14" s="178" t="str">
        <f ca="1"/>
        <v/>
      </c>
      <c r="J14" s="178" t="str">
        <f ca="1"/>
        <v/>
      </c>
      <c r="K14" s="178" t="str">
        <f ca="1"/>
        <v>plaza</v>
      </c>
      <c r="L14" s="178"/>
      <c r="M14" s="178"/>
      <c r="N14" s="180">
        <f t="shared" ca="1" si="0"/>
        <v>0.05</v>
      </c>
      <c r="O14" s="181">
        <f ca="1">IF(N14&gt;0.25,N14,N14+'Price Sheet (Ignore)'!$G$2)</f>
        <v>0.2</v>
      </c>
      <c r="P14" s="177">
        <f ca="1">O14*'Price Sheet (Ignore)'!$H$2*(E14/3)</f>
        <v>318.4666666666667</v>
      </c>
      <c r="Q14" s="178"/>
      <c r="R14" s="178"/>
      <c r="S14" s="178"/>
    </row>
    <row r="15" spans="1:19" ht="29.25" customHeight="1" x14ac:dyDescent="0.2">
      <c r="A15" s="175" t="str">
        <f ca="1"/>
        <v>Swanhall</v>
      </c>
      <c r="B15" s="178" t="str">
        <f ca="1"/>
        <v>Shavia</v>
      </c>
      <c r="C15" s="178" t="str">
        <f ca="1"/>
        <v>Griteshield</v>
      </c>
      <c r="D15" s="178" t="str">
        <f ca="1"/>
        <v>Path of Guiding Light</v>
      </c>
      <c r="E15" s="179">
        <f ca="1"/>
        <v>1705</v>
      </c>
      <c r="F15" s="178">
        <f ca="1"/>
        <v>1447</v>
      </c>
      <c r="G15" s="178" t="str">
        <f ca="1"/>
        <v/>
      </c>
      <c r="H15" s="178" t="str">
        <f ca="1"/>
        <v/>
      </c>
      <c r="I15" s="178" t="str">
        <f ca="1"/>
        <v>citadel</v>
      </c>
      <c r="J15" s="178" t="str">
        <f ca="1"/>
        <v/>
      </c>
      <c r="K15" s="178" t="str">
        <f ca="1"/>
        <v/>
      </c>
      <c r="L15" s="178"/>
      <c r="M15" s="178"/>
      <c r="N15" s="180">
        <f t="shared" ca="1" si="0"/>
        <v>0.05</v>
      </c>
      <c r="O15" s="181">
        <f ca="1">IF(N15&gt;0.25,N15,N15+'Price Sheet (Ignore)'!$G$2)</f>
        <v>0.2</v>
      </c>
      <c r="P15" s="177">
        <f ca="1">O15*'Price Sheet (Ignore)'!$H$2*(E15/3)</f>
        <v>56.833333333333343</v>
      </c>
      <c r="Q15" s="178"/>
      <c r="R15" s="178"/>
      <c r="S15" s="178"/>
    </row>
    <row r="16" spans="1:19" ht="29.25" customHeight="1" x14ac:dyDescent="0.2">
      <c r="A16" s="175" t="str">
        <f ca="1"/>
        <v>Swanhall</v>
      </c>
      <c r="B16" s="178" t="str">
        <f ca="1"/>
        <v>Shavia</v>
      </c>
      <c r="C16" s="178" t="str">
        <f ca="1"/>
        <v>Cademire</v>
      </c>
      <c r="D16" s="178" t="str">
        <f ca="1"/>
        <v>Path of Guiding Light</v>
      </c>
      <c r="E16" s="179">
        <f ca="1"/>
        <v>14383</v>
      </c>
      <c r="F16" s="178">
        <f ca="1"/>
        <v>118</v>
      </c>
      <c r="G16" s="178" t="str">
        <f ca="1"/>
        <v/>
      </c>
      <c r="H16" s="178" t="str">
        <f ca="1"/>
        <v>port</v>
      </c>
      <c r="I16" s="178" t="str">
        <f ca="1"/>
        <v>citadel</v>
      </c>
      <c r="J16" s="178" t="str">
        <f ca="1"/>
        <v>walls</v>
      </c>
      <c r="K16" s="178" t="str">
        <f ca="1"/>
        <v/>
      </c>
      <c r="L16" s="178"/>
      <c r="M16" s="178"/>
      <c r="N16" s="180">
        <f t="shared" ca="1" si="0"/>
        <v>8.0000000000000016E-2</v>
      </c>
      <c r="O16" s="181">
        <f ca="1">IF(N16&gt;0.25,N16,N16+'Price Sheet (Ignore)'!$G$2)</f>
        <v>0.23</v>
      </c>
      <c r="P16" s="177">
        <f ca="1">O16*'Price Sheet (Ignore)'!$H$2*(E16/3)</f>
        <v>551.34833333333336</v>
      </c>
      <c r="Q16" s="178"/>
      <c r="R16" s="178"/>
      <c r="S16" s="178"/>
    </row>
    <row r="17" spans="1:19" ht="29.25" customHeight="1" x14ac:dyDescent="0.2">
      <c r="A17" s="175" t="str">
        <f ca="1"/>
        <v>Swanhall</v>
      </c>
      <c r="B17" s="178" t="str">
        <f ca="1"/>
        <v>Shavia</v>
      </c>
      <c r="C17" s="178" t="str">
        <f ca="1"/>
        <v>Quickwatch</v>
      </c>
      <c r="D17" s="178" t="str">
        <f ca="1"/>
        <v>Path of Guiding Light</v>
      </c>
      <c r="E17" s="179">
        <f ca="1"/>
        <v>6128</v>
      </c>
      <c r="F17" s="178">
        <f ca="1"/>
        <v>118</v>
      </c>
      <c r="G17" s="178" t="str">
        <f ca="1"/>
        <v/>
      </c>
      <c r="H17" s="178" t="str">
        <f ca="1"/>
        <v/>
      </c>
      <c r="I17" s="178" t="str">
        <f ca="1"/>
        <v>citadel</v>
      </c>
      <c r="J17" s="178" t="str">
        <f ca="1"/>
        <v>walls</v>
      </c>
      <c r="K17" s="178" t="str">
        <f ca="1"/>
        <v/>
      </c>
      <c r="L17" s="178"/>
      <c r="M17" s="178"/>
      <c r="N17" s="180">
        <f t="shared" ca="1" si="0"/>
        <v>-2.0000000000000004E-2</v>
      </c>
      <c r="O17" s="181">
        <f ca="1">IF(N17&gt;0.25,N17,N17+'Price Sheet (Ignore)'!$G$2)</f>
        <v>0.13</v>
      </c>
      <c r="P17" s="177">
        <f ca="1">O17*'Price Sheet (Ignore)'!$H$2*(E17/3)</f>
        <v>132.77333333333334</v>
      </c>
      <c r="Q17" s="178"/>
      <c r="R17" s="178"/>
      <c r="S17" s="178"/>
    </row>
    <row r="18" spans="1:19" ht="29.25" customHeight="1" x14ac:dyDescent="0.2">
      <c r="A18" s="175" t="str">
        <f ca="1"/>
        <v>Dreghold</v>
      </c>
      <c r="B18" s="178" t="str">
        <f ca="1"/>
        <v>Shavia</v>
      </c>
      <c r="C18" s="178" t="str">
        <f ca="1"/>
        <v>Westleden</v>
      </c>
      <c r="D18" s="178" t="str">
        <f ca="1"/>
        <v>Path of Guiding Light</v>
      </c>
      <c r="E18" s="179">
        <f ca="1"/>
        <v>1956</v>
      </c>
      <c r="F18" s="178">
        <f ca="1"/>
        <v>52</v>
      </c>
      <c r="G18" s="178" t="str">
        <f ca="1"/>
        <v/>
      </c>
      <c r="H18" s="178" t="str">
        <f ca="1"/>
        <v/>
      </c>
      <c r="I18" s="178" t="str">
        <f ca="1"/>
        <v>citadel</v>
      </c>
      <c r="J18" s="178" t="str">
        <f ca="1"/>
        <v/>
      </c>
      <c r="K18" s="178" t="str">
        <f ca="1"/>
        <v/>
      </c>
      <c r="L18" s="178"/>
      <c r="M18" s="178"/>
      <c r="N18" s="180">
        <f t="shared" ca="1" si="0"/>
        <v>0.05</v>
      </c>
      <c r="O18" s="181">
        <f ca="1">IF(N18&gt;0.25,N18,N18+'Price Sheet (Ignore)'!$G$2)</f>
        <v>0.2</v>
      </c>
      <c r="P18" s="177">
        <f ca="1">O18*'Price Sheet (Ignore)'!$H$2*(E18/3)</f>
        <v>65.2</v>
      </c>
      <c r="Q18" s="178"/>
      <c r="R18" s="178"/>
      <c r="S18" s="178"/>
    </row>
    <row r="19" spans="1:19" ht="29.25" customHeight="1" x14ac:dyDescent="0.2">
      <c r="A19" s="175" t="str">
        <f ca="1"/>
        <v>Dreghold</v>
      </c>
      <c r="B19" s="178" t="str">
        <f ca="1"/>
        <v>Shavia</v>
      </c>
      <c r="C19" s="178" t="str">
        <f ca="1"/>
        <v>Draven</v>
      </c>
      <c r="D19" s="178" t="str">
        <f ca="1"/>
        <v>Path of Guiding Light</v>
      </c>
      <c r="E19" s="179">
        <f ca="1"/>
        <v>3268</v>
      </c>
      <c r="F19" s="178">
        <f ca="1"/>
        <v>210</v>
      </c>
      <c r="G19" s="178" t="str">
        <f ca="1"/>
        <v/>
      </c>
      <c r="H19" s="178" t="str">
        <f ca="1"/>
        <v>port</v>
      </c>
      <c r="I19" s="178" t="str">
        <f ca="1"/>
        <v>citadel</v>
      </c>
      <c r="J19" s="178" t="str">
        <f ca="1"/>
        <v>walls</v>
      </c>
      <c r="K19" s="178" t="str">
        <f ca="1"/>
        <v/>
      </c>
      <c r="L19" s="178"/>
      <c r="M19" s="178"/>
      <c r="N19" s="180">
        <f t="shared" ca="1" si="0"/>
        <v>8.0000000000000016E-2</v>
      </c>
      <c r="O19" s="181">
        <f ca="1">IF(N19&gt;0.25,N19,N19+'Price Sheet (Ignore)'!$G$2)</f>
        <v>0.23</v>
      </c>
      <c r="P19" s="177">
        <f ca="1">O19*'Price Sheet (Ignore)'!$H$2*(E19/3)</f>
        <v>125.27333333333333</v>
      </c>
      <c r="Q19" s="178"/>
      <c r="R19" s="178"/>
      <c r="S19" s="178"/>
    </row>
    <row r="20" spans="1:19" ht="29.25" customHeight="1" x14ac:dyDescent="0.2">
      <c r="A20" s="175" t="str">
        <f ca="1"/>
        <v>Swanhall</v>
      </c>
      <c r="B20" s="178" t="str">
        <f ca="1"/>
        <v>Shavia</v>
      </c>
      <c r="C20" s="178" t="str">
        <f ca="1"/>
        <v>Shroutumn</v>
      </c>
      <c r="D20" s="178" t="str">
        <f ca="1"/>
        <v>Path of Guiding Light</v>
      </c>
      <c r="E20" s="179">
        <f ca="1"/>
        <v>4134</v>
      </c>
      <c r="F20" s="178">
        <f ca="1"/>
        <v>52</v>
      </c>
      <c r="G20" s="178" t="str">
        <f ca="1"/>
        <v/>
      </c>
      <c r="H20" s="178" t="str">
        <f ca="1"/>
        <v>port</v>
      </c>
      <c r="I20" s="178" t="str">
        <f ca="1"/>
        <v>citadel</v>
      </c>
      <c r="J20" s="178" t="str">
        <f ca="1"/>
        <v/>
      </c>
      <c r="K20" s="178" t="str">
        <f ca="1"/>
        <v/>
      </c>
      <c r="L20" s="178"/>
      <c r="M20" s="178"/>
      <c r="N20" s="180">
        <f t="shared" ca="1" si="0"/>
        <v>0.15000000000000002</v>
      </c>
      <c r="O20" s="181">
        <f ca="1">IF(N20&gt;0.25,N20,N20+'Price Sheet (Ignore)'!$G$2)</f>
        <v>0.30000000000000004</v>
      </c>
      <c r="P20" s="177">
        <f ca="1">O20*'Price Sheet (Ignore)'!$H$2*(E20/3)</f>
        <v>206.70000000000002</v>
      </c>
      <c r="Q20" s="178"/>
      <c r="R20" s="178"/>
      <c r="S20" s="178"/>
    </row>
    <row r="21" spans="1:19" ht="29.25" customHeight="1" x14ac:dyDescent="0.2">
      <c r="A21" s="175" t="str">
        <f ca="1"/>
        <v>Crownlands</v>
      </c>
      <c r="B21" s="178" t="str">
        <f ca="1"/>
        <v>Shavia</v>
      </c>
      <c r="C21" s="178" t="str">
        <f ca="1"/>
        <v>Shaledasinf</v>
      </c>
      <c r="D21" s="178" t="str">
        <f ca="1"/>
        <v>Path of Guiding Light</v>
      </c>
      <c r="E21" s="179">
        <f ca="1"/>
        <v>4744</v>
      </c>
      <c r="F21" s="178">
        <f ca="1"/>
        <v>52</v>
      </c>
      <c r="G21" s="178" t="str">
        <f ca="1"/>
        <v/>
      </c>
      <c r="H21" s="178" t="str">
        <f ca="1"/>
        <v/>
      </c>
      <c r="I21" s="178" t="str">
        <f ca="1"/>
        <v>citadel</v>
      </c>
      <c r="J21" s="178" t="str">
        <f ca="1"/>
        <v/>
      </c>
      <c r="K21" s="178" t="str">
        <f ca="1"/>
        <v/>
      </c>
      <c r="L21" s="178"/>
      <c r="M21" s="178"/>
      <c r="N21" s="180">
        <f t="shared" ca="1" si="0"/>
        <v>0.05</v>
      </c>
      <c r="O21" s="181">
        <f ca="1">IF(N21&gt;0.25,N21,N21+'Price Sheet (Ignore)'!$G$2)</f>
        <v>0.2</v>
      </c>
      <c r="P21" s="177">
        <f ca="1">O21*'Price Sheet (Ignore)'!$H$2*(E21/3)</f>
        <v>158.13333333333333</v>
      </c>
      <c r="Q21" s="178"/>
      <c r="R21" s="178"/>
      <c r="S21" s="178"/>
    </row>
    <row r="22" spans="1:19" ht="29.25" customHeight="1" x14ac:dyDescent="0.2">
      <c r="A22" s="175" t="str">
        <f ca="1"/>
        <v>Swanhall</v>
      </c>
      <c r="B22" s="178" t="str">
        <f ca="1"/>
        <v>Shavia</v>
      </c>
      <c r="C22" s="178" t="str">
        <f ca="1"/>
        <v>Pearldfair</v>
      </c>
      <c r="D22" s="178" t="str">
        <f ca="1"/>
        <v>Path of Guiding Light</v>
      </c>
      <c r="E22" s="179">
        <f ca="1"/>
        <v>7044</v>
      </c>
      <c r="F22" s="178">
        <f ca="1"/>
        <v>118</v>
      </c>
      <c r="G22" s="178" t="str">
        <f ca="1"/>
        <v/>
      </c>
      <c r="H22" s="178" t="str">
        <f ca="1"/>
        <v>port</v>
      </c>
      <c r="I22" s="178" t="str">
        <f ca="1"/>
        <v/>
      </c>
      <c r="J22" s="178" t="str">
        <f ca="1"/>
        <v/>
      </c>
      <c r="K22" s="178" t="str">
        <f ca="1"/>
        <v>plaza</v>
      </c>
      <c r="L22" s="178"/>
      <c r="M22" s="178"/>
      <c r="N22" s="180">
        <f t="shared" ca="1" si="0"/>
        <v>0.15000000000000002</v>
      </c>
      <c r="O22" s="181">
        <f ca="1">IF(N22&gt;0.25,N22,N22+'Price Sheet (Ignore)'!$G$2)</f>
        <v>0.30000000000000004</v>
      </c>
      <c r="P22" s="177">
        <f ca="1">O22*'Price Sheet (Ignore)'!$H$2*(E22/3)</f>
        <v>352.20000000000005</v>
      </c>
      <c r="Q22" s="178"/>
      <c r="R22" s="178"/>
      <c r="S22" s="178"/>
    </row>
    <row r="23" spans="1:19" ht="29.25" customHeight="1" x14ac:dyDescent="0.2">
      <c r="A23" s="175" t="str">
        <f ca="1"/>
        <v>Ralim</v>
      </c>
      <c r="B23" s="178" t="str">
        <f ca="1"/>
        <v>Shavia</v>
      </c>
      <c r="C23" s="178" t="str">
        <f ca="1"/>
        <v>Bearsimeg</v>
      </c>
      <c r="D23" s="178" t="str">
        <f ca="1"/>
        <v>Path of Guiding Light</v>
      </c>
      <c r="E23" s="179">
        <f ca="1"/>
        <v>1784</v>
      </c>
      <c r="F23" s="178">
        <f ca="1"/>
        <v>82</v>
      </c>
      <c r="G23" s="178" t="str">
        <f ca="1"/>
        <v/>
      </c>
      <c r="H23" s="178" t="str">
        <f ca="1"/>
        <v/>
      </c>
      <c r="I23" s="178" t="str">
        <f ca="1"/>
        <v>citadel</v>
      </c>
      <c r="J23" s="178" t="str">
        <f ca="1"/>
        <v/>
      </c>
      <c r="K23" s="178" t="str">
        <f ca="1"/>
        <v/>
      </c>
      <c r="L23" s="178"/>
      <c r="M23" s="178"/>
      <c r="N23" s="180">
        <f t="shared" ca="1" si="0"/>
        <v>0.05</v>
      </c>
      <c r="O23" s="181">
        <f ca="1">IF(N23&gt;0.25,N23,N23+'Price Sheet (Ignore)'!$G$2)</f>
        <v>0.2</v>
      </c>
      <c r="P23" s="177">
        <f ca="1">O23*'Price Sheet (Ignore)'!$H$2*(E23/3)</f>
        <v>59.466666666666669</v>
      </c>
      <c r="Q23" s="178"/>
      <c r="R23" s="178"/>
      <c r="S23" s="178"/>
    </row>
    <row r="24" spans="1:19" ht="29.25" customHeight="1" x14ac:dyDescent="0.2">
      <c r="A24" s="175" t="str">
        <f ca="1"/>
        <v>Swanhall</v>
      </c>
      <c r="B24" s="178" t="str">
        <f ca="1"/>
        <v>Shavia</v>
      </c>
      <c r="C24" s="178" t="str">
        <f ca="1"/>
        <v>Wingmire</v>
      </c>
      <c r="D24" s="178" t="str">
        <f ca="1"/>
        <v>Path of Guiding Light</v>
      </c>
      <c r="E24" s="179">
        <f ca="1"/>
        <v>3608</v>
      </c>
      <c r="F24" s="178">
        <f ca="1"/>
        <v>118</v>
      </c>
      <c r="G24" s="178" t="str">
        <f ca="1"/>
        <v/>
      </c>
      <c r="H24" s="178" t="str">
        <f ca="1"/>
        <v/>
      </c>
      <c r="I24" s="178" t="str">
        <f ca="1"/>
        <v>citadel</v>
      </c>
      <c r="J24" s="178" t="str">
        <f ca="1"/>
        <v/>
      </c>
      <c r="K24" s="178" t="str">
        <f ca="1"/>
        <v>plaza</v>
      </c>
      <c r="L24" s="178"/>
      <c r="M24" s="178"/>
      <c r="N24" s="180">
        <f t="shared" ca="1" si="0"/>
        <v>0.1</v>
      </c>
      <c r="O24" s="181">
        <f ca="1">IF(N24&gt;0.25,N24,N24+'Price Sheet (Ignore)'!$G$2)</f>
        <v>0.25</v>
      </c>
      <c r="P24" s="177">
        <f ca="1">O24*'Price Sheet (Ignore)'!$H$2*(E24/3)</f>
        <v>150.33333333333334</v>
      </c>
      <c r="Q24" s="178"/>
      <c r="R24" s="178"/>
      <c r="S24" s="178"/>
    </row>
    <row r="25" spans="1:19" ht="29.25" customHeight="1" x14ac:dyDescent="0.2">
      <c r="A25" s="175" t="str">
        <f ca="1"/>
        <v>Swanhall</v>
      </c>
      <c r="B25" s="178" t="str">
        <f ca="1"/>
        <v>Shavia</v>
      </c>
      <c r="C25" s="178" t="str">
        <f ca="1"/>
        <v>Cadeband</v>
      </c>
      <c r="D25" s="178" t="str">
        <f ca="1"/>
        <v>Path of Guiding Light</v>
      </c>
      <c r="E25" s="179">
        <f ca="1"/>
        <v>8105</v>
      </c>
      <c r="F25" s="178">
        <f ca="1"/>
        <v>118</v>
      </c>
      <c r="G25" s="178" t="str">
        <f ca="1"/>
        <v/>
      </c>
      <c r="H25" s="178" t="str">
        <f ca="1"/>
        <v/>
      </c>
      <c r="I25" s="178" t="str">
        <f ca="1"/>
        <v/>
      </c>
      <c r="J25" s="178" t="str">
        <f ca="1"/>
        <v/>
      </c>
      <c r="K25" s="178" t="str">
        <f ca="1"/>
        <v>plaza</v>
      </c>
      <c r="L25" s="178"/>
      <c r="M25" s="178"/>
      <c r="N25" s="180">
        <f t="shared" ca="1" si="0"/>
        <v>0.05</v>
      </c>
      <c r="O25" s="181">
        <f ca="1">IF(N25&gt;0.25,N25,N25+'Price Sheet (Ignore)'!$G$2)</f>
        <v>0.2</v>
      </c>
      <c r="P25" s="177">
        <f ca="1">O25*'Price Sheet (Ignore)'!$H$2*(E25/3)</f>
        <v>270.16666666666669</v>
      </c>
      <c r="Q25" s="178"/>
      <c r="R25" s="178"/>
      <c r="S25" s="178"/>
    </row>
    <row r="26" spans="1:19" ht="29.25" customHeight="1" x14ac:dyDescent="0.2">
      <c r="A26" s="175" t="str">
        <f ca="1"/>
        <v>Swanhall</v>
      </c>
      <c r="B26" s="178" t="str">
        <f ca="1"/>
        <v>Shavia</v>
      </c>
      <c r="C26" s="178" t="str">
        <f ca="1"/>
        <v>Wildcall</v>
      </c>
      <c r="D26" s="178" t="str">
        <f ca="1"/>
        <v>Path of Guiding Light</v>
      </c>
      <c r="E26" s="179">
        <f ca="1"/>
        <v>24844</v>
      </c>
      <c r="F26" s="178">
        <f ca="1"/>
        <v>554</v>
      </c>
      <c r="G26" s="178" t="str">
        <f ca="1"/>
        <v/>
      </c>
      <c r="H26" s="178" t="str">
        <f ca="1"/>
        <v/>
      </c>
      <c r="I26" s="178" t="str">
        <f ca="1"/>
        <v/>
      </c>
      <c r="J26" s="178" t="str">
        <f ca="1"/>
        <v>walls</v>
      </c>
      <c r="K26" s="178" t="str">
        <f ca="1"/>
        <v>plaza</v>
      </c>
      <c r="L26" s="178"/>
      <c r="M26" s="178"/>
      <c r="N26" s="180">
        <f t="shared" ca="1" si="0"/>
        <v>-2.0000000000000004E-2</v>
      </c>
      <c r="O26" s="181">
        <f ca="1">IF(N26&gt;0.25,N26,N26+'Price Sheet (Ignore)'!$G$2)</f>
        <v>0.13</v>
      </c>
      <c r="P26" s="177">
        <f ca="1">O26*'Price Sheet (Ignore)'!$H$2*(E26/3)</f>
        <v>538.28666666666675</v>
      </c>
      <c r="Q26" s="178"/>
      <c r="R26" s="178"/>
      <c r="S26" s="178"/>
    </row>
    <row r="27" spans="1:19" ht="29.25" customHeight="1" x14ac:dyDescent="0.2">
      <c r="A27" s="175" t="str">
        <f ca="1"/>
        <v>Dreghold</v>
      </c>
      <c r="B27" s="178" t="str">
        <f ca="1"/>
        <v>Shavia</v>
      </c>
      <c r="C27" s="178" t="str">
        <f ca="1"/>
        <v>Nehalle</v>
      </c>
      <c r="D27" s="178" t="str">
        <f ca="1"/>
        <v>Path of Guiding Light</v>
      </c>
      <c r="E27" s="179">
        <f ca="1"/>
        <v>11784</v>
      </c>
      <c r="F27" s="178">
        <f ca="1"/>
        <v>52</v>
      </c>
      <c r="G27" s="178" t="str">
        <f ca="1"/>
        <v/>
      </c>
      <c r="H27" s="178" t="str">
        <f ca="1"/>
        <v/>
      </c>
      <c r="I27" s="178" t="str">
        <f ca="1"/>
        <v>citadel</v>
      </c>
      <c r="J27" s="178" t="str">
        <f ca="1"/>
        <v>walls</v>
      </c>
      <c r="K27" s="178" t="str">
        <f ca="1"/>
        <v/>
      </c>
      <c r="L27" s="178"/>
      <c r="M27" s="178"/>
      <c r="N27" s="180">
        <f t="shared" ca="1" si="0"/>
        <v>-2.0000000000000004E-2</v>
      </c>
      <c r="O27" s="181">
        <f ca="1">IF(N27&gt;0.25,N27,N27+'Price Sheet (Ignore)'!$G$2)</f>
        <v>0.13</v>
      </c>
      <c r="P27" s="177">
        <f ca="1">O27*'Price Sheet (Ignore)'!$H$2*(E27/3)</f>
        <v>255.32000000000002</v>
      </c>
      <c r="Q27" s="178"/>
      <c r="R27" s="178"/>
      <c r="S27" s="178"/>
    </row>
    <row r="28" spans="1:19" ht="29.25" customHeight="1" x14ac:dyDescent="0.2">
      <c r="A28" s="175" t="str">
        <f ca="1"/>
        <v>Crownlands</v>
      </c>
      <c r="B28" s="178" t="str">
        <f ca="1"/>
        <v>Shavia</v>
      </c>
      <c r="C28" s="178" t="str">
        <f ca="1"/>
        <v>Dawnsites</v>
      </c>
      <c r="D28" s="178" t="str">
        <f ca="1"/>
        <v>Path of Guiding Light</v>
      </c>
      <c r="E28" s="179">
        <f ca="1"/>
        <v>11553</v>
      </c>
      <c r="F28" s="178">
        <f ca="1"/>
        <v>82</v>
      </c>
      <c r="G28" s="178" t="str">
        <f ca="1"/>
        <v/>
      </c>
      <c r="H28" s="178" t="str">
        <f ca="1"/>
        <v>port</v>
      </c>
      <c r="I28" s="178" t="str">
        <f ca="1"/>
        <v/>
      </c>
      <c r="J28" s="178" t="str">
        <f ca="1"/>
        <v/>
      </c>
      <c r="K28" s="178" t="str">
        <f ca="1"/>
        <v/>
      </c>
      <c r="L28" s="178"/>
      <c r="M28" s="178"/>
      <c r="N28" s="180">
        <f t="shared" ca="1" si="0"/>
        <v>0.1</v>
      </c>
      <c r="O28" s="181">
        <f ca="1">IF(N28&gt;0.25,N28,N28+'Price Sheet (Ignore)'!$G$2)</f>
        <v>0.25</v>
      </c>
      <c r="P28" s="177">
        <f ca="1">O28*'Price Sheet (Ignore)'!$H$2*(E28/3)</f>
        <v>481.375</v>
      </c>
      <c r="Q28" s="178"/>
      <c r="R28" s="178"/>
      <c r="S28" s="178"/>
    </row>
    <row r="29" spans="1:19" ht="29.25" customHeight="1" x14ac:dyDescent="0.2">
      <c r="A29" s="175" t="str">
        <f ca="1"/>
        <v>Sirong</v>
      </c>
      <c r="B29" s="178" t="str">
        <f ca="1"/>
        <v>Shavia</v>
      </c>
      <c r="C29" s="178" t="str">
        <f ca="1"/>
        <v>Sirongrasp</v>
      </c>
      <c r="D29" s="178" t="str">
        <f ca="1"/>
        <v>Path of Guiding Light</v>
      </c>
      <c r="E29" s="179">
        <f ca="1"/>
        <v>4343</v>
      </c>
      <c r="F29" s="178">
        <f ca="1"/>
        <v>210</v>
      </c>
      <c r="G29" s="178" t="str">
        <f ca="1"/>
        <v/>
      </c>
      <c r="H29" s="178" t="str">
        <f ca="1"/>
        <v/>
      </c>
      <c r="I29" s="178" t="str">
        <f ca="1"/>
        <v/>
      </c>
      <c r="J29" s="178" t="str">
        <f ca="1"/>
        <v/>
      </c>
      <c r="K29" s="178" t="str">
        <f ca="1"/>
        <v/>
      </c>
      <c r="L29" s="178"/>
      <c r="M29" s="178"/>
      <c r="N29" s="180">
        <f t="shared" ca="1" si="0"/>
        <v>0</v>
      </c>
      <c r="O29" s="181">
        <f ca="1">IF(N29&gt;0.25,N29,N29+'Price Sheet (Ignore)'!$G$2)</f>
        <v>0.15</v>
      </c>
      <c r="P29" s="177">
        <f ca="1">O29*'Price Sheet (Ignore)'!$H$2*(E29/3)</f>
        <v>108.575</v>
      </c>
      <c r="Q29" s="178"/>
      <c r="R29" s="178"/>
      <c r="S29" s="178"/>
    </row>
    <row r="30" spans="1:19" ht="29.25" customHeight="1" x14ac:dyDescent="0.2">
      <c r="A30" s="175" t="str">
        <f ca="1"/>
        <v>Dreghold</v>
      </c>
      <c r="B30" s="178" t="str">
        <f ca="1"/>
        <v>Shavia</v>
      </c>
      <c r="C30" s="178" t="str">
        <f ca="1"/>
        <v>Dreghold</v>
      </c>
      <c r="D30" s="178" t="str">
        <f ca="1"/>
        <v>Path of Guiding Light</v>
      </c>
      <c r="E30" s="179">
        <f ca="1"/>
        <v>32035</v>
      </c>
      <c r="F30" s="178">
        <f ca="1"/>
        <v>13</v>
      </c>
      <c r="G30" s="178" t="str">
        <f ca="1"/>
        <v/>
      </c>
      <c r="H30" s="178" t="str">
        <f ca="1"/>
        <v>port</v>
      </c>
      <c r="I30" s="178" t="str">
        <f ca="1"/>
        <v>citadel</v>
      </c>
      <c r="J30" s="178" t="str">
        <f ca="1"/>
        <v/>
      </c>
      <c r="K30" s="178" t="str">
        <f ca="1"/>
        <v>plaza</v>
      </c>
      <c r="L30" s="178"/>
      <c r="M30" s="178"/>
      <c r="N30" s="180">
        <f t="shared" ca="1" si="0"/>
        <v>0.2</v>
      </c>
      <c r="O30" s="181">
        <f ca="1">IF(N30&gt;0.25,N30,N30+'Price Sheet (Ignore)'!$G$2)</f>
        <v>0.35</v>
      </c>
      <c r="P30" s="177">
        <f ca="1">O30*'Price Sheet (Ignore)'!$H$2*(E30/3)</f>
        <v>1868.7083333333333</v>
      </c>
      <c r="Q30" s="178"/>
      <c r="R30" s="178"/>
      <c r="S30" s="178"/>
    </row>
    <row r="31" spans="1:19" ht="29.25" customHeight="1" x14ac:dyDescent="0.2">
      <c r="A31" s="175" t="str">
        <f ca="1"/>
        <v>Swanhall</v>
      </c>
      <c r="B31" s="178" t="str">
        <f ca="1"/>
        <v>Shavia</v>
      </c>
      <c r="C31" s="178" t="str">
        <f ca="1"/>
        <v>Westle</v>
      </c>
      <c r="D31" s="178" t="str">
        <f ca="1"/>
        <v>Path of Guiding Light</v>
      </c>
      <c r="E31" s="179">
        <f ca="1"/>
        <v>19230</v>
      </c>
      <c r="F31" s="178">
        <f ca="1"/>
        <v>82</v>
      </c>
      <c r="G31" s="178" t="str">
        <f ca="1"/>
        <v/>
      </c>
      <c r="H31" s="178" t="str">
        <f ca="1"/>
        <v>port</v>
      </c>
      <c r="I31" s="178" t="str">
        <f ca="1"/>
        <v>citadel</v>
      </c>
      <c r="J31" s="178" t="str">
        <f ca="1"/>
        <v>walls</v>
      </c>
      <c r="K31" s="178" t="str">
        <f ca="1"/>
        <v>plaza</v>
      </c>
      <c r="L31" s="178"/>
      <c r="M31" s="178"/>
      <c r="N31" s="180">
        <f t="shared" ca="1" si="0"/>
        <v>0.13</v>
      </c>
      <c r="O31" s="181">
        <f ca="1">IF(N31&gt;0.25,N31,N31+'Price Sheet (Ignore)'!$G$2)</f>
        <v>0.28000000000000003</v>
      </c>
      <c r="P31" s="177">
        <f ca="1">O31*'Price Sheet (Ignore)'!$H$2*(E31/3)</f>
        <v>897.40000000000009</v>
      </c>
      <c r="Q31" s="178"/>
      <c r="R31" s="178"/>
      <c r="S31" s="178"/>
    </row>
    <row r="32" spans="1:19" ht="29.25" customHeight="1" x14ac:dyDescent="0.2">
      <c r="A32" s="175" t="str">
        <f ca="1"/>
        <v>Ralim</v>
      </c>
      <c r="B32" s="178" t="str">
        <f ca="1"/>
        <v>Shavia</v>
      </c>
      <c r="C32" s="178" t="str">
        <f ca="1"/>
        <v>Heartmorest</v>
      </c>
      <c r="D32" s="178" t="str">
        <f ca="1"/>
        <v>Path of Guiding Light</v>
      </c>
      <c r="E32" s="179">
        <f ca="1"/>
        <v>8500</v>
      </c>
      <c r="F32" s="178">
        <f ca="1"/>
        <v>161</v>
      </c>
      <c r="G32" s="178" t="str">
        <f ca="1"/>
        <v/>
      </c>
      <c r="H32" s="178" t="str">
        <f ca="1"/>
        <v/>
      </c>
      <c r="I32" s="178" t="str">
        <f ca="1"/>
        <v>citadel</v>
      </c>
      <c r="J32" s="178" t="str">
        <f ca="1"/>
        <v/>
      </c>
      <c r="K32" s="178" t="str">
        <f ca="1"/>
        <v>plaza</v>
      </c>
      <c r="L32" s="178"/>
      <c r="M32" s="178"/>
      <c r="N32" s="180">
        <f t="shared" ca="1" si="0"/>
        <v>0.1</v>
      </c>
      <c r="O32" s="181">
        <f ca="1">IF(N32&gt;0.25,N32,N32+'Price Sheet (Ignore)'!$G$2)</f>
        <v>0.25</v>
      </c>
      <c r="P32" s="177">
        <f ca="1">O32*'Price Sheet (Ignore)'!$H$2*(E32/3)</f>
        <v>354.16666666666669</v>
      </c>
      <c r="Q32" s="178"/>
      <c r="R32" s="178"/>
      <c r="S32" s="178"/>
    </row>
    <row r="33" spans="1:19" ht="29.25" customHeight="1" x14ac:dyDescent="0.2">
      <c r="A33" s="175" t="str">
        <f ca="1"/>
        <v>Crownlands</v>
      </c>
      <c r="B33" s="178" t="str">
        <f ca="1"/>
        <v>Shavia</v>
      </c>
      <c r="C33" s="178" t="str">
        <f ca="1"/>
        <v>Eagportford</v>
      </c>
      <c r="D33" s="178" t="str">
        <f ca="1"/>
        <v>Path of Guiding Light</v>
      </c>
      <c r="E33" s="179">
        <f ca="1"/>
        <v>14971</v>
      </c>
      <c r="F33" s="178">
        <f ca="1"/>
        <v>52</v>
      </c>
      <c r="G33" s="178" t="str">
        <f ca="1"/>
        <v/>
      </c>
      <c r="H33" s="178" t="str">
        <f ca="1"/>
        <v/>
      </c>
      <c r="I33" s="178" t="str">
        <f ca="1"/>
        <v>citadel</v>
      </c>
      <c r="J33" s="178" t="str">
        <f ca="1"/>
        <v>walls</v>
      </c>
      <c r="K33" s="178" t="str">
        <f ca="1"/>
        <v>plaza</v>
      </c>
      <c r="L33" s="178"/>
      <c r="M33" s="178"/>
      <c r="N33" s="180">
        <f t="shared" ca="1" si="0"/>
        <v>0.03</v>
      </c>
      <c r="O33" s="181">
        <f ca="1">IF(N33&gt;0.25,N33,N33+'Price Sheet (Ignore)'!$G$2)</f>
        <v>0.18</v>
      </c>
      <c r="P33" s="177">
        <f ca="1">O33*'Price Sheet (Ignore)'!$H$2*(E33/3)</f>
        <v>449.12999999999994</v>
      </c>
      <c r="Q33" s="178"/>
      <c r="R33" s="178"/>
      <c r="S33" s="178"/>
    </row>
    <row r="34" spans="1:19" ht="29.25" customHeight="1" x14ac:dyDescent="0.2">
      <c r="A34" s="175" t="str">
        <f ca="1"/>
        <v>Swanhall</v>
      </c>
      <c r="B34" s="178" t="str">
        <f ca="1"/>
        <v>Shavia</v>
      </c>
      <c r="C34" s="178" t="str">
        <f ca="1"/>
        <v>Dustvalhave</v>
      </c>
      <c r="D34" s="178" t="str">
        <f ca="1"/>
        <v>Path of Guiding Light</v>
      </c>
      <c r="E34" s="179">
        <f ca="1"/>
        <v>1784</v>
      </c>
      <c r="F34" s="178">
        <f ca="1"/>
        <v>554</v>
      </c>
      <c r="G34" s="178" t="str">
        <f ca="1"/>
        <v/>
      </c>
      <c r="H34" s="178" t="str">
        <f ca="1"/>
        <v/>
      </c>
      <c r="I34" s="178" t="str">
        <f ca="1"/>
        <v/>
      </c>
      <c r="J34" s="178" t="str">
        <f ca="1"/>
        <v/>
      </c>
      <c r="K34" s="178" t="str">
        <f ca="1"/>
        <v>plaza</v>
      </c>
      <c r="L34" s="178"/>
      <c r="M34" s="178"/>
      <c r="N34" s="180">
        <f t="shared" ca="1" si="0"/>
        <v>0.05</v>
      </c>
      <c r="O34" s="181">
        <f ca="1">IF(N34&gt;0.25,N34,N34+'Price Sheet (Ignore)'!$G$2)</f>
        <v>0.2</v>
      </c>
      <c r="P34" s="177">
        <f ca="1">O34*'Price Sheet (Ignore)'!$H$2*(E34/3)</f>
        <v>59.466666666666669</v>
      </c>
      <c r="Q34" s="178"/>
      <c r="R34" s="178"/>
      <c r="S34" s="178"/>
    </row>
    <row r="35" spans="1:19" ht="29.25" customHeight="1" x14ac:dyDescent="0.2">
      <c r="A35" s="175" t="str">
        <f ca="1"/>
        <v>Sirong</v>
      </c>
      <c r="B35" s="178" t="str">
        <f ca="1"/>
        <v>Shavia</v>
      </c>
      <c r="C35" s="178" t="str">
        <f ca="1"/>
        <v>Eldefones</v>
      </c>
      <c r="D35" s="178" t="str">
        <f ca="1"/>
        <v>Path of Guiding Light</v>
      </c>
      <c r="E35" s="179">
        <f ca="1"/>
        <v>4216</v>
      </c>
      <c r="F35" s="178">
        <f ca="1"/>
        <v>738</v>
      </c>
      <c r="G35" s="178" t="str">
        <f ca="1"/>
        <v/>
      </c>
      <c r="H35" s="178" t="str">
        <f ca="1"/>
        <v/>
      </c>
      <c r="I35" s="178" t="str">
        <f ca="1"/>
        <v>citadel</v>
      </c>
      <c r="J35" s="178" t="str">
        <f ca="1"/>
        <v/>
      </c>
      <c r="K35" s="178" t="str">
        <f ca="1"/>
        <v/>
      </c>
      <c r="L35" s="178"/>
      <c r="M35" s="178"/>
      <c r="N35" s="180">
        <f t="shared" ca="1" si="0"/>
        <v>0.05</v>
      </c>
      <c r="O35" s="181">
        <f ca="1">IF(N35&gt;0.25,N35,N35+'Price Sheet (Ignore)'!$G$2)</f>
        <v>0.2</v>
      </c>
      <c r="P35" s="177">
        <f ca="1">O35*'Price Sheet (Ignore)'!$H$2*(E35/3)</f>
        <v>140.53333333333333</v>
      </c>
      <c r="Q35" s="178"/>
      <c r="R35" s="178"/>
      <c r="S35" s="178"/>
    </row>
    <row r="36" spans="1:19" ht="29.25" customHeight="1" x14ac:dyDescent="0.2">
      <c r="A36" s="175" t="str">
        <f ca="1"/>
        <v>Swanhall</v>
      </c>
      <c r="B36" s="178" t="str">
        <f ca="1"/>
        <v>Shavia</v>
      </c>
      <c r="C36" s="178" t="str">
        <f ca="1"/>
        <v>Batereach</v>
      </c>
      <c r="D36" s="178" t="str">
        <f ca="1"/>
        <v>Path of Guiding Light</v>
      </c>
      <c r="E36" s="179">
        <f ca="1"/>
        <v>1856</v>
      </c>
      <c r="F36" s="178">
        <f ca="1"/>
        <v>328</v>
      </c>
      <c r="G36" s="178" t="str">
        <f ca="1"/>
        <v/>
      </c>
      <c r="H36" s="178" t="str">
        <f ca="1"/>
        <v/>
      </c>
      <c r="I36" s="178" t="str">
        <f ca="1"/>
        <v/>
      </c>
      <c r="J36" s="178" t="str">
        <f ca="1"/>
        <v/>
      </c>
      <c r="K36" s="178" t="str">
        <f ca="1"/>
        <v/>
      </c>
      <c r="L36" s="178"/>
      <c r="M36" s="178"/>
      <c r="N36" s="180">
        <f t="shared" ca="1" si="0"/>
        <v>0</v>
      </c>
      <c r="O36" s="181">
        <f ca="1">IF(N36&gt;0.25,N36,N36+'Price Sheet (Ignore)'!$G$2)</f>
        <v>0.15</v>
      </c>
      <c r="P36" s="177">
        <f ca="1">O36*'Price Sheet (Ignore)'!$H$2*(E36/3)</f>
        <v>46.4</v>
      </c>
      <c r="Q36" s="178"/>
      <c r="R36" s="178"/>
      <c r="S36" s="178"/>
    </row>
    <row r="37" spans="1:19" ht="29.25" customHeight="1" x14ac:dyDescent="0.2">
      <c r="A37" s="175" t="str">
        <f ca="1"/>
        <v>Swanhall</v>
      </c>
      <c r="B37" s="178" t="str">
        <f ca="1"/>
        <v>Shavia</v>
      </c>
      <c r="C37" s="178" t="str">
        <f ca="1"/>
        <v>Autumngulf</v>
      </c>
      <c r="D37" s="178" t="str">
        <f ca="1"/>
        <v>Path of Guiding Light</v>
      </c>
      <c r="E37" s="179">
        <f ca="1"/>
        <v>4057</v>
      </c>
      <c r="F37" s="178">
        <f ca="1"/>
        <v>266</v>
      </c>
      <c r="G37" s="178" t="str">
        <f ca="1"/>
        <v/>
      </c>
      <c r="H37" s="178" t="str">
        <f ca="1"/>
        <v>port</v>
      </c>
      <c r="I37" s="178" t="str">
        <f ca="1"/>
        <v/>
      </c>
      <c r="J37" s="178" t="str">
        <f ca="1"/>
        <v/>
      </c>
      <c r="K37" s="178" t="str">
        <f ca="1"/>
        <v/>
      </c>
      <c r="L37" s="178"/>
      <c r="M37" s="178"/>
      <c r="N37" s="180">
        <f t="shared" ca="1" si="0"/>
        <v>0.1</v>
      </c>
      <c r="O37" s="181">
        <f ca="1">IF(N37&gt;0.25,N37,N37+'Price Sheet (Ignore)'!$G$2)</f>
        <v>0.25</v>
      </c>
      <c r="P37" s="177">
        <f ca="1">O37*'Price Sheet (Ignore)'!$H$2*(E37/3)</f>
        <v>169.04166666666666</v>
      </c>
      <c r="Q37" s="178"/>
      <c r="R37" s="178"/>
      <c r="S37" s="178"/>
    </row>
    <row r="38" spans="1:19" ht="29.25" customHeight="1" x14ac:dyDescent="0.2">
      <c r="A38" s="175" t="str">
        <f ca="1"/>
        <v>Swanhall</v>
      </c>
      <c r="B38" s="178" t="str">
        <f ca="1"/>
        <v>Shavia</v>
      </c>
      <c r="C38" s="178" t="str">
        <f ca="1"/>
        <v>Mudband</v>
      </c>
      <c r="D38" s="178" t="str">
        <f ca="1"/>
        <v>Path of Guiding Light</v>
      </c>
      <c r="E38" s="179">
        <f ca="1"/>
        <v>4433</v>
      </c>
      <c r="F38" s="178">
        <f ca="1"/>
        <v>82</v>
      </c>
      <c r="G38" s="178" t="str">
        <f ca="1"/>
        <v/>
      </c>
      <c r="H38" s="178" t="str">
        <f ca="1"/>
        <v/>
      </c>
      <c r="I38" s="178" t="str">
        <f ca="1"/>
        <v>citadel</v>
      </c>
      <c r="J38" s="178" t="str">
        <f ca="1"/>
        <v/>
      </c>
      <c r="K38" s="178" t="str">
        <f ca="1"/>
        <v/>
      </c>
      <c r="L38" s="178"/>
      <c r="M38" s="178"/>
      <c r="N38" s="180">
        <f t="shared" ca="1" si="0"/>
        <v>0.05</v>
      </c>
      <c r="O38" s="181">
        <f ca="1">IF(N38&gt;0.25,N38,N38+'Price Sheet (Ignore)'!$G$2)</f>
        <v>0.2</v>
      </c>
      <c r="P38" s="177">
        <f ca="1">O38*'Price Sheet (Ignore)'!$H$2*(E38/3)</f>
        <v>147.76666666666668</v>
      </c>
      <c r="Q38" s="178"/>
      <c r="R38" s="178"/>
      <c r="S38" s="178"/>
    </row>
    <row r="39" spans="1:19" ht="29.25" customHeight="1" x14ac:dyDescent="0.2">
      <c r="A39" s="175" t="str">
        <f ca="1"/>
        <v>Dreghold</v>
      </c>
      <c r="B39" s="178" t="str">
        <f ca="1"/>
        <v>Shavia</v>
      </c>
      <c r="C39" s="178" t="str">
        <f ca="1"/>
        <v>Drakefair</v>
      </c>
      <c r="D39" s="178" t="str">
        <f ca="1"/>
        <v>Path of Guiding Light</v>
      </c>
      <c r="E39" s="179">
        <f ca="1"/>
        <v>2200</v>
      </c>
      <c r="F39" s="178">
        <f ca="1"/>
        <v>30</v>
      </c>
      <c r="G39" s="178" t="str">
        <f ca="1"/>
        <v/>
      </c>
      <c r="H39" s="178" t="str">
        <f ca="1"/>
        <v/>
      </c>
      <c r="I39" s="178" t="str">
        <f ca="1"/>
        <v>citadel</v>
      </c>
      <c r="J39" s="178" t="str">
        <f ca="1"/>
        <v/>
      </c>
      <c r="K39" s="178" t="str">
        <f ca="1"/>
        <v>plaza</v>
      </c>
      <c r="L39" s="178"/>
      <c r="M39" s="178"/>
      <c r="N39" s="180">
        <f t="shared" ca="1" si="0"/>
        <v>0.1</v>
      </c>
      <c r="O39" s="181">
        <f ca="1">IF(N39&gt;0.25,N39,N39+'Price Sheet (Ignore)'!$G$2)</f>
        <v>0.25</v>
      </c>
      <c r="P39" s="177">
        <f ca="1">O39*'Price Sheet (Ignore)'!$H$2*(E39/3)</f>
        <v>91.666666666666671</v>
      </c>
      <c r="Q39" s="178"/>
      <c r="R39" s="178"/>
      <c r="S39" s="178"/>
    </row>
    <row r="40" spans="1:19" ht="29.25" customHeight="1" x14ac:dyDescent="0.2">
      <c r="A40" s="175" t="str">
        <f ca="1"/>
        <v>Sirong</v>
      </c>
      <c r="B40" s="178" t="str">
        <f ca="1"/>
        <v>Shavia</v>
      </c>
      <c r="C40" s="178" t="str">
        <f ca="1"/>
        <v>Casthclif</v>
      </c>
      <c r="D40" s="178" t="str">
        <f ca="1"/>
        <v>Path of Guiding Light</v>
      </c>
      <c r="E40" s="179">
        <f ca="1"/>
        <v>18673</v>
      </c>
      <c r="F40" s="178">
        <f ca="1"/>
        <v>1063</v>
      </c>
      <c r="G40" s="178" t="str">
        <f ca="1"/>
        <v/>
      </c>
      <c r="H40" s="178" t="str">
        <f ca="1"/>
        <v/>
      </c>
      <c r="I40" s="178" t="str">
        <f ca="1"/>
        <v>citadel</v>
      </c>
      <c r="J40" s="178" t="str">
        <f ca="1"/>
        <v/>
      </c>
      <c r="K40" s="178" t="str">
        <f ca="1"/>
        <v/>
      </c>
      <c r="L40" s="178"/>
      <c r="M40" s="178"/>
      <c r="N40" s="180">
        <f t="shared" ca="1" si="0"/>
        <v>0.05</v>
      </c>
      <c r="O40" s="181">
        <f ca="1">IF(N40&gt;0.25,N40,N40+'Price Sheet (Ignore)'!$G$2)</f>
        <v>0.2</v>
      </c>
      <c r="P40" s="177">
        <f ca="1">O40*'Price Sheet (Ignore)'!$H$2*(E40/3)</f>
        <v>622.43333333333339</v>
      </c>
      <c r="Q40" s="178"/>
      <c r="R40" s="178"/>
      <c r="S40" s="178"/>
    </row>
    <row r="41" spans="1:19" ht="29.25" customHeight="1" x14ac:dyDescent="0.2">
      <c r="A41" s="175" t="str">
        <f ca="1"/>
        <v>Swanhall</v>
      </c>
      <c r="B41" s="178" t="str">
        <f ca="1"/>
        <v>Shavia</v>
      </c>
      <c r="C41" s="178" t="str">
        <f ca="1"/>
        <v>Shaterse</v>
      </c>
      <c r="D41" s="178" t="str">
        <f ca="1"/>
        <v>Path of Guiding Light</v>
      </c>
      <c r="E41" s="179">
        <f ca="1"/>
        <v>2831</v>
      </c>
      <c r="F41" s="178">
        <f ca="1"/>
        <v>82</v>
      </c>
      <c r="G41" s="178" t="str">
        <f ca="1"/>
        <v/>
      </c>
      <c r="H41" s="178" t="str">
        <f ca="1"/>
        <v>port</v>
      </c>
      <c r="I41" s="178" t="str">
        <f ca="1"/>
        <v>citadel</v>
      </c>
      <c r="J41" s="178" t="str">
        <f ca="1"/>
        <v>walls</v>
      </c>
      <c r="K41" s="178" t="str">
        <f ca="1"/>
        <v>plaza</v>
      </c>
      <c r="L41" s="178"/>
      <c r="M41" s="178"/>
      <c r="N41" s="180">
        <f t="shared" ca="1" si="0"/>
        <v>0.13</v>
      </c>
      <c r="O41" s="181">
        <f ca="1">IF(N41&gt;0.25,N41,N41+'Price Sheet (Ignore)'!$G$2)</f>
        <v>0.28000000000000003</v>
      </c>
      <c r="P41" s="177">
        <f ca="1">O41*'Price Sheet (Ignore)'!$H$2*(E41/3)</f>
        <v>132.11333333333334</v>
      </c>
      <c r="Q41" s="178"/>
      <c r="R41" s="178"/>
      <c r="S41" s="178"/>
    </row>
    <row r="42" spans="1:19" ht="29.25" customHeight="1" x14ac:dyDescent="0.2">
      <c r="A42" s="175" t="str">
        <f ca="1"/>
        <v>Sirong</v>
      </c>
      <c r="B42" s="178" t="str">
        <f ca="1"/>
        <v>Shavia</v>
      </c>
      <c r="C42" s="178" t="str">
        <f ca="1"/>
        <v>Rorestle</v>
      </c>
      <c r="D42" s="178" t="str">
        <f ca="1"/>
        <v>Path of Guiding Light</v>
      </c>
      <c r="E42" s="179">
        <f ca="1"/>
        <v>1788</v>
      </c>
      <c r="F42" s="178">
        <f ca="1"/>
        <v>397</v>
      </c>
      <c r="G42" s="178" t="str">
        <f ca="1"/>
        <v/>
      </c>
      <c r="H42" s="178" t="str">
        <f ca="1"/>
        <v/>
      </c>
      <c r="I42" s="178" t="str">
        <f ca="1"/>
        <v>citadel</v>
      </c>
      <c r="J42" s="178" t="str">
        <f ca="1"/>
        <v>walls</v>
      </c>
      <c r="K42" s="178" t="str">
        <f ca="1"/>
        <v/>
      </c>
      <c r="L42" s="178"/>
      <c r="M42" s="178"/>
      <c r="N42" s="180">
        <f t="shared" ca="1" si="0"/>
        <v>-2.0000000000000004E-2</v>
      </c>
      <c r="O42" s="181">
        <f ca="1">IF(N42&gt;0.25,N42,N42+'Price Sheet (Ignore)'!$G$2)</f>
        <v>0.13</v>
      </c>
      <c r="P42" s="177">
        <f ca="1">O42*'Price Sheet (Ignore)'!$H$2*(E42/3)</f>
        <v>38.74</v>
      </c>
      <c r="Q42" s="178"/>
      <c r="R42" s="178"/>
      <c r="S42" s="178"/>
    </row>
    <row r="43" spans="1:19" ht="29.25" customHeight="1" x14ac:dyDescent="0.2">
      <c r="A43" s="175" t="str">
        <f ca="1"/>
        <v>Dreghold</v>
      </c>
      <c r="B43" s="178" t="str">
        <f ca="1"/>
        <v>Shavia</v>
      </c>
      <c r="C43" s="178" t="str">
        <f ca="1"/>
        <v>Pondhol</v>
      </c>
      <c r="D43" s="178" t="str">
        <f ca="1"/>
        <v>Path of Guiding Light</v>
      </c>
      <c r="E43" s="179">
        <f ca="1"/>
        <v>23261</v>
      </c>
      <c r="F43" s="178">
        <f ca="1"/>
        <v>82</v>
      </c>
      <c r="G43" s="178" t="str">
        <f ca="1"/>
        <v/>
      </c>
      <c r="H43" s="178" t="str">
        <f ca="1"/>
        <v/>
      </c>
      <c r="I43" s="178" t="str">
        <f ca="1"/>
        <v/>
      </c>
      <c r="J43" s="178" t="str">
        <f ca="1"/>
        <v>walls</v>
      </c>
      <c r="K43" s="178" t="str">
        <f ca="1"/>
        <v/>
      </c>
      <c r="L43" s="178"/>
      <c r="M43" s="178"/>
      <c r="N43" s="180">
        <f t="shared" ca="1" si="0"/>
        <v>-7.0000000000000007E-2</v>
      </c>
      <c r="O43" s="181">
        <f ca="1">IF(N43&gt;0.25,N43,N43+'Price Sheet (Ignore)'!$G$2)</f>
        <v>7.9999999999999988E-2</v>
      </c>
      <c r="P43" s="177">
        <f ca="1">O43*'Price Sheet (Ignore)'!$H$2*(E43/3)</f>
        <v>310.14666666666665</v>
      </c>
      <c r="Q43" s="178"/>
      <c r="R43" s="178"/>
      <c r="S43" s="178"/>
    </row>
    <row r="44" spans="1:19" ht="29.25" customHeight="1" x14ac:dyDescent="0.2">
      <c r="A44" s="175" t="str">
        <f ca="1"/>
        <v>Swanhall</v>
      </c>
      <c r="B44" s="178" t="str">
        <f ca="1"/>
        <v>Shavia</v>
      </c>
      <c r="C44" s="178" t="str">
        <f ca="1"/>
        <v>Drayvakec</v>
      </c>
      <c r="D44" s="178" t="str">
        <f ca="1"/>
        <v>Path of Guiding Light</v>
      </c>
      <c r="E44" s="179">
        <f ca="1"/>
        <v>1875</v>
      </c>
      <c r="F44" s="178">
        <f ca="1"/>
        <v>52</v>
      </c>
      <c r="G44" s="178" t="str">
        <f ca="1"/>
        <v/>
      </c>
      <c r="H44" s="178" t="str">
        <f ca="1"/>
        <v/>
      </c>
      <c r="I44" s="178" t="str">
        <f ca="1"/>
        <v/>
      </c>
      <c r="J44" s="178" t="str">
        <f ca="1"/>
        <v/>
      </c>
      <c r="K44" s="178" t="str">
        <f ca="1"/>
        <v>plaza</v>
      </c>
      <c r="L44" s="178"/>
      <c r="M44" s="178"/>
      <c r="N44" s="180">
        <f t="shared" ca="1" si="0"/>
        <v>0.05</v>
      </c>
      <c r="O44" s="181">
        <f ca="1">IF(N44&gt;0.25,N44,N44+'Price Sheet (Ignore)'!$G$2)</f>
        <v>0.2</v>
      </c>
      <c r="P44" s="177">
        <f ca="1">O44*'Price Sheet (Ignore)'!$H$2*(E44/3)</f>
        <v>62.5</v>
      </c>
      <c r="Q44" s="178"/>
      <c r="R44" s="178"/>
      <c r="S44" s="178"/>
    </row>
    <row r="45" spans="1:19" ht="29.25" customHeight="1" x14ac:dyDescent="0.2">
      <c r="A45" s="175" t="str">
        <f ca="1"/>
        <v>Swanhall</v>
      </c>
      <c r="B45" s="178" t="str">
        <f ca="1"/>
        <v>Shavia</v>
      </c>
      <c r="C45" s="178" t="str">
        <f ca="1"/>
        <v>Deercross</v>
      </c>
      <c r="D45" s="178" t="str">
        <f ca="1"/>
        <v>Path of Guiding Light</v>
      </c>
      <c r="E45" s="179">
        <f ca="1"/>
        <v>2192</v>
      </c>
      <c r="F45" s="178">
        <f ca="1"/>
        <v>82</v>
      </c>
      <c r="G45" s="178" t="str">
        <f ca="1"/>
        <v/>
      </c>
      <c r="H45" s="178" t="str">
        <f ca="1"/>
        <v/>
      </c>
      <c r="I45" s="178" t="str">
        <f ca="1"/>
        <v>citadel</v>
      </c>
      <c r="J45" s="178" t="str">
        <f ca="1"/>
        <v>walls</v>
      </c>
      <c r="K45" s="178" t="str">
        <f ca="1"/>
        <v/>
      </c>
      <c r="L45" s="178"/>
      <c r="M45" s="178"/>
      <c r="N45" s="180">
        <f t="shared" ca="1" si="0"/>
        <v>-2.0000000000000004E-2</v>
      </c>
      <c r="O45" s="181">
        <f ca="1">IF(N45&gt;0.25,N45,N45+'Price Sheet (Ignore)'!$G$2)</f>
        <v>0.13</v>
      </c>
      <c r="P45" s="177">
        <f ca="1">O45*'Price Sheet (Ignore)'!$H$2*(E45/3)</f>
        <v>47.493333333333332</v>
      </c>
      <c r="Q45" s="178"/>
      <c r="R45" s="178"/>
      <c r="S45" s="178"/>
    </row>
    <row r="46" spans="1:19" ht="29.25" customHeight="1" x14ac:dyDescent="0.2">
      <c r="A46" s="175" t="str">
        <f ca="1"/>
        <v>Swanhall</v>
      </c>
      <c r="B46" s="178" t="str">
        <f ca="1"/>
        <v>Shavia</v>
      </c>
      <c r="C46" s="178" t="str">
        <f ca="1"/>
        <v>Shaken</v>
      </c>
      <c r="D46" s="178" t="str">
        <f ca="1"/>
        <v>Path of Guiding Light</v>
      </c>
      <c r="E46" s="179">
        <f ca="1"/>
        <v>8656</v>
      </c>
      <c r="F46" s="178">
        <f ca="1"/>
        <v>52</v>
      </c>
      <c r="G46" s="178" t="str">
        <f ca="1"/>
        <v/>
      </c>
      <c r="H46" s="178" t="str">
        <f ca="1"/>
        <v/>
      </c>
      <c r="I46" s="178" t="str">
        <f ca="1"/>
        <v>citadel</v>
      </c>
      <c r="J46" s="178" t="str">
        <f ca="1"/>
        <v/>
      </c>
      <c r="K46" s="178" t="str">
        <f ca="1"/>
        <v/>
      </c>
      <c r="L46" s="178"/>
      <c r="M46" s="178"/>
      <c r="N46" s="180">
        <f t="shared" ca="1" si="0"/>
        <v>0.05</v>
      </c>
      <c r="O46" s="181">
        <f ca="1">IF(N46&gt;0.25,N46,N46+'Price Sheet (Ignore)'!$G$2)</f>
        <v>0.2</v>
      </c>
      <c r="P46" s="177">
        <f ca="1">O46*'Price Sheet (Ignore)'!$H$2*(E46/3)</f>
        <v>288.53333333333336</v>
      </c>
      <c r="Q46" s="178"/>
      <c r="R46" s="178"/>
      <c r="S46" s="178"/>
    </row>
    <row r="47" spans="1:19" ht="29.25" customHeight="1" x14ac:dyDescent="0.2">
      <c r="A47" s="175" t="str">
        <f ca="1"/>
        <v>Dreghold</v>
      </c>
      <c r="B47" s="178" t="str">
        <f ca="1"/>
        <v>Shavia</v>
      </c>
      <c r="C47" s="178" t="str">
        <f ca="1"/>
        <v>Clifrost</v>
      </c>
      <c r="D47" s="178" t="str">
        <f ca="1"/>
        <v>Path of Guiding Light</v>
      </c>
      <c r="E47" s="179">
        <f ca="1"/>
        <v>1634</v>
      </c>
      <c r="F47" s="178">
        <f ca="1"/>
        <v>472</v>
      </c>
      <c r="G47" s="178" t="str">
        <f ca="1"/>
        <v/>
      </c>
      <c r="H47" s="178" t="str">
        <f ca="1"/>
        <v/>
      </c>
      <c r="I47" s="178" t="str">
        <f ca="1"/>
        <v>citadel</v>
      </c>
      <c r="J47" s="178" t="str">
        <f ca="1"/>
        <v/>
      </c>
      <c r="K47" s="178" t="str">
        <f ca="1"/>
        <v>plaza</v>
      </c>
      <c r="L47" s="178"/>
      <c r="M47" s="178"/>
      <c r="N47" s="180">
        <f t="shared" ca="1" si="0"/>
        <v>0.1</v>
      </c>
      <c r="O47" s="181">
        <f ca="1">IF(N47&gt;0.25,N47,N47+'Price Sheet (Ignore)'!$G$2)</f>
        <v>0.25</v>
      </c>
      <c r="P47" s="177">
        <f ca="1">O47*'Price Sheet (Ignore)'!$H$2*(E47/3)</f>
        <v>68.083333333333329</v>
      </c>
      <c r="Q47" s="178"/>
      <c r="R47" s="178"/>
      <c r="S47" s="178"/>
    </row>
    <row r="48" spans="1:19" ht="29.25" customHeight="1" x14ac:dyDescent="0.2">
      <c r="A48" s="175" t="str">
        <f ca="1"/>
        <v>Ralim</v>
      </c>
      <c r="B48" s="178" t="str">
        <f ca="1"/>
        <v>Shavia</v>
      </c>
      <c r="C48" s="178" t="str">
        <f ca="1"/>
        <v>Direlight</v>
      </c>
      <c r="D48" s="178" t="str">
        <f ca="1"/>
        <v>Path of Guiding Light</v>
      </c>
      <c r="E48" s="179">
        <f ca="1"/>
        <v>1895</v>
      </c>
      <c r="F48" s="178">
        <f ca="1"/>
        <v>82</v>
      </c>
      <c r="G48" s="178" t="str">
        <f ca="1"/>
        <v/>
      </c>
      <c r="H48" s="178" t="str">
        <f ca="1"/>
        <v/>
      </c>
      <c r="I48" s="178" t="str">
        <f ca="1"/>
        <v>citadel</v>
      </c>
      <c r="J48" s="178" t="str">
        <f ca="1"/>
        <v/>
      </c>
      <c r="K48" s="178" t="str">
        <f ca="1"/>
        <v/>
      </c>
      <c r="L48" s="178"/>
      <c r="M48" s="178"/>
      <c r="N48" s="180">
        <f t="shared" ca="1" si="0"/>
        <v>0.05</v>
      </c>
      <c r="O48" s="181">
        <f ca="1">IF(N48&gt;0.25,N48,N48+'Price Sheet (Ignore)'!$G$2)</f>
        <v>0.2</v>
      </c>
      <c r="P48" s="177">
        <f ca="1">O48*'Price Sheet (Ignore)'!$H$2*(E48/3)</f>
        <v>63.166666666666664</v>
      </c>
      <c r="Q48" s="178"/>
      <c r="R48" s="178"/>
      <c r="S48" s="178"/>
    </row>
    <row r="49" spans="1:19" ht="29.25" customHeight="1" x14ac:dyDescent="0.2">
      <c r="A49" s="175" t="str">
        <f ca="1"/>
        <v>Swanhall</v>
      </c>
      <c r="B49" s="178" t="str">
        <f ca="1"/>
        <v>Shavia</v>
      </c>
      <c r="C49" s="178" t="str">
        <f ca="1"/>
        <v>Clearmire</v>
      </c>
      <c r="D49" s="178" t="str">
        <f ca="1"/>
        <v>Path of Guiding Light</v>
      </c>
      <c r="E49" s="179">
        <f ca="1"/>
        <v>5319</v>
      </c>
      <c r="F49" s="178">
        <f ca="1"/>
        <v>554</v>
      </c>
      <c r="G49" s="178" t="str">
        <f ca="1"/>
        <v/>
      </c>
      <c r="H49" s="178" t="str">
        <f ca="1"/>
        <v/>
      </c>
      <c r="I49" s="178" t="str">
        <f ca="1"/>
        <v>citadel</v>
      </c>
      <c r="J49" s="178" t="str">
        <f ca="1"/>
        <v/>
      </c>
      <c r="K49" s="178" t="str">
        <f ca="1"/>
        <v/>
      </c>
      <c r="L49" s="178"/>
      <c r="M49" s="178"/>
      <c r="N49" s="180">
        <f t="shared" ca="1" si="0"/>
        <v>0.05</v>
      </c>
      <c r="O49" s="181">
        <f ca="1">IF(N49&gt;0.25,N49,N49+'Price Sheet (Ignore)'!$G$2)</f>
        <v>0.2</v>
      </c>
      <c r="P49" s="177">
        <f ca="1">O49*'Price Sheet (Ignore)'!$H$2*(E49/3)</f>
        <v>177.3</v>
      </c>
      <c r="Q49" s="178"/>
      <c r="R49" s="178"/>
      <c r="S49" s="178"/>
    </row>
    <row r="50" spans="1:19" ht="29.25" customHeight="1" x14ac:dyDescent="0.2">
      <c r="A50" s="175" t="str">
        <f ca="1"/>
        <v>Sirong</v>
      </c>
      <c r="B50" s="178" t="str">
        <f ca="1"/>
        <v>Shavia</v>
      </c>
      <c r="C50" s="178" t="str">
        <f ca="1"/>
        <v>Scorchill</v>
      </c>
      <c r="D50" s="178" t="str">
        <f ca="1"/>
        <v>Path of Guiding Light</v>
      </c>
      <c r="E50" s="179">
        <f ca="1"/>
        <v>2212</v>
      </c>
      <c r="F50" s="178">
        <f ca="1"/>
        <v>52</v>
      </c>
      <c r="G50" s="178" t="str">
        <f ca="1"/>
        <v/>
      </c>
      <c r="H50" s="178" t="str">
        <f ca="1"/>
        <v/>
      </c>
      <c r="I50" s="178" t="str">
        <f ca="1"/>
        <v>citadel</v>
      </c>
      <c r="J50" s="178" t="str">
        <f ca="1"/>
        <v/>
      </c>
      <c r="K50" s="178" t="str">
        <f ca="1"/>
        <v>plaza</v>
      </c>
      <c r="L50" s="178"/>
      <c r="M50" s="178"/>
      <c r="N50" s="180">
        <f t="shared" ca="1" si="0"/>
        <v>0.1</v>
      </c>
      <c r="O50" s="181">
        <f ca="1">IF(N50&gt;0.25,N50,N50+'Price Sheet (Ignore)'!$G$2)</f>
        <v>0.25</v>
      </c>
      <c r="P50" s="177">
        <f ca="1">O50*'Price Sheet (Ignore)'!$H$2*(E50/3)</f>
        <v>92.166666666666671</v>
      </c>
      <c r="Q50" s="178"/>
      <c r="R50" s="178"/>
      <c r="S50" s="178"/>
    </row>
    <row r="51" spans="1:19" ht="29.25" customHeight="1" x14ac:dyDescent="0.2">
      <c r="A51" s="175" t="str">
        <f ca="1"/>
        <v>Dreghold</v>
      </c>
      <c r="B51" s="178" t="str">
        <f ca="1"/>
        <v>Shavia</v>
      </c>
      <c r="C51" s="178" t="str">
        <f ca="1"/>
        <v>Brittvault</v>
      </c>
      <c r="D51" s="178" t="str">
        <f ca="1"/>
        <v>Path of Guiding Light</v>
      </c>
      <c r="E51" s="179">
        <f ca="1"/>
        <v>19837</v>
      </c>
      <c r="F51" s="178">
        <f ca="1"/>
        <v>13</v>
      </c>
      <c r="G51" s="178" t="str">
        <f ca="1"/>
        <v/>
      </c>
      <c r="H51" s="178" t="str">
        <f ca="1"/>
        <v/>
      </c>
      <c r="I51" s="178" t="str">
        <f ca="1"/>
        <v/>
      </c>
      <c r="J51" s="178" t="str">
        <f ca="1"/>
        <v/>
      </c>
      <c r="K51" s="178" t="str">
        <f ca="1"/>
        <v/>
      </c>
      <c r="L51" s="178"/>
      <c r="M51" s="178"/>
      <c r="N51" s="180">
        <f t="shared" ca="1" si="0"/>
        <v>0</v>
      </c>
      <c r="O51" s="181">
        <f ca="1">IF(N51&gt;0.25,N51,N51+'Price Sheet (Ignore)'!$G$2)</f>
        <v>0.15</v>
      </c>
      <c r="P51" s="177">
        <f ca="1">O51*'Price Sheet (Ignore)'!$H$2*(E51/3)</f>
        <v>495.92499999999995</v>
      </c>
      <c r="Q51" s="178"/>
      <c r="R51" s="178"/>
      <c r="S51" s="178"/>
    </row>
    <row r="52" spans="1:19" ht="29.25" customHeight="1" x14ac:dyDescent="0.2">
      <c r="A52" s="175" t="str">
        <f ca="1"/>
        <v>Swanhall</v>
      </c>
      <c r="B52" s="178" t="str">
        <f ca="1"/>
        <v>Shavia</v>
      </c>
      <c r="C52" s="178" t="str">
        <f ca="1"/>
        <v>Eguard</v>
      </c>
      <c r="D52" s="178" t="str">
        <f ca="1"/>
        <v>Path of Guiding Light</v>
      </c>
      <c r="E52" s="179">
        <f ca="1"/>
        <v>31105</v>
      </c>
      <c r="F52" s="178">
        <f ca="1"/>
        <v>52</v>
      </c>
      <c r="G52" s="178" t="str">
        <f ca="1"/>
        <v/>
      </c>
      <c r="H52" s="178" t="str">
        <f ca="1"/>
        <v>port</v>
      </c>
      <c r="I52" s="178" t="str">
        <f ca="1"/>
        <v/>
      </c>
      <c r="J52" s="178" t="str">
        <f ca="1"/>
        <v>walls</v>
      </c>
      <c r="K52" s="178" t="str">
        <f ca="1"/>
        <v>plaza</v>
      </c>
      <c r="L52" s="178"/>
      <c r="M52" s="178"/>
      <c r="N52" s="180">
        <f t="shared" ca="1" si="0"/>
        <v>0.08</v>
      </c>
      <c r="O52" s="181">
        <f ca="1">IF(N52&gt;0.25,N52,N52+'Price Sheet (Ignore)'!$G$2)</f>
        <v>0.22999999999999998</v>
      </c>
      <c r="P52" s="177">
        <f ca="1">O52*'Price Sheet (Ignore)'!$H$2*(E52/3)</f>
        <v>1192.3583333333333</v>
      </c>
      <c r="Q52" s="178"/>
      <c r="R52" s="178"/>
      <c r="S52" s="178"/>
    </row>
    <row r="53" spans="1:19" ht="29.25" customHeight="1" x14ac:dyDescent="0.2">
      <c r="A53" s="175" t="str">
        <f ca="1"/>
        <v>Swanhall</v>
      </c>
      <c r="B53" s="178" t="str">
        <f ca="1"/>
        <v>Shavia</v>
      </c>
      <c r="C53" s="178" t="str">
        <f ca="1"/>
        <v>Borehelmber</v>
      </c>
      <c r="D53" s="178" t="str">
        <f ca="1"/>
        <v>Path of Guiding Light</v>
      </c>
      <c r="E53" s="179">
        <f ca="1"/>
        <v>10757</v>
      </c>
      <c r="F53" s="178">
        <f ca="1"/>
        <v>52</v>
      </c>
      <c r="G53" s="178" t="str">
        <f ca="1"/>
        <v/>
      </c>
      <c r="H53" s="178" t="str">
        <f ca="1"/>
        <v/>
      </c>
      <c r="I53" s="178" t="str">
        <f ca="1"/>
        <v>citadel</v>
      </c>
      <c r="J53" s="178" t="str">
        <f ca="1"/>
        <v>walls</v>
      </c>
      <c r="K53" s="178" t="str">
        <f ca="1"/>
        <v>plaza</v>
      </c>
      <c r="L53" s="178"/>
      <c r="M53" s="178"/>
      <c r="N53" s="180">
        <f t="shared" ca="1" si="0"/>
        <v>0.03</v>
      </c>
      <c r="O53" s="181">
        <f ca="1">IF(N53&gt;0.25,N53,N53+'Price Sheet (Ignore)'!$G$2)</f>
        <v>0.18</v>
      </c>
      <c r="P53" s="177">
        <f ca="1">O53*'Price Sheet (Ignore)'!$H$2*(E53/3)</f>
        <v>322.70999999999998</v>
      </c>
      <c r="Q53" s="178"/>
      <c r="R53" s="178"/>
      <c r="S53" s="178"/>
    </row>
    <row r="54" spans="1:19" ht="29.25" customHeight="1" x14ac:dyDescent="0.2">
      <c r="A54" s="175" t="str">
        <f ca="1"/>
        <v>Swanhall</v>
      </c>
      <c r="B54" s="178" t="str">
        <f ca="1"/>
        <v>Shavia</v>
      </c>
      <c r="C54" s="178" t="str">
        <f ca="1"/>
        <v>Grideborn</v>
      </c>
      <c r="D54" s="178" t="str">
        <f ca="1"/>
        <v>Path of Guiding Light</v>
      </c>
      <c r="E54" s="179">
        <f ca="1"/>
        <v>1850</v>
      </c>
      <c r="F54" s="178">
        <f ca="1"/>
        <v>2572</v>
      </c>
      <c r="G54" s="178" t="str">
        <f ca="1"/>
        <v/>
      </c>
      <c r="H54" s="178" t="str">
        <f ca="1"/>
        <v/>
      </c>
      <c r="I54" s="178" t="str">
        <f ca="1"/>
        <v>citadel</v>
      </c>
      <c r="J54" s="178" t="str">
        <f ca="1"/>
        <v/>
      </c>
      <c r="K54" s="178" t="str">
        <f ca="1"/>
        <v/>
      </c>
      <c r="L54" s="178"/>
      <c r="M54" s="178"/>
      <c r="N54" s="180">
        <f t="shared" ca="1" si="0"/>
        <v>0.05</v>
      </c>
      <c r="O54" s="181">
        <f ca="1">IF(N54&gt;0.25,N54,N54+'Price Sheet (Ignore)'!$G$2)</f>
        <v>0.2</v>
      </c>
      <c r="P54" s="177">
        <f ca="1">O54*'Price Sheet (Ignore)'!$H$2*(E54/3)</f>
        <v>61.666666666666664</v>
      </c>
      <c r="Q54" s="178"/>
      <c r="R54" s="178"/>
      <c r="S54" s="178"/>
    </row>
    <row r="55" spans="1:19" ht="29.25" customHeight="1" x14ac:dyDescent="0.2">
      <c r="A55" s="175" t="str">
        <f ca="1"/>
        <v>Crownlands</v>
      </c>
      <c r="B55" s="178" t="str">
        <f ca="1"/>
        <v>Shavia</v>
      </c>
      <c r="C55" s="178" t="str">
        <f ca="1"/>
        <v>Gnilaurthi</v>
      </c>
      <c r="D55" s="178" t="str">
        <f ca="1"/>
        <v>Path of Guiding Light</v>
      </c>
      <c r="E55" s="179">
        <f ca="1"/>
        <v>9267</v>
      </c>
      <c r="F55" s="178">
        <f ca="1"/>
        <v>82</v>
      </c>
      <c r="G55" s="178" t="str">
        <f ca="1"/>
        <v/>
      </c>
      <c r="H55" s="178" t="str">
        <f ca="1"/>
        <v>port</v>
      </c>
      <c r="I55" s="178" t="str">
        <f ca="1"/>
        <v/>
      </c>
      <c r="J55" s="178" t="str">
        <f ca="1"/>
        <v/>
      </c>
      <c r="K55" s="178" t="str">
        <f ca="1"/>
        <v/>
      </c>
      <c r="L55" s="178"/>
      <c r="M55" s="178"/>
      <c r="N55" s="180">
        <f t="shared" ca="1" si="0"/>
        <v>0.1</v>
      </c>
      <c r="O55" s="181">
        <f ca="1">IF(N55&gt;0.25,N55,N55+'Price Sheet (Ignore)'!$G$2)</f>
        <v>0.25</v>
      </c>
      <c r="P55" s="177">
        <f ca="1">O55*'Price Sheet (Ignore)'!$H$2*(E55/3)</f>
        <v>386.125</v>
      </c>
      <c r="Q55" s="178"/>
      <c r="R55" s="178"/>
      <c r="S55" s="178"/>
    </row>
    <row r="56" spans="1:19" ht="29.25" customHeight="1" x14ac:dyDescent="0.2">
      <c r="A56" s="175" t="str">
        <f ca="1"/>
        <v>Sirong</v>
      </c>
      <c r="B56" s="178" t="str">
        <f ca="1"/>
        <v>Shavia</v>
      </c>
      <c r="C56" s="178" t="str">
        <f ca="1"/>
        <v>Goldbrook</v>
      </c>
      <c r="D56" s="178" t="str">
        <f ca="1"/>
        <v>Path of Guiding Light</v>
      </c>
      <c r="E56" s="179">
        <f ca="1"/>
        <v>2822</v>
      </c>
      <c r="F56" s="178">
        <f ca="1"/>
        <v>161</v>
      </c>
      <c r="G56" s="178" t="str">
        <f ca="1"/>
        <v/>
      </c>
      <c r="H56" s="178" t="str">
        <f ca="1"/>
        <v>port</v>
      </c>
      <c r="I56" s="178" t="str">
        <f ca="1"/>
        <v>citadel</v>
      </c>
      <c r="J56" s="178" t="str">
        <f ca="1"/>
        <v/>
      </c>
      <c r="K56" s="178" t="str">
        <f ca="1"/>
        <v>plaza</v>
      </c>
      <c r="L56" s="178"/>
      <c r="M56" s="178"/>
      <c r="N56" s="180">
        <f t="shared" ca="1" si="0"/>
        <v>0.2</v>
      </c>
      <c r="O56" s="181">
        <f ca="1">IF(N56&gt;0.25,N56,N56+'Price Sheet (Ignore)'!$G$2)</f>
        <v>0.35</v>
      </c>
      <c r="P56" s="177">
        <f ca="1">O56*'Price Sheet (Ignore)'!$H$2*(E56/3)</f>
        <v>164.61666666666665</v>
      </c>
      <c r="Q56" s="178"/>
      <c r="R56" s="178"/>
      <c r="S56" s="178"/>
    </row>
    <row r="57" spans="1:19" ht="29.25" customHeight="1" x14ac:dyDescent="0.2">
      <c r="A57" s="175" t="str">
        <f ca="1"/>
        <v>Sirong</v>
      </c>
      <c r="B57" s="178" t="str">
        <f ca="1"/>
        <v>Shavia</v>
      </c>
      <c r="C57" s="178" t="str">
        <f ca="1"/>
        <v>Barondrith</v>
      </c>
      <c r="D57" s="178" t="str">
        <f ca="1"/>
        <v>Path of Guiding Light</v>
      </c>
      <c r="E57" s="179">
        <f ca="1"/>
        <v>8507</v>
      </c>
      <c r="F57" s="178">
        <f ca="1"/>
        <v>266</v>
      </c>
      <c r="G57" s="178" t="str">
        <f ca="1"/>
        <v/>
      </c>
      <c r="H57" s="178" t="str">
        <f ca="1"/>
        <v/>
      </c>
      <c r="I57" s="178" t="str">
        <f ca="1"/>
        <v/>
      </c>
      <c r="J57" s="178" t="str">
        <f ca="1"/>
        <v/>
      </c>
      <c r="K57" s="178" t="str">
        <f ca="1"/>
        <v/>
      </c>
      <c r="L57" s="178"/>
      <c r="M57" s="178"/>
      <c r="N57" s="180">
        <f t="shared" ca="1" si="0"/>
        <v>0</v>
      </c>
      <c r="O57" s="181">
        <f ca="1">IF(N57&gt;0.25,N57,N57+'Price Sheet (Ignore)'!$G$2)</f>
        <v>0.15</v>
      </c>
      <c r="P57" s="177">
        <f ca="1">O57*'Price Sheet (Ignore)'!$H$2*(E57/3)</f>
        <v>212.67499999999998</v>
      </c>
      <c r="Q57" s="178"/>
      <c r="R57" s="178"/>
      <c r="S57" s="178"/>
    </row>
    <row r="58" spans="1:19" ht="29.25" customHeight="1" x14ac:dyDescent="0.2">
      <c r="A58" s="175" t="str">
        <f ca="1"/>
        <v>Dreghold</v>
      </c>
      <c r="B58" s="178" t="str">
        <f ca="1"/>
        <v>Shavia</v>
      </c>
      <c r="C58" s="178" t="str">
        <f ca="1"/>
        <v>Pearlpass</v>
      </c>
      <c r="D58" s="178" t="str">
        <f ca="1"/>
        <v>Path of Guiding Light</v>
      </c>
      <c r="E58" s="179">
        <f ca="1"/>
        <v>23705</v>
      </c>
      <c r="F58" s="178">
        <f ca="1"/>
        <v>266</v>
      </c>
      <c r="G58" s="178" t="str">
        <f ca="1"/>
        <v/>
      </c>
      <c r="H58" s="178" t="str">
        <f ca="1"/>
        <v/>
      </c>
      <c r="I58" s="178" t="str">
        <f ca="1"/>
        <v>citadel</v>
      </c>
      <c r="J58" s="178" t="str">
        <f ca="1"/>
        <v/>
      </c>
      <c r="K58" s="178" t="str">
        <f ca="1"/>
        <v>plaza</v>
      </c>
      <c r="L58" s="178"/>
      <c r="M58" s="178"/>
      <c r="N58" s="180">
        <f t="shared" ca="1" si="0"/>
        <v>0.1</v>
      </c>
      <c r="O58" s="181">
        <f ca="1">IF(N58&gt;0.25,N58,N58+'Price Sheet (Ignore)'!$G$2)</f>
        <v>0.25</v>
      </c>
      <c r="P58" s="177">
        <f ca="1">O58*'Price Sheet (Ignore)'!$H$2*(E58/3)</f>
        <v>987.70833333333337</v>
      </c>
      <c r="Q58" s="178"/>
      <c r="R58" s="178"/>
      <c r="S58" s="178"/>
    </row>
    <row r="59" spans="1:19" ht="29.25" customHeight="1" x14ac:dyDescent="0.2">
      <c r="A59" s="175" t="str">
        <f ca="1"/>
        <v>Swanhall</v>
      </c>
      <c r="B59" s="178" t="str">
        <f ca="1"/>
        <v>Shavia</v>
      </c>
      <c r="C59" s="178" t="str">
        <f ca="1"/>
        <v>Clifgasinf</v>
      </c>
      <c r="D59" s="178" t="str">
        <f ca="1"/>
        <v>Path of Guiding Light</v>
      </c>
      <c r="E59" s="179">
        <f ca="1"/>
        <v>2932</v>
      </c>
      <c r="F59" s="178">
        <f ca="1"/>
        <v>161</v>
      </c>
      <c r="G59" s="178" t="str">
        <f ca="1"/>
        <v/>
      </c>
      <c r="H59" s="178" t="str">
        <f ca="1"/>
        <v>port</v>
      </c>
      <c r="I59" s="178" t="str">
        <f ca="1"/>
        <v/>
      </c>
      <c r="J59" s="178" t="str">
        <f ca="1"/>
        <v/>
      </c>
      <c r="K59" s="178" t="str">
        <f ca="1"/>
        <v/>
      </c>
      <c r="L59" s="178"/>
      <c r="M59" s="178"/>
      <c r="N59" s="180">
        <f t="shared" ca="1" si="0"/>
        <v>0.1</v>
      </c>
      <c r="O59" s="181">
        <f ca="1">IF(N59&gt;0.25,N59,N59+'Price Sheet (Ignore)'!$G$2)</f>
        <v>0.25</v>
      </c>
      <c r="P59" s="177">
        <f ca="1">O59*'Price Sheet (Ignore)'!$H$2*(E59/3)</f>
        <v>122.16666666666667</v>
      </c>
      <c r="Q59" s="178"/>
      <c r="R59" s="178"/>
      <c r="S59" s="178"/>
    </row>
    <row r="60" spans="1:19" ht="29.25" customHeight="1" x14ac:dyDescent="0.2">
      <c r="A60" s="175" t="str">
        <f ca="1"/>
        <v>Sirong</v>
      </c>
      <c r="B60" s="178" t="str">
        <f ca="1"/>
        <v>Shavia</v>
      </c>
      <c r="C60" s="178" t="str">
        <f ca="1"/>
        <v>Bugausth'vhala</v>
      </c>
      <c r="D60" s="178" t="str">
        <f ca="1"/>
        <v>Path of Guiding Light</v>
      </c>
      <c r="E60" s="179">
        <f ca="1"/>
        <v>32536</v>
      </c>
      <c r="F60" s="178">
        <f ca="1"/>
        <v>118</v>
      </c>
      <c r="G60" s="178" t="str">
        <f ca="1"/>
        <v/>
      </c>
      <c r="H60" s="178" t="str">
        <f ca="1"/>
        <v/>
      </c>
      <c r="I60" s="178" t="str">
        <f ca="1"/>
        <v>citadel</v>
      </c>
      <c r="J60" s="178" t="str">
        <f ca="1"/>
        <v>walls</v>
      </c>
      <c r="K60" s="178" t="str">
        <f ca="1"/>
        <v>plaza</v>
      </c>
      <c r="L60" s="178"/>
      <c r="M60" s="178"/>
      <c r="N60" s="180">
        <f t="shared" ca="1" si="0"/>
        <v>0.03</v>
      </c>
      <c r="O60" s="181">
        <f ca="1">IF(N60&gt;0.25,N60,N60+'Price Sheet (Ignore)'!$G$2)</f>
        <v>0.18</v>
      </c>
      <c r="P60" s="177">
        <f ca="1">O60*'Price Sheet (Ignore)'!$H$2*(E60/3)</f>
        <v>976.08</v>
      </c>
      <c r="Q60" s="178"/>
      <c r="R60" s="178"/>
      <c r="S60" s="178"/>
    </row>
    <row r="61" spans="1:19" ht="29.25" customHeight="1" x14ac:dyDescent="0.2">
      <c r="A61" s="175" t="str">
        <f ca="1"/>
        <v>Dreghold</v>
      </c>
      <c r="B61" s="178" t="str">
        <f ca="1"/>
        <v>Shavia</v>
      </c>
      <c r="C61" s="178" t="str">
        <f ca="1"/>
        <v>Clearse</v>
      </c>
      <c r="D61" s="178" t="str">
        <f ca="1"/>
        <v>Path of Guiding Light</v>
      </c>
      <c r="E61" s="179">
        <f ca="1"/>
        <v>1799</v>
      </c>
      <c r="F61" s="178">
        <f ca="1"/>
        <v>52</v>
      </c>
      <c r="G61" s="178" t="str">
        <f ca="1"/>
        <v/>
      </c>
      <c r="H61" s="178" t="str">
        <f ca="1"/>
        <v/>
      </c>
      <c r="I61" s="178" t="str">
        <f ca="1"/>
        <v/>
      </c>
      <c r="J61" s="178" t="str">
        <f ca="1"/>
        <v/>
      </c>
      <c r="K61" s="178" t="str">
        <f ca="1"/>
        <v/>
      </c>
      <c r="L61" s="178"/>
      <c r="M61" s="178"/>
      <c r="N61" s="180">
        <f t="shared" ca="1" si="0"/>
        <v>0</v>
      </c>
      <c r="O61" s="181">
        <f ca="1">IF(N61&gt;0.25,N61,N61+'Price Sheet (Ignore)'!$G$2)</f>
        <v>0.15</v>
      </c>
      <c r="P61" s="177">
        <f ca="1">O61*'Price Sheet (Ignore)'!$H$2*(E61/3)</f>
        <v>44.974999999999994</v>
      </c>
      <c r="Q61" s="178"/>
      <c r="R61" s="178"/>
      <c r="S61" s="178"/>
    </row>
    <row r="62" spans="1:19" ht="29.25" customHeight="1" x14ac:dyDescent="0.2">
      <c r="A62" s="175" t="str">
        <f ca="1"/>
        <v>Sirong</v>
      </c>
      <c r="B62" s="178" t="str">
        <f ca="1"/>
        <v>Shavia</v>
      </c>
      <c r="C62" s="178" t="str">
        <f ca="1"/>
        <v>Boceans</v>
      </c>
      <c r="D62" s="178" t="str">
        <f ca="1"/>
        <v>Path of Guiding Light</v>
      </c>
      <c r="E62" s="179">
        <f ca="1"/>
        <v>5387</v>
      </c>
      <c r="F62" s="178">
        <f ca="1"/>
        <v>328</v>
      </c>
      <c r="G62" s="178" t="str">
        <f ca="1"/>
        <v/>
      </c>
      <c r="H62" s="178" t="str">
        <f ca="1"/>
        <v/>
      </c>
      <c r="I62" s="178" t="str">
        <f ca="1"/>
        <v>citadel</v>
      </c>
      <c r="J62" s="178" t="str">
        <f ca="1"/>
        <v/>
      </c>
      <c r="K62" s="178" t="str">
        <f ca="1"/>
        <v/>
      </c>
      <c r="L62" s="178"/>
      <c r="M62" s="178"/>
      <c r="N62" s="180">
        <f t="shared" ca="1" si="0"/>
        <v>0.05</v>
      </c>
      <c r="O62" s="181">
        <f ca="1">IF(N62&gt;0.25,N62,N62+'Price Sheet (Ignore)'!$G$2)</f>
        <v>0.2</v>
      </c>
      <c r="P62" s="177">
        <f ca="1">O62*'Price Sheet (Ignore)'!$H$2*(E62/3)</f>
        <v>179.56666666666669</v>
      </c>
      <c r="Q62" s="178"/>
      <c r="R62" s="178"/>
      <c r="S62" s="178"/>
    </row>
    <row r="63" spans="1:19" ht="29.25" customHeight="1" x14ac:dyDescent="0.2">
      <c r="A63" s="175" t="str">
        <f ca="1"/>
        <v>Swanhall</v>
      </c>
      <c r="B63" s="178" t="str">
        <f ca="1"/>
        <v>Shavia</v>
      </c>
      <c r="C63" s="178" t="str">
        <f ca="1"/>
        <v>Mightkeep</v>
      </c>
      <c r="D63" s="178" t="str">
        <f ca="1"/>
        <v>Path of Guiding Light</v>
      </c>
      <c r="E63" s="179">
        <f ca="1"/>
        <v>1924</v>
      </c>
      <c r="F63" s="178">
        <f ca="1"/>
        <v>472</v>
      </c>
      <c r="G63" s="178" t="str">
        <f ca="1"/>
        <v/>
      </c>
      <c r="H63" s="178" t="str">
        <f ca="1"/>
        <v/>
      </c>
      <c r="I63" s="178" t="str">
        <f ca="1"/>
        <v/>
      </c>
      <c r="J63" s="178" t="str">
        <f ca="1"/>
        <v/>
      </c>
      <c r="K63" s="178" t="str">
        <f ca="1"/>
        <v>plaza</v>
      </c>
      <c r="L63" s="178"/>
      <c r="M63" s="178"/>
      <c r="N63" s="180">
        <f t="shared" ca="1" si="0"/>
        <v>0.05</v>
      </c>
      <c r="O63" s="181">
        <f ca="1">IF(N63&gt;0.25,N63,N63+'Price Sheet (Ignore)'!$G$2)</f>
        <v>0.2</v>
      </c>
      <c r="P63" s="177">
        <f ca="1">O63*'Price Sheet (Ignore)'!$H$2*(E63/3)</f>
        <v>64.13333333333334</v>
      </c>
      <c r="Q63" s="178"/>
      <c r="R63" s="178"/>
      <c r="S63" s="178"/>
    </row>
    <row r="64" spans="1:19" ht="29.25" customHeight="1" x14ac:dyDescent="0.2">
      <c r="A64" s="175" t="str">
        <f ca="1"/>
        <v>Swanhall</v>
      </c>
      <c r="B64" s="178" t="str">
        <f ca="1"/>
        <v>Shavia</v>
      </c>
      <c r="C64" s="178" t="str">
        <f ca="1"/>
        <v>Blackstone</v>
      </c>
      <c r="D64" s="178" t="str">
        <f ca="1"/>
        <v>Path of Guiding Light</v>
      </c>
      <c r="E64" s="179">
        <f ca="1"/>
        <v>22577</v>
      </c>
      <c r="F64" s="178">
        <f ca="1"/>
        <v>82</v>
      </c>
      <c r="G64" s="178" t="str">
        <f ca="1"/>
        <v/>
      </c>
      <c r="H64" s="178" t="str">
        <f ca="1"/>
        <v/>
      </c>
      <c r="I64" s="178" t="str">
        <f ca="1"/>
        <v>citadel</v>
      </c>
      <c r="J64" s="178" t="str">
        <f ca="1"/>
        <v/>
      </c>
      <c r="K64" s="178" t="str">
        <f ca="1"/>
        <v>plaza</v>
      </c>
      <c r="L64" s="178"/>
      <c r="M64" s="178"/>
      <c r="N64" s="180">
        <f t="shared" ca="1" si="0"/>
        <v>0.1</v>
      </c>
      <c r="O64" s="181">
        <f ca="1">IF(N64&gt;0.25,N64,N64+'Price Sheet (Ignore)'!$G$2)</f>
        <v>0.25</v>
      </c>
      <c r="P64" s="177">
        <f ca="1">O64*'Price Sheet (Ignore)'!$H$2*(E64/3)</f>
        <v>940.70833333333337</v>
      </c>
      <c r="Q64" s="178"/>
      <c r="R64" s="178"/>
      <c r="S64" s="178"/>
    </row>
    <row r="65" spans="1:19" ht="29.25" customHeight="1" x14ac:dyDescent="0.2">
      <c r="A65" s="175" t="str">
        <f ca="1"/>
        <v>Swanhall</v>
      </c>
      <c r="B65" s="178" t="str">
        <f ca="1"/>
        <v>Shavia</v>
      </c>
      <c r="C65" s="178" t="str">
        <f ca="1"/>
        <v>Clayard</v>
      </c>
      <c r="D65" s="178" t="str">
        <f ca="1"/>
        <v>Path of Guiding Light</v>
      </c>
      <c r="E65" s="179">
        <f ca="1"/>
        <v>1801</v>
      </c>
      <c r="F65" s="178">
        <f ca="1"/>
        <v>161</v>
      </c>
      <c r="G65" s="178" t="str">
        <f ca="1"/>
        <v/>
      </c>
      <c r="H65" s="178" t="str">
        <f ca="1"/>
        <v/>
      </c>
      <c r="I65" s="178" t="str">
        <f ca="1"/>
        <v/>
      </c>
      <c r="J65" s="178" t="str">
        <f ca="1"/>
        <v/>
      </c>
      <c r="K65" s="178" t="str">
        <f ca="1"/>
        <v>plaza</v>
      </c>
      <c r="L65" s="178"/>
      <c r="M65" s="178"/>
      <c r="N65" s="180">
        <f t="shared" ca="1" si="0"/>
        <v>0.05</v>
      </c>
      <c r="O65" s="181">
        <f ca="1">IF(N65&gt;0.25,N65,N65+'Price Sheet (Ignore)'!$G$2)</f>
        <v>0.2</v>
      </c>
      <c r="P65" s="177">
        <f ca="1">O65*'Price Sheet (Ignore)'!$H$2*(E65/3)</f>
        <v>60.033333333333339</v>
      </c>
      <c r="Q65" s="178"/>
      <c r="R65" s="178"/>
      <c r="S65" s="178"/>
    </row>
    <row r="66" spans="1:19" ht="29.25" customHeight="1" x14ac:dyDescent="0.2">
      <c r="A66" s="175" t="str">
        <f ca="1"/>
        <v>Dreghold</v>
      </c>
      <c r="B66" s="178" t="str">
        <f ca="1"/>
        <v>Shavia</v>
      </c>
      <c r="C66" s="178" t="str">
        <f ca="1"/>
        <v>Stovehaven</v>
      </c>
      <c r="D66" s="178" t="str">
        <f ca="1"/>
        <v>Path of Guiding Light</v>
      </c>
      <c r="E66" s="179">
        <f ca="1"/>
        <v>1811</v>
      </c>
      <c r="F66" s="178">
        <f ca="1"/>
        <v>52</v>
      </c>
      <c r="G66" s="178" t="str">
        <f ca="1"/>
        <v/>
      </c>
      <c r="H66" s="178" t="str">
        <f ca="1"/>
        <v/>
      </c>
      <c r="I66" s="178" t="str">
        <f ca="1"/>
        <v>citadel</v>
      </c>
      <c r="J66" s="178" t="str">
        <f ca="1"/>
        <v/>
      </c>
      <c r="K66" s="178" t="str">
        <f ca="1"/>
        <v>plaza</v>
      </c>
      <c r="L66" s="178"/>
      <c r="M66" s="178"/>
      <c r="N66" s="180">
        <f t="shared" ca="1" si="0"/>
        <v>0.1</v>
      </c>
      <c r="O66" s="181">
        <f ca="1">IF(N66&gt;0.25,N66,N66+'Price Sheet (Ignore)'!$G$2)</f>
        <v>0.25</v>
      </c>
      <c r="P66" s="177">
        <f ca="1">O66*'Price Sheet (Ignore)'!$H$2*(E66/3)</f>
        <v>75.458333333333329</v>
      </c>
      <c r="Q66" s="178"/>
      <c r="R66" s="178"/>
      <c r="S66" s="178"/>
    </row>
    <row r="67" spans="1:19" ht="29.25" customHeight="1" x14ac:dyDescent="0.2">
      <c r="A67" s="175" t="str">
        <f ca="1"/>
        <v>Sirong</v>
      </c>
      <c r="B67" s="178" t="str">
        <f ca="1"/>
        <v>Shavia</v>
      </c>
      <c r="C67" s="178" t="str">
        <f ca="1"/>
        <v>Wolfpasstar</v>
      </c>
      <c r="D67" s="178" t="str">
        <f ca="1"/>
        <v>Path of Guiding Light</v>
      </c>
      <c r="E67" s="179">
        <f ca="1"/>
        <v>1905</v>
      </c>
      <c r="F67" s="178">
        <f ca="1"/>
        <v>948</v>
      </c>
      <c r="G67" s="178" t="str">
        <f ca="1"/>
        <v/>
      </c>
      <c r="H67" s="178" t="str">
        <f ca="1"/>
        <v/>
      </c>
      <c r="I67" s="178" t="str">
        <f ca="1"/>
        <v/>
      </c>
      <c r="J67" s="178" t="str">
        <f ca="1"/>
        <v>walls</v>
      </c>
      <c r="K67" s="178" t="str">
        <f ca="1"/>
        <v/>
      </c>
      <c r="L67" s="178"/>
      <c r="M67" s="178"/>
      <c r="N67" s="180">
        <f t="shared" ca="1" si="0"/>
        <v>-7.0000000000000007E-2</v>
      </c>
      <c r="O67" s="181">
        <f ca="1">IF(N67&gt;0.25,N67,N67+'Price Sheet (Ignore)'!$G$2)</f>
        <v>7.9999999999999988E-2</v>
      </c>
      <c r="P67" s="177">
        <f ca="1">O67*'Price Sheet (Ignore)'!$H$2*(E67/3)</f>
        <v>25.399999999999995</v>
      </c>
      <c r="Q67" s="178"/>
      <c r="R67" s="178"/>
      <c r="S67" s="178"/>
    </row>
    <row r="68" spans="1:19" ht="29.25" customHeight="1" x14ac:dyDescent="0.2">
      <c r="A68" s="175" t="str">
        <f ca="1"/>
        <v>Swanhall</v>
      </c>
      <c r="B68" s="178" t="str">
        <f ca="1"/>
        <v>Shavia</v>
      </c>
      <c r="C68" s="178" t="str">
        <f ca="1"/>
        <v>Lastshell</v>
      </c>
      <c r="D68" s="178" t="str">
        <f ca="1"/>
        <v>Path of Guiding Light</v>
      </c>
      <c r="E68" s="179">
        <f ca="1"/>
        <v>10701</v>
      </c>
      <c r="F68" s="178">
        <f ca="1"/>
        <v>554</v>
      </c>
      <c r="G68" s="178" t="str">
        <f ca="1"/>
        <v/>
      </c>
      <c r="H68" s="178" t="str">
        <f ca="1"/>
        <v/>
      </c>
      <c r="I68" s="178" t="str">
        <f ca="1"/>
        <v>citadel</v>
      </c>
      <c r="J68" s="178" t="str">
        <f ca="1"/>
        <v/>
      </c>
      <c r="K68" s="178" t="str">
        <f ca="1"/>
        <v>plaza</v>
      </c>
      <c r="L68" s="178"/>
      <c r="M68" s="178"/>
      <c r="N68" s="180">
        <f t="shared" ca="1" si="0"/>
        <v>0.1</v>
      </c>
      <c r="O68" s="181">
        <f ca="1">IF(N68&gt;0.25,N68,N68+'Price Sheet (Ignore)'!$G$2)</f>
        <v>0.25</v>
      </c>
      <c r="P68" s="177">
        <f ca="1">O68*'Price Sheet (Ignore)'!$H$2*(E68/3)</f>
        <v>445.875</v>
      </c>
      <c r="Q68" s="178"/>
      <c r="R68" s="178"/>
      <c r="S68" s="178"/>
    </row>
    <row r="69" spans="1:19" ht="29.25" customHeight="1" x14ac:dyDescent="0.2">
      <c r="A69" s="175" t="str">
        <f ca="1"/>
        <v>Crownlands</v>
      </c>
      <c r="B69" s="178" t="str">
        <f ca="1"/>
        <v>Shavia</v>
      </c>
      <c r="C69" s="178" t="str">
        <f ca="1"/>
        <v>Clifrostle</v>
      </c>
      <c r="D69" s="178" t="str">
        <f ca="1"/>
        <v>Path of Guiding Light</v>
      </c>
      <c r="E69" s="179">
        <f ca="1"/>
        <v>5619</v>
      </c>
      <c r="F69" s="178">
        <f ca="1"/>
        <v>161</v>
      </c>
      <c r="G69" s="178" t="str">
        <f ca="1"/>
        <v/>
      </c>
      <c r="H69" s="178" t="str">
        <f ca="1"/>
        <v/>
      </c>
      <c r="I69" s="178" t="str">
        <f ca="1"/>
        <v/>
      </c>
      <c r="J69" s="178" t="str">
        <f ca="1"/>
        <v/>
      </c>
      <c r="K69" s="178" t="str">
        <f ca="1"/>
        <v/>
      </c>
      <c r="L69" s="178"/>
      <c r="M69" s="178"/>
      <c r="N69" s="180">
        <f t="shared" ca="1" si="0"/>
        <v>0</v>
      </c>
      <c r="O69" s="181">
        <f ca="1">IF(N69&gt;0.25,N69,N69+'Price Sheet (Ignore)'!$G$2)</f>
        <v>0.15</v>
      </c>
      <c r="P69" s="177">
        <f ca="1">O69*'Price Sheet (Ignore)'!$H$2*(E69/3)</f>
        <v>140.47499999999999</v>
      </c>
      <c r="Q69" s="178"/>
      <c r="R69" s="178"/>
      <c r="S69" s="178"/>
    </row>
    <row r="70" spans="1:19" ht="29.25" customHeight="1" x14ac:dyDescent="0.2">
      <c r="A70" s="175" t="str">
        <f ca="1"/>
        <v>Sirong</v>
      </c>
      <c r="B70" s="178" t="str">
        <f ca="1"/>
        <v>Shavia</v>
      </c>
      <c r="C70" s="178" t="str">
        <f ca="1"/>
        <v>Cryspide</v>
      </c>
      <c r="D70" s="178" t="str">
        <f ca="1"/>
        <v>Path of Guiding Light</v>
      </c>
      <c r="E70" s="179">
        <f ca="1"/>
        <v>4150</v>
      </c>
      <c r="F70" s="178">
        <f ca="1"/>
        <v>840</v>
      </c>
      <c r="G70" s="178" t="str">
        <f ca="1"/>
        <v/>
      </c>
      <c r="H70" s="178" t="str">
        <f ca="1"/>
        <v/>
      </c>
      <c r="I70" s="178" t="str">
        <f ca="1"/>
        <v>citadel</v>
      </c>
      <c r="J70" s="178" t="str">
        <f ca="1"/>
        <v/>
      </c>
      <c r="K70" s="178" t="str">
        <f ca="1"/>
        <v>plaza</v>
      </c>
      <c r="L70" s="178"/>
      <c r="M70" s="178"/>
      <c r="N70" s="180">
        <f t="shared" ca="1" si="0"/>
        <v>0.1</v>
      </c>
      <c r="O70" s="181">
        <f ca="1">IF(N70&gt;0.25,N70,N70+'Price Sheet (Ignore)'!$G$2)</f>
        <v>0.25</v>
      </c>
      <c r="P70" s="177">
        <f ca="1">O70*'Price Sheet (Ignore)'!$H$2*(E70/3)</f>
        <v>172.91666666666666</v>
      </c>
      <c r="Q70" s="178"/>
      <c r="R70" s="178"/>
      <c r="S70" s="178"/>
    </row>
    <row r="71" spans="1:19" ht="29.25" customHeight="1" x14ac:dyDescent="0.2">
      <c r="A71" s="175" t="str">
        <f ca="1"/>
        <v>Sirong</v>
      </c>
      <c r="B71" s="178" t="str">
        <f ca="1"/>
        <v>Shavia</v>
      </c>
      <c r="C71" s="178" t="str">
        <f ca="1"/>
        <v>Emouth</v>
      </c>
      <c r="D71" s="178" t="str">
        <f ca="1"/>
        <v>Path of Guiding Light</v>
      </c>
      <c r="E71" s="179">
        <f ca="1"/>
        <v>2171</v>
      </c>
      <c r="F71" s="178">
        <f ca="1"/>
        <v>161</v>
      </c>
      <c r="G71" s="178" t="str">
        <f ca="1"/>
        <v/>
      </c>
      <c r="H71" s="178" t="str">
        <f ca="1"/>
        <v/>
      </c>
      <c r="I71" s="178" t="str">
        <f ca="1"/>
        <v/>
      </c>
      <c r="J71" s="178" t="str">
        <f ca="1"/>
        <v/>
      </c>
      <c r="K71" s="178" t="str">
        <f ca="1"/>
        <v/>
      </c>
      <c r="L71" s="178"/>
      <c r="M71" s="178"/>
      <c r="N71" s="180">
        <f t="shared" ca="1" si="0"/>
        <v>0</v>
      </c>
      <c r="O71" s="181">
        <f ca="1">IF(N71&gt;0.25,N71,N71+'Price Sheet (Ignore)'!$G$2)</f>
        <v>0.15</v>
      </c>
      <c r="P71" s="177">
        <f ca="1">O71*'Price Sheet (Ignore)'!$H$2*(E71/3)</f>
        <v>54.274999999999999</v>
      </c>
      <c r="Q71" s="178"/>
      <c r="R71" s="178"/>
      <c r="S71" s="178"/>
    </row>
    <row r="72" spans="1:19" ht="29.25" customHeight="1" x14ac:dyDescent="0.2">
      <c r="A72" s="175" t="str">
        <f ca="1"/>
        <v>Dreghold</v>
      </c>
      <c r="B72" s="178" t="str">
        <f ca="1"/>
        <v>Shavia</v>
      </c>
      <c r="C72" s="178" t="str">
        <f ca="1"/>
        <v>Bearowbay</v>
      </c>
      <c r="D72" s="178" t="str">
        <f ca="1"/>
        <v>Path of Guiding Light</v>
      </c>
      <c r="E72" s="179">
        <f ca="1"/>
        <v>1931</v>
      </c>
      <c r="F72" s="178">
        <f ca="1"/>
        <v>52</v>
      </c>
      <c r="G72" s="178" t="str">
        <f ca="1"/>
        <v/>
      </c>
      <c r="H72" s="178" t="str">
        <f ca="1"/>
        <v/>
      </c>
      <c r="I72" s="178" t="str">
        <f ca="1"/>
        <v>citadel</v>
      </c>
      <c r="J72" s="178" t="str">
        <f ca="1"/>
        <v/>
      </c>
      <c r="K72" s="178" t="str">
        <f ca="1"/>
        <v/>
      </c>
      <c r="L72" s="178"/>
      <c r="M72" s="178"/>
      <c r="N72" s="180">
        <f t="shared" ca="1" si="0"/>
        <v>0.05</v>
      </c>
      <c r="O72" s="181">
        <f ca="1">IF(N72&gt;0.25,N72,N72+'Price Sheet (Ignore)'!$G$2)</f>
        <v>0.2</v>
      </c>
      <c r="P72" s="177">
        <f ca="1">O72*'Price Sheet (Ignore)'!$H$2*(E72/3)</f>
        <v>64.36666666666666</v>
      </c>
      <c r="Q72" s="178"/>
      <c r="R72" s="178"/>
      <c r="S72" s="178"/>
    </row>
    <row r="73" spans="1:19" ht="29.25" customHeight="1" x14ac:dyDescent="0.2">
      <c r="A73" s="175" t="str">
        <f ca="1"/>
        <v>Swanhall</v>
      </c>
      <c r="B73" s="178" t="str">
        <f ca="1"/>
        <v>Shavia</v>
      </c>
      <c r="C73" s="178" t="str">
        <f ca="1"/>
        <v>Deepmoor</v>
      </c>
      <c r="D73" s="178" t="str">
        <f ca="1"/>
        <v>Path of Guiding Light</v>
      </c>
      <c r="E73" s="179">
        <f ca="1"/>
        <v>1923</v>
      </c>
      <c r="F73" s="178">
        <f ca="1"/>
        <v>52</v>
      </c>
      <c r="G73" s="178" t="str">
        <f ca="1"/>
        <v/>
      </c>
      <c r="H73" s="178" t="str">
        <f ca="1"/>
        <v/>
      </c>
      <c r="I73" s="178" t="str">
        <f ca="1"/>
        <v>citadel</v>
      </c>
      <c r="J73" s="178" t="str">
        <f ca="1"/>
        <v/>
      </c>
      <c r="K73" s="178" t="str">
        <f ca="1"/>
        <v/>
      </c>
      <c r="L73" s="178"/>
      <c r="M73" s="178"/>
      <c r="N73" s="180">
        <f t="shared" ca="1" si="0"/>
        <v>0.05</v>
      </c>
      <c r="O73" s="181">
        <f ca="1">IF(N73&gt;0.25,N73,N73+'Price Sheet (Ignore)'!$G$2)</f>
        <v>0.2</v>
      </c>
      <c r="P73" s="177">
        <f ca="1">O73*'Price Sheet (Ignore)'!$H$2*(E73/3)</f>
        <v>64.100000000000009</v>
      </c>
      <c r="Q73" s="178"/>
      <c r="R73" s="178"/>
      <c r="S73" s="178"/>
    </row>
    <row r="74" spans="1:19" ht="29.25" customHeight="1" x14ac:dyDescent="0.2">
      <c r="A74" s="175" t="str">
        <f ca="1"/>
        <v>Ralim</v>
      </c>
      <c r="B74" s="178" t="str">
        <f ca="1"/>
        <v>Shavia</v>
      </c>
      <c r="C74" s="178" t="str">
        <f ca="1"/>
        <v>Gonagithmorso</v>
      </c>
      <c r="D74" s="178" t="str">
        <f ca="1"/>
        <v>Path of Guiding Light</v>
      </c>
      <c r="E74" s="179">
        <f ca="1"/>
        <v>18184</v>
      </c>
      <c r="F74" s="178">
        <f ca="1"/>
        <v>82</v>
      </c>
      <c r="G74" s="178" t="str">
        <f ca="1"/>
        <v/>
      </c>
      <c r="H74" s="178" t="str">
        <f ca="1"/>
        <v>port</v>
      </c>
      <c r="I74" s="178" t="str">
        <f ca="1"/>
        <v/>
      </c>
      <c r="J74" s="178" t="str">
        <f ca="1"/>
        <v/>
      </c>
      <c r="K74" s="178" t="str">
        <f ca="1"/>
        <v>plaza</v>
      </c>
      <c r="L74" s="178"/>
      <c r="M74" s="178"/>
      <c r="N74" s="180">
        <f t="shared" ca="1" si="0"/>
        <v>0.15000000000000002</v>
      </c>
      <c r="O74" s="181">
        <f ca="1">IF(N74&gt;0.25,N74,N74+'Price Sheet (Ignore)'!$G$2)</f>
        <v>0.30000000000000004</v>
      </c>
      <c r="P74" s="177">
        <f ca="1">O74*'Price Sheet (Ignore)'!$H$2*(E74/3)</f>
        <v>909.2</v>
      </c>
      <c r="Q74" s="178"/>
      <c r="R74" s="178"/>
      <c r="S74" s="178"/>
    </row>
    <row r="75" spans="1:19" ht="29.25" customHeight="1" x14ac:dyDescent="0.2">
      <c r="A75" s="175" t="str">
        <f ca="1"/>
        <v>Swanhall</v>
      </c>
      <c r="B75" s="178" t="str">
        <f ca="1"/>
        <v>Shavia</v>
      </c>
      <c r="C75" s="178" t="str">
        <f ca="1"/>
        <v>Wilvernyard</v>
      </c>
      <c r="D75" s="178" t="str">
        <f ca="1"/>
        <v>Path of Guiding Light</v>
      </c>
      <c r="E75" s="179">
        <f ca="1"/>
        <v>9340</v>
      </c>
      <c r="F75" s="178">
        <f ca="1"/>
        <v>118</v>
      </c>
      <c r="G75" s="178" t="str">
        <f ca="1"/>
        <v/>
      </c>
      <c r="H75" s="178" t="str">
        <f ca="1"/>
        <v/>
      </c>
      <c r="I75" s="178" t="str">
        <f ca="1"/>
        <v>citadel</v>
      </c>
      <c r="J75" s="178" t="str">
        <f ca="1"/>
        <v/>
      </c>
      <c r="K75" s="178" t="str">
        <f ca="1"/>
        <v/>
      </c>
      <c r="L75" s="178"/>
      <c r="M75" s="178"/>
      <c r="N75" s="180">
        <f t="shared" ca="1" si="0"/>
        <v>0.05</v>
      </c>
      <c r="O75" s="181">
        <f ca="1">IF(N75&gt;0.25,N75,N75+'Price Sheet (Ignore)'!$G$2)</f>
        <v>0.2</v>
      </c>
      <c r="P75" s="177">
        <f ca="1">O75*'Price Sheet (Ignore)'!$H$2*(E75/3)</f>
        <v>311.33333333333337</v>
      </c>
      <c r="Q75" s="178"/>
      <c r="R75" s="178"/>
      <c r="S75" s="178"/>
    </row>
    <row r="76" spans="1:19" ht="29.25" customHeight="1" x14ac:dyDescent="0.2">
      <c r="A76" s="175" t="str">
        <f ca="1"/>
        <v>Swanhall</v>
      </c>
      <c r="B76" s="178" t="str">
        <f ca="1"/>
        <v>Shavia</v>
      </c>
      <c r="C76" s="178" t="str">
        <f ca="1"/>
        <v>Flakechpost</v>
      </c>
      <c r="D76" s="178" t="str">
        <f ca="1"/>
        <v>Path of Guiding Light</v>
      </c>
      <c r="E76" s="179">
        <f ca="1"/>
        <v>23430</v>
      </c>
      <c r="F76" s="178">
        <f ca="1"/>
        <v>1736</v>
      </c>
      <c r="G76" s="178" t="str">
        <f ca="1"/>
        <v/>
      </c>
      <c r="H76" s="178" t="str">
        <f ca="1"/>
        <v/>
      </c>
      <c r="I76" s="178" t="str">
        <f ca="1"/>
        <v>citadel</v>
      </c>
      <c r="J76" s="178" t="str">
        <f ca="1"/>
        <v>walls</v>
      </c>
      <c r="K76" s="178" t="str">
        <f ca="1"/>
        <v>plaza</v>
      </c>
      <c r="L76" s="178"/>
      <c r="M76" s="178"/>
      <c r="N76" s="180">
        <f t="shared" ca="1" si="0"/>
        <v>0.03</v>
      </c>
      <c r="O76" s="181">
        <f ca="1">IF(N76&gt;0.25,N76,N76+'Price Sheet (Ignore)'!$G$2)</f>
        <v>0.18</v>
      </c>
      <c r="P76" s="177">
        <f ca="1">O76*'Price Sheet (Ignore)'!$H$2*(E76/3)</f>
        <v>702.9</v>
      </c>
      <c r="Q76" s="178"/>
      <c r="R76" s="178"/>
      <c r="S76" s="178"/>
    </row>
    <row r="77" spans="1:19" ht="29.25" customHeight="1" x14ac:dyDescent="0.2">
      <c r="A77" s="175" t="str">
        <f ca="1"/>
        <v>Swanhall</v>
      </c>
      <c r="B77" s="178" t="str">
        <f ca="1"/>
        <v>Shavia</v>
      </c>
      <c r="C77" s="178" t="str">
        <f ca="1"/>
        <v>Sungelrock</v>
      </c>
      <c r="D77" s="178" t="str">
        <f ca="1"/>
        <v>Path of Guiding Light</v>
      </c>
      <c r="E77" s="179">
        <f ca="1"/>
        <v>17058</v>
      </c>
      <c r="F77" s="178">
        <f ca="1"/>
        <v>266</v>
      </c>
      <c r="G77" s="178" t="str">
        <f ca="1"/>
        <v/>
      </c>
      <c r="H77" s="178" t="str">
        <f ca="1"/>
        <v/>
      </c>
      <c r="I77" s="178" t="str">
        <f ca="1"/>
        <v>citadel</v>
      </c>
      <c r="J77" s="178" t="str">
        <f ca="1"/>
        <v/>
      </c>
      <c r="K77" s="178" t="str">
        <f ca="1"/>
        <v/>
      </c>
      <c r="L77" s="178"/>
      <c r="M77" s="178"/>
      <c r="N77" s="180">
        <f t="shared" ca="1" si="0"/>
        <v>0.05</v>
      </c>
      <c r="O77" s="181">
        <f ca="1">IF(N77&gt;0.25,N77,N77+'Price Sheet (Ignore)'!$G$2)</f>
        <v>0.2</v>
      </c>
      <c r="P77" s="177">
        <f ca="1">O77*'Price Sheet (Ignore)'!$H$2*(E77/3)</f>
        <v>568.6</v>
      </c>
      <c r="Q77" s="178"/>
      <c r="R77" s="178"/>
      <c r="S77" s="178"/>
    </row>
    <row r="78" spans="1:19" ht="29.25" customHeight="1" x14ac:dyDescent="0.2">
      <c r="A78" s="175" t="str">
        <f ca="1"/>
        <v>Swanhall</v>
      </c>
      <c r="B78" s="178" t="str">
        <f ca="1"/>
        <v>Shavia</v>
      </c>
      <c r="C78" s="178" t="str">
        <f ca="1"/>
        <v>Mythsplain</v>
      </c>
      <c r="D78" s="178" t="str">
        <f ca="1"/>
        <v>Path of Guiding Light</v>
      </c>
      <c r="E78" s="179">
        <f ca="1"/>
        <v>17983</v>
      </c>
      <c r="F78" s="178">
        <f ca="1"/>
        <v>52</v>
      </c>
      <c r="G78" s="178" t="str">
        <f ca="1"/>
        <v/>
      </c>
      <c r="H78" s="178" t="str">
        <f ca="1"/>
        <v/>
      </c>
      <c r="I78" s="178" t="str">
        <f ca="1"/>
        <v>citadel</v>
      </c>
      <c r="J78" s="178" t="str">
        <f ca="1"/>
        <v/>
      </c>
      <c r="K78" s="178" t="str">
        <f ca="1"/>
        <v>plaza</v>
      </c>
      <c r="L78" s="178"/>
      <c r="M78" s="178"/>
      <c r="N78" s="180">
        <f t="shared" ca="1" si="0"/>
        <v>0.1</v>
      </c>
      <c r="O78" s="181">
        <f ca="1">IF(N78&gt;0.25,N78,N78+'Price Sheet (Ignore)'!$G$2)</f>
        <v>0.25</v>
      </c>
      <c r="P78" s="177">
        <f ca="1">O78*'Price Sheet (Ignore)'!$H$2*(E78/3)</f>
        <v>749.29166666666663</v>
      </c>
      <c r="Q78" s="178"/>
      <c r="R78" s="178"/>
      <c r="S78" s="178"/>
    </row>
    <row r="79" spans="1:19" ht="29.25" customHeight="1" x14ac:dyDescent="0.2">
      <c r="A79" s="175" t="str">
        <f ca="1"/>
        <v>Swanhall</v>
      </c>
      <c r="B79" s="178" t="str">
        <f ca="1"/>
        <v>Shavia</v>
      </c>
      <c r="C79" s="178" t="str">
        <f ca="1"/>
        <v>Houndreach</v>
      </c>
      <c r="D79" s="178" t="str">
        <f ca="1"/>
        <v>Path of Guiding Light</v>
      </c>
      <c r="E79" s="179">
        <f ca="1"/>
        <v>3698</v>
      </c>
      <c r="F79" s="178">
        <f ca="1"/>
        <v>82</v>
      </c>
      <c r="G79" s="178" t="str">
        <f ca="1"/>
        <v/>
      </c>
      <c r="H79" s="178" t="str">
        <f ca="1"/>
        <v>port</v>
      </c>
      <c r="I79" s="178" t="str">
        <f ca="1"/>
        <v>citadel</v>
      </c>
      <c r="J79" s="178" t="str">
        <f ca="1"/>
        <v/>
      </c>
      <c r="K79" s="178" t="str">
        <f ca="1"/>
        <v/>
      </c>
      <c r="L79" s="178"/>
      <c r="M79" s="178"/>
      <c r="N79" s="180">
        <f t="shared" ca="1" si="0"/>
        <v>0.15000000000000002</v>
      </c>
      <c r="O79" s="181">
        <f ca="1">IF(N79&gt;0.25,N79,N79+'Price Sheet (Ignore)'!$G$2)</f>
        <v>0.30000000000000004</v>
      </c>
      <c r="P79" s="177">
        <f ca="1">O79*'Price Sheet (Ignore)'!$H$2*(E79/3)</f>
        <v>184.90000000000003</v>
      </c>
      <c r="Q79" s="178"/>
      <c r="R79" s="178"/>
      <c r="S79" s="178"/>
    </row>
    <row r="80" spans="1:19" ht="29.25" customHeight="1" x14ac:dyDescent="0.2">
      <c r="A80" s="175" t="str">
        <f ca="1"/>
        <v>Swanhall</v>
      </c>
      <c r="B80" s="178" t="str">
        <f ca="1"/>
        <v>Shavia</v>
      </c>
      <c r="C80" s="178" t="str">
        <f ca="1"/>
        <v>Stagcoastle</v>
      </c>
      <c r="D80" s="178" t="str">
        <f ca="1"/>
        <v>Path of Guiding Light</v>
      </c>
      <c r="E80" s="179">
        <f ca="1"/>
        <v>1974</v>
      </c>
      <c r="F80" s="178">
        <f ca="1"/>
        <v>840</v>
      </c>
      <c r="G80" s="178" t="str">
        <f ca="1"/>
        <v/>
      </c>
      <c r="H80" s="178" t="str">
        <f ca="1"/>
        <v/>
      </c>
      <c r="I80" s="178" t="str">
        <f ca="1"/>
        <v/>
      </c>
      <c r="J80" s="178" t="str">
        <f ca="1"/>
        <v/>
      </c>
      <c r="K80" s="178" t="str">
        <f ca="1"/>
        <v>plaza</v>
      </c>
      <c r="L80" s="178"/>
      <c r="M80" s="178"/>
      <c r="N80" s="180">
        <f t="shared" ca="1" si="0"/>
        <v>0.05</v>
      </c>
      <c r="O80" s="181">
        <f ca="1">IF(N80&gt;0.25,N80,N80+'Price Sheet (Ignore)'!$G$2)</f>
        <v>0.2</v>
      </c>
      <c r="P80" s="177">
        <f ca="1">O80*'Price Sheet (Ignore)'!$H$2*(E80/3)</f>
        <v>65.8</v>
      </c>
      <c r="Q80" s="178"/>
      <c r="R80" s="178"/>
      <c r="S80" s="178"/>
    </row>
    <row r="81" spans="1:19" ht="29.25" customHeight="1" x14ac:dyDescent="0.2">
      <c r="A81" s="175" t="str">
        <f ca="1"/>
        <v>Ralim</v>
      </c>
      <c r="B81" s="178" t="str">
        <f ca="1"/>
        <v>Shavia</v>
      </c>
      <c r="C81" s="178" t="str">
        <f ca="1"/>
        <v>Raterehall</v>
      </c>
      <c r="D81" s="178" t="str">
        <f ca="1"/>
        <v>Path of Guiding Light</v>
      </c>
      <c r="E81" s="179">
        <f ca="1"/>
        <v>2083</v>
      </c>
      <c r="F81" s="178">
        <f ca="1"/>
        <v>266</v>
      </c>
      <c r="G81" s="178" t="str">
        <f ca="1"/>
        <v/>
      </c>
      <c r="H81" s="178" t="str">
        <f ca="1"/>
        <v/>
      </c>
      <c r="I81" s="178" t="str">
        <f ca="1"/>
        <v>citadel</v>
      </c>
      <c r="J81" s="178" t="str">
        <f ca="1"/>
        <v/>
      </c>
      <c r="K81" s="178" t="str">
        <f ca="1"/>
        <v/>
      </c>
      <c r="L81" s="178"/>
      <c r="M81" s="178"/>
      <c r="N81" s="180">
        <f t="shared" ca="1" si="0"/>
        <v>0.05</v>
      </c>
      <c r="O81" s="181">
        <f ca="1">IF(N81&gt;0.25,N81,N81+'Price Sheet (Ignore)'!$G$2)</f>
        <v>0.2</v>
      </c>
      <c r="P81" s="177">
        <f ca="1">O81*'Price Sheet (Ignore)'!$H$2*(E81/3)</f>
        <v>69.433333333333337</v>
      </c>
      <c r="Q81" s="178"/>
      <c r="R81" s="178"/>
      <c r="S81" s="178"/>
    </row>
    <row r="82" spans="1:19" ht="29.25" customHeight="1" x14ac:dyDescent="0.2">
      <c r="A82" s="175" t="str">
        <f ca="1"/>
        <v>Ralim</v>
      </c>
      <c r="B82" s="178" t="str">
        <f ca="1"/>
        <v>Shavia</v>
      </c>
      <c r="C82" s="178" t="str">
        <f ca="1"/>
        <v>Shadowtown</v>
      </c>
      <c r="D82" s="178" t="str">
        <f ca="1"/>
        <v>Path of Guiding Light</v>
      </c>
      <c r="E82" s="179">
        <f ca="1"/>
        <v>2159</v>
      </c>
      <c r="F82" s="178">
        <f ca="1"/>
        <v>266</v>
      </c>
      <c r="G82" s="178" t="str">
        <f ca="1"/>
        <v/>
      </c>
      <c r="H82" s="178" t="str">
        <f ca="1"/>
        <v/>
      </c>
      <c r="I82" s="178" t="str">
        <f ca="1"/>
        <v>citadel</v>
      </c>
      <c r="J82" s="178" t="str">
        <f ca="1"/>
        <v/>
      </c>
      <c r="K82" s="178" t="str">
        <f ca="1"/>
        <v/>
      </c>
      <c r="L82" s="178"/>
      <c r="M82" s="178"/>
      <c r="N82" s="180">
        <f t="shared" ca="1" si="0"/>
        <v>0.05</v>
      </c>
      <c r="O82" s="181">
        <f ca="1">IF(N82&gt;0.25,N82,N82+'Price Sheet (Ignore)'!$G$2)</f>
        <v>0.2</v>
      </c>
      <c r="P82" s="177">
        <f ca="1">O82*'Price Sheet (Ignore)'!$H$2*(E82/3)</f>
        <v>71.966666666666669</v>
      </c>
      <c r="Q82" s="178"/>
      <c r="R82" s="178"/>
      <c r="S82" s="178"/>
    </row>
    <row r="83" spans="1:19" ht="29.25" customHeight="1" x14ac:dyDescent="0.2">
      <c r="A83" s="175" t="str">
        <f ca="1"/>
        <v>Dreghold</v>
      </c>
      <c r="B83" s="178" t="str">
        <f ca="1"/>
        <v>Shavia</v>
      </c>
      <c r="C83" s="178" t="str">
        <f ca="1"/>
        <v>Swangeld</v>
      </c>
      <c r="D83" s="178" t="str">
        <f ca="1"/>
        <v>Path of Guiding Light</v>
      </c>
      <c r="E83" s="179">
        <f ca="1"/>
        <v>13762</v>
      </c>
      <c r="F83" s="178">
        <f ca="1"/>
        <v>161</v>
      </c>
      <c r="G83" s="178" t="str">
        <f ca="1"/>
        <v/>
      </c>
      <c r="H83" s="178" t="str">
        <f ca="1"/>
        <v/>
      </c>
      <c r="I83" s="178" t="str">
        <f ca="1"/>
        <v>citadel</v>
      </c>
      <c r="J83" s="178" t="str">
        <f ca="1"/>
        <v>walls</v>
      </c>
      <c r="K83" s="178" t="str">
        <f ca="1"/>
        <v/>
      </c>
      <c r="L83" s="178"/>
      <c r="M83" s="178"/>
      <c r="N83" s="180">
        <f t="shared" ca="1" si="0"/>
        <v>-2.0000000000000004E-2</v>
      </c>
      <c r="O83" s="181">
        <f ca="1">IF(N83&gt;0.25,N83,N83+'Price Sheet (Ignore)'!$G$2)</f>
        <v>0.13</v>
      </c>
      <c r="P83" s="177">
        <f ca="1">O83*'Price Sheet (Ignore)'!$H$2*(E83/3)</f>
        <v>298.17666666666668</v>
      </c>
      <c r="Q83" s="178"/>
      <c r="R83" s="178"/>
      <c r="S83" s="178"/>
    </row>
    <row r="84" spans="1:19" ht="29.25" customHeight="1" x14ac:dyDescent="0.2">
      <c r="A84" s="175" t="str">
        <f ca="1"/>
        <v>Swanhall</v>
      </c>
      <c r="B84" s="178" t="str">
        <f ca="1"/>
        <v>Shavia</v>
      </c>
      <c r="C84" s="178" t="str">
        <f ca="1"/>
        <v>Roremice</v>
      </c>
      <c r="D84" s="178" t="str">
        <f ca="1"/>
        <v>Path of Guiding Light</v>
      </c>
      <c r="E84" s="179">
        <f ca="1"/>
        <v>10379</v>
      </c>
      <c r="F84" s="178">
        <f ca="1"/>
        <v>82</v>
      </c>
      <c r="G84" s="178" t="str">
        <f ca="1"/>
        <v/>
      </c>
      <c r="H84" s="178" t="str">
        <f ca="1"/>
        <v/>
      </c>
      <c r="I84" s="178" t="str">
        <f ca="1"/>
        <v>citadel</v>
      </c>
      <c r="J84" s="178" t="str">
        <f ca="1"/>
        <v>walls</v>
      </c>
      <c r="K84" s="178" t="str">
        <f ca="1"/>
        <v/>
      </c>
      <c r="L84" s="178"/>
      <c r="M84" s="178"/>
      <c r="N84" s="180">
        <f t="shared" ca="1" si="0"/>
        <v>-2.0000000000000004E-2</v>
      </c>
      <c r="O84" s="181">
        <f ca="1">IF(N84&gt;0.25,N84,N84+'Price Sheet (Ignore)'!$G$2)</f>
        <v>0.13</v>
      </c>
      <c r="P84" s="177">
        <f ca="1">O84*'Price Sheet (Ignore)'!$H$2*(E84/3)</f>
        <v>224.87833333333333</v>
      </c>
      <c r="Q84" s="178"/>
      <c r="R84" s="178"/>
      <c r="S84" s="178"/>
    </row>
    <row r="85" spans="1:19" ht="29.25" customHeight="1" x14ac:dyDescent="0.2">
      <c r="A85" s="175" t="str">
        <f ca="1"/>
        <v>Sirong</v>
      </c>
      <c r="B85" s="178" t="str">
        <f ca="1"/>
        <v>Shavia</v>
      </c>
      <c r="C85" s="178" t="str">
        <f ca="1"/>
        <v>Jaallugausthei</v>
      </c>
      <c r="D85" s="178" t="str">
        <f ca="1"/>
        <v>Path of Guiding Light</v>
      </c>
      <c r="E85" s="179">
        <f ca="1"/>
        <v>25544</v>
      </c>
      <c r="F85" s="178">
        <f ca="1"/>
        <v>118</v>
      </c>
      <c r="G85" s="178" t="str">
        <f ca="1"/>
        <v/>
      </c>
      <c r="H85" s="178" t="str">
        <f ca="1"/>
        <v/>
      </c>
      <c r="I85" s="178" t="str">
        <f ca="1"/>
        <v>citadel</v>
      </c>
      <c r="J85" s="178" t="str">
        <f ca="1"/>
        <v>walls</v>
      </c>
      <c r="K85" s="178" t="str">
        <f ca="1"/>
        <v/>
      </c>
      <c r="L85" s="178"/>
      <c r="M85" s="178"/>
      <c r="N85" s="180">
        <f t="shared" ca="1" si="0"/>
        <v>-2.0000000000000004E-2</v>
      </c>
      <c r="O85" s="181">
        <f ca="1">IF(N85&gt;0.25,N85,N85+'Price Sheet (Ignore)'!$G$2)</f>
        <v>0.13</v>
      </c>
      <c r="P85" s="177">
        <f ca="1">O85*'Price Sheet (Ignore)'!$H$2*(E85/3)</f>
        <v>553.45333333333326</v>
      </c>
      <c r="Q85" s="178"/>
      <c r="R85" s="178"/>
      <c r="S85" s="178"/>
    </row>
    <row r="86" spans="1:19" ht="29.25" customHeight="1" x14ac:dyDescent="0.2">
      <c r="A86" s="175" t="str">
        <f ca="1"/>
        <v>Sirong</v>
      </c>
      <c r="B86" s="178" t="str">
        <f ca="1"/>
        <v>Shavia</v>
      </c>
      <c r="C86" s="178" t="str">
        <f ca="1"/>
        <v>Eldhembenlean</v>
      </c>
      <c r="D86" s="178" t="str">
        <f ca="1"/>
        <v>Path of Guiding Light</v>
      </c>
      <c r="E86" s="179">
        <f ca="1"/>
        <v>12339</v>
      </c>
      <c r="F86" s="178">
        <f ca="1"/>
        <v>52</v>
      </c>
      <c r="G86" s="178" t="str">
        <f ca="1"/>
        <v/>
      </c>
      <c r="H86" s="178" t="str">
        <f ca="1"/>
        <v>port</v>
      </c>
      <c r="I86" s="178" t="str">
        <f ca="1"/>
        <v>citadel</v>
      </c>
      <c r="J86" s="178" t="str">
        <f ca="1"/>
        <v/>
      </c>
      <c r="K86" s="178" t="str">
        <f ca="1"/>
        <v>plaza</v>
      </c>
      <c r="L86" s="178"/>
      <c r="M86" s="178"/>
      <c r="N86" s="180">
        <f t="shared" ca="1" si="0"/>
        <v>0.2</v>
      </c>
      <c r="O86" s="181">
        <f ca="1">IF(N86&gt;0.25,N86,N86+'Price Sheet (Ignore)'!$G$2)</f>
        <v>0.35</v>
      </c>
      <c r="P86" s="177">
        <f ca="1">O86*'Price Sheet (Ignore)'!$H$2*(E86/3)</f>
        <v>719.77499999999998</v>
      </c>
      <c r="Q86" s="178"/>
      <c r="R86" s="178"/>
      <c r="S86" s="178"/>
    </row>
    <row r="87" spans="1:19" ht="29.25" customHeight="1" x14ac:dyDescent="0.2">
      <c r="A87" s="175" t="str">
        <f ca="1"/>
        <v>Sirong</v>
      </c>
      <c r="B87" s="178" t="str">
        <f ca="1"/>
        <v>Shavia</v>
      </c>
      <c r="C87" s="178" t="str">
        <f ca="1"/>
        <v>Storewell</v>
      </c>
      <c r="D87" s="178" t="str">
        <f ca="1"/>
        <v>Path of Guiding Light</v>
      </c>
      <c r="E87" s="179">
        <f ca="1"/>
        <v>11612</v>
      </c>
      <c r="F87" s="178">
        <f ca="1"/>
        <v>328</v>
      </c>
      <c r="G87" s="178" t="str">
        <f ca="1"/>
        <v/>
      </c>
      <c r="H87" s="178" t="str">
        <f ca="1"/>
        <v/>
      </c>
      <c r="I87" s="178" t="str">
        <f ca="1"/>
        <v/>
      </c>
      <c r="J87" s="178" t="str">
        <f ca="1"/>
        <v/>
      </c>
      <c r="K87" s="178" t="str">
        <f ca="1"/>
        <v>plaza</v>
      </c>
      <c r="L87" s="178"/>
      <c r="M87" s="178"/>
      <c r="N87" s="180">
        <f t="shared" ca="1" si="0"/>
        <v>0.05</v>
      </c>
      <c r="O87" s="181">
        <f ca="1">IF(N87&gt;0.25,N87,N87+'Price Sheet (Ignore)'!$G$2)</f>
        <v>0.2</v>
      </c>
      <c r="P87" s="177">
        <f ca="1">O87*'Price Sheet (Ignore)'!$H$2*(E87/3)</f>
        <v>387.06666666666666</v>
      </c>
      <c r="Q87" s="178"/>
      <c r="R87" s="178"/>
      <c r="S87" s="178"/>
    </row>
    <row r="88" spans="1:19" ht="29.25" customHeight="1" x14ac:dyDescent="0.2">
      <c r="A88" s="175" t="str">
        <f ca="1"/>
        <v>Crownlands</v>
      </c>
      <c r="B88" s="178" t="str">
        <f ca="1"/>
        <v>Shavia</v>
      </c>
      <c r="C88" s="178" t="str">
        <f ca="1"/>
        <v>Steamhorn</v>
      </c>
      <c r="D88" s="178" t="str">
        <f ca="1"/>
        <v>Path of Guiding Light</v>
      </c>
      <c r="E88" s="179">
        <f ca="1"/>
        <v>16032</v>
      </c>
      <c r="F88" s="178">
        <f ca="1"/>
        <v>1063</v>
      </c>
      <c r="G88" s="178" t="str">
        <f ca="1"/>
        <v/>
      </c>
      <c r="H88" s="178" t="str">
        <f ca="1"/>
        <v/>
      </c>
      <c r="I88" s="178" t="str">
        <f ca="1"/>
        <v>citadel</v>
      </c>
      <c r="J88" s="178" t="str">
        <f ca="1"/>
        <v/>
      </c>
      <c r="K88" s="178" t="str">
        <f ca="1"/>
        <v/>
      </c>
      <c r="L88" s="178"/>
      <c r="M88" s="178"/>
      <c r="N88" s="180">
        <f t="shared" ca="1" si="0"/>
        <v>0.05</v>
      </c>
      <c r="O88" s="181">
        <f ca="1">IF(N88&gt;0.25,N88,N88+'Price Sheet (Ignore)'!$G$2)</f>
        <v>0.2</v>
      </c>
      <c r="P88" s="177">
        <f ca="1">O88*'Price Sheet (Ignore)'!$H$2*(E88/3)</f>
        <v>534.4</v>
      </c>
      <c r="Q88" s="178"/>
      <c r="R88" s="178"/>
      <c r="S88" s="178"/>
    </row>
    <row r="89" spans="1:19" ht="29.25" customHeight="1" x14ac:dyDescent="0.2">
      <c r="A89" s="175" t="str">
        <f ca="1"/>
        <v>Ralim</v>
      </c>
      <c r="B89" s="178" t="str">
        <f ca="1"/>
        <v>Shavia</v>
      </c>
      <c r="C89" s="178" t="str">
        <f ca="1"/>
        <v>Heartle</v>
      </c>
      <c r="D89" s="178" t="str">
        <f ca="1"/>
        <v>Path of Guiding Light</v>
      </c>
      <c r="E89" s="179">
        <f ca="1"/>
        <v>25350</v>
      </c>
      <c r="F89" s="178">
        <f ca="1"/>
        <v>118</v>
      </c>
      <c r="G89" s="178" t="str">
        <f ca="1"/>
        <v/>
      </c>
      <c r="H89" s="178" t="str">
        <f ca="1"/>
        <v/>
      </c>
      <c r="I89" s="178" t="str">
        <f ca="1"/>
        <v/>
      </c>
      <c r="J89" s="178" t="str">
        <f ca="1"/>
        <v>walls</v>
      </c>
      <c r="K89" s="178" t="str">
        <f ca="1"/>
        <v>plaza</v>
      </c>
      <c r="L89" s="178"/>
      <c r="M89" s="178"/>
      <c r="N89" s="180">
        <f t="shared" ca="1" si="0"/>
        <v>-2.0000000000000004E-2</v>
      </c>
      <c r="O89" s="181">
        <f ca="1">IF(N89&gt;0.25,N89,N89+'Price Sheet (Ignore)'!$G$2)</f>
        <v>0.13</v>
      </c>
      <c r="P89" s="177">
        <f ca="1">O89*'Price Sheet (Ignore)'!$H$2*(E89/3)</f>
        <v>549.25</v>
      </c>
      <c r="Q89" s="178"/>
      <c r="R89" s="178"/>
      <c r="S89" s="178"/>
    </row>
    <row r="90" spans="1:19" ht="29.25" customHeight="1" x14ac:dyDescent="0.2">
      <c r="A90" s="175" t="str">
        <f ca="1"/>
        <v>Dreghold</v>
      </c>
      <c r="B90" s="178" t="str">
        <f ca="1"/>
        <v>Shavia</v>
      </c>
      <c r="C90" s="178" t="str">
        <f ca="1"/>
        <v>Eagrasp</v>
      </c>
      <c r="D90" s="178" t="str">
        <f ca="1"/>
        <v>Path of Guiding Light</v>
      </c>
      <c r="E90" s="179">
        <f ca="1"/>
        <v>33357</v>
      </c>
      <c r="F90" s="178">
        <f ca="1"/>
        <v>118</v>
      </c>
      <c r="G90" s="178" t="str">
        <f ca="1"/>
        <v/>
      </c>
      <c r="H90" s="178" t="str">
        <f ca="1"/>
        <v/>
      </c>
      <c r="I90" s="178" t="str">
        <f ca="1"/>
        <v>citadel</v>
      </c>
      <c r="J90" s="178" t="str">
        <f ca="1"/>
        <v>walls</v>
      </c>
      <c r="K90" s="178" t="str">
        <f ca="1"/>
        <v>plaza</v>
      </c>
      <c r="L90" s="178"/>
      <c r="M90" s="178"/>
      <c r="N90" s="180">
        <f t="shared" ca="1" si="0"/>
        <v>0.03</v>
      </c>
      <c r="O90" s="181">
        <f ca="1">IF(N90&gt;0.25,N90,N90+'Price Sheet (Ignore)'!$G$2)</f>
        <v>0.18</v>
      </c>
      <c r="P90" s="177">
        <f ca="1">O90*'Price Sheet (Ignore)'!$H$2*(E90/3)</f>
        <v>1000.7099999999999</v>
      </c>
      <c r="Q90" s="178"/>
      <c r="R90" s="178"/>
      <c r="S90" s="178"/>
    </row>
    <row r="91" spans="1:19" ht="29.25" customHeight="1" x14ac:dyDescent="0.2">
      <c r="A91" s="175" t="str">
        <f ca="1"/>
        <v>Sirong</v>
      </c>
      <c r="B91" s="178" t="str">
        <f ca="1"/>
        <v>Shavia</v>
      </c>
      <c r="C91" s="178" t="str">
        <f ca="1"/>
        <v>Feargarun</v>
      </c>
      <c r="D91" s="178" t="str">
        <f ca="1"/>
        <v>Path of Guiding Light</v>
      </c>
      <c r="E91" s="179">
        <f ca="1"/>
        <v>6268</v>
      </c>
      <c r="F91" s="178">
        <f ca="1"/>
        <v>554</v>
      </c>
      <c r="G91" s="178" t="str">
        <f ca="1"/>
        <v/>
      </c>
      <c r="H91" s="178" t="str">
        <f ca="1"/>
        <v/>
      </c>
      <c r="I91" s="178" t="str">
        <f ca="1"/>
        <v/>
      </c>
      <c r="J91" s="178" t="str">
        <f ca="1"/>
        <v/>
      </c>
      <c r="K91" s="178" t="str">
        <f ca="1"/>
        <v/>
      </c>
      <c r="L91" s="178"/>
      <c r="M91" s="178"/>
      <c r="N91" s="180">
        <f t="shared" ca="1" si="0"/>
        <v>0</v>
      </c>
      <c r="O91" s="181">
        <f ca="1">IF(N91&gt;0.25,N91,N91+'Price Sheet (Ignore)'!$G$2)</f>
        <v>0.15</v>
      </c>
      <c r="P91" s="177">
        <f ca="1">O91*'Price Sheet (Ignore)'!$H$2*(E91/3)</f>
        <v>156.70000000000002</v>
      </c>
      <c r="Q91" s="178"/>
      <c r="R91" s="178"/>
      <c r="S91" s="178"/>
    </row>
    <row r="92" spans="1:19" ht="29.25" customHeight="1" x14ac:dyDescent="0.2">
      <c r="A92" s="175" t="str">
        <f ca="1"/>
        <v>Sirong</v>
      </c>
      <c r="B92" s="178" t="str">
        <f ca="1"/>
        <v>Shavia</v>
      </c>
      <c r="C92" s="178" t="str">
        <f ca="1"/>
        <v>Lirelona</v>
      </c>
      <c r="D92" s="178" t="str">
        <f ca="1"/>
        <v>Path of Guiding Light</v>
      </c>
      <c r="E92" s="179">
        <f ca="1"/>
        <v>4459</v>
      </c>
      <c r="F92" s="178">
        <f ca="1"/>
        <v>82</v>
      </c>
      <c r="G92" s="178" t="str">
        <f ca="1"/>
        <v/>
      </c>
      <c r="H92" s="178" t="str">
        <f ca="1"/>
        <v/>
      </c>
      <c r="I92" s="178" t="str">
        <f ca="1"/>
        <v/>
      </c>
      <c r="J92" s="178" t="str">
        <f ca="1"/>
        <v/>
      </c>
      <c r="K92" s="178" t="str">
        <f ca="1"/>
        <v>plaza</v>
      </c>
      <c r="L92" s="178"/>
      <c r="M92" s="178"/>
      <c r="N92" s="180">
        <f t="shared" ca="1" si="0"/>
        <v>0.05</v>
      </c>
      <c r="O92" s="181">
        <f ca="1">IF(N92&gt;0.25,N92,N92+'Price Sheet (Ignore)'!$G$2)</f>
        <v>0.2</v>
      </c>
      <c r="P92" s="177">
        <f ca="1">O92*'Price Sheet (Ignore)'!$H$2*(E92/3)</f>
        <v>148.63333333333333</v>
      </c>
      <c r="Q92" s="178"/>
      <c r="R92" s="178"/>
      <c r="S92" s="178"/>
    </row>
    <row r="93" spans="1:19" ht="29.25" customHeight="1" x14ac:dyDescent="0.2">
      <c r="A93" s="175" t="str">
        <f ca="1"/>
        <v>Dreghold</v>
      </c>
      <c r="B93" s="178" t="str">
        <f ca="1"/>
        <v>Shavia</v>
      </c>
      <c r="C93" s="178" t="str">
        <f ca="1"/>
        <v>Rorehold</v>
      </c>
      <c r="D93" s="178" t="str">
        <f ca="1"/>
        <v>Path of Guiding Light</v>
      </c>
      <c r="E93" s="179">
        <f ca="1"/>
        <v>2675</v>
      </c>
      <c r="F93" s="178">
        <f ca="1"/>
        <v>161</v>
      </c>
      <c r="G93" s="178" t="str">
        <f ca="1"/>
        <v/>
      </c>
      <c r="H93" s="178" t="str">
        <f ca="1"/>
        <v/>
      </c>
      <c r="I93" s="178" t="str">
        <f ca="1"/>
        <v>citadel</v>
      </c>
      <c r="J93" s="178" t="str">
        <f ca="1"/>
        <v/>
      </c>
      <c r="K93" s="178" t="str">
        <f ca="1"/>
        <v/>
      </c>
      <c r="L93" s="178"/>
      <c r="M93" s="178"/>
      <c r="N93" s="180">
        <f t="shared" ca="1" si="0"/>
        <v>0.05</v>
      </c>
      <c r="O93" s="181">
        <f ca="1">IF(N93&gt;0.25,N93,N93+'Price Sheet (Ignore)'!$G$2)</f>
        <v>0.2</v>
      </c>
      <c r="P93" s="177">
        <f ca="1">O93*'Price Sheet (Ignore)'!$H$2*(E93/3)</f>
        <v>89.166666666666671</v>
      </c>
      <c r="Q93" s="178"/>
      <c r="R93" s="178"/>
      <c r="S93" s="178"/>
    </row>
    <row r="94" spans="1:19" ht="29.25" customHeight="1" x14ac:dyDescent="0.2">
      <c r="A94" s="175" t="str">
        <f ca="1"/>
        <v>Sirong</v>
      </c>
      <c r="B94" s="178" t="str">
        <f ca="1"/>
        <v>Shavia</v>
      </c>
      <c r="C94" s="178" t="str">
        <f ca="1"/>
        <v>Houndwell</v>
      </c>
      <c r="D94" s="178" t="str">
        <f ca="1"/>
        <v>Path of Guiding Light</v>
      </c>
      <c r="E94" s="179">
        <f ca="1"/>
        <v>1954</v>
      </c>
      <c r="F94" s="178">
        <f ca="1"/>
        <v>210</v>
      </c>
      <c r="G94" s="178" t="str">
        <f ca="1"/>
        <v/>
      </c>
      <c r="H94" s="178" t="str">
        <f ca="1"/>
        <v/>
      </c>
      <c r="I94" s="178" t="str">
        <f ca="1"/>
        <v>citadel</v>
      </c>
      <c r="J94" s="178" t="str">
        <f ca="1"/>
        <v/>
      </c>
      <c r="K94" s="178" t="str">
        <f ca="1"/>
        <v>plaza</v>
      </c>
      <c r="L94" s="178"/>
      <c r="M94" s="178"/>
      <c r="N94" s="180">
        <f t="shared" ca="1" si="0"/>
        <v>0.1</v>
      </c>
      <c r="O94" s="181">
        <f ca="1">IF(N94&gt;0.25,N94,N94+'Price Sheet (Ignore)'!$G$2)</f>
        <v>0.25</v>
      </c>
      <c r="P94" s="177">
        <f ca="1">O94*'Price Sheet (Ignore)'!$H$2*(E94/3)</f>
        <v>81.416666666666671</v>
      </c>
      <c r="Q94" s="178"/>
      <c r="R94" s="178"/>
      <c r="S94" s="178"/>
    </row>
    <row r="95" spans="1:19" ht="29.25" customHeight="1" x14ac:dyDescent="0.2">
      <c r="A95" s="175" t="str">
        <f ca="1"/>
        <v>Ralim</v>
      </c>
      <c r="B95" s="178" t="str">
        <f ca="1"/>
        <v>Shavia</v>
      </c>
      <c r="C95" s="178" t="str">
        <f ca="1"/>
        <v>Brookward</v>
      </c>
      <c r="D95" s="178" t="str">
        <f ca="1"/>
        <v>Path of Guiding Light</v>
      </c>
      <c r="E95" s="179">
        <f ca="1"/>
        <v>53796</v>
      </c>
      <c r="F95" s="178">
        <f ca="1"/>
        <v>118</v>
      </c>
      <c r="G95" s="178" t="str">
        <f ca="1"/>
        <v/>
      </c>
      <c r="H95" s="178" t="str">
        <f ca="1"/>
        <v>port</v>
      </c>
      <c r="I95" s="178" t="str">
        <f ca="1"/>
        <v>citadel</v>
      </c>
      <c r="J95" s="178" t="str">
        <f ca="1"/>
        <v/>
      </c>
      <c r="K95" s="178" t="str">
        <f ca="1"/>
        <v>plaza</v>
      </c>
      <c r="L95" s="178"/>
      <c r="M95" s="178"/>
      <c r="N95" s="180">
        <f t="shared" ca="1" si="0"/>
        <v>0.2</v>
      </c>
      <c r="O95" s="181">
        <f ca="1">IF(N95&gt;0.25,N95,N95+'Price Sheet (Ignore)'!$G$2)</f>
        <v>0.35</v>
      </c>
      <c r="P95" s="177">
        <f ca="1">O95*'Price Sheet (Ignore)'!$H$2*(E95/3)</f>
        <v>3138.1</v>
      </c>
      <c r="Q95" s="178"/>
      <c r="R95" s="178"/>
      <c r="S95" s="178"/>
    </row>
    <row r="96" spans="1:19" ht="29.25" customHeight="1" x14ac:dyDescent="0.2">
      <c r="A96" s="175" t="str">
        <f ca="1"/>
        <v>Swanhall</v>
      </c>
      <c r="B96" s="178" t="str">
        <f ca="1"/>
        <v>Shavia</v>
      </c>
      <c r="C96" s="178" t="str">
        <f ca="1"/>
        <v>Rusthtown</v>
      </c>
      <c r="D96" s="178" t="str">
        <f ca="1"/>
        <v>Path of Guiding Light</v>
      </c>
      <c r="E96" s="179">
        <f ca="1"/>
        <v>16602</v>
      </c>
      <c r="F96" s="178">
        <f ca="1"/>
        <v>397</v>
      </c>
      <c r="G96" s="178" t="str">
        <f ca="1"/>
        <v/>
      </c>
      <c r="H96" s="178" t="str">
        <f ca="1"/>
        <v/>
      </c>
      <c r="I96" s="178" t="str">
        <f ca="1"/>
        <v>citadel</v>
      </c>
      <c r="J96" s="178" t="str">
        <f ca="1"/>
        <v/>
      </c>
      <c r="K96" s="178" t="str">
        <f ca="1"/>
        <v>plaza</v>
      </c>
      <c r="L96" s="178"/>
      <c r="M96" s="178"/>
      <c r="N96" s="180">
        <f t="shared" ca="1" si="0"/>
        <v>0.1</v>
      </c>
      <c r="O96" s="181">
        <f ca="1">IF(N96&gt;0.25,N96,N96+'Price Sheet (Ignore)'!$G$2)</f>
        <v>0.25</v>
      </c>
      <c r="P96" s="177">
        <f ca="1">O96*'Price Sheet (Ignore)'!$H$2*(E96/3)</f>
        <v>691.75</v>
      </c>
      <c r="Q96" s="178"/>
      <c r="R96" s="178"/>
      <c r="S96" s="178"/>
    </row>
    <row r="97" spans="1:19" ht="29.25" customHeight="1" x14ac:dyDescent="0.2">
      <c r="A97" s="175" t="str">
        <f ca="1"/>
        <v>Sirong</v>
      </c>
      <c r="B97" s="178" t="str">
        <f ca="1"/>
        <v>Shavia</v>
      </c>
      <c r="C97" s="178" t="str">
        <f ca="1"/>
        <v>Chaunzandyn</v>
      </c>
      <c r="D97" s="178" t="str">
        <f ca="1"/>
        <v>Path of Guiding Light</v>
      </c>
      <c r="E97" s="179">
        <f ca="1"/>
        <v>4974</v>
      </c>
      <c r="F97" s="178">
        <f ca="1"/>
        <v>30</v>
      </c>
      <c r="G97" s="178" t="str">
        <f ca="1"/>
        <v/>
      </c>
      <c r="H97" s="178" t="str">
        <f ca="1"/>
        <v/>
      </c>
      <c r="I97" s="178" t="str">
        <f ca="1"/>
        <v/>
      </c>
      <c r="J97" s="178" t="str">
        <f ca="1"/>
        <v>walls</v>
      </c>
      <c r="K97" s="178" t="str">
        <f ca="1"/>
        <v/>
      </c>
      <c r="L97" s="178"/>
      <c r="M97" s="178"/>
      <c r="N97" s="180">
        <f t="shared" ca="1" si="0"/>
        <v>-7.0000000000000007E-2</v>
      </c>
      <c r="O97" s="181">
        <f ca="1">IF(N97&gt;0.25,N97,N97+'Price Sheet (Ignore)'!$G$2)</f>
        <v>7.9999999999999988E-2</v>
      </c>
      <c r="P97" s="177">
        <f ca="1">O97*'Price Sheet (Ignore)'!$H$2*(E97/3)</f>
        <v>66.319999999999993</v>
      </c>
      <c r="Q97" s="178"/>
      <c r="R97" s="178"/>
      <c r="S97" s="178"/>
    </row>
    <row r="98" spans="1:19" ht="29.25" customHeight="1" x14ac:dyDescent="0.2">
      <c r="A98" s="175" t="str">
        <f ca="1"/>
        <v>Swanhall</v>
      </c>
      <c r="B98" s="178" t="str">
        <f ca="1"/>
        <v>Shavia</v>
      </c>
      <c r="C98" s="178" t="str">
        <f ca="1"/>
        <v>Earthtligh</v>
      </c>
      <c r="D98" s="178" t="str">
        <f ca="1"/>
        <v>Path of Guiding Light</v>
      </c>
      <c r="E98" s="179">
        <f ca="1"/>
        <v>13225</v>
      </c>
      <c r="F98" s="178">
        <f ca="1"/>
        <v>266</v>
      </c>
      <c r="G98" s="178" t="str">
        <f ca="1"/>
        <v/>
      </c>
      <c r="H98" s="178" t="str">
        <f ca="1"/>
        <v/>
      </c>
      <c r="I98" s="178" t="str">
        <f ca="1"/>
        <v/>
      </c>
      <c r="J98" s="178" t="str">
        <f ca="1"/>
        <v/>
      </c>
      <c r="K98" s="178" t="str">
        <f ca="1"/>
        <v/>
      </c>
      <c r="L98" s="178"/>
      <c r="M98" s="178"/>
      <c r="N98" s="180">
        <f t="shared" ca="1" si="0"/>
        <v>0</v>
      </c>
      <c r="O98" s="181">
        <f ca="1">IF(N98&gt;0.25,N98,N98+'Price Sheet (Ignore)'!$G$2)</f>
        <v>0.15</v>
      </c>
      <c r="P98" s="177">
        <f ca="1">O98*'Price Sheet (Ignore)'!$H$2*(E98/3)</f>
        <v>330.62499999999994</v>
      </c>
      <c r="Q98" s="178"/>
      <c r="R98" s="178"/>
      <c r="S98" s="178"/>
    </row>
    <row r="99" spans="1:19" ht="29.25" customHeight="1" x14ac:dyDescent="0.2">
      <c r="A99" s="175" t="str">
        <f ca="1"/>
        <v>Sirong</v>
      </c>
      <c r="B99" s="178" t="str">
        <f ca="1"/>
        <v>Shavia</v>
      </c>
      <c r="C99" s="178" t="str">
        <f ca="1"/>
        <v>Dewgronac</v>
      </c>
      <c r="D99" s="178" t="str">
        <f ca="1"/>
        <v>Path of Guiding Light</v>
      </c>
      <c r="E99" s="179">
        <f ca="1"/>
        <v>17676</v>
      </c>
      <c r="F99" s="178">
        <f ca="1"/>
        <v>161</v>
      </c>
      <c r="G99" s="178" t="str">
        <f ca="1"/>
        <v/>
      </c>
      <c r="H99" s="178" t="str">
        <f ca="1"/>
        <v/>
      </c>
      <c r="I99" s="178" t="str">
        <f ca="1"/>
        <v/>
      </c>
      <c r="J99" s="178" t="str">
        <f ca="1"/>
        <v>walls</v>
      </c>
      <c r="K99" s="178" t="str">
        <f ca="1"/>
        <v/>
      </c>
      <c r="L99" s="178"/>
      <c r="M99" s="178"/>
      <c r="N99" s="180">
        <f t="shared" ca="1" si="0"/>
        <v>-7.0000000000000007E-2</v>
      </c>
      <c r="O99" s="181">
        <f ca="1">IF(N99&gt;0.25,N99,N99+'Price Sheet (Ignore)'!$G$2)</f>
        <v>7.9999999999999988E-2</v>
      </c>
      <c r="P99" s="177">
        <f ca="1">O99*'Price Sheet (Ignore)'!$H$2*(E99/3)</f>
        <v>235.67999999999995</v>
      </c>
      <c r="Q99" s="178"/>
      <c r="R99" s="178"/>
      <c r="S99" s="178"/>
    </row>
    <row r="100" spans="1:19" ht="29.25" customHeight="1" x14ac:dyDescent="0.2">
      <c r="A100" s="175" t="str">
        <f ca="1"/>
        <v>Crownlands</v>
      </c>
      <c r="B100" s="178" t="str">
        <f ca="1"/>
        <v>Shavia</v>
      </c>
      <c r="C100" s="178" t="str">
        <f ca="1"/>
        <v>Metagith</v>
      </c>
      <c r="D100" s="178" t="str">
        <f ca="1"/>
        <v>Path of Guiding Light</v>
      </c>
      <c r="E100" s="179">
        <f ca="1"/>
        <v>1958</v>
      </c>
      <c r="F100" s="178">
        <f ca="1"/>
        <v>82</v>
      </c>
      <c r="G100" s="178" t="str">
        <f ca="1"/>
        <v/>
      </c>
      <c r="H100" s="178" t="str">
        <f ca="1"/>
        <v/>
      </c>
      <c r="I100" s="178" t="str">
        <f ca="1"/>
        <v/>
      </c>
      <c r="J100" s="178" t="str">
        <f ca="1"/>
        <v>walls</v>
      </c>
      <c r="K100" s="178" t="str">
        <f ca="1"/>
        <v>plaza</v>
      </c>
      <c r="L100" s="178"/>
      <c r="M100" s="178"/>
      <c r="N100" s="180">
        <f t="shared" ca="1" si="0"/>
        <v>-2.0000000000000004E-2</v>
      </c>
      <c r="O100" s="181">
        <f ca="1">IF(N100&gt;0.25,N100,N100+'Price Sheet (Ignore)'!$G$2)</f>
        <v>0.13</v>
      </c>
      <c r="P100" s="177">
        <f ca="1">O100*'Price Sheet (Ignore)'!$H$2*(E100/3)</f>
        <v>42.423333333333332</v>
      </c>
      <c r="Q100" s="178"/>
      <c r="R100" s="178"/>
      <c r="S100" s="178"/>
    </row>
    <row r="101" spans="1:19" ht="29.25" customHeight="1" x14ac:dyDescent="0.2">
      <c r="A101" s="175" t="str">
        <f ca="1"/>
        <v>Swanhall</v>
      </c>
      <c r="B101" s="178" t="str">
        <f ca="1"/>
        <v>Shavia</v>
      </c>
      <c r="C101" s="178" t="str">
        <f ca="1"/>
        <v>Dewbaymond</v>
      </c>
      <c r="D101" s="178" t="str">
        <f ca="1"/>
        <v>Path of Guiding Light</v>
      </c>
      <c r="E101" s="179">
        <f ca="1"/>
        <v>12334</v>
      </c>
      <c r="F101" s="178">
        <f ca="1"/>
        <v>210</v>
      </c>
      <c r="G101" s="178" t="str">
        <f ca="1"/>
        <v/>
      </c>
      <c r="H101" s="178" t="str">
        <f ca="1"/>
        <v/>
      </c>
      <c r="I101" s="178" t="str">
        <f ca="1"/>
        <v>citadel</v>
      </c>
      <c r="J101" s="178" t="str">
        <f ca="1"/>
        <v/>
      </c>
      <c r="K101" s="178" t="str">
        <f ca="1"/>
        <v/>
      </c>
      <c r="L101" s="178"/>
      <c r="M101" s="178"/>
      <c r="N101" s="180">
        <f t="shared" ca="1" si="0"/>
        <v>0.05</v>
      </c>
      <c r="O101" s="181">
        <f ca="1">IF(N101&gt;0.25,N101,N101+'Price Sheet (Ignore)'!$G$2)</f>
        <v>0.2</v>
      </c>
      <c r="P101" s="177">
        <f ca="1">O101*'Price Sheet (Ignore)'!$H$2*(E101/3)</f>
        <v>411.13333333333333</v>
      </c>
      <c r="Q101" s="178"/>
      <c r="R101" s="178"/>
      <c r="S101" s="178"/>
    </row>
    <row r="102" spans="1:19" ht="29.25" customHeight="1" x14ac:dyDescent="0.2">
      <c r="A102" s="175" t="str">
        <f ca="1"/>
        <v>Dreghold</v>
      </c>
      <c r="B102" s="178" t="str">
        <f ca="1"/>
        <v>Shavia</v>
      </c>
      <c r="C102" s="178" t="str">
        <f ca="1"/>
        <v>Curcairn</v>
      </c>
      <c r="D102" s="178" t="str">
        <f ca="1"/>
        <v>Path of Guiding Light</v>
      </c>
      <c r="E102" s="179">
        <f ca="1"/>
        <v>19353</v>
      </c>
      <c r="F102" s="178">
        <f ca="1"/>
        <v>52</v>
      </c>
      <c r="G102" s="178" t="str">
        <f ca="1"/>
        <v/>
      </c>
      <c r="H102" s="178" t="str">
        <f ca="1"/>
        <v/>
      </c>
      <c r="I102" s="178" t="str">
        <f ca="1"/>
        <v>citadel</v>
      </c>
      <c r="J102" s="178" t="str">
        <f ca="1"/>
        <v>walls</v>
      </c>
      <c r="K102" s="178" t="str">
        <f ca="1"/>
        <v/>
      </c>
      <c r="L102" s="178"/>
      <c r="M102" s="178"/>
      <c r="N102" s="180">
        <f t="shared" ca="1" si="0"/>
        <v>-2.0000000000000004E-2</v>
      </c>
      <c r="O102" s="181">
        <f ca="1">IF(N102&gt;0.25,N102,N102+'Price Sheet (Ignore)'!$G$2)</f>
        <v>0.13</v>
      </c>
      <c r="P102" s="177">
        <f ca="1">O102*'Price Sheet (Ignore)'!$H$2*(E102/3)</f>
        <v>419.315</v>
      </c>
      <c r="Q102" s="178"/>
      <c r="R102" s="178"/>
      <c r="S102" s="178"/>
    </row>
    <row r="103" spans="1:19" ht="29.25" customHeight="1" x14ac:dyDescent="0.2">
      <c r="A103" s="175" t="str">
        <f ca="1"/>
        <v>Swanhall</v>
      </c>
      <c r="B103" s="178" t="str">
        <f ca="1"/>
        <v>Shavia</v>
      </c>
      <c r="C103" s="178" t="str">
        <f ca="1"/>
        <v>Belldyard</v>
      </c>
      <c r="D103" s="178" t="str">
        <f ca="1"/>
        <v>Path of Guiding Light</v>
      </c>
      <c r="E103" s="179">
        <f ca="1"/>
        <v>2101</v>
      </c>
      <c r="F103" s="178">
        <f ca="1"/>
        <v>554</v>
      </c>
      <c r="G103" s="178" t="str">
        <f ca="1"/>
        <v/>
      </c>
      <c r="H103" s="178" t="str">
        <f ca="1"/>
        <v/>
      </c>
      <c r="I103" s="178" t="str">
        <f ca="1"/>
        <v>citadel</v>
      </c>
      <c r="J103" s="178" t="str">
        <f ca="1"/>
        <v/>
      </c>
      <c r="K103" s="178" t="str">
        <f ca="1"/>
        <v/>
      </c>
      <c r="L103" s="178"/>
      <c r="M103" s="178"/>
      <c r="N103" s="180">
        <f t="shared" ca="1" si="0"/>
        <v>0.05</v>
      </c>
      <c r="O103" s="181">
        <f ca="1">IF(N103&gt;0.25,N103,N103+'Price Sheet (Ignore)'!$G$2)</f>
        <v>0.2</v>
      </c>
      <c r="P103" s="177">
        <f ca="1">O103*'Price Sheet (Ignore)'!$H$2*(E103/3)</f>
        <v>70.033333333333346</v>
      </c>
      <c r="Q103" s="178"/>
      <c r="R103" s="178"/>
      <c r="S103" s="178"/>
    </row>
    <row r="104" spans="1:19" ht="29.25" customHeight="1" x14ac:dyDescent="0.2">
      <c r="A104" s="175" t="str">
        <f ca="1"/>
        <v>Swanhall</v>
      </c>
      <c r="B104" s="178" t="str">
        <f ca="1"/>
        <v>Shavia</v>
      </c>
      <c r="C104" s="178" t="str">
        <f ca="1"/>
        <v>Efallshield</v>
      </c>
      <c r="D104" s="178" t="str">
        <f ca="1"/>
        <v>Path of Guiding Light</v>
      </c>
      <c r="E104" s="179">
        <f ca="1"/>
        <v>26830</v>
      </c>
      <c r="F104" s="178">
        <f ca="1"/>
        <v>1184</v>
      </c>
      <c r="G104" s="178" t="str">
        <f ca="1"/>
        <v/>
      </c>
      <c r="H104" s="178" t="str">
        <f ca="1"/>
        <v/>
      </c>
      <c r="I104" s="178" t="str">
        <f ca="1"/>
        <v/>
      </c>
      <c r="J104" s="178" t="str">
        <f ca="1"/>
        <v>walls</v>
      </c>
      <c r="K104" s="178" t="str">
        <f ca="1"/>
        <v/>
      </c>
      <c r="L104" s="178"/>
      <c r="M104" s="178"/>
      <c r="N104" s="180">
        <f t="shared" ca="1" si="0"/>
        <v>-7.0000000000000007E-2</v>
      </c>
      <c r="O104" s="181">
        <f ca="1">IF(N104&gt;0.25,N104,N104+'Price Sheet (Ignore)'!$G$2)</f>
        <v>7.9999999999999988E-2</v>
      </c>
      <c r="P104" s="177">
        <f ca="1">O104*'Price Sheet (Ignore)'!$H$2*(E104/3)</f>
        <v>357.73333333333329</v>
      </c>
      <c r="Q104" s="178"/>
      <c r="R104" s="178"/>
      <c r="S104" s="178"/>
    </row>
    <row r="105" spans="1:19" ht="29.25" customHeight="1" x14ac:dyDescent="0.2">
      <c r="A105" s="175" t="str">
        <f ca="1"/>
        <v>Sirong</v>
      </c>
      <c r="B105" s="178" t="str">
        <f ca="1"/>
        <v>Shavia</v>
      </c>
      <c r="C105" s="178" t="str">
        <f ca="1"/>
        <v>Snowstorm</v>
      </c>
      <c r="D105" s="178" t="str">
        <f ca="1"/>
        <v>Path of Guiding Light</v>
      </c>
      <c r="E105" s="179">
        <f ca="1"/>
        <v>12238</v>
      </c>
      <c r="F105" s="178">
        <f ca="1"/>
        <v>840</v>
      </c>
      <c r="G105" s="178" t="str">
        <f ca="1"/>
        <v/>
      </c>
      <c r="H105" s="178" t="str">
        <f ca="1"/>
        <v/>
      </c>
      <c r="I105" s="178" t="str">
        <f ca="1"/>
        <v/>
      </c>
      <c r="J105" s="178" t="str">
        <f ca="1"/>
        <v/>
      </c>
      <c r="K105" s="178" t="str">
        <f ca="1"/>
        <v/>
      </c>
      <c r="L105" s="178"/>
      <c r="M105" s="178"/>
      <c r="N105" s="180">
        <f t="shared" ca="1" si="0"/>
        <v>0</v>
      </c>
      <c r="O105" s="181">
        <f ca="1">IF(N105&gt;0.25,N105,N105+'Price Sheet (Ignore)'!$G$2)</f>
        <v>0.15</v>
      </c>
      <c r="P105" s="177">
        <f ca="1">O105*'Price Sheet (Ignore)'!$H$2*(E105/3)</f>
        <v>305.95</v>
      </c>
      <c r="Q105" s="178"/>
      <c r="R105" s="178"/>
      <c r="S105" s="178"/>
    </row>
    <row r="106" spans="1:19" ht="29.25" customHeight="1" x14ac:dyDescent="0.2">
      <c r="A106" s="175" t="str">
        <f ca="1"/>
        <v>Sirong</v>
      </c>
      <c r="B106" s="178" t="str">
        <f ca="1"/>
        <v>Shavia</v>
      </c>
      <c r="C106" s="178" t="str">
        <f ca="1"/>
        <v>Vidanntyr</v>
      </c>
      <c r="D106" s="178" t="str">
        <f ca="1"/>
        <v>Path of Guiding Light</v>
      </c>
      <c r="E106" s="179">
        <f ca="1"/>
        <v>2191</v>
      </c>
      <c r="F106" s="178">
        <f ca="1"/>
        <v>266</v>
      </c>
      <c r="G106" s="178" t="str">
        <f ca="1"/>
        <v/>
      </c>
      <c r="H106" s="178" t="str">
        <f ca="1"/>
        <v/>
      </c>
      <c r="I106" s="178" t="str">
        <f ca="1"/>
        <v>citadel</v>
      </c>
      <c r="J106" s="178" t="str">
        <f ca="1"/>
        <v/>
      </c>
      <c r="K106" s="178" t="str">
        <f ca="1"/>
        <v/>
      </c>
      <c r="L106" s="178"/>
      <c r="M106" s="178"/>
      <c r="N106" s="180">
        <f t="shared" ca="1" si="0"/>
        <v>0.05</v>
      </c>
      <c r="O106" s="181">
        <f ca="1">IF(N106&gt;0.25,N106,N106+'Price Sheet (Ignore)'!$G$2)</f>
        <v>0.2</v>
      </c>
      <c r="P106" s="177">
        <f ca="1">O106*'Price Sheet (Ignore)'!$H$2*(E106/3)</f>
        <v>73.033333333333346</v>
      </c>
      <c r="Q106" s="178"/>
      <c r="R106" s="178"/>
      <c r="S106" s="178"/>
    </row>
    <row r="107" spans="1:19" ht="29.25" customHeight="1" x14ac:dyDescent="0.2">
      <c r="A107" s="175" t="str">
        <f ca="1"/>
        <v>Ralim</v>
      </c>
      <c r="B107" s="178" t="str">
        <f ca="1"/>
        <v>Shavia</v>
      </c>
      <c r="C107" s="178" t="str">
        <f ca="1"/>
        <v>Mondbaymond</v>
      </c>
      <c r="D107" s="178" t="str">
        <f ca="1"/>
        <v>Path of Guiding Light</v>
      </c>
      <c r="E107" s="179">
        <f ca="1"/>
        <v>11279</v>
      </c>
      <c r="F107" s="178">
        <f ca="1"/>
        <v>397</v>
      </c>
      <c r="G107" s="178" t="str">
        <f ca="1"/>
        <v/>
      </c>
      <c r="H107" s="178" t="str">
        <f ca="1"/>
        <v/>
      </c>
      <c r="I107" s="178" t="str">
        <f ca="1"/>
        <v/>
      </c>
      <c r="J107" s="178" t="str">
        <f ca="1"/>
        <v>walls</v>
      </c>
      <c r="K107" s="178" t="str">
        <f ca="1"/>
        <v/>
      </c>
      <c r="L107" s="178"/>
      <c r="M107" s="178"/>
      <c r="N107" s="180">
        <f t="shared" ca="1" si="0"/>
        <v>-7.0000000000000007E-2</v>
      </c>
      <c r="O107" s="181">
        <f ca="1">IF(N107&gt;0.25,N107,N107+'Price Sheet (Ignore)'!$G$2)</f>
        <v>7.9999999999999988E-2</v>
      </c>
      <c r="P107" s="177">
        <f ca="1">O107*'Price Sheet (Ignore)'!$H$2*(E107/3)</f>
        <v>150.38666666666663</v>
      </c>
      <c r="Q107" s="178"/>
      <c r="R107" s="178"/>
      <c r="S107" s="178"/>
    </row>
    <row r="108" spans="1:19" ht="29.25" customHeight="1" x14ac:dyDescent="0.2">
      <c r="A108" s="175" t="str">
        <f ca="1"/>
        <v>Dreghold</v>
      </c>
      <c r="B108" s="178" t="str">
        <f ca="1"/>
        <v>Shavia</v>
      </c>
      <c r="C108" s="178" t="str">
        <f ca="1"/>
        <v>Lastspell</v>
      </c>
      <c r="D108" s="178" t="str">
        <f ca="1"/>
        <v>Path of Guiding Light</v>
      </c>
      <c r="E108" s="179">
        <f ca="1"/>
        <v>15815</v>
      </c>
      <c r="F108" s="178">
        <f ca="1"/>
        <v>948</v>
      </c>
      <c r="G108" s="178" t="str">
        <f ca="1"/>
        <v/>
      </c>
      <c r="H108" s="178" t="str">
        <f ca="1"/>
        <v/>
      </c>
      <c r="I108" s="178" t="str">
        <f ca="1"/>
        <v>citadel</v>
      </c>
      <c r="J108" s="178" t="str">
        <f ca="1"/>
        <v>walls</v>
      </c>
      <c r="K108" s="178" t="str">
        <f ca="1"/>
        <v/>
      </c>
      <c r="L108" s="178"/>
      <c r="M108" s="178"/>
      <c r="N108" s="180">
        <f t="shared" ca="1" si="0"/>
        <v>-2.0000000000000004E-2</v>
      </c>
      <c r="O108" s="181">
        <f ca="1">IF(N108&gt;0.25,N108,N108+'Price Sheet (Ignore)'!$G$2)</f>
        <v>0.13</v>
      </c>
      <c r="P108" s="177">
        <f ca="1">O108*'Price Sheet (Ignore)'!$H$2*(E108/3)</f>
        <v>342.65833333333336</v>
      </c>
      <c r="Q108" s="178"/>
      <c r="R108" s="178"/>
      <c r="S108" s="178"/>
    </row>
    <row r="109" spans="1:19" ht="29.25" customHeight="1" x14ac:dyDescent="0.2">
      <c r="A109" s="175" t="str">
        <f ca="1"/>
        <v>Swanhall</v>
      </c>
      <c r="B109" s="178" t="str">
        <f ca="1"/>
        <v>Shavia</v>
      </c>
      <c r="C109" s="178" t="str">
        <f ca="1"/>
        <v>Houndford</v>
      </c>
      <c r="D109" s="178" t="str">
        <f ca="1"/>
        <v>Path of Guiding Light</v>
      </c>
      <c r="E109" s="179">
        <f ca="1"/>
        <v>2220</v>
      </c>
      <c r="F109" s="178">
        <f ca="1"/>
        <v>328</v>
      </c>
      <c r="G109" s="178" t="str">
        <f ca="1"/>
        <v/>
      </c>
      <c r="H109" s="178" t="str">
        <f ca="1"/>
        <v/>
      </c>
      <c r="I109" s="178" t="str">
        <f ca="1"/>
        <v/>
      </c>
      <c r="J109" s="178" t="str">
        <f ca="1"/>
        <v/>
      </c>
      <c r="K109" s="178" t="str">
        <f ca="1"/>
        <v/>
      </c>
      <c r="L109" s="178"/>
      <c r="M109" s="178"/>
      <c r="N109" s="180">
        <f t="shared" ca="1" si="0"/>
        <v>0</v>
      </c>
      <c r="O109" s="181">
        <f ca="1">IF(N109&gt;0.25,N109,N109+'Price Sheet (Ignore)'!$G$2)</f>
        <v>0.15</v>
      </c>
      <c r="P109" s="177">
        <f ca="1">O109*'Price Sheet (Ignore)'!$H$2*(E109/3)</f>
        <v>55.5</v>
      </c>
      <c r="Q109" s="178"/>
      <c r="R109" s="178"/>
      <c r="S109" s="178"/>
    </row>
    <row r="110" spans="1:19" ht="29.25" customHeight="1" x14ac:dyDescent="0.2">
      <c r="A110" s="175" t="str">
        <f ca="1"/>
        <v>Swanhall</v>
      </c>
      <c r="B110" s="178" t="str">
        <f ca="1"/>
        <v>Shavia</v>
      </c>
      <c r="C110" s="178" t="str">
        <f ca="1"/>
        <v>Silcairn</v>
      </c>
      <c r="D110" s="178" t="str">
        <f ca="1"/>
        <v>Path of Guiding Light</v>
      </c>
      <c r="E110" s="179">
        <f ca="1"/>
        <v>19306</v>
      </c>
      <c r="F110" s="178">
        <f ca="1"/>
        <v>328</v>
      </c>
      <c r="G110" s="178" t="str">
        <f ca="1"/>
        <v/>
      </c>
      <c r="H110" s="178" t="str">
        <f ca="1"/>
        <v/>
      </c>
      <c r="I110" s="178" t="str">
        <f ca="1"/>
        <v>citadel</v>
      </c>
      <c r="J110" s="178" t="str">
        <f ca="1"/>
        <v/>
      </c>
      <c r="K110" s="178" t="str">
        <f ca="1"/>
        <v>plaza</v>
      </c>
      <c r="L110" s="178"/>
      <c r="M110" s="178"/>
      <c r="N110" s="180">
        <f t="shared" ca="1" si="0"/>
        <v>0.1</v>
      </c>
      <c r="O110" s="181">
        <f ca="1">IF(N110&gt;0.25,N110,N110+'Price Sheet (Ignore)'!$G$2)</f>
        <v>0.25</v>
      </c>
      <c r="P110" s="177">
        <f ca="1">O110*'Price Sheet (Ignore)'!$H$2*(E110/3)</f>
        <v>804.41666666666663</v>
      </c>
      <c r="Q110" s="178"/>
      <c r="R110" s="178"/>
      <c r="S110" s="178"/>
    </row>
    <row r="111" spans="1:19" ht="29.25" customHeight="1" x14ac:dyDescent="0.2">
      <c r="A111" s="175" t="str">
        <f ca="1"/>
        <v>Swanhall</v>
      </c>
      <c r="B111" s="178" t="str">
        <f ca="1"/>
        <v>Shavia</v>
      </c>
      <c r="C111" s="178" t="str">
        <f ca="1"/>
        <v>Mudfpasstal</v>
      </c>
      <c r="D111" s="178" t="str">
        <f ca="1"/>
        <v>Path of Guiding Light</v>
      </c>
      <c r="E111" s="179">
        <f ca="1"/>
        <v>4936</v>
      </c>
      <c r="F111" s="178">
        <f ca="1"/>
        <v>52</v>
      </c>
      <c r="G111" s="178" t="str">
        <f ca="1"/>
        <v/>
      </c>
      <c r="H111" s="178" t="str">
        <f ca="1"/>
        <v/>
      </c>
      <c r="I111" s="178" t="str">
        <f ca="1"/>
        <v/>
      </c>
      <c r="J111" s="178" t="str">
        <f ca="1"/>
        <v>walls</v>
      </c>
      <c r="K111" s="178" t="str">
        <f ca="1"/>
        <v/>
      </c>
      <c r="L111" s="178"/>
      <c r="M111" s="178"/>
      <c r="N111" s="180">
        <f t="shared" ca="1" si="0"/>
        <v>-7.0000000000000007E-2</v>
      </c>
      <c r="O111" s="181">
        <f ca="1">IF(N111&gt;0.25,N111,N111+'Price Sheet (Ignore)'!$G$2)</f>
        <v>7.9999999999999988E-2</v>
      </c>
      <c r="P111" s="177">
        <f ca="1">O111*'Price Sheet (Ignore)'!$H$2*(E111/3)</f>
        <v>65.813333333333318</v>
      </c>
      <c r="Q111" s="178"/>
      <c r="R111" s="178"/>
      <c r="S111" s="178"/>
    </row>
    <row r="112" spans="1:19" ht="29.25" customHeight="1" x14ac:dyDescent="0.2">
      <c r="A112" s="175" t="str">
        <f ca="1"/>
        <v>Sirong</v>
      </c>
      <c r="B112" s="178" t="str">
        <f ca="1"/>
        <v>Shavia</v>
      </c>
      <c r="C112" s="178" t="str">
        <f ca="1"/>
        <v>Snavenbell</v>
      </c>
      <c r="D112" s="178" t="str">
        <f ca="1"/>
        <v>Path of Guiding Light</v>
      </c>
      <c r="E112" s="179">
        <f ca="1"/>
        <v>1961</v>
      </c>
      <c r="F112" s="178">
        <f ca="1"/>
        <v>472</v>
      </c>
      <c r="G112" s="178" t="str">
        <f ca="1"/>
        <v/>
      </c>
      <c r="H112" s="178" t="str">
        <f ca="1"/>
        <v/>
      </c>
      <c r="I112" s="178" t="str">
        <f ca="1"/>
        <v/>
      </c>
      <c r="J112" s="178" t="str">
        <f ca="1"/>
        <v/>
      </c>
      <c r="K112" s="178" t="str">
        <f ca="1"/>
        <v/>
      </c>
      <c r="L112" s="178"/>
      <c r="M112" s="178"/>
      <c r="N112" s="180">
        <f t="shared" ca="1" si="0"/>
        <v>0</v>
      </c>
      <c r="O112" s="181">
        <f ca="1">IF(N112&gt;0.25,N112,N112+'Price Sheet (Ignore)'!$G$2)</f>
        <v>0.15</v>
      </c>
      <c r="P112" s="177">
        <f ca="1">O112*'Price Sheet (Ignore)'!$H$2*(E112/3)</f>
        <v>49.024999999999999</v>
      </c>
      <c r="Q112" s="178"/>
      <c r="R112" s="178"/>
      <c r="S112" s="178"/>
    </row>
    <row r="113" spans="1:19" ht="29.25" customHeight="1" x14ac:dyDescent="0.2">
      <c r="A113" s="175" t="str">
        <f ca="1"/>
        <v>Ralim</v>
      </c>
      <c r="B113" s="178" t="str">
        <f ca="1"/>
        <v>Shavia</v>
      </c>
      <c r="C113" s="178" t="str">
        <f ca="1"/>
        <v>Nauthmorcane</v>
      </c>
      <c r="D113" s="178" t="str">
        <f ca="1"/>
        <v>Path of Guiding Light</v>
      </c>
      <c r="E113" s="179">
        <f ca="1"/>
        <v>12031</v>
      </c>
      <c r="F113" s="178">
        <f ca="1"/>
        <v>161</v>
      </c>
      <c r="G113" s="178" t="str">
        <f ca="1"/>
        <v/>
      </c>
      <c r="H113" s="178" t="str">
        <f ca="1"/>
        <v/>
      </c>
      <c r="I113" s="178" t="str">
        <f ca="1"/>
        <v>citadel</v>
      </c>
      <c r="J113" s="178" t="str">
        <f ca="1"/>
        <v/>
      </c>
      <c r="K113" s="178" t="str">
        <f ca="1"/>
        <v/>
      </c>
      <c r="L113" s="178"/>
      <c r="M113" s="178"/>
      <c r="N113" s="180">
        <f t="shared" ca="1" si="0"/>
        <v>0.05</v>
      </c>
      <c r="O113" s="181">
        <f ca="1">IF(N113&gt;0.25,N113,N113+'Price Sheet (Ignore)'!$G$2)</f>
        <v>0.2</v>
      </c>
      <c r="P113" s="177">
        <f ca="1">O113*'Price Sheet (Ignore)'!$H$2*(E113/3)</f>
        <v>401.03333333333336</v>
      </c>
      <c r="Q113" s="178"/>
      <c r="R113" s="178"/>
      <c r="S113" s="178"/>
    </row>
    <row r="114" spans="1:19" ht="29.25" customHeight="1" x14ac:dyDescent="0.2">
      <c r="A114" s="175" t="str">
        <f ca="1"/>
        <v>Sirong</v>
      </c>
      <c r="B114" s="178" t="str">
        <f ca="1"/>
        <v>Shavia</v>
      </c>
      <c r="C114" s="178" t="str">
        <f ca="1"/>
        <v>Southtligh</v>
      </c>
      <c r="D114" s="178" t="str">
        <f ca="1"/>
        <v>Path of Guiding Light</v>
      </c>
      <c r="E114" s="179">
        <f ca="1"/>
        <v>2121</v>
      </c>
      <c r="F114" s="178">
        <f ca="1"/>
        <v>738</v>
      </c>
      <c r="G114" s="178" t="str">
        <f ca="1"/>
        <v/>
      </c>
      <c r="H114" s="178" t="str">
        <f ca="1"/>
        <v/>
      </c>
      <c r="I114" s="178" t="str">
        <f ca="1"/>
        <v>citadel</v>
      </c>
      <c r="J114" s="178" t="str">
        <f ca="1"/>
        <v/>
      </c>
      <c r="K114" s="178" t="str">
        <f ca="1"/>
        <v>plaza</v>
      </c>
      <c r="L114" s="178"/>
      <c r="M114" s="178"/>
      <c r="N114" s="180">
        <f t="shared" ca="1" si="0"/>
        <v>0.1</v>
      </c>
      <c r="O114" s="181">
        <f ca="1">IF(N114&gt;0.25,N114,N114+'Price Sheet (Ignore)'!$G$2)</f>
        <v>0.25</v>
      </c>
      <c r="P114" s="177">
        <f ca="1">O114*'Price Sheet (Ignore)'!$H$2*(E114/3)</f>
        <v>88.375</v>
      </c>
      <c r="Q114" s="178"/>
      <c r="R114" s="178"/>
      <c r="S114" s="178"/>
    </row>
    <row r="115" spans="1:19" ht="29.25" customHeight="1" x14ac:dyDescent="0.2">
      <c r="A115" s="175" t="str">
        <f ca="1"/>
        <v>Swanhall</v>
      </c>
      <c r="B115" s="178" t="str">
        <f ca="1"/>
        <v>Shavia</v>
      </c>
      <c r="C115" s="178" t="str">
        <f ca="1"/>
        <v>Bronholrock</v>
      </c>
      <c r="D115" s="178" t="str">
        <f ca="1"/>
        <v>Path of Guiding Light</v>
      </c>
      <c r="E115" s="179">
        <f ca="1"/>
        <v>3795</v>
      </c>
      <c r="F115" s="178">
        <f ca="1"/>
        <v>210</v>
      </c>
      <c r="G115" s="178" t="str">
        <f ca="1"/>
        <v/>
      </c>
      <c r="H115" s="178" t="str">
        <f ca="1"/>
        <v/>
      </c>
      <c r="I115" s="178" t="str">
        <f ca="1"/>
        <v>citadel</v>
      </c>
      <c r="J115" s="178" t="str">
        <f ca="1"/>
        <v/>
      </c>
      <c r="K115" s="178" t="str">
        <f ca="1"/>
        <v/>
      </c>
      <c r="L115" s="178"/>
      <c r="M115" s="178"/>
      <c r="N115" s="180">
        <f t="shared" ca="1" si="0"/>
        <v>0.05</v>
      </c>
      <c r="O115" s="181">
        <f ca="1">IF(N115&gt;0.25,N115,N115+'Price Sheet (Ignore)'!$G$2)</f>
        <v>0.2</v>
      </c>
      <c r="P115" s="177">
        <f ca="1">O115*'Price Sheet (Ignore)'!$H$2*(E115/3)</f>
        <v>126.5</v>
      </c>
      <c r="Q115" s="178"/>
      <c r="R115" s="178"/>
      <c r="S115" s="178"/>
    </row>
    <row r="116" spans="1:19" ht="29.25" customHeight="1" x14ac:dyDescent="0.2">
      <c r="A116" s="175" t="str">
        <f ca="1"/>
        <v>Sirong</v>
      </c>
      <c r="B116" s="178" t="str">
        <f ca="1"/>
        <v>Shavia</v>
      </c>
      <c r="C116" s="178" t="str">
        <f ca="1"/>
        <v>Saltvaven</v>
      </c>
      <c r="D116" s="178" t="str">
        <f ca="1"/>
        <v>Path of Guiding Light</v>
      </c>
      <c r="E116" s="179">
        <f ca="1"/>
        <v>2514</v>
      </c>
      <c r="F116" s="178">
        <f ca="1"/>
        <v>397</v>
      </c>
      <c r="G116" s="178" t="str">
        <f ca="1"/>
        <v/>
      </c>
      <c r="H116" s="178" t="str">
        <f ca="1"/>
        <v/>
      </c>
      <c r="I116" s="178" t="str">
        <f ca="1"/>
        <v>citadel</v>
      </c>
      <c r="J116" s="178" t="str">
        <f ca="1"/>
        <v/>
      </c>
      <c r="K116" s="178" t="str">
        <f ca="1"/>
        <v/>
      </c>
      <c r="L116" s="178"/>
      <c r="M116" s="178"/>
      <c r="N116" s="180">
        <f t="shared" ca="1" si="0"/>
        <v>0.05</v>
      </c>
      <c r="O116" s="181">
        <f ca="1">IF(N116&gt;0.25,N116,N116+'Price Sheet (Ignore)'!$G$2)</f>
        <v>0.2</v>
      </c>
      <c r="P116" s="177">
        <f ca="1">O116*'Price Sheet (Ignore)'!$H$2*(E116/3)</f>
        <v>83.800000000000011</v>
      </c>
      <c r="Q116" s="178"/>
      <c r="R116" s="178"/>
      <c r="S116" s="178"/>
    </row>
    <row r="117" spans="1:19" ht="29.25" customHeight="1" x14ac:dyDescent="0.2">
      <c r="A117" s="175" t="str">
        <f ca="1"/>
        <v>Dreghold</v>
      </c>
      <c r="B117" s="178" t="str">
        <f ca="1"/>
        <v>Shavia</v>
      </c>
      <c r="C117" s="178" t="str">
        <f ca="1"/>
        <v>Sunrun</v>
      </c>
      <c r="D117" s="178" t="str">
        <f ca="1"/>
        <v>Path of Guiding Light</v>
      </c>
      <c r="E117" s="179">
        <f ca="1"/>
        <v>2154</v>
      </c>
      <c r="F117" s="178">
        <f ca="1"/>
        <v>948</v>
      </c>
      <c r="G117" s="178" t="str">
        <f ca="1"/>
        <v/>
      </c>
      <c r="H117" s="178" t="str">
        <f ca="1"/>
        <v/>
      </c>
      <c r="I117" s="178" t="str">
        <f ca="1"/>
        <v/>
      </c>
      <c r="J117" s="178" t="str">
        <f ca="1"/>
        <v/>
      </c>
      <c r="K117" s="178" t="str">
        <f ca="1"/>
        <v/>
      </c>
      <c r="L117" s="178"/>
      <c r="M117" s="178"/>
      <c r="N117" s="180">
        <f t="shared" ca="1" si="0"/>
        <v>0</v>
      </c>
      <c r="O117" s="181">
        <f ca="1">IF(N117&gt;0.25,N117,N117+'Price Sheet (Ignore)'!$G$2)</f>
        <v>0.15</v>
      </c>
      <c r="P117" s="177">
        <f ca="1">O117*'Price Sheet (Ignore)'!$H$2*(E117/3)</f>
        <v>53.85</v>
      </c>
      <c r="Q117" s="178"/>
      <c r="R117" s="178"/>
      <c r="S117" s="178"/>
    </row>
    <row r="118" spans="1:19" ht="29.25" customHeight="1" x14ac:dyDescent="0.2">
      <c r="A118" s="175" t="str">
        <f ca="1"/>
        <v>Sirong</v>
      </c>
      <c r="B118" s="178" t="str">
        <f ca="1"/>
        <v>Shavia</v>
      </c>
      <c r="C118" s="178" t="str">
        <f ca="1"/>
        <v>Shaven</v>
      </c>
      <c r="D118" s="178" t="str">
        <f ca="1"/>
        <v>Path of Guiding Light</v>
      </c>
      <c r="E118" s="179">
        <f ca="1"/>
        <v>1971</v>
      </c>
      <c r="F118" s="178">
        <f ca="1"/>
        <v>397</v>
      </c>
      <c r="G118" s="178" t="str">
        <f ca="1"/>
        <v/>
      </c>
      <c r="H118" s="178" t="str">
        <f ca="1"/>
        <v/>
      </c>
      <c r="I118" s="178" t="str">
        <f ca="1"/>
        <v>citadel</v>
      </c>
      <c r="J118" s="178" t="str">
        <f ca="1"/>
        <v/>
      </c>
      <c r="K118" s="178" t="str">
        <f ca="1"/>
        <v/>
      </c>
      <c r="L118" s="178"/>
      <c r="M118" s="178"/>
      <c r="N118" s="180">
        <f t="shared" ca="1" si="0"/>
        <v>0.05</v>
      </c>
      <c r="O118" s="181">
        <f ca="1">IF(N118&gt;0.25,N118,N118+'Price Sheet (Ignore)'!$G$2)</f>
        <v>0.2</v>
      </c>
      <c r="P118" s="177">
        <f ca="1">O118*'Price Sheet (Ignore)'!$H$2*(E118/3)</f>
        <v>65.7</v>
      </c>
      <c r="Q118" s="178"/>
      <c r="R118" s="178"/>
      <c r="S118" s="178"/>
    </row>
    <row r="119" spans="1:19" ht="29.25" customHeight="1" x14ac:dyDescent="0.2">
      <c r="A119" s="175" t="str">
        <f ca="1"/>
        <v>Sirong</v>
      </c>
      <c r="B119" s="178" t="str">
        <f ca="1"/>
        <v>Shavia</v>
      </c>
      <c r="C119" s="178" t="str">
        <f ca="1"/>
        <v>Dawngview</v>
      </c>
      <c r="D119" s="178" t="str">
        <f ca="1"/>
        <v>Path of Guiding Light</v>
      </c>
      <c r="E119" s="179">
        <f ca="1"/>
        <v>11051</v>
      </c>
      <c r="F119" s="178">
        <f ca="1"/>
        <v>210</v>
      </c>
      <c r="G119" s="178" t="str">
        <f ca="1"/>
        <v/>
      </c>
      <c r="H119" s="178" t="str">
        <f ca="1"/>
        <v/>
      </c>
      <c r="I119" s="178" t="str">
        <f ca="1"/>
        <v>citadel</v>
      </c>
      <c r="J119" s="178" t="str">
        <f ca="1"/>
        <v>walls</v>
      </c>
      <c r="K119" s="178" t="str">
        <f ca="1"/>
        <v/>
      </c>
      <c r="L119" s="178"/>
      <c r="M119" s="178"/>
      <c r="N119" s="180">
        <f t="shared" ca="1" si="0"/>
        <v>-2.0000000000000004E-2</v>
      </c>
      <c r="O119" s="181">
        <f ca="1">IF(N119&gt;0.25,N119,N119+'Price Sheet (Ignore)'!$G$2)</f>
        <v>0.13</v>
      </c>
      <c r="P119" s="177">
        <f ca="1">O119*'Price Sheet (Ignore)'!$H$2*(E119/3)</f>
        <v>239.43833333333333</v>
      </c>
      <c r="Q119" s="178"/>
      <c r="R119" s="178"/>
      <c r="S119" s="178"/>
    </row>
    <row r="120" spans="1:19" ht="29.25" customHeight="1" x14ac:dyDescent="0.2">
      <c r="A120" s="175" t="str">
        <f ca="1"/>
        <v>Dreghold</v>
      </c>
      <c r="B120" s="178" t="str">
        <f ca="1"/>
        <v>Shavia</v>
      </c>
      <c r="C120" s="178" t="str">
        <f ca="1"/>
        <v>Shameverun</v>
      </c>
      <c r="D120" s="178" t="str">
        <f ca="1"/>
        <v>Path of Guiding Light</v>
      </c>
      <c r="E120" s="179">
        <f ca="1"/>
        <v>14779</v>
      </c>
      <c r="F120" s="178">
        <f ca="1"/>
        <v>328</v>
      </c>
      <c r="G120" s="178" t="str">
        <f ca="1"/>
        <v/>
      </c>
      <c r="H120" s="178" t="str">
        <f ca="1"/>
        <v/>
      </c>
      <c r="I120" s="178" t="str">
        <f ca="1"/>
        <v/>
      </c>
      <c r="J120" s="178" t="str">
        <f ca="1"/>
        <v>walls</v>
      </c>
      <c r="K120" s="178" t="str">
        <f ca="1"/>
        <v/>
      </c>
      <c r="L120" s="178"/>
      <c r="M120" s="178"/>
      <c r="N120" s="180">
        <f t="shared" ca="1" si="0"/>
        <v>-7.0000000000000007E-2</v>
      </c>
      <c r="O120" s="181">
        <f ca="1">IF(N120&gt;0.25,N120,N120+'Price Sheet (Ignore)'!$G$2)</f>
        <v>7.9999999999999988E-2</v>
      </c>
      <c r="P120" s="177">
        <f ca="1">O120*'Price Sheet (Ignore)'!$H$2*(E120/3)</f>
        <v>197.05333333333328</v>
      </c>
      <c r="Q120" s="178"/>
      <c r="R120" s="178"/>
      <c r="S120" s="178"/>
    </row>
    <row r="121" spans="1:19" ht="29.25" customHeight="1" x14ac:dyDescent="0.2">
      <c r="A121" s="175" t="str">
        <f ca="1"/>
        <v>Swanhall</v>
      </c>
      <c r="B121" s="178" t="str">
        <f ca="1"/>
        <v>Shavia</v>
      </c>
      <c r="C121" s="178" t="str">
        <f ca="1"/>
        <v>Earthilld</v>
      </c>
      <c r="D121" s="178" t="str">
        <f ca="1"/>
        <v>Path of Guiding Light</v>
      </c>
      <c r="E121" s="179">
        <f ca="1"/>
        <v>1968</v>
      </c>
      <c r="F121" s="178">
        <f ca="1"/>
        <v>328</v>
      </c>
      <c r="G121" s="178" t="str">
        <f ca="1"/>
        <v/>
      </c>
      <c r="H121" s="178" t="str">
        <f ca="1"/>
        <v/>
      </c>
      <c r="I121" s="178" t="str">
        <f ca="1"/>
        <v>citadel</v>
      </c>
      <c r="J121" s="178" t="str">
        <f ca="1"/>
        <v/>
      </c>
      <c r="K121" s="178" t="str">
        <f ca="1"/>
        <v/>
      </c>
      <c r="L121" s="178"/>
      <c r="M121" s="178"/>
      <c r="N121" s="180">
        <f t="shared" ca="1" si="0"/>
        <v>0.05</v>
      </c>
      <c r="O121" s="181">
        <f ca="1">IF(N121&gt;0.25,N121,N121+'Price Sheet (Ignore)'!$G$2)</f>
        <v>0.2</v>
      </c>
      <c r="P121" s="177">
        <f ca="1">O121*'Price Sheet (Ignore)'!$H$2*(E121/3)</f>
        <v>65.600000000000009</v>
      </c>
      <c r="Q121" s="178"/>
      <c r="R121" s="178"/>
      <c r="S121" s="178"/>
    </row>
    <row r="122" spans="1:19" ht="29.25" customHeight="1" x14ac:dyDescent="0.2">
      <c r="A122" s="175" t="str">
        <f ca="1"/>
        <v>Swanhall</v>
      </c>
      <c r="B122" s="178" t="str">
        <f ca="1"/>
        <v>Shavia</v>
      </c>
      <c r="C122" s="178" t="str">
        <f ca="1"/>
        <v>Bridtown</v>
      </c>
      <c r="D122" s="178" t="str">
        <f ca="1"/>
        <v>Path of Guiding Light</v>
      </c>
      <c r="E122" s="179">
        <f ca="1"/>
        <v>13504</v>
      </c>
      <c r="F122" s="178">
        <f ca="1"/>
        <v>328</v>
      </c>
      <c r="G122" s="178" t="str">
        <f ca="1"/>
        <v/>
      </c>
      <c r="H122" s="178" t="str">
        <f ca="1"/>
        <v/>
      </c>
      <c r="I122" s="178" t="str">
        <f ca="1"/>
        <v/>
      </c>
      <c r="J122" s="178" t="str">
        <f ca="1"/>
        <v/>
      </c>
      <c r="K122" s="178" t="str">
        <f ca="1"/>
        <v>plaza</v>
      </c>
      <c r="L122" s="178"/>
      <c r="M122" s="178"/>
      <c r="N122" s="180">
        <f t="shared" ca="1" si="0"/>
        <v>0.05</v>
      </c>
      <c r="O122" s="181">
        <f ca="1">IF(N122&gt;0.25,N122,N122+'Price Sheet (Ignore)'!$G$2)</f>
        <v>0.2</v>
      </c>
      <c r="P122" s="177">
        <f ca="1">O122*'Price Sheet (Ignore)'!$H$2*(E122/3)</f>
        <v>450.13333333333333</v>
      </c>
      <c r="Q122" s="178"/>
      <c r="R122" s="178"/>
      <c r="S122" s="178"/>
    </row>
    <row r="123" spans="1:19" ht="29.25" customHeight="1" x14ac:dyDescent="0.2">
      <c r="A123" s="175" t="str">
        <f ca="1"/>
        <v>Swanhall</v>
      </c>
      <c r="B123" s="178" t="str">
        <f ca="1"/>
        <v>Shavia</v>
      </c>
      <c r="C123" s="178" t="str">
        <f ca="1"/>
        <v>Smallverne</v>
      </c>
      <c r="D123" s="178" t="str">
        <f ca="1"/>
        <v>Path of Guiding Light</v>
      </c>
      <c r="E123" s="179">
        <f ca="1"/>
        <v>14884</v>
      </c>
      <c r="F123" s="178">
        <f ca="1"/>
        <v>30</v>
      </c>
      <c r="G123" s="178" t="str">
        <f ca="1"/>
        <v/>
      </c>
      <c r="H123" s="178" t="str">
        <f ca="1"/>
        <v/>
      </c>
      <c r="I123" s="178" t="str">
        <f ca="1"/>
        <v>citadel</v>
      </c>
      <c r="J123" s="178" t="str">
        <f ca="1"/>
        <v>walls</v>
      </c>
      <c r="K123" s="178" t="str">
        <f ca="1"/>
        <v/>
      </c>
      <c r="L123" s="178"/>
      <c r="M123" s="178"/>
      <c r="N123" s="180">
        <f t="shared" ca="1" si="0"/>
        <v>-2.0000000000000004E-2</v>
      </c>
      <c r="O123" s="181">
        <f ca="1">IF(N123&gt;0.25,N123,N123+'Price Sheet (Ignore)'!$G$2)</f>
        <v>0.13</v>
      </c>
      <c r="P123" s="177">
        <f ca="1">O123*'Price Sheet (Ignore)'!$H$2*(E123/3)</f>
        <v>322.48666666666668</v>
      </c>
      <c r="Q123" s="178"/>
      <c r="R123" s="178"/>
      <c r="S123" s="178"/>
    </row>
    <row r="124" spans="1:19" ht="29.25" customHeight="1" x14ac:dyDescent="0.2">
      <c r="A124" s="175" t="str">
        <f ca="1"/>
        <v>Swanhall</v>
      </c>
      <c r="B124" s="178" t="str">
        <f ca="1"/>
        <v>Shavia</v>
      </c>
      <c r="C124" s="178" t="str">
        <f ca="1"/>
        <v>Houndtownfo</v>
      </c>
      <c r="D124" s="178" t="str">
        <f ca="1"/>
        <v>Path of Guiding Light</v>
      </c>
      <c r="E124" s="179">
        <f ca="1"/>
        <v>6371</v>
      </c>
      <c r="F124" s="178">
        <f ca="1"/>
        <v>30</v>
      </c>
      <c r="G124" s="178" t="str">
        <f ca="1"/>
        <v/>
      </c>
      <c r="H124" s="178" t="str">
        <f ca="1"/>
        <v/>
      </c>
      <c r="I124" s="178" t="str">
        <f ca="1"/>
        <v>citadel</v>
      </c>
      <c r="J124" s="178" t="str">
        <f ca="1"/>
        <v>walls</v>
      </c>
      <c r="K124" s="178" t="str">
        <f ca="1"/>
        <v/>
      </c>
      <c r="L124" s="178"/>
      <c r="M124" s="178"/>
      <c r="N124" s="180">
        <f t="shared" ca="1" si="0"/>
        <v>-2.0000000000000004E-2</v>
      </c>
      <c r="O124" s="181">
        <f ca="1">IF(N124&gt;0.25,N124,N124+'Price Sheet (Ignore)'!$G$2)</f>
        <v>0.13</v>
      </c>
      <c r="P124" s="177">
        <f ca="1">O124*'Price Sheet (Ignore)'!$H$2*(E124/3)</f>
        <v>138.03833333333333</v>
      </c>
      <c r="Q124" s="178"/>
      <c r="R124" s="178"/>
      <c r="S124" s="178"/>
    </row>
    <row r="125" spans="1:19" ht="29.25" customHeight="1" x14ac:dyDescent="0.2">
      <c r="A125" s="175" t="str">
        <f ca="1"/>
        <v>Swanhall</v>
      </c>
      <c r="B125" s="178" t="str">
        <f ca="1"/>
        <v>Shavia</v>
      </c>
      <c r="C125" s="178" t="str">
        <f ca="1"/>
        <v>Elreach</v>
      </c>
      <c r="D125" s="178" t="str">
        <f ca="1"/>
        <v>Path of Guiding Light</v>
      </c>
      <c r="E125" s="179">
        <f ca="1"/>
        <v>10378</v>
      </c>
      <c r="F125" s="178">
        <f ca="1"/>
        <v>2759</v>
      </c>
      <c r="G125" s="178" t="str">
        <f ca="1"/>
        <v/>
      </c>
      <c r="H125" s="178" t="str">
        <f ca="1"/>
        <v/>
      </c>
      <c r="I125" s="178" t="str">
        <f ca="1"/>
        <v>citadel</v>
      </c>
      <c r="J125" s="178" t="str">
        <f ca="1"/>
        <v/>
      </c>
      <c r="K125" s="178" t="str">
        <f ca="1"/>
        <v/>
      </c>
      <c r="L125" s="178"/>
      <c r="M125" s="178"/>
      <c r="N125" s="180">
        <f t="shared" ca="1" si="0"/>
        <v>0.05</v>
      </c>
      <c r="O125" s="181">
        <f ca="1">IF(N125&gt;0.25,N125,N125+'Price Sheet (Ignore)'!$G$2)</f>
        <v>0.2</v>
      </c>
      <c r="P125" s="177">
        <f ca="1">O125*'Price Sheet (Ignore)'!$H$2*(E125/3)</f>
        <v>345.93333333333339</v>
      </c>
      <c r="Q125" s="178"/>
      <c r="R125" s="178"/>
      <c r="S125" s="178"/>
    </row>
    <row r="126" spans="1:19" ht="29.25" customHeight="1" x14ac:dyDescent="0.2">
      <c r="A126" s="175" t="str">
        <f ca="1"/>
        <v>Sirong</v>
      </c>
      <c r="B126" s="178" t="str">
        <f ca="1"/>
        <v>Shavia</v>
      </c>
      <c r="C126" s="178" t="str">
        <f ca="1"/>
        <v>Utheinar</v>
      </c>
      <c r="D126" s="178" t="str">
        <f ca="1"/>
        <v>Path of Guiding Light</v>
      </c>
      <c r="E126" s="179">
        <f ca="1"/>
        <v>3202</v>
      </c>
      <c r="F126" s="178">
        <f ca="1"/>
        <v>13</v>
      </c>
      <c r="G126" s="178" t="str">
        <f ca="1"/>
        <v/>
      </c>
      <c r="H126" s="178" t="str">
        <f ca="1"/>
        <v>port</v>
      </c>
      <c r="I126" s="178" t="str">
        <f ca="1"/>
        <v>citadel</v>
      </c>
      <c r="J126" s="178" t="str">
        <f ca="1"/>
        <v/>
      </c>
      <c r="K126" s="178" t="str">
        <f ca="1"/>
        <v>plaza</v>
      </c>
      <c r="L126" s="178"/>
      <c r="M126" s="178"/>
      <c r="N126" s="180">
        <f t="shared" ca="1" si="0"/>
        <v>0.2</v>
      </c>
      <c r="O126" s="181">
        <f ca="1">IF(N126&gt;0.25,N126,N126+'Price Sheet (Ignore)'!$G$2)</f>
        <v>0.35</v>
      </c>
      <c r="P126" s="177">
        <f ca="1">O126*'Price Sheet (Ignore)'!$H$2*(E126/3)</f>
        <v>186.7833333333333</v>
      </c>
      <c r="Q126" s="178"/>
      <c r="R126" s="178"/>
      <c r="S126" s="178"/>
    </row>
    <row r="127" spans="1:19" ht="29.25" customHeight="1" x14ac:dyDescent="0.2">
      <c r="A127" s="175" t="str">
        <f ca="1"/>
        <v>Crownlands</v>
      </c>
      <c r="B127" s="178" t="str">
        <f ca="1"/>
        <v>Shavia</v>
      </c>
      <c r="C127" s="178" t="str">
        <f ca="1"/>
        <v>Swiftme</v>
      </c>
      <c r="D127" s="178" t="str">
        <f ca="1"/>
        <v>Path of Guiding Light</v>
      </c>
      <c r="E127" s="179">
        <f ca="1"/>
        <v>15417</v>
      </c>
      <c r="F127" s="178">
        <f ca="1"/>
        <v>118</v>
      </c>
      <c r="G127" s="178" t="str">
        <f ca="1"/>
        <v/>
      </c>
      <c r="H127" s="178" t="str">
        <f ca="1"/>
        <v/>
      </c>
      <c r="I127" s="178" t="str">
        <f ca="1"/>
        <v>citadel</v>
      </c>
      <c r="J127" s="178" t="str">
        <f ca="1"/>
        <v/>
      </c>
      <c r="K127" s="178" t="str">
        <f ca="1"/>
        <v/>
      </c>
      <c r="L127" s="178"/>
      <c r="M127" s="178"/>
      <c r="N127" s="180">
        <f t="shared" ca="1" si="0"/>
        <v>0.05</v>
      </c>
      <c r="O127" s="181">
        <f ca="1">IF(N127&gt;0.25,N127,N127+'Price Sheet (Ignore)'!$G$2)</f>
        <v>0.2</v>
      </c>
      <c r="P127" s="177">
        <f ca="1">O127*'Price Sheet (Ignore)'!$H$2*(E127/3)</f>
        <v>513.9</v>
      </c>
      <c r="Q127" s="178"/>
      <c r="R127" s="178"/>
      <c r="S127" s="178"/>
    </row>
    <row r="128" spans="1:19" ht="29.25" customHeight="1" x14ac:dyDescent="0.2">
      <c r="A128" s="175" t="str">
        <f ca="1"/>
        <v>Sirong</v>
      </c>
      <c r="B128" s="178" t="str">
        <f ca="1"/>
        <v>Shavia</v>
      </c>
      <c r="C128" s="178" t="str">
        <f ca="1"/>
        <v>Lostswindge</v>
      </c>
      <c r="D128" s="178" t="str">
        <f ca="1"/>
        <v>Path of Guiding Light</v>
      </c>
      <c r="E128" s="179">
        <f ca="1"/>
        <v>2156</v>
      </c>
      <c r="F128" s="178">
        <f ca="1"/>
        <v>554</v>
      </c>
      <c r="G128" s="178" t="str">
        <f ca="1"/>
        <v/>
      </c>
      <c r="H128" s="178" t="str">
        <f ca="1"/>
        <v/>
      </c>
      <c r="I128" s="178" t="str">
        <f ca="1"/>
        <v>citadel</v>
      </c>
      <c r="J128" s="178" t="str">
        <f ca="1"/>
        <v/>
      </c>
      <c r="K128" s="178" t="str">
        <f ca="1"/>
        <v>plaza</v>
      </c>
      <c r="L128" s="178"/>
      <c r="M128" s="178"/>
      <c r="N128" s="180">
        <f t="shared" ca="1" si="0"/>
        <v>0.1</v>
      </c>
      <c r="O128" s="181">
        <f ca="1">IF(N128&gt;0.25,N128,N128+'Price Sheet (Ignore)'!$G$2)</f>
        <v>0.25</v>
      </c>
      <c r="P128" s="177">
        <f ca="1">O128*'Price Sheet (Ignore)'!$H$2*(E128/3)</f>
        <v>89.833333333333329</v>
      </c>
      <c r="Q128" s="178"/>
      <c r="R128" s="178"/>
      <c r="S128" s="178"/>
    </row>
    <row r="129" spans="1:19" ht="29.25" customHeight="1" x14ac:dyDescent="0.2">
      <c r="A129" s="175" t="str">
        <f ca="1"/>
        <v>Swanhall</v>
      </c>
      <c r="B129" s="178" t="str">
        <f ca="1"/>
        <v>Shavia</v>
      </c>
      <c r="C129" s="178" t="str">
        <f ca="1"/>
        <v>Mudfair</v>
      </c>
      <c r="D129" s="178" t="str">
        <f ca="1"/>
        <v>Path of Guiding Light</v>
      </c>
      <c r="E129" s="179">
        <f ca="1"/>
        <v>10742</v>
      </c>
      <c r="F129" s="178">
        <f ca="1"/>
        <v>328</v>
      </c>
      <c r="G129" s="178" t="str">
        <f ca="1"/>
        <v/>
      </c>
      <c r="H129" s="178" t="str">
        <f ca="1"/>
        <v/>
      </c>
      <c r="I129" s="178" t="str">
        <f ca="1"/>
        <v>citadel</v>
      </c>
      <c r="J129" s="178" t="str">
        <f ca="1"/>
        <v/>
      </c>
      <c r="K129" s="178" t="str">
        <f ca="1"/>
        <v/>
      </c>
      <c r="L129" s="178"/>
      <c r="M129" s="178"/>
      <c r="N129" s="180">
        <f t="shared" ca="1" si="0"/>
        <v>0.05</v>
      </c>
      <c r="O129" s="181">
        <f ca="1">IF(N129&gt;0.25,N129,N129+'Price Sheet (Ignore)'!$G$2)</f>
        <v>0.2</v>
      </c>
      <c r="P129" s="177">
        <f ca="1">O129*'Price Sheet (Ignore)'!$H$2*(E129/3)</f>
        <v>358.06666666666666</v>
      </c>
      <c r="Q129" s="178"/>
      <c r="R129" s="178"/>
      <c r="S129" s="178"/>
    </row>
    <row r="130" spans="1:19" ht="29.25" customHeight="1" x14ac:dyDescent="0.2">
      <c r="A130" s="175" t="str">
        <f ca="1"/>
        <v>Swanhall</v>
      </c>
      <c r="B130" s="178" t="str">
        <f ca="1"/>
        <v>Shavia</v>
      </c>
      <c r="C130" s="178" t="str">
        <f ca="1"/>
        <v>Anhelm</v>
      </c>
      <c r="D130" s="178" t="str">
        <f ca="1"/>
        <v>Path of Guiding Light</v>
      </c>
      <c r="E130" s="179">
        <f ca="1"/>
        <v>14188</v>
      </c>
      <c r="F130" s="178">
        <f ca="1"/>
        <v>210</v>
      </c>
      <c r="G130" s="178" t="str">
        <f ca="1"/>
        <v/>
      </c>
      <c r="H130" s="178" t="str">
        <f ca="1"/>
        <v/>
      </c>
      <c r="I130" s="178" t="str">
        <f ca="1"/>
        <v>citadel</v>
      </c>
      <c r="J130" s="178" t="str">
        <f ca="1"/>
        <v/>
      </c>
      <c r="K130" s="178" t="str">
        <f ca="1"/>
        <v>plaza</v>
      </c>
      <c r="L130" s="178"/>
      <c r="M130" s="178"/>
      <c r="N130" s="180">
        <f t="shared" ca="1" si="0"/>
        <v>0.1</v>
      </c>
      <c r="O130" s="181">
        <f ca="1">IF(N130&gt;0.25,N130,N130+'Price Sheet (Ignore)'!$G$2)</f>
        <v>0.25</v>
      </c>
      <c r="P130" s="177">
        <f ca="1">O130*'Price Sheet (Ignore)'!$H$2*(E130/3)</f>
        <v>591.16666666666663</v>
      </c>
      <c r="Q130" s="178"/>
      <c r="R130" s="178"/>
      <c r="S130" s="178"/>
    </row>
    <row r="131" spans="1:19" ht="29.25" customHeight="1" x14ac:dyDescent="0.2">
      <c r="A131" s="175" t="str">
        <f ca="1"/>
        <v>Sirong</v>
      </c>
      <c r="B131" s="178" t="str">
        <f ca="1"/>
        <v>Shavia</v>
      </c>
      <c r="C131" s="178" t="str">
        <f ca="1"/>
        <v>Mondhol</v>
      </c>
      <c r="D131" s="178" t="str">
        <f ca="1"/>
        <v>Path of Guiding Light</v>
      </c>
      <c r="E131" s="179">
        <f ca="1"/>
        <v>14504</v>
      </c>
      <c r="F131" s="178">
        <f ca="1"/>
        <v>738</v>
      </c>
      <c r="G131" s="178" t="str">
        <f ca="1"/>
        <v/>
      </c>
      <c r="H131" s="178" t="str">
        <f ca="1"/>
        <v/>
      </c>
      <c r="I131" s="178" t="str">
        <f ca="1"/>
        <v>citadel</v>
      </c>
      <c r="J131" s="178" t="str">
        <f ca="1"/>
        <v/>
      </c>
      <c r="K131" s="178" t="str">
        <f ca="1"/>
        <v/>
      </c>
      <c r="L131" s="178"/>
      <c r="M131" s="178"/>
      <c r="N131" s="180">
        <f t="shared" ca="1" si="0"/>
        <v>0.05</v>
      </c>
      <c r="O131" s="181">
        <f ca="1">IF(N131&gt;0.25,N131,N131+'Price Sheet (Ignore)'!$G$2)</f>
        <v>0.2</v>
      </c>
      <c r="P131" s="177">
        <f ca="1">O131*'Price Sheet (Ignore)'!$H$2*(E131/3)</f>
        <v>483.4666666666667</v>
      </c>
      <c r="Q131" s="178"/>
      <c r="R131" s="178"/>
      <c r="S131" s="178"/>
    </row>
    <row r="132" spans="1:19" ht="29.25" customHeight="1" x14ac:dyDescent="0.2">
      <c r="A132" s="175" t="str">
        <f ca="1"/>
        <v>Swanhall</v>
      </c>
      <c r="B132" s="178" t="str">
        <f ca="1"/>
        <v>Shavia</v>
      </c>
      <c r="C132" s="178" t="str">
        <f ca="1"/>
        <v>Dewgcoast</v>
      </c>
      <c r="D132" s="178" t="str">
        <f ca="1"/>
        <v>Path of Guiding Light</v>
      </c>
      <c r="E132" s="179">
        <f ca="1"/>
        <v>22642</v>
      </c>
      <c r="F132" s="178">
        <f ca="1"/>
        <v>266</v>
      </c>
      <c r="G132" s="178" t="str">
        <f ca="1"/>
        <v/>
      </c>
      <c r="H132" s="178" t="str">
        <f ca="1"/>
        <v/>
      </c>
      <c r="I132" s="178" t="str">
        <f ca="1"/>
        <v>citadel</v>
      </c>
      <c r="J132" s="178" t="str">
        <f ca="1"/>
        <v>walls</v>
      </c>
      <c r="K132" s="178" t="str">
        <f ca="1"/>
        <v/>
      </c>
      <c r="L132" s="178"/>
      <c r="M132" s="178"/>
      <c r="N132" s="180">
        <f t="shared" ca="1" si="0"/>
        <v>-2.0000000000000004E-2</v>
      </c>
      <c r="O132" s="181">
        <f ca="1">IF(N132&gt;0.25,N132,N132+'Price Sheet (Ignore)'!$G$2)</f>
        <v>0.13</v>
      </c>
      <c r="P132" s="177">
        <f ca="1">O132*'Price Sheet (Ignore)'!$H$2*(E132/3)</f>
        <v>490.57666666666665</v>
      </c>
      <c r="Q132" s="178"/>
      <c r="R132" s="178"/>
      <c r="S132" s="178"/>
    </row>
    <row r="133" spans="1:19" ht="29.25" customHeight="1" x14ac:dyDescent="0.2">
      <c r="A133" s="175" t="str">
        <f ca="1"/>
        <v>Sirong</v>
      </c>
      <c r="B133" s="178" t="str">
        <f ca="1"/>
        <v>Shavia</v>
      </c>
      <c r="C133" s="178" t="str">
        <f ca="1"/>
        <v>Scorcross</v>
      </c>
      <c r="D133" s="178" t="str">
        <f ca="1"/>
        <v>Path of Guiding Light</v>
      </c>
      <c r="E133" s="179">
        <f ca="1"/>
        <v>17781</v>
      </c>
      <c r="F133" s="178">
        <f ca="1"/>
        <v>52</v>
      </c>
      <c r="G133" s="178" t="str">
        <f ca="1"/>
        <v/>
      </c>
      <c r="H133" s="178" t="str">
        <f ca="1"/>
        <v/>
      </c>
      <c r="I133" s="178" t="str">
        <f ca="1"/>
        <v/>
      </c>
      <c r="J133" s="178" t="str">
        <f ca="1"/>
        <v>walls</v>
      </c>
      <c r="K133" s="178" t="str">
        <f ca="1"/>
        <v/>
      </c>
      <c r="L133" s="178"/>
      <c r="M133" s="178"/>
      <c r="N133" s="180">
        <f t="shared" ca="1" si="0"/>
        <v>-7.0000000000000007E-2</v>
      </c>
      <c r="O133" s="181">
        <f ca="1">IF(N133&gt;0.25,N133,N133+'Price Sheet (Ignore)'!$G$2)</f>
        <v>7.9999999999999988E-2</v>
      </c>
      <c r="P133" s="177">
        <f ca="1">O133*'Price Sheet (Ignore)'!$H$2*(E133/3)</f>
        <v>237.07999999999996</v>
      </c>
      <c r="Q133" s="178"/>
      <c r="R133" s="178"/>
      <c r="S133" s="178"/>
    </row>
    <row r="134" spans="1:19" ht="29.25" customHeight="1" x14ac:dyDescent="0.2">
      <c r="A134" s="175" t="str">
        <f ca="1"/>
        <v>Swanhall</v>
      </c>
      <c r="B134" s="178" t="str">
        <f ca="1"/>
        <v>Shavia</v>
      </c>
      <c r="C134" s="178" t="str">
        <f ca="1"/>
        <v>Mondbaypond</v>
      </c>
      <c r="D134" s="178" t="str">
        <f ca="1"/>
        <v>Path of Guiding Light</v>
      </c>
      <c r="E134" s="179">
        <f ca="1"/>
        <v>2093</v>
      </c>
      <c r="F134" s="178">
        <f ca="1"/>
        <v>210</v>
      </c>
      <c r="G134" s="178" t="str">
        <f ca="1"/>
        <v/>
      </c>
      <c r="H134" s="178" t="str">
        <f ca="1"/>
        <v/>
      </c>
      <c r="I134" s="178" t="str">
        <f ca="1"/>
        <v/>
      </c>
      <c r="J134" s="178" t="str">
        <f ca="1"/>
        <v>walls</v>
      </c>
      <c r="K134" s="178" t="str">
        <f ca="1"/>
        <v/>
      </c>
      <c r="L134" s="178"/>
      <c r="M134" s="178"/>
      <c r="N134" s="180">
        <f t="shared" ca="1" si="0"/>
        <v>-7.0000000000000007E-2</v>
      </c>
      <c r="O134" s="181">
        <f ca="1">IF(N134&gt;0.25,N134,N134+'Price Sheet (Ignore)'!$G$2)</f>
        <v>7.9999999999999988E-2</v>
      </c>
      <c r="P134" s="177">
        <f ca="1">O134*'Price Sheet (Ignore)'!$H$2*(E134/3)</f>
        <v>27.906666666666659</v>
      </c>
      <c r="Q134" s="178"/>
      <c r="R134" s="178"/>
      <c r="S134" s="178"/>
    </row>
    <row r="135" spans="1:19" ht="29.25" customHeight="1" x14ac:dyDescent="0.2">
      <c r="A135" s="175" t="str">
        <f ca="1"/>
        <v>Crownlands</v>
      </c>
      <c r="B135" s="178" t="str">
        <f ca="1"/>
        <v>Shavia</v>
      </c>
      <c r="C135" s="178" t="str">
        <f ca="1"/>
        <v>Vojhamenz</v>
      </c>
      <c r="D135" s="178" t="str">
        <f ca="1"/>
        <v>Path of Guiding Light</v>
      </c>
      <c r="E135" s="179">
        <f ca="1"/>
        <v>9654</v>
      </c>
      <c r="F135" s="178">
        <f ca="1"/>
        <v>161</v>
      </c>
      <c r="G135" s="178" t="str">
        <f ca="1"/>
        <v/>
      </c>
      <c r="H135" s="178" t="str">
        <f ca="1"/>
        <v>port</v>
      </c>
      <c r="I135" s="178" t="str">
        <f ca="1"/>
        <v/>
      </c>
      <c r="J135" s="178" t="str">
        <f ca="1"/>
        <v/>
      </c>
      <c r="K135" s="178" t="str">
        <f ca="1"/>
        <v/>
      </c>
      <c r="L135" s="178"/>
      <c r="M135" s="178"/>
      <c r="N135" s="180">
        <f t="shared" ca="1" si="0"/>
        <v>0.1</v>
      </c>
      <c r="O135" s="181">
        <f ca="1">IF(N135&gt;0.25,N135,N135+'Price Sheet (Ignore)'!$G$2)</f>
        <v>0.25</v>
      </c>
      <c r="P135" s="177">
        <f ca="1">O135*'Price Sheet (Ignore)'!$H$2*(E135/3)</f>
        <v>402.25</v>
      </c>
      <c r="Q135" s="178"/>
      <c r="R135" s="178"/>
      <c r="S135" s="178"/>
    </row>
    <row r="136" spans="1:19" ht="29.25" customHeight="1" x14ac:dyDescent="0.2">
      <c r="A136" s="175" t="str">
        <f ca="1"/>
        <v>Dreghold</v>
      </c>
      <c r="B136" s="178" t="str">
        <f ca="1"/>
        <v>Shavia</v>
      </c>
      <c r="C136" s="178" t="str">
        <f ca="1"/>
        <v>Brimegcoast</v>
      </c>
      <c r="D136" s="178" t="str">
        <f ca="1"/>
        <v>Path of Guiding Light</v>
      </c>
      <c r="E136" s="179">
        <f ca="1"/>
        <v>21754</v>
      </c>
      <c r="F136" s="178">
        <f ca="1"/>
        <v>472</v>
      </c>
      <c r="G136" s="178" t="str">
        <f ca="1"/>
        <v/>
      </c>
      <c r="H136" s="178" t="str">
        <f ca="1"/>
        <v/>
      </c>
      <c r="I136" s="178" t="str">
        <f ca="1"/>
        <v>citadel</v>
      </c>
      <c r="J136" s="178" t="str">
        <f ca="1"/>
        <v>walls</v>
      </c>
      <c r="K136" s="178" t="str">
        <f ca="1"/>
        <v/>
      </c>
      <c r="L136" s="178"/>
      <c r="M136" s="178"/>
      <c r="N136" s="180">
        <f t="shared" ca="1" si="0"/>
        <v>-2.0000000000000004E-2</v>
      </c>
      <c r="O136" s="181">
        <f ca="1">IF(N136&gt;0.25,N136,N136+'Price Sheet (Ignore)'!$G$2)</f>
        <v>0.13</v>
      </c>
      <c r="P136" s="177">
        <f ca="1">O136*'Price Sheet (Ignore)'!$H$2*(E136/3)</f>
        <v>471.33666666666664</v>
      </c>
      <c r="Q136" s="178"/>
      <c r="R136" s="178"/>
      <c r="S136" s="178"/>
    </row>
    <row r="137" spans="1:19" ht="29.25" customHeight="1" x14ac:dyDescent="0.2">
      <c r="A137" s="175" t="str">
        <f ca="1"/>
        <v>Swanhall</v>
      </c>
      <c r="B137" s="178" t="str">
        <f ca="1"/>
        <v>Shavia</v>
      </c>
      <c r="C137" s="178" t="str">
        <f ca="1"/>
        <v>Clifpass</v>
      </c>
      <c r="D137" s="178" t="str">
        <f ca="1"/>
        <v>Path of Guiding Light</v>
      </c>
      <c r="E137" s="179">
        <f ca="1"/>
        <v>27069</v>
      </c>
      <c r="F137" s="178">
        <f ca="1"/>
        <v>948</v>
      </c>
      <c r="G137" s="178" t="str">
        <f ca="1"/>
        <v/>
      </c>
      <c r="H137" s="178" t="str">
        <f ca="1"/>
        <v/>
      </c>
      <c r="I137" s="178" t="str">
        <f ca="1"/>
        <v/>
      </c>
      <c r="J137" s="178" t="str">
        <f ca="1"/>
        <v>walls</v>
      </c>
      <c r="K137" s="178" t="str">
        <f ca="1"/>
        <v>plaza</v>
      </c>
      <c r="L137" s="178"/>
      <c r="M137" s="178"/>
      <c r="N137" s="180">
        <f t="shared" ca="1" si="0"/>
        <v>-2.0000000000000004E-2</v>
      </c>
      <c r="O137" s="181">
        <f ca="1">IF(N137&gt;0.25,N137,N137+'Price Sheet (Ignore)'!$G$2)</f>
        <v>0.13</v>
      </c>
      <c r="P137" s="177">
        <f ca="1">O137*'Price Sheet (Ignore)'!$H$2*(E137/3)</f>
        <v>586.495</v>
      </c>
      <c r="Q137" s="178"/>
      <c r="R137" s="178"/>
      <c r="S137" s="178"/>
    </row>
    <row r="138" spans="1:19" ht="29.25" customHeight="1" x14ac:dyDescent="0.2">
      <c r="A138" s="175" t="str">
        <f ca="1"/>
        <v>Sirong</v>
      </c>
      <c r="B138" s="178" t="str">
        <f ca="1"/>
        <v>Shavia</v>
      </c>
      <c r="C138" s="178" t="str">
        <f ca="1"/>
        <v>Swangarmire</v>
      </c>
      <c r="D138" s="178" t="str">
        <f ca="1"/>
        <v>Path of Guiding Light</v>
      </c>
      <c r="E138" s="179">
        <f ca="1"/>
        <v>24215</v>
      </c>
      <c r="F138" s="178">
        <f ca="1"/>
        <v>948</v>
      </c>
      <c r="G138" s="178" t="str">
        <f ca="1"/>
        <v/>
      </c>
      <c r="H138" s="178" t="str">
        <f ca="1"/>
        <v/>
      </c>
      <c r="I138" s="178" t="str">
        <f ca="1"/>
        <v/>
      </c>
      <c r="J138" s="178" t="str">
        <f ca="1"/>
        <v>walls</v>
      </c>
      <c r="K138" s="178" t="str">
        <f ca="1"/>
        <v>plaza</v>
      </c>
      <c r="L138" s="178"/>
      <c r="M138" s="178"/>
      <c r="N138" s="180">
        <f t="shared" ca="1" si="0"/>
        <v>-2.0000000000000004E-2</v>
      </c>
      <c r="O138" s="181">
        <f ca="1">IF(N138&gt;0.25,N138,N138+'Price Sheet (Ignore)'!$G$2)</f>
        <v>0.13</v>
      </c>
      <c r="P138" s="177">
        <f ca="1">O138*'Price Sheet (Ignore)'!$H$2*(E138/3)</f>
        <v>524.65833333333342</v>
      </c>
      <c r="Q138" s="178"/>
      <c r="R138" s="178"/>
      <c r="S138" s="178"/>
    </row>
    <row r="139" spans="1:19" ht="29.25" customHeight="1" x14ac:dyDescent="0.2">
      <c r="A139" s="175" t="str">
        <f ca="1"/>
        <v>Swanhall</v>
      </c>
      <c r="B139" s="178" t="str">
        <f ca="1"/>
        <v>Shavia</v>
      </c>
      <c r="C139" s="178" t="str">
        <f ca="1"/>
        <v>Mightfall</v>
      </c>
      <c r="D139" s="178" t="str">
        <f ca="1"/>
        <v>Path of Guiding Light</v>
      </c>
      <c r="E139" s="179">
        <f ca="1"/>
        <v>5362</v>
      </c>
      <c r="F139" s="178">
        <f ca="1"/>
        <v>161</v>
      </c>
      <c r="G139" s="178" t="str">
        <f ca="1"/>
        <v/>
      </c>
      <c r="H139" s="178" t="str">
        <f ca="1"/>
        <v/>
      </c>
      <c r="I139" s="178" t="str">
        <f ca="1"/>
        <v>citadel</v>
      </c>
      <c r="J139" s="178" t="str">
        <f ca="1"/>
        <v/>
      </c>
      <c r="K139" s="178" t="str">
        <f ca="1"/>
        <v/>
      </c>
      <c r="L139" s="178"/>
      <c r="M139" s="178"/>
      <c r="N139" s="180">
        <f t="shared" ca="1" si="0"/>
        <v>0.05</v>
      </c>
      <c r="O139" s="181">
        <f ca="1">IF(N139&gt;0.25,N139,N139+'Price Sheet (Ignore)'!$G$2)</f>
        <v>0.2</v>
      </c>
      <c r="P139" s="177">
        <f ca="1">O139*'Price Sheet (Ignore)'!$H$2*(E139/3)</f>
        <v>178.73333333333335</v>
      </c>
      <c r="Q139" s="178"/>
      <c r="R139" s="178"/>
      <c r="S139" s="178"/>
    </row>
    <row r="140" spans="1:19" ht="29.25" customHeight="1" x14ac:dyDescent="0.2">
      <c r="A140" s="175" t="str">
        <f ca="1"/>
        <v>Sirong</v>
      </c>
      <c r="B140" s="178" t="str">
        <f ca="1"/>
        <v>Shavia</v>
      </c>
      <c r="C140" s="178" t="str">
        <f ca="1"/>
        <v>Shimhand</v>
      </c>
      <c r="D140" s="178" t="str">
        <f ca="1"/>
        <v>Path of Guiding Light</v>
      </c>
      <c r="E140" s="179">
        <f ca="1"/>
        <v>10406</v>
      </c>
      <c r="F140" s="178">
        <f ca="1"/>
        <v>643</v>
      </c>
      <c r="G140" s="178" t="str">
        <f ca="1"/>
        <v/>
      </c>
      <c r="H140" s="178" t="str">
        <f ca="1"/>
        <v/>
      </c>
      <c r="I140" s="178" t="str">
        <f ca="1"/>
        <v/>
      </c>
      <c r="J140" s="178" t="str">
        <f ca="1"/>
        <v/>
      </c>
      <c r="K140" s="178" t="str">
        <f ca="1"/>
        <v/>
      </c>
      <c r="L140" s="178"/>
      <c r="M140" s="178"/>
      <c r="N140" s="180">
        <f t="shared" ca="1" si="0"/>
        <v>0</v>
      </c>
      <c r="O140" s="181">
        <f ca="1">IF(N140&gt;0.25,N140,N140+'Price Sheet (Ignore)'!$G$2)</f>
        <v>0.15</v>
      </c>
      <c r="P140" s="177">
        <f ca="1">O140*'Price Sheet (Ignore)'!$H$2*(E140/3)</f>
        <v>260.14999999999998</v>
      </c>
      <c r="Q140" s="178"/>
      <c r="R140" s="178"/>
      <c r="S140" s="178"/>
    </row>
    <row r="141" spans="1:19" ht="29.25" customHeight="1" x14ac:dyDescent="0.2">
      <c r="A141" s="175" t="str">
        <f ca="1"/>
        <v>Swanhall</v>
      </c>
      <c r="B141" s="178" t="str">
        <f ca="1"/>
        <v>Shavia</v>
      </c>
      <c r="C141" s="178" t="str">
        <f ca="1"/>
        <v>Swanhall</v>
      </c>
      <c r="D141" s="178" t="str">
        <f ca="1"/>
        <v>Path of Guiding Light</v>
      </c>
      <c r="E141" s="179">
        <f ca="1"/>
        <v>19219</v>
      </c>
      <c r="F141" s="178">
        <f ca="1"/>
        <v>82</v>
      </c>
      <c r="G141" s="178" t="str">
        <f ca="1"/>
        <v/>
      </c>
      <c r="H141" s="178" t="str">
        <f ca="1"/>
        <v>port</v>
      </c>
      <c r="I141" s="178" t="str">
        <f ca="1"/>
        <v>citadel</v>
      </c>
      <c r="J141" s="178" t="str">
        <f ca="1"/>
        <v>walls</v>
      </c>
      <c r="K141" s="178" t="str">
        <f ca="1"/>
        <v>plaza</v>
      </c>
      <c r="L141" s="178"/>
      <c r="M141" s="178"/>
      <c r="N141" s="180">
        <f t="shared" ca="1" si="0"/>
        <v>0.13</v>
      </c>
      <c r="O141" s="181">
        <f ca="1">IF(N141&gt;0.25,N141,N141+'Price Sheet (Ignore)'!$G$2)</f>
        <v>0.28000000000000003</v>
      </c>
      <c r="P141" s="177">
        <f ca="1">O141*'Price Sheet (Ignore)'!$H$2*(E141/3)</f>
        <v>896.88666666666666</v>
      </c>
      <c r="Q141" s="178"/>
      <c r="R141" s="178"/>
      <c r="S141" s="178"/>
    </row>
    <row r="142" spans="1:19" ht="29.25" customHeight="1" x14ac:dyDescent="0.2">
      <c r="A142" s="175" t="str">
        <f ca="1"/>
        <v>Sirong</v>
      </c>
      <c r="B142" s="178" t="str">
        <f ca="1"/>
        <v>Shavia</v>
      </c>
      <c r="C142" s="178" t="str">
        <f ca="1"/>
        <v>Dregrefrant</v>
      </c>
      <c r="D142" s="178" t="str">
        <f ca="1"/>
        <v>Path of Guiding Light</v>
      </c>
      <c r="E142" s="179">
        <f ca="1"/>
        <v>6191</v>
      </c>
      <c r="F142" s="178">
        <f ca="1"/>
        <v>82</v>
      </c>
      <c r="G142" s="178" t="str">
        <f ca="1"/>
        <v/>
      </c>
      <c r="H142" s="178" t="str">
        <f ca="1"/>
        <v/>
      </c>
      <c r="I142" s="178" t="str">
        <f ca="1"/>
        <v>citadel</v>
      </c>
      <c r="J142" s="178" t="str">
        <f ca="1"/>
        <v>walls</v>
      </c>
      <c r="K142" s="178" t="str">
        <f ca="1"/>
        <v>plaza</v>
      </c>
      <c r="L142" s="178"/>
      <c r="M142" s="178"/>
      <c r="N142" s="180">
        <f t="shared" ca="1" si="0"/>
        <v>0.03</v>
      </c>
      <c r="O142" s="181">
        <f ca="1">IF(N142&gt;0.25,N142,N142+'Price Sheet (Ignore)'!$G$2)</f>
        <v>0.18</v>
      </c>
      <c r="P142" s="177">
        <f ca="1">O142*'Price Sheet (Ignore)'!$H$2*(E142/3)</f>
        <v>185.73</v>
      </c>
      <c r="Q142" s="178"/>
      <c r="R142" s="178"/>
      <c r="S142" s="178"/>
    </row>
    <row r="143" spans="1:19" ht="29.25" customHeight="1" x14ac:dyDescent="0.2">
      <c r="A143" s="175" t="str">
        <f ca="1"/>
        <v>Dreghold</v>
      </c>
      <c r="B143" s="178" t="str">
        <f ca="1"/>
        <v>Shavia</v>
      </c>
      <c r="C143" s="178" t="str">
        <f ca="1"/>
        <v>Snagonb</v>
      </c>
      <c r="D143" s="178" t="str">
        <f ca="1"/>
        <v>Path of Guiding Light</v>
      </c>
      <c r="E143" s="179">
        <f ca="1"/>
        <v>18741</v>
      </c>
      <c r="F143" s="178">
        <f ca="1"/>
        <v>3153</v>
      </c>
      <c r="G143" s="178" t="str">
        <f ca="1"/>
        <v/>
      </c>
      <c r="H143" s="178" t="str">
        <f ca="1"/>
        <v/>
      </c>
      <c r="I143" s="178" t="str">
        <f ca="1"/>
        <v/>
      </c>
      <c r="J143" s="178" t="str">
        <f ca="1"/>
        <v/>
      </c>
      <c r="K143" s="178" t="str">
        <f ca="1"/>
        <v/>
      </c>
      <c r="L143" s="178"/>
      <c r="M143" s="178"/>
      <c r="N143" s="180">
        <f t="shared" ca="1" si="0"/>
        <v>0</v>
      </c>
      <c r="O143" s="181">
        <f ca="1">IF(N143&gt;0.25,N143,N143+'Price Sheet (Ignore)'!$G$2)</f>
        <v>0.15</v>
      </c>
      <c r="P143" s="177">
        <f ca="1">O143*'Price Sheet (Ignore)'!$H$2*(E143/3)</f>
        <v>468.52499999999998</v>
      </c>
      <c r="Q143" s="178"/>
      <c r="R143" s="178"/>
      <c r="S143" s="178"/>
    </row>
    <row r="144" spans="1:19" ht="29.25" customHeight="1" x14ac:dyDescent="0.2">
      <c r="A144" s="175" t="str">
        <f ca="1"/>
        <v>Swanhall</v>
      </c>
      <c r="B144" s="178" t="str">
        <f ca="1"/>
        <v>Shavia</v>
      </c>
      <c r="C144" s="178" t="str">
        <f ca="1"/>
        <v>Sprinkeep</v>
      </c>
      <c r="D144" s="178" t="str">
        <f ca="1"/>
        <v>Path of Guiding Light</v>
      </c>
      <c r="E144" s="179">
        <f ca="1"/>
        <v>19714</v>
      </c>
      <c r="F144" s="178">
        <f ca="1"/>
        <v>210</v>
      </c>
      <c r="G144" s="178" t="str">
        <f ca="1"/>
        <v/>
      </c>
      <c r="H144" s="178" t="str">
        <f ca="1"/>
        <v/>
      </c>
      <c r="I144" s="178" t="str">
        <f ca="1"/>
        <v/>
      </c>
      <c r="J144" s="178" t="str">
        <f ca="1"/>
        <v>walls</v>
      </c>
      <c r="K144" s="178" t="str">
        <f ca="1"/>
        <v>plaza</v>
      </c>
      <c r="L144" s="178"/>
      <c r="M144" s="178"/>
      <c r="N144" s="180">
        <f t="shared" ca="1" si="0"/>
        <v>-2.0000000000000004E-2</v>
      </c>
      <c r="O144" s="181">
        <f ca="1">IF(N144&gt;0.25,N144,N144+'Price Sheet (Ignore)'!$G$2)</f>
        <v>0.13</v>
      </c>
      <c r="P144" s="177">
        <f ca="1">O144*'Price Sheet (Ignore)'!$H$2*(E144/3)</f>
        <v>427.13666666666666</v>
      </c>
      <c r="Q144" s="178"/>
      <c r="R144" s="178"/>
      <c r="S144" s="178"/>
    </row>
    <row r="145" spans="1:19" ht="29.25" customHeight="1" x14ac:dyDescent="0.2">
      <c r="A145" s="175" t="str">
        <f ca="1"/>
        <v>Sirong</v>
      </c>
      <c r="B145" s="178" t="str">
        <f ca="1"/>
        <v>Shavia</v>
      </c>
      <c r="C145" s="178" t="str">
        <f ca="1"/>
        <v>Drymond</v>
      </c>
      <c r="D145" s="178" t="str">
        <f ca="1"/>
        <v>Path of Guiding Light</v>
      </c>
      <c r="E145" s="179">
        <f ca="1"/>
        <v>16708</v>
      </c>
      <c r="F145" s="178">
        <f ca="1"/>
        <v>643</v>
      </c>
      <c r="G145" s="178" t="str">
        <f ca="1"/>
        <v/>
      </c>
      <c r="H145" s="178" t="str">
        <f ca="1"/>
        <v/>
      </c>
      <c r="I145" s="178" t="str">
        <f ca="1"/>
        <v/>
      </c>
      <c r="J145" s="178" t="str">
        <f ca="1"/>
        <v/>
      </c>
      <c r="K145" s="178" t="str">
        <f ca="1"/>
        <v/>
      </c>
      <c r="L145" s="178"/>
      <c r="M145" s="178"/>
      <c r="N145" s="180">
        <f t="shared" ca="1" si="0"/>
        <v>0</v>
      </c>
      <c r="O145" s="181">
        <f ca="1">IF(N145&gt;0.25,N145,N145+'Price Sheet (Ignore)'!$G$2)</f>
        <v>0.15</v>
      </c>
      <c r="P145" s="177">
        <f ca="1">O145*'Price Sheet (Ignore)'!$H$2*(E145/3)</f>
        <v>417.7</v>
      </c>
      <c r="Q145" s="178"/>
      <c r="R145" s="178"/>
      <c r="S145" s="178"/>
    </row>
    <row r="146" spans="1:19" ht="29.25" customHeight="1" x14ac:dyDescent="0.2">
      <c r="A146" s="175" t="str">
        <f ca="1"/>
        <v>Swanhall</v>
      </c>
      <c r="B146" s="178" t="str">
        <f ca="1"/>
        <v>Shavia</v>
      </c>
      <c r="C146" s="178" t="str">
        <f ca="1"/>
        <v>Dogport</v>
      </c>
      <c r="D146" s="178" t="str">
        <f ca="1"/>
        <v>Path of Guiding Light</v>
      </c>
      <c r="E146" s="179">
        <f ca="1"/>
        <v>2286</v>
      </c>
      <c r="F146" s="178">
        <f ca="1"/>
        <v>2572</v>
      </c>
      <c r="G146" s="178" t="str">
        <f ca="1"/>
        <v/>
      </c>
      <c r="H146" s="178" t="str">
        <f ca="1"/>
        <v/>
      </c>
      <c r="I146" s="178" t="str">
        <f ca="1"/>
        <v/>
      </c>
      <c r="J146" s="178" t="str">
        <f ca="1"/>
        <v/>
      </c>
      <c r="K146" s="178" t="str">
        <f ca="1"/>
        <v/>
      </c>
      <c r="L146" s="178"/>
      <c r="M146" s="178"/>
      <c r="N146" s="180">
        <f t="shared" ca="1" si="0"/>
        <v>0</v>
      </c>
      <c r="O146" s="181">
        <f ca="1">IF(N146&gt;0.25,N146,N146+'Price Sheet (Ignore)'!$G$2)</f>
        <v>0.15</v>
      </c>
      <c r="P146" s="177">
        <f ca="1">O146*'Price Sheet (Ignore)'!$H$2*(E146/3)</f>
        <v>57.15</v>
      </c>
      <c r="Q146" s="178"/>
      <c r="R146" s="178"/>
      <c r="S146" s="178"/>
    </row>
    <row r="147" spans="1:19" ht="29.25" customHeight="1" x14ac:dyDescent="0.2">
      <c r="A147" s="175" t="str">
        <f ca="1"/>
        <v>Dreghold</v>
      </c>
      <c r="B147" s="178" t="str">
        <f ca="1"/>
        <v>Shavia</v>
      </c>
      <c r="C147" s="178" t="str">
        <f ca="1"/>
        <v>Shrourestar</v>
      </c>
      <c r="D147" s="178" t="str">
        <f ca="1"/>
        <v>Path of Guiding Light</v>
      </c>
      <c r="E147" s="179">
        <f ca="1"/>
        <v>10356</v>
      </c>
      <c r="F147" s="178">
        <f ca="1"/>
        <v>1063</v>
      </c>
      <c r="G147" s="178" t="str">
        <f ca="1"/>
        <v/>
      </c>
      <c r="H147" s="178" t="str">
        <f ca="1"/>
        <v/>
      </c>
      <c r="I147" s="178" t="str">
        <f ca="1"/>
        <v/>
      </c>
      <c r="J147" s="178" t="str">
        <f ca="1"/>
        <v/>
      </c>
      <c r="K147" s="178" t="str">
        <f ca="1"/>
        <v/>
      </c>
      <c r="L147" s="178"/>
      <c r="M147" s="178"/>
      <c r="N147" s="180">
        <f t="shared" ca="1" si="0"/>
        <v>0</v>
      </c>
      <c r="O147" s="181">
        <f ca="1">IF(N147&gt;0.25,N147,N147+'Price Sheet (Ignore)'!$G$2)</f>
        <v>0.15</v>
      </c>
      <c r="P147" s="177">
        <f ca="1">O147*'Price Sheet (Ignore)'!$H$2*(E147/3)</f>
        <v>258.89999999999998</v>
      </c>
      <c r="Q147" s="178"/>
      <c r="R147" s="178"/>
      <c r="S147" s="178"/>
    </row>
    <row r="148" spans="1:19" ht="29.25" customHeight="1" x14ac:dyDescent="0.2">
      <c r="A148" s="175" t="str">
        <f ca="1"/>
        <v>Sirong</v>
      </c>
      <c r="B148" s="178" t="str">
        <f ca="1"/>
        <v>Shavia</v>
      </c>
      <c r="C148" s="178" t="str">
        <f ca="1"/>
        <v>Dryvaterga</v>
      </c>
      <c r="D148" s="178" t="str">
        <f ca="1"/>
        <v>Path of Guiding Light</v>
      </c>
      <c r="E148" s="179">
        <f ca="1"/>
        <v>34107</v>
      </c>
      <c r="F148" s="178">
        <f ca="1"/>
        <v>13</v>
      </c>
      <c r="G148" s="178" t="str">
        <f ca="1"/>
        <v/>
      </c>
      <c r="H148" s="178" t="str">
        <f ca="1"/>
        <v>port</v>
      </c>
      <c r="I148" s="178" t="str">
        <f ca="1"/>
        <v/>
      </c>
      <c r="J148" s="178" t="str">
        <f ca="1"/>
        <v>walls</v>
      </c>
      <c r="K148" s="178" t="str">
        <f ca="1"/>
        <v>plaza</v>
      </c>
      <c r="L148" s="178"/>
      <c r="M148" s="178"/>
      <c r="N148" s="180">
        <f t="shared" ca="1" si="0"/>
        <v>0.08</v>
      </c>
      <c r="O148" s="181">
        <f ca="1">IF(N148&gt;0.25,N148,N148+'Price Sheet (Ignore)'!$G$2)</f>
        <v>0.22999999999999998</v>
      </c>
      <c r="P148" s="177">
        <f ca="1">O148*'Price Sheet (Ignore)'!$H$2*(E148/3)</f>
        <v>1307.4349999999999</v>
      </c>
      <c r="Q148" s="178"/>
      <c r="R148" s="178"/>
      <c r="S148" s="178"/>
    </row>
    <row r="149" spans="1:19" ht="29.25" customHeight="1" x14ac:dyDescent="0.2">
      <c r="A149" s="175" t="str">
        <f ca="1"/>
        <v>Sirong</v>
      </c>
      <c r="B149" s="178" t="str">
        <f ca="1"/>
        <v>Shavia</v>
      </c>
      <c r="C149" s="178" t="str">
        <f ca="1"/>
        <v>Vhalthin</v>
      </c>
      <c r="D149" s="178" t="str">
        <f ca="1"/>
        <v>Path of Guiding Light</v>
      </c>
      <c r="E149" s="179">
        <f ca="1"/>
        <v>2535</v>
      </c>
      <c r="F149" s="178">
        <f ca="1"/>
        <v>30</v>
      </c>
      <c r="G149" s="178" t="str">
        <f ca="1"/>
        <v/>
      </c>
      <c r="H149" s="178" t="str">
        <f ca="1"/>
        <v/>
      </c>
      <c r="I149" s="178" t="str">
        <f ca="1"/>
        <v/>
      </c>
      <c r="J149" s="178" t="str">
        <f ca="1"/>
        <v/>
      </c>
      <c r="K149" s="178" t="str">
        <f ca="1"/>
        <v>plaza</v>
      </c>
      <c r="L149" s="178"/>
      <c r="M149" s="178"/>
      <c r="N149" s="180">
        <f t="shared" ca="1" si="0"/>
        <v>0.05</v>
      </c>
      <c r="O149" s="181">
        <f ca="1">IF(N149&gt;0.25,N149,N149+'Price Sheet (Ignore)'!$G$2)</f>
        <v>0.2</v>
      </c>
      <c r="P149" s="177">
        <f ca="1">O149*'Price Sheet (Ignore)'!$H$2*(E149/3)</f>
        <v>84.5</v>
      </c>
      <c r="Q149" s="178"/>
      <c r="R149" s="178"/>
      <c r="S149" s="178"/>
    </row>
    <row r="150" spans="1:19" ht="29.25" customHeight="1" x14ac:dyDescent="0.2">
      <c r="A150" s="175" t="str">
        <f ca="1"/>
        <v>Swanhall</v>
      </c>
      <c r="B150" s="178" t="str">
        <f ca="1"/>
        <v>Shavia</v>
      </c>
      <c r="C150" s="178" t="str">
        <f ca="1"/>
        <v>Edenhelmer</v>
      </c>
      <c r="D150" s="178" t="str">
        <f ca="1"/>
        <v>Path of Guiding Light</v>
      </c>
      <c r="E150" s="179">
        <f ca="1"/>
        <v>5151</v>
      </c>
      <c r="F150" s="178">
        <f ca="1"/>
        <v>1184</v>
      </c>
      <c r="G150" s="178" t="str">
        <f ca="1"/>
        <v/>
      </c>
      <c r="H150" s="178" t="str">
        <f ca="1"/>
        <v/>
      </c>
      <c r="I150" s="178" t="str">
        <f ca="1"/>
        <v/>
      </c>
      <c r="J150" s="178" t="str">
        <f ca="1"/>
        <v/>
      </c>
      <c r="K150" s="178" t="str">
        <f ca="1"/>
        <v/>
      </c>
      <c r="L150" s="178"/>
      <c r="M150" s="178"/>
      <c r="N150" s="180">
        <f t="shared" ca="1" si="0"/>
        <v>0</v>
      </c>
      <c r="O150" s="181">
        <f ca="1">IF(N150&gt;0.25,N150,N150+'Price Sheet (Ignore)'!$G$2)</f>
        <v>0.15</v>
      </c>
      <c r="P150" s="177">
        <f ca="1">O150*'Price Sheet (Ignore)'!$H$2*(E150/3)</f>
        <v>128.77500000000001</v>
      </c>
      <c r="Q150" s="178"/>
      <c r="R150" s="178"/>
      <c r="S150" s="178"/>
    </row>
    <row r="151" spans="1:19" ht="29.25" customHeight="1" x14ac:dyDescent="0.2">
      <c r="A151" s="175" t="str">
        <f ca="1"/>
        <v>Swanhall</v>
      </c>
      <c r="B151" s="178" t="str">
        <f ca="1"/>
        <v>Shavia</v>
      </c>
      <c r="C151" s="178" t="str">
        <f ca="1"/>
        <v>Mythspell</v>
      </c>
      <c r="D151" s="178" t="str">
        <f ca="1"/>
        <v>Path of Guiding Light</v>
      </c>
      <c r="E151" s="179">
        <f ca="1"/>
        <v>13544</v>
      </c>
      <c r="F151" s="178">
        <f ca="1"/>
        <v>13</v>
      </c>
      <c r="G151" s="178" t="str">
        <f ca="1"/>
        <v/>
      </c>
      <c r="H151" s="178" t="str">
        <f ca="1"/>
        <v/>
      </c>
      <c r="I151" s="178" t="str">
        <f ca="1"/>
        <v/>
      </c>
      <c r="J151" s="178" t="str">
        <f ca="1"/>
        <v>walls</v>
      </c>
      <c r="K151" s="178" t="str">
        <f ca="1"/>
        <v>plaza</v>
      </c>
      <c r="L151" s="178"/>
      <c r="M151" s="178"/>
      <c r="N151" s="180">
        <f t="shared" ca="1" si="0"/>
        <v>-2.0000000000000004E-2</v>
      </c>
      <c r="O151" s="181">
        <f ca="1">IF(N151&gt;0.25,N151,N151+'Price Sheet (Ignore)'!$G$2)</f>
        <v>0.13</v>
      </c>
      <c r="P151" s="177">
        <f ca="1">O151*'Price Sheet (Ignore)'!$H$2*(E151/3)</f>
        <v>293.45333333333338</v>
      </c>
      <c r="Q151" s="178"/>
      <c r="R151" s="178"/>
      <c r="S151" s="178"/>
    </row>
    <row r="152" spans="1:19" ht="29.25" customHeight="1" x14ac:dyDescent="0.2">
      <c r="A152" s="175" t="str">
        <f ca="1"/>
        <v>Dreghold</v>
      </c>
      <c r="B152" s="178" t="str">
        <f ca="1"/>
        <v>Shavia</v>
      </c>
      <c r="C152" s="178" t="str">
        <f ca="1"/>
        <v>Grirevein</v>
      </c>
      <c r="D152" s="178" t="str">
        <f ca="1"/>
        <v>Path of Guiding Light</v>
      </c>
      <c r="E152" s="179">
        <f ca="1"/>
        <v>2337</v>
      </c>
      <c r="F152" s="178">
        <f ca="1"/>
        <v>52</v>
      </c>
      <c r="G152" s="178" t="str">
        <f ca="1"/>
        <v/>
      </c>
      <c r="H152" s="178" t="str">
        <f ca="1"/>
        <v/>
      </c>
      <c r="I152" s="178" t="str">
        <f ca="1"/>
        <v/>
      </c>
      <c r="J152" s="178" t="str">
        <f ca="1"/>
        <v/>
      </c>
      <c r="K152" s="178" t="str">
        <f ca="1"/>
        <v/>
      </c>
      <c r="L152" s="178"/>
      <c r="M152" s="178"/>
      <c r="N152" s="180">
        <f t="shared" ca="1" si="0"/>
        <v>0</v>
      </c>
      <c r="O152" s="181">
        <f ca="1">IF(N152&gt;0.25,N152,N152+'Price Sheet (Ignore)'!$G$2)</f>
        <v>0.15</v>
      </c>
      <c r="P152" s="177">
        <f ca="1">O152*'Price Sheet (Ignore)'!$H$2*(E152/3)</f>
        <v>58.424999999999997</v>
      </c>
      <c r="Q152" s="178"/>
      <c r="R152" s="178"/>
      <c r="S152" s="178"/>
    </row>
    <row r="153" spans="1:19" ht="29.25" customHeight="1" x14ac:dyDescent="0.2">
      <c r="A153" s="175" t="str">
        <f ca="1"/>
        <v>Sirong</v>
      </c>
      <c r="B153" s="178" t="str">
        <f ca="1"/>
        <v>Shavia</v>
      </c>
      <c r="C153" s="178" t="str">
        <f ca="1"/>
        <v>Deadford</v>
      </c>
      <c r="D153" s="178" t="str">
        <f ca="1"/>
        <v>Path of Guiding Light</v>
      </c>
      <c r="E153" s="179">
        <f ca="1"/>
        <v>6982</v>
      </c>
      <c r="F153" s="178">
        <f ca="1"/>
        <v>161</v>
      </c>
      <c r="G153" s="178" t="str">
        <f ca="1"/>
        <v/>
      </c>
      <c r="H153" s="178" t="str">
        <f ca="1"/>
        <v/>
      </c>
      <c r="I153" s="178" t="str">
        <f ca="1"/>
        <v>citadel</v>
      </c>
      <c r="J153" s="178" t="str">
        <f ca="1"/>
        <v/>
      </c>
      <c r="K153" s="178" t="str">
        <f ca="1"/>
        <v>plaza</v>
      </c>
      <c r="L153" s="178"/>
      <c r="M153" s="178"/>
      <c r="N153" s="180">
        <f t="shared" ca="1" si="0"/>
        <v>0.1</v>
      </c>
      <c r="O153" s="181">
        <f ca="1">IF(N153&gt;0.25,N153,N153+'Price Sheet (Ignore)'!$G$2)</f>
        <v>0.25</v>
      </c>
      <c r="P153" s="177">
        <f ca="1">O153*'Price Sheet (Ignore)'!$H$2*(E153/3)</f>
        <v>290.91666666666669</v>
      </c>
      <c r="Q153" s="178"/>
      <c r="R153" s="178"/>
      <c r="S153" s="178"/>
    </row>
    <row r="154" spans="1:19" ht="29.25" customHeight="1" x14ac:dyDescent="0.2">
      <c r="A154" s="175" t="str">
        <f ca="1"/>
        <v>Dreghold</v>
      </c>
      <c r="B154" s="178" t="str">
        <f ca="1"/>
        <v>Shavia</v>
      </c>
      <c r="C154" s="178" t="str">
        <f ca="1"/>
        <v>Oatercoast</v>
      </c>
      <c r="D154" s="178" t="str">
        <f ca="1"/>
        <v>Path of Guiding Light</v>
      </c>
      <c r="E154" s="179">
        <f ca="1"/>
        <v>9448</v>
      </c>
      <c r="F154" s="178">
        <f ca="1"/>
        <v>643</v>
      </c>
      <c r="G154" s="178" t="str">
        <f ca="1"/>
        <v/>
      </c>
      <c r="H154" s="178" t="str">
        <f ca="1"/>
        <v/>
      </c>
      <c r="I154" s="178" t="str">
        <f ca="1"/>
        <v/>
      </c>
      <c r="J154" s="178" t="str">
        <f ca="1"/>
        <v/>
      </c>
      <c r="K154" s="178" t="str">
        <f ca="1"/>
        <v/>
      </c>
      <c r="L154" s="178"/>
      <c r="M154" s="178"/>
      <c r="N154" s="180">
        <f t="shared" ca="1" si="0"/>
        <v>0</v>
      </c>
      <c r="O154" s="181">
        <f ca="1">IF(N154&gt;0.25,N154,N154+'Price Sheet (Ignore)'!$G$2)</f>
        <v>0.15</v>
      </c>
      <c r="P154" s="177">
        <f ca="1">O154*'Price Sheet (Ignore)'!$H$2*(E154/3)</f>
        <v>236.2</v>
      </c>
      <c r="Q154" s="178"/>
      <c r="R154" s="178"/>
      <c r="S154" s="178"/>
    </row>
    <row r="155" spans="1:19" ht="29.25" customHeight="1" x14ac:dyDescent="0.2">
      <c r="A155" s="175" t="str">
        <f ca="1"/>
        <v>Madinglia</v>
      </c>
      <c r="B155" s="178" t="str">
        <f ca="1"/>
        <v>Shavia</v>
      </c>
      <c r="C155" s="178" t="str">
        <f ca="1"/>
        <v>Slutiarm</v>
      </c>
      <c r="D155" s="178" t="str">
        <f ca="1"/>
        <v>Children of Stone</v>
      </c>
      <c r="E155" s="179">
        <f ca="1"/>
        <v>20004</v>
      </c>
      <c r="F155" s="178">
        <f ca="1"/>
        <v>7559</v>
      </c>
      <c r="G155" s="178" t="str">
        <f ca="1"/>
        <v/>
      </c>
      <c r="H155" s="178" t="str">
        <f ca="1"/>
        <v/>
      </c>
      <c r="I155" s="178" t="str">
        <f ca="1"/>
        <v>citadel</v>
      </c>
      <c r="J155" s="178" t="str">
        <f ca="1"/>
        <v>walls</v>
      </c>
      <c r="K155" s="178" t="str">
        <f ca="1"/>
        <v>plaza</v>
      </c>
      <c r="L155" s="178"/>
      <c r="M155" s="178"/>
      <c r="N155" s="180">
        <f t="shared" ca="1" si="0"/>
        <v>0.03</v>
      </c>
      <c r="O155" s="181">
        <f ca="1">IF(N155&gt;0.25,N155,N155+'Price Sheet (Ignore)'!$G$2)</f>
        <v>0.18</v>
      </c>
      <c r="P155" s="177">
        <f ca="1">O155*'Price Sheet (Ignore)'!$H$2*(E155/3)</f>
        <v>600.12</v>
      </c>
      <c r="Q155" s="178"/>
      <c r="R155" s="178"/>
      <c r="S155" s="178"/>
    </row>
    <row r="156" spans="1:19" ht="29.25" customHeight="1" x14ac:dyDescent="0.2">
      <c r="A156" s="175" t="str">
        <f ca="1"/>
        <v>Madinglia</v>
      </c>
      <c r="B156" s="178" t="str">
        <f ca="1"/>
        <v>Shavia</v>
      </c>
      <c r="C156" s="178" t="str">
        <f ca="1"/>
        <v>Yeobury</v>
      </c>
      <c r="D156" s="178" t="str">
        <f ca="1"/>
        <v>No religion</v>
      </c>
      <c r="E156" s="179">
        <f ca="1"/>
        <v>1115</v>
      </c>
      <c r="F156" s="178">
        <f ca="1"/>
        <v>7248</v>
      </c>
      <c r="G156" s="178" t="str">
        <f ca="1"/>
        <v/>
      </c>
      <c r="H156" s="178" t="str">
        <f ca="1"/>
        <v/>
      </c>
      <c r="I156" s="178" t="str">
        <f ca="1"/>
        <v/>
      </c>
      <c r="J156" s="178" t="str">
        <f ca="1"/>
        <v/>
      </c>
      <c r="K156" s="178" t="str">
        <f ca="1"/>
        <v/>
      </c>
      <c r="L156" s="178"/>
      <c r="M156" s="178"/>
      <c r="N156" s="180">
        <f t="shared" ca="1" si="0"/>
        <v>0</v>
      </c>
      <c r="O156" s="181">
        <f ca="1">IF(N156&gt;0.25,N156,N156+'Price Sheet (Ignore)'!$G$2)</f>
        <v>0.15</v>
      </c>
      <c r="P156" s="177">
        <f ca="1">O156*'Price Sheet (Ignore)'!$H$2*(E156/3)</f>
        <v>27.875</v>
      </c>
      <c r="Q156" s="178"/>
      <c r="R156" s="178"/>
      <c r="S156" s="178"/>
    </row>
    <row r="157" spans="1:19" ht="29.25" customHeight="1" x14ac:dyDescent="0.2">
      <c r="A157" s="175" t="str">
        <f ca="1"/>
        <v>Madinglia</v>
      </c>
      <c r="B157" s="178" t="str">
        <f ca="1"/>
        <v>Shavia</v>
      </c>
      <c r="C157" s="178" t="str">
        <f ca="1"/>
        <v>Thornwell</v>
      </c>
      <c r="D157" s="178" t="str">
        <f ca="1"/>
        <v>Children of Stone</v>
      </c>
      <c r="E157" s="179">
        <f ca="1"/>
        <v>3288</v>
      </c>
      <c r="F157" s="178">
        <f ca="1"/>
        <v>210</v>
      </c>
      <c r="G157" s="178" t="str">
        <f ca="1"/>
        <v/>
      </c>
      <c r="H157" s="178" t="str">
        <f ca="1"/>
        <v/>
      </c>
      <c r="I157" s="178" t="str">
        <f ca="1"/>
        <v>citadel</v>
      </c>
      <c r="J157" s="178" t="str">
        <f ca="1"/>
        <v/>
      </c>
      <c r="K157" s="178" t="str">
        <f ca="1"/>
        <v/>
      </c>
      <c r="L157" s="178"/>
      <c r="M157" s="178"/>
      <c r="N157" s="180">
        <f t="shared" ca="1" si="0"/>
        <v>0.05</v>
      </c>
      <c r="O157" s="181">
        <f ca="1">IF(N157&gt;0.25,N157,N157+'Price Sheet (Ignore)'!$G$2)</f>
        <v>0.2</v>
      </c>
      <c r="P157" s="177">
        <f ca="1">O157*'Price Sheet (Ignore)'!$H$2*(E157/3)</f>
        <v>109.60000000000001</v>
      </c>
      <c r="Q157" s="178"/>
      <c r="R157" s="178"/>
      <c r="S157" s="178"/>
    </row>
    <row r="158" spans="1:19" ht="29.25" customHeight="1" x14ac:dyDescent="0.2">
      <c r="A158" s="175" t="str">
        <f ca="1"/>
        <v>Madinglia</v>
      </c>
      <c r="B158" s="178" t="str">
        <f ca="1"/>
        <v>Shavia</v>
      </c>
      <c r="C158" s="178" t="str">
        <f ca="1"/>
        <v>Brimegrore</v>
      </c>
      <c r="D158" s="178" t="str">
        <f ca="1"/>
        <v>Children of Stone</v>
      </c>
      <c r="E158" s="179">
        <f ca="1"/>
        <v>3294</v>
      </c>
      <c r="F158" s="178">
        <f ca="1"/>
        <v>554</v>
      </c>
      <c r="G158" s="178" t="str">
        <f ca="1"/>
        <v/>
      </c>
      <c r="H158" s="178" t="str">
        <f ca="1"/>
        <v/>
      </c>
      <c r="I158" s="178" t="str">
        <f ca="1"/>
        <v/>
      </c>
      <c r="J158" s="178" t="str">
        <f ca="1"/>
        <v>walls</v>
      </c>
      <c r="K158" s="178" t="str">
        <f ca="1"/>
        <v>plaza</v>
      </c>
      <c r="L158" s="178"/>
      <c r="M158" s="178"/>
      <c r="N158" s="180">
        <f t="shared" ca="1" si="0"/>
        <v>-2.0000000000000004E-2</v>
      </c>
      <c r="O158" s="181">
        <f ca="1">IF(N158&gt;0.25,N158,N158+'Price Sheet (Ignore)'!$G$2)</f>
        <v>0.13</v>
      </c>
      <c r="P158" s="177">
        <f ca="1">O158*'Price Sheet (Ignore)'!$H$2*(E158/3)</f>
        <v>71.37</v>
      </c>
      <c r="Q158" s="178"/>
      <c r="R158" s="178"/>
      <c r="S158" s="178"/>
    </row>
    <row r="159" spans="1:19" ht="29.25" customHeight="1" x14ac:dyDescent="0.2">
      <c r="A159" s="175" t="str">
        <f ca="1"/>
        <v>Madinglia</v>
      </c>
      <c r="B159" s="178" t="str">
        <f ca="1"/>
        <v>Shavia</v>
      </c>
      <c r="C159" s="178" t="str">
        <f ca="1"/>
        <v>Khuld</v>
      </c>
      <c r="D159" s="178" t="str">
        <f ca="1"/>
        <v>Children of Stone</v>
      </c>
      <c r="E159" s="179">
        <f ca="1"/>
        <v>1472</v>
      </c>
      <c r="F159" s="178">
        <f ca="1"/>
        <v>6644</v>
      </c>
      <c r="G159" s="178" t="str">
        <f ca="1"/>
        <v/>
      </c>
      <c r="H159" s="178" t="str">
        <f ca="1"/>
        <v/>
      </c>
      <c r="I159" s="178" t="str">
        <f ca="1"/>
        <v>citadel</v>
      </c>
      <c r="J159" s="178" t="str">
        <f ca="1"/>
        <v/>
      </c>
      <c r="K159" s="178" t="str">
        <f ca="1"/>
        <v/>
      </c>
      <c r="L159" s="178"/>
      <c r="M159" s="178"/>
      <c r="N159" s="180">
        <f t="shared" ca="1" si="0"/>
        <v>0.05</v>
      </c>
      <c r="O159" s="181">
        <f ca="1">IF(N159&gt;0.25,N159,N159+'Price Sheet (Ignore)'!$G$2)</f>
        <v>0.2</v>
      </c>
      <c r="P159" s="177">
        <f ca="1">O159*'Price Sheet (Ignore)'!$H$2*(E159/3)</f>
        <v>49.06666666666667</v>
      </c>
      <c r="Q159" s="178"/>
      <c r="R159" s="178"/>
      <c r="S159" s="178"/>
    </row>
    <row r="160" spans="1:19" ht="29.25" customHeight="1" x14ac:dyDescent="0.2">
      <c r="A160" s="175" t="str">
        <f ca="1"/>
        <v>Madinglia</v>
      </c>
      <c r="B160" s="178" t="str">
        <f ca="1"/>
        <v>Shavia</v>
      </c>
      <c r="C160" s="178" t="str">
        <f ca="1"/>
        <v>Nilbog</v>
      </c>
      <c r="D160" s="178" t="str">
        <f ca="1"/>
        <v>Children of Stone</v>
      </c>
      <c r="E160" s="179">
        <f ca="1"/>
        <v>2947</v>
      </c>
      <c r="F160" s="178">
        <f ca="1"/>
        <v>2392</v>
      </c>
      <c r="G160" s="178" t="str">
        <f ca="1"/>
        <v/>
      </c>
      <c r="H160" s="178" t="str">
        <f ca="1"/>
        <v/>
      </c>
      <c r="I160" s="178" t="str">
        <f ca="1"/>
        <v/>
      </c>
      <c r="J160" s="178" t="str">
        <f ca="1"/>
        <v/>
      </c>
      <c r="K160" s="178" t="str">
        <f ca="1"/>
        <v>plaza</v>
      </c>
      <c r="L160" s="178"/>
      <c r="M160" s="178"/>
      <c r="N160" s="180">
        <f t="shared" ca="1" si="0"/>
        <v>0.05</v>
      </c>
      <c r="O160" s="181">
        <f ca="1">IF(N160&gt;0.25,N160,N160+'Price Sheet (Ignore)'!$G$2)</f>
        <v>0.2</v>
      </c>
      <c r="P160" s="177">
        <f ca="1">O160*'Price Sheet (Ignore)'!$H$2*(E160/3)</f>
        <v>98.233333333333348</v>
      </c>
      <c r="Q160" s="178"/>
      <c r="R160" s="178"/>
      <c r="S160" s="178"/>
    </row>
    <row r="161" spans="1:19" ht="29.25" customHeight="1" x14ac:dyDescent="0.2">
      <c r="A161" s="175" t="str">
        <f ca="1"/>
        <v>Madinglia</v>
      </c>
      <c r="B161" s="178" t="str">
        <f ca="1"/>
        <v>Shavia</v>
      </c>
      <c r="C161" s="178" t="str">
        <f ca="1"/>
        <v>Newtown</v>
      </c>
      <c r="D161" s="178" t="str">
        <f ca="1"/>
        <v>Children of Stone</v>
      </c>
      <c r="E161" s="179">
        <f ca="1"/>
        <v>3250</v>
      </c>
      <c r="F161" s="178">
        <f ca="1"/>
        <v>118</v>
      </c>
      <c r="G161" s="178" t="str">
        <f ca="1"/>
        <v/>
      </c>
      <c r="H161" s="178" t="str">
        <f ca="1"/>
        <v/>
      </c>
      <c r="I161" s="178" t="str">
        <f ca="1"/>
        <v>citadel</v>
      </c>
      <c r="J161" s="178" t="str">
        <f ca="1"/>
        <v/>
      </c>
      <c r="K161" s="178" t="str">
        <f ca="1"/>
        <v>plaza</v>
      </c>
      <c r="L161" s="178"/>
      <c r="M161" s="178"/>
      <c r="N161" s="180">
        <f t="shared" ca="1" si="0"/>
        <v>0.1</v>
      </c>
      <c r="O161" s="181">
        <f ca="1">IF(N161&gt;0.25,N161,N161+'Price Sheet (Ignore)'!$G$2)</f>
        <v>0.25</v>
      </c>
      <c r="P161" s="177">
        <f ca="1">O161*'Price Sheet (Ignore)'!$H$2*(E161/3)</f>
        <v>135.41666666666666</v>
      </c>
      <c r="Q161" s="178"/>
      <c r="R161" s="178"/>
      <c r="S161" s="178"/>
    </row>
    <row r="162" spans="1:19" ht="29.25" customHeight="1" x14ac:dyDescent="0.2">
      <c r="A162" s="175" t="str">
        <f ca="1"/>
        <v>Madinglia</v>
      </c>
      <c r="B162" s="178" t="str">
        <f ca="1"/>
        <v>Shavia</v>
      </c>
      <c r="C162" s="178" t="str">
        <f ca="1"/>
        <v>Rordgoz</v>
      </c>
      <c r="D162" s="178" t="str">
        <f ca="1"/>
        <v>Elsevercism</v>
      </c>
      <c r="E162" s="179">
        <f ca="1"/>
        <v>1849</v>
      </c>
      <c r="F162" s="178">
        <f ca="1"/>
        <v>5515</v>
      </c>
      <c r="G162" s="178" t="str">
        <f ca="1"/>
        <v/>
      </c>
      <c r="H162" s="178" t="str">
        <f ca="1"/>
        <v/>
      </c>
      <c r="I162" s="178" t="str">
        <f ca="1"/>
        <v>citadel</v>
      </c>
      <c r="J162" s="178" t="str">
        <f ca="1"/>
        <v>walls</v>
      </c>
      <c r="K162" s="178" t="str">
        <f ca="1"/>
        <v/>
      </c>
      <c r="L162" s="178"/>
      <c r="M162" s="178"/>
      <c r="N162" s="180">
        <f t="shared" ca="1" si="0"/>
        <v>-2.0000000000000004E-2</v>
      </c>
      <c r="O162" s="181">
        <f ca="1">IF(N162&gt;0.25,N162,N162+'Price Sheet (Ignore)'!$G$2)</f>
        <v>0.13</v>
      </c>
      <c r="P162" s="177">
        <f ca="1">O162*'Price Sheet (Ignore)'!$H$2*(E162/3)</f>
        <v>40.061666666666667</v>
      </c>
      <c r="Q162" s="178"/>
      <c r="R162" s="178"/>
      <c r="S162" s="178"/>
    </row>
    <row r="163" spans="1:19" ht="29.25" customHeight="1" x14ac:dyDescent="0.2">
      <c r="A163" s="175" t="str">
        <f ca="1"/>
        <v>Madinglia</v>
      </c>
      <c r="B163" s="178" t="str">
        <f ca="1"/>
        <v>Shavia</v>
      </c>
      <c r="C163" s="178" t="str">
        <f ca="1"/>
        <v>Persterton</v>
      </c>
      <c r="D163" s="178" t="str">
        <f ca="1"/>
        <v>Children of Stone</v>
      </c>
      <c r="E163" s="179">
        <f ca="1"/>
        <v>1174</v>
      </c>
      <c r="F163" s="178">
        <f ca="1"/>
        <v>6644</v>
      </c>
      <c r="G163" s="178" t="str">
        <f ca="1"/>
        <v/>
      </c>
      <c r="H163" s="178" t="str">
        <f ca="1"/>
        <v/>
      </c>
      <c r="I163" s="178" t="str">
        <f ca="1"/>
        <v/>
      </c>
      <c r="J163" s="178" t="str">
        <f ca="1"/>
        <v>walls</v>
      </c>
      <c r="K163" s="178" t="str">
        <f ca="1"/>
        <v/>
      </c>
      <c r="L163" s="178"/>
      <c r="M163" s="178"/>
      <c r="N163" s="180">
        <f t="shared" ca="1" si="0"/>
        <v>-7.0000000000000007E-2</v>
      </c>
      <c r="O163" s="181">
        <f ca="1">IF(N163&gt;0.25,N163,N163+'Price Sheet (Ignore)'!$G$2)</f>
        <v>7.9999999999999988E-2</v>
      </c>
      <c r="P163" s="177">
        <f ca="1">O163*'Price Sheet (Ignore)'!$H$2*(E163/3)</f>
        <v>15.653333333333331</v>
      </c>
      <c r="Q163" s="178"/>
      <c r="R163" s="178"/>
      <c r="S163" s="178"/>
    </row>
    <row r="164" spans="1:19" ht="29.25" customHeight="1" x14ac:dyDescent="0.2">
      <c r="A164" s="175" t="str">
        <f ca="1"/>
        <v>Madinglia</v>
      </c>
      <c r="B164" s="178" t="str">
        <f ca="1"/>
        <v>Shavia</v>
      </c>
      <c r="C164" s="178" t="str">
        <f ca="1"/>
        <v>Ishzit</v>
      </c>
      <c r="D164" s="178" t="str">
        <f ca="1"/>
        <v>Children of Stone</v>
      </c>
      <c r="E164" s="179">
        <f ca="1"/>
        <v>1857</v>
      </c>
      <c r="F164" s="178">
        <f ca="1"/>
        <v>4492</v>
      </c>
      <c r="G164" s="178" t="str">
        <f ca="1"/>
        <v/>
      </c>
      <c r="H164" s="178" t="str">
        <f ca="1"/>
        <v/>
      </c>
      <c r="I164" s="178" t="str">
        <f ca="1"/>
        <v/>
      </c>
      <c r="J164" s="178" t="str">
        <f ca="1"/>
        <v/>
      </c>
      <c r="K164" s="178" t="str">
        <f ca="1"/>
        <v/>
      </c>
      <c r="L164" s="178"/>
      <c r="M164" s="178"/>
      <c r="N164" s="180">
        <f t="shared" ca="1" si="0"/>
        <v>0</v>
      </c>
      <c r="O164" s="181">
        <f ca="1">IF(N164&gt;0.25,N164,N164+'Price Sheet (Ignore)'!$G$2)</f>
        <v>0.15</v>
      </c>
      <c r="P164" s="177">
        <f ca="1">O164*'Price Sheet (Ignore)'!$H$2*(E164/3)</f>
        <v>46.424999999999997</v>
      </c>
      <c r="Q164" s="178"/>
      <c r="R164" s="178"/>
      <c r="S164" s="178"/>
    </row>
    <row r="165" spans="1:19" ht="29.25" customHeight="1" x14ac:dyDescent="0.2">
      <c r="A165" s="175" t="str">
        <f ca="1"/>
        <v>Madinglia</v>
      </c>
      <c r="B165" s="178" t="str">
        <f ca="1"/>
        <v>Shavia</v>
      </c>
      <c r="C165" s="178" t="str">
        <f ca="1"/>
        <v>Buggalhob</v>
      </c>
      <c r="D165" s="178" t="str">
        <f ca="1"/>
        <v>Children of Stone</v>
      </c>
      <c r="E165" s="179">
        <f ca="1"/>
        <v>1506</v>
      </c>
      <c r="F165" s="178">
        <f ca="1"/>
        <v>6067</v>
      </c>
      <c r="G165" s="178" t="str">
        <f ca="1"/>
        <v/>
      </c>
      <c r="H165" s="178" t="str">
        <f ca="1"/>
        <v/>
      </c>
      <c r="I165" s="178" t="str">
        <f ca="1"/>
        <v/>
      </c>
      <c r="J165" s="178" t="str">
        <f ca="1"/>
        <v/>
      </c>
      <c r="K165" s="178" t="str">
        <f ca="1"/>
        <v/>
      </c>
      <c r="L165" s="178"/>
      <c r="M165" s="178"/>
      <c r="N165" s="180">
        <f t="shared" ca="1" si="0"/>
        <v>0</v>
      </c>
      <c r="O165" s="181">
        <f ca="1">IF(N165&gt;0.25,N165,N165+'Price Sheet (Ignore)'!$G$2)</f>
        <v>0.15</v>
      </c>
      <c r="P165" s="177">
        <f ca="1">O165*'Price Sheet (Ignore)'!$H$2*(E165/3)</f>
        <v>37.65</v>
      </c>
      <c r="Q165" s="178"/>
      <c r="R165" s="178"/>
      <c r="S165" s="178"/>
    </row>
    <row r="166" spans="1:19" ht="29.25" customHeight="1" x14ac:dyDescent="0.2">
      <c r="A166" s="175" t="str">
        <f ca="1"/>
        <v>Madinglia</v>
      </c>
      <c r="B166" s="178" t="str">
        <f ca="1"/>
        <v>Shavia</v>
      </c>
      <c r="C166" s="178" t="str">
        <f ca="1"/>
        <v>Brid</v>
      </c>
      <c r="D166" s="178" t="str">
        <f ca="1"/>
        <v>Children of Stone</v>
      </c>
      <c r="E166" s="179">
        <f ca="1"/>
        <v>1867</v>
      </c>
      <c r="F166" s="178">
        <f ca="1"/>
        <v>4738</v>
      </c>
      <c r="G166" s="178" t="str">
        <f ca="1"/>
        <v/>
      </c>
      <c r="H166" s="178" t="str">
        <f ca="1"/>
        <v/>
      </c>
      <c r="I166" s="178" t="str">
        <f ca="1"/>
        <v/>
      </c>
      <c r="J166" s="178" t="str">
        <f ca="1"/>
        <v/>
      </c>
      <c r="K166" s="178" t="str">
        <f ca="1"/>
        <v/>
      </c>
      <c r="L166" s="178"/>
      <c r="M166" s="178"/>
      <c r="N166" s="180">
        <f t="shared" ca="1" si="0"/>
        <v>0</v>
      </c>
      <c r="O166" s="181">
        <f ca="1">IF(N166&gt;0.25,N166,N166+'Price Sheet (Ignore)'!$G$2)</f>
        <v>0.15</v>
      </c>
      <c r="P166" s="177">
        <f ca="1">O166*'Price Sheet (Ignore)'!$H$2*(E166/3)</f>
        <v>46.675000000000004</v>
      </c>
      <c r="Q166" s="178"/>
      <c r="R166" s="178"/>
      <c r="S166" s="178"/>
    </row>
    <row r="167" spans="1:19" ht="29.25" customHeight="1" x14ac:dyDescent="0.2">
      <c r="A167" s="187">
        <v>0</v>
      </c>
      <c r="B167" s="35">
        <v>0</v>
      </c>
      <c r="C167" s="35">
        <v>0</v>
      </c>
      <c r="D167" s="35">
        <v>0</v>
      </c>
      <c r="E167" s="28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/>
      <c r="M167" s="35"/>
      <c r="N167" s="188"/>
      <c r="O167" s="188"/>
      <c r="P167" s="23"/>
      <c r="Q167" s="35"/>
      <c r="R167" s="35"/>
      <c r="S167" s="35"/>
    </row>
    <row r="168" spans="1:19" ht="29.25" customHeight="1" x14ac:dyDescent="0.2">
      <c r="A168" s="187">
        <v>0</v>
      </c>
      <c r="B168" s="35">
        <v>0</v>
      </c>
      <c r="C168" s="35">
        <v>0</v>
      </c>
      <c r="D168" s="35">
        <v>0</v>
      </c>
      <c r="E168" s="28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/>
      <c r="M168" s="35"/>
      <c r="N168" s="188"/>
      <c r="O168" s="188"/>
      <c r="P168" s="23"/>
      <c r="Q168" s="35"/>
      <c r="R168" s="35"/>
      <c r="S168" s="35"/>
    </row>
    <row r="169" spans="1:19" ht="29.25" customHeight="1" x14ac:dyDescent="0.2">
      <c r="A169" s="187">
        <v>0</v>
      </c>
      <c r="B169" s="35">
        <v>0</v>
      </c>
      <c r="C169" s="35">
        <v>0</v>
      </c>
      <c r="D169" s="35">
        <v>0</v>
      </c>
      <c r="E169" s="28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/>
      <c r="M169" s="35"/>
      <c r="N169" s="188"/>
      <c r="O169" s="188"/>
      <c r="P169" s="23"/>
      <c r="Q169" s="35"/>
      <c r="R169" s="35"/>
      <c r="S169" s="35"/>
    </row>
    <row r="170" spans="1:19" ht="29.25" customHeight="1" x14ac:dyDescent="0.2">
      <c r="A170" s="187">
        <v>0</v>
      </c>
      <c r="B170" s="35">
        <v>0</v>
      </c>
      <c r="C170" s="35">
        <v>0</v>
      </c>
      <c r="D170" s="35">
        <v>0</v>
      </c>
      <c r="E170" s="28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/>
      <c r="M170" s="35"/>
      <c r="N170" s="188"/>
      <c r="O170" s="188"/>
      <c r="P170" s="23"/>
      <c r="Q170" s="35"/>
      <c r="R170" s="35"/>
      <c r="S170" s="35"/>
    </row>
    <row r="171" spans="1:19" ht="29.25" customHeight="1" x14ac:dyDescent="0.2">
      <c r="A171" s="187">
        <v>0</v>
      </c>
      <c r="B171" s="35">
        <v>0</v>
      </c>
      <c r="C171" s="35">
        <v>0</v>
      </c>
      <c r="D171" s="35">
        <v>0</v>
      </c>
      <c r="E171" s="28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/>
      <c r="M171" s="35"/>
      <c r="N171" s="188"/>
      <c r="O171" s="188"/>
      <c r="P171" s="23"/>
      <c r="Q171" s="35"/>
      <c r="R171" s="35"/>
      <c r="S171" s="35"/>
    </row>
    <row r="172" spans="1:19" ht="29.25" customHeight="1" x14ac:dyDescent="0.2">
      <c r="A172" s="187">
        <v>0</v>
      </c>
      <c r="B172" s="35">
        <v>0</v>
      </c>
      <c r="C172" s="35">
        <v>0</v>
      </c>
      <c r="D172" s="35">
        <v>0</v>
      </c>
      <c r="E172" s="28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/>
      <c r="M172" s="35"/>
      <c r="N172" s="188"/>
      <c r="O172" s="188"/>
      <c r="P172" s="23"/>
      <c r="Q172" s="35"/>
      <c r="R172" s="35"/>
      <c r="S172" s="35"/>
    </row>
    <row r="173" spans="1:19" ht="29.25" customHeight="1" x14ac:dyDescent="0.2">
      <c r="A173" s="187">
        <v>0</v>
      </c>
      <c r="B173" s="35">
        <v>0</v>
      </c>
      <c r="C173" s="35">
        <v>0</v>
      </c>
      <c r="D173" s="35">
        <v>0</v>
      </c>
      <c r="E173" s="28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/>
      <c r="M173" s="35"/>
      <c r="N173" s="188"/>
      <c r="O173" s="188"/>
      <c r="P173" s="23"/>
      <c r="Q173" s="35"/>
      <c r="R173" s="35"/>
      <c r="S173" s="35"/>
    </row>
    <row r="174" spans="1:19" ht="29.25" customHeight="1" x14ac:dyDescent="0.2">
      <c r="A174" s="187">
        <v>0</v>
      </c>
      <c r="B174" s="35">
        <v>0</v>
      </c>
      <c r="C174" s="35">
        <v>0</v>
      </c>
      <c r="D174" s="35">
        <v>0</v>
      </c>
      <c r="E174" s="28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/>
      <c r="M174" s="35"/>
      <c r="N174" s="188"/>
      <c r="O174" s="188"/>
      <c r="P174" s="23"/>
      <c r="Q174" s="35"/>
      <c r="R174" s="35"/>
      <c r="S174" s="35"/>
    </row>
    <row r="175" spans="1:19" ht="29.25" customHeight="1" x14ac:dyDescent="0.2">
      <c r="A175" s="187">
        <v>0</v>
      </c>
      <c r="B175" s="35">
        <v>0</v>
      </c>
      <c r="C175" s="35">
        <v>0</v>
      </c>
      <c r="D175" s="35">
        <v>0</v>
      </c>
      <c r="E175" s="28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/>
      <c r="M175" s="35"/>
      <c r="N175" s="188"/>
      <c r="O175" s="188"/>
      <c r="P175" s="23"/>
      <c r="Q175" s="35"/>
      <c r="R175" s="35"/>
      <c r="S175" s="35"/>
    </row>
    <row r="176" spans="1:19" ht="29.25" customHeight="1" x14ac:dyDescent="0.2">
      <c r="A176" s="187">
        <v>0</v>
      </c>
      <c r="B176" s="35">
        <v>0</v>
      </c>
      <c r="C176" s="35">
        <v>0</v>
      </c>
      <c r="D176" s="35">
        <v>0</v>
      </c>
      <c r="E176" s="28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/>
      <c r="M176" s="35"/>
      <c r="N176" s="188"/>
      <c r="O176" s="188"/>
      <c r="P176" s="23"/>
      <c r="Q176" s="35"/>
      <c r="R176" s="35"/>
      <c r="S176" s="35"/>
    </row>
    <row r="177" spans="1:19" ht="29.25" customHeight="1" x14ac:dyDescent="0.2">
      <c r="A177" s="187">
        <v>0</v>
      </c>
      <c r="B177" s="35">
        <v>0</v>
      </c>
      <c r="C177" s="35">
        <v>0</v>
      </c>
      <c r="D177" s="35">
        <v>0</v>
      </c>
      <c r="E177" s="28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/>
      <c r="M177" s="35"/>
      <c r="N177" s="188"/>
      <c r="O177" s="188"/>
      <c r="P177" s="23"/>
      <c r="Q177" s="35"/>
      <c r="R177" s="35"/>
      <c r="S177" s="35"/>
    </row>
    <row r="178" spans="1:19" ht="29.25" customHeight="1" x14ac:dyDescent="0.2">
      <c r="A178" s="187">
        <v>0</v>
      </c>
      <c r="B178" s="35">
        <v>0</v>
      </c>
      <c r="C178" s="35">
        <v>0</v>
      </c>
      <c r="D178" s="35">
        <v>0</v>
      </c>
      <c r="E178" s="28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/>
      <c r="M178" s="35"/>
      <c r="N178" s="188"/>
      <c r="O178" s="188"/>
      <c r="P178" s="23"/>
      <c r="Q178" s="35"/>
      <c r="R178" s="35"/>
      <c r="S178" s="35"/>
    </row>
    <row r="179" spans="1:19" ht="29.25" customHeight="1" x14ac:dyDescent="0.2">
      <c r="A179" s="187">
        <v>0</v>
      </c>
      <c r="B179" s="35">
        <v>0</v>
      </c>
      <c r="C179" s="35">
        <v>0</v>
      </c>
      <c r="D179" s="35">
        <v>0</v>
      </c>
      <c r="E179" s="28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/>
      <c r="M179" s="35"/>
      <c r="N179" s="188"/>
      <c r="O179" s="188"/>
      <c r="P179" s="23"/>
      <c r="Q179" s="35"/>
      <c r="R179" s="35"/>
      <c r="S179" s="35"/>
    </row>
    <row r="180" spans="1:19" ht="29.25" customHeight="1" x14ac:dyDescent="0.2">
      <c r="A180" s="187">
        <v>0</v>
      </c>
      <c r="B180" s="35">
        <v>0</v>
      </c>
      <c r="C180" s="35">
        <v>0</v>
      </c>
      <c r="D180" s="35">
        <v>0</v>
      </c>
      <c r="E180" s="28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/>
      <c r="M180" s="35"/>
      <c r="N180" s="188"/>
      <c r="O180" s="188"/>
      <c r="P180" s="23"/>
      <c r="Q180" s="35"/>
      <c r="R180" s="35"/>
      <c r="S180" s="35"/>
    </row>
    <row r="181" spans="1:19" ht="29.25" customHeight="1" x14ac:dyDescent="0.2">
      <c r="A181" s="187">
        <v>0</v>
      </c>
      <c r="B181" s="35">
        <v>0</v>
      </c>
      <c r="C181" s="35">
        <v>0</v>
      </c>
      <c r="D181" s="35">
        <v>0</v>
      </c>
      <c r="E181" s="28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/>
      <c r="M181" s="35"/>
      <c r="N181" s="188"/>
      <c r="O181" s="188"/>
      <c r="P181" s="23"/>
      <c r="Q181" s="35"/>
      <c r="R181" s="35"/>
      <c r="S181" s="35"/>
    </row>
    <row r="182" spans="1:19" ht="29.25" customHeight="1" x14ac:dyDescent="0.2">
      <c r="A182" s="187">
        <v>0</v>
      </c>
      <c r="B182" s="35">
        <v>0</v>
      </c>
      <c r="C182" s="35">
        <v>0</v>
      </c>
      <c r="D182" s="35">
        <v>0</v>
      </c>
      <c r="E182" s="28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/>
      <c r="M182" s="35"/>
      <c r="N182" s="188"/>
      <c r="O182" s="188"/>
      <c r="P182" s="23"/>
      <c r="Q182" s="35"/>
      <c r="R182" s="35"/>
      <c r="S182" s="35"/>
    </row>
    <row r="183" spans="1:19" ht="29.25" customHeight="1" x14ac:dyDescent="0.2">
      <c r="A183" s="187">
        <v>0</v>
      </c>
      <c r="B183" s="35">
        <v>0</v>
      </c>
      <c r="C183" s="35">
        <v>0</v>
      </c>
      <c r="D183" s="35">
        <v>0</v>
      </c>
      <c r="E183" s="28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/>
      <c r="M183" s="35"/>
      <c r="N183" s="188"/>
      <c r="O183" s="188"/>
      <c r="P183" s="23"/>
      <c r="Q183" s="35"/>
      <c r="R183" s="35"/>
      <c r="S183" s="35"/>
    </row>
    <row r="184" spans="1:19" ht="29.25" customHeight="1" x14ac:dyDescent="0.2">
      <c r="A184" s="187">
        <v>0</v>
      </c>
      <c r="B184" s="35">
        <v>0</v>
      </c>
      <c r="C184" s="35">
        <v>0</v>
      </c>
      <c r="D184" s="35">
        <v>0</v>
      </c>
      <c r="E184" s="28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/>
      <c r="M184" s="35"/>
      <c r="N184" s="188"/>
      <c r="O184" s="188"/>
      <c r="P184" s="23"/>
      <c r="Q184" s="35"/>
      <c r="R184" s="35"/>
      <c r="S184" s="35"/>
    </row>
    <row r="185" spans="1:19" ht="29.25" customHeight="1" x14ac:dyDescent="0.2">
      <c r="A185" s="187">
        <v>0</v>
      </c>
      <c r="B185" s="35">
        <v>0</v>
      </c>
      <c r="C185" s="35">
        <v>0</v>
      </c>
      <c r="D185" s="35">
        <v>0</v>
      </c>
      <c r="E185" s="28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/>
      <c r="M185" s="35"/>
      <c r="N185" s="188"/>
      <c r="O185" s="188"/>
      <c r="P185" s="23"/>
      <c r="Q185" s="35"/>
      <c r="R185" s="35"/>
      <c r="S185" s="35"/>
    </row>
    <row r="186" spans="1:19" ht="29.25" customHeight="1" x14ac:dyDescent="0.2">
      <c r="A186" s="187">
        <v>0</v>
      </c>
      <c r="B186" s="35">
        <v>0</v>
      </c>
      <c r="C186" s="35">
        <v>0</v>
      </c>
      <c r="D186" s="35">
        <v>0</v>
      </c>
      <c r="E186" s="28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/>
      <c r="M186" s="35"/>
      <c r="N186" s="188"/>
      <c r="O186" s="188"/>
      <c r="P186" s="23"/>
      <c r="Q186" s="35"/>
      <c r="R186" s="35"/>
      <c r="S186" s="35"/>
    </row>
    <row r="187" spans="1:19" ht="29.25" customHeight="1" x14ac:dyDescent="0.2">
      <c r="A187" s="187">
        <v>0</v>
      </c>
      <c r="B187" s="35">
        <v>0</v>
      </c>
      <c r="C187" s="35">
        <v>0</v>
      </c>
      <c r="D187" s="35">
        <v>0</v>
      </c>
      <c r="E187" s="28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/>
      <c r="M187" s="35"/>
      <c r="N187" s="188"/>
      <c r="O187" s="188"/>
      <c r="P187" s="23"/>
      <c r="Q187" s="35"/>
      <c r="R187" s="35"/>
      <c r="S187" s="35"/>
    </row>
    <row r="188" spans="1:19" ht="29.25" customHeight="1" x14ac:dyDescent="0.2">
      <c r="A188" s="187">
        <v>0</v>
      </c>
      <c r="B188" s="35">
        <v>0</v>
      </c>
      <c r="C188" s="35">
        <v>0</v>
      </c>
      <c r="D188" s="35">
        <v>0</v>
      </c>
      <c r="E188" s="28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/>
      <c r="M188" s="35"/>
      <c r="N188" s="188"/>
      <c r="O188" s="188"/>
      <c r="P188" s="23"/>
      <c r="Q188" s="35"/>
      <c r="R188" s="35"/>
      <c r="S188" s="35"/>
    </row>
    <row r="189" spans="1:19" ht="29.25" customHeight="1" x14ac:dyDescent="0.2">
      <c r="A189" s="187">
        <v>0</v>
      </c>
      <c r="B189" s="35">
        <v>0</v>
      </c>
      <c r="C189" s="35">
        <v>0</v>
      </c>
      <c r="D189" s="35">
        <v>0</v>
      </c>
      <c r="E189" s="28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/>
      <c r="M189" s="35"/>
      <c r="N189" s="188"/>
      <c r="O189" s="188"/>
      <c r="P189" s="23"/>
      <c r="Q189" s="35"/>
      <c r="R189" s="35"/>
      <c r="S189" s="35"/>
    </row>
    <row r="190" spans="1:19" ht="29.25" customHeight="1" x14ac:dyDescent="0.2">
      <c r="A190" s="187">
        <v>0</v>
      </c>
      <c r="B190" s="35">
        <v>0</v>
      </c>
      <c r="C190" s="35">
        <v>0</v>
      </c>
      <c r="D190" s="35">
        <v>0</v>
      </c>
      <c r="E190" s="28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/>
      <c r="M190" s="35"/>
      <c r="N190" s="188"/>
      <c r="O190" s="188"/>
      <c r="P190" s="23"/>
      <c r="Q190" s="35"/>
      <c r="R190" s="35"/>
      <c r="S190" s="35"/>
    </row>
    <row r="191" spans="1:19" ht="29.25" customHeight="1" x14ac:dyDescent="0.2">
      <c r="A191" s="187">
        <v>0</v>
      </c>
      <c r="B191" s="35">
        <v>0</v>
      </c>
      <c r="C191" s="35">
        <v>0</v>
      </c>
      <c r="D191" s="35">
        <v>0</v>
      </c>
      <c r="E191" s="28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/>
      <c r="M191" s="35"/>
      <c r="N191" s="188"/>
      <c r="O191" s="188"/>
      <c r="P191" s="23"/>
      <c r="Q191" s="35"/>
      <c r="R191" s="35"/>
      <c r="S191" s="35"/>
    </row>
    <row r="192" spans="1:19" ht="29.25" customHeight="1" x14ac:dyDescent="0.2">
      <c r="A192" s="187">
        <v>0</v>
      </c>
      <c r="B192" s="35">
        <v>0</v>
      </c>
      <c r="C192" s="35">
        <v>0</v>
      </c>
      <c r="D192" s="35">
        <v>0</v>
      </c>
      <c r="E192" s="28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/>
      <c r="M192" s="35"/>
      <c r="N192" s="188"/>
      <c r="O192" s="188"/>
      <c r="P192" s="23"/>
      <c r="Q192" s="35"/>
      <c r="R192" s="35"/>
      <c r="S192" s="35"/>
    </row>
    <row r="193" spans="1:19" ht="29.25" customHeight="1" x14ac:dyDescent="0.2">
      <c r="A193" s="187">
        <v>0</v>
      </c>
      <c r="B193" s="35">
        <v>0</v>
      </c>
      <c r="C193" s="35">
        <v>0</v>
      </c>
      <c r="D193" s="35">
        <v>0</v>
      </c>
      <c r="E193" s="28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/>
      <c r="M193" s="35"/>
      <c r="N193" s="188"/>
      <c r="O193" s="188"/>
      <c r="P193" s="23"/>
      <c r="Q193" s="35"/>
      <c r="R193" s="35"/>
      <c r="S193" s="35"/>
    </row>
    <row r="194" spans="1:19" ht="29.25" customHeight="1" x14ac:dyDescent="0.2">
      <c r="A194" s="187">
        <v>0</v>
      </c>
      <c r="B194" s="35">
        <v>0</v>
      </c>
      <c r="C194" s="35">
        <v>0</v>
      </c>
      <c r="D194" s="35">
        <v>0</v>
      </c>
      <c r="E194" s="28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/>
      <c r="M194" s="35"/>
      <c r="N194" s="188"/>
      <c r="O194" s="188"/>
      <c r="P194" s="23"/>
      <c r="Q194" s="35"/>
      <c r="R194" s="35"/>
      <c r="S194" s="35"/>
    </row>
    <row r="195" spans="1:19" ht="29.25" customHeight="1" x14ac:dyDescent="0.2">
      <c r="A195" s="187">
        <v>0</v>
      </c>
      <c r="B195" s="35">
        <v>0</v>
      </c>
      <c r="C195" s="35">
        <v>0</v>
      </c>
      <c r="D195" s="35">
        <v>0</v>
      </c>
      <c r="E195" s="28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/>
      <c r="M195" s="35"/>
      <c r="N195" s="188"/>
      <c r="O195" s="188"/>
      <c r="P195" s="23"/>
      <c r="Q195" s="35"/>
      <c r="R195" s="35"/>
      <c r="S195" s="35"/>
    </row>
    <row r="196" spans="1:19" ht="29.25" customHeight="1" x14ac:dyDescent="0.2">
      <c r="A196" s="187">
        <v>0</v>
      </c>
      <c r="B196" s="35">
        <v>0</v>
      </c>
      <c r="C196" s="35">
        <v>0</v>
      </c>
      <c r="D196" s="35">
        <v>0</v>
      </c>
      <c r="E196" s="28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/>
      <c r="M196" s="35"/>
      <c r="N196" s="188"/>
      <c r="O196" s="188"/>
      <c r="P196" s="23"/>
      <c r="Q196" s="35"/>
      <c r="R196" s="35"/>
      <c r="S196" s="35"/>
    </row>
    <row r="197" spans="1:19" ht="29.25" customHeight="1" x14ac:dyDescent="0.2">
      <c r="A197" s="187">
        <v>0</v>
      </c>
      <c r="B197" s="35">
        <v>0</v>
      </c>
      <c r="C197" s="35">
        <v>0</v>
      </c>
      <c r="D197" s="35">
        <v>0</v>
      </c>
      <c r="E197" s="28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/>
      <c r="M197" s="35"/>
      <c r="N197" s="188"/>
      <c r="O197" s="188"/>
      <c r="P197" s="23"/>
      <c r="Q197" s="35"/>
      <c r="R197" s="35"/>
      <c r="S197" s="35"/>
    </row>
    <row r="198" spans="1:19" ht="29.25" customHeight="1" x14ac:dyDescent="0.2">
      <c r="A198" s="187">
        <v>0</v>
      </c>
      <c r="B198" s="35">
        <v>0</v>
      </c>
      <c r="C198" s="35">
        <v>0</v>
      </c>
      <c r="D198" s="35">
        <v>0</v>
      </c>
      <c r="E198" s="28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/>
      <c r="M198" s="35"/>
      <c r="N198" s="188"/>
      <c r="O198" s="188"/>
      <c r="P198" s="23"/>
      <c r="Q198" s="35"/>
      <c r="R198" s="35"/>
      <c r="S198" s="35"/>
    </row>
    <row r="199" spans="1:19" ht="29.25" customHeight="1" x14ac:dyDescent="0.2">
      <c r="A199" s="187">
        <v>0</v>
      </c>
      <c r="B199" s="35">
        <v>0</v>
      </c>
      <c r="C199" s="35">
        <v>0</v>
      </c>
      <c r="D199" s="35">
        <v>0</v>
      </c>
      <c r="E199" s="28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/>
      <c r="M199" s="35"/>
      <c r="N199" s="188"/>
      <c r="O199" s="188"/>
      <c r="P199" s="23"/>
      <c r="Q199" s="35"/>
      <c r="R199" s="35"/>
      <c r="S199" s="35"/>
    </row>
    <row r="200" spans="1:19" ht="29.25" customHeight="1" x14ac:dyDescent="0.2">
      <c r="A200" s="187">
        <v>0</v>
      </c>
      <c r="B200" s="35">
        <v>0</v>
      </c>
      <c r="C200" s="35">
        <v>0</v>
      </c>
      <c r="D200" s="35">
        <v>0</v>
      </c>
      <c r="E200" s="28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/>
      <c r="M200" s="35"/>
      <c r="N200" s="188"/>
      <c r="O200" s="188"/>
      <c r="P200" s="23"/>
      <c r="Q200" s="35"/>
      <c r="R200" s="35"/>
      <c r="S200" s="35"/>
    </row>
    <row r="201" spans="1:19" ht="29.25" customHeight="1" x14ac:dyDescent="0.2">
      <c r="A201" s="187">
        <v>0</v>
      </c>
      <c r="B201" s="35">
        <v>0</v>
      </c>
      <c r="C201" s="35">
        <v>0</v>
      </c>
      <c r="D201" s="35">
        <v>0</v>
      </c>
      <c r="E201" s="28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/>
      <c r="M201" s="35"/>
      <c r="N201" s="188"/>
      <c r="O201" s="188"/>
      <c r="P201" s="23"/>
      <c r="Q201" s="35"/>
      <c r="R201" s="35"/>
      <c r="S201" s="35"/>
    </row>
    <row r="202" spans="1:19" ht="29.25" customHeight="1" x14ac:dyDescent="0.2">
      <c r="A202" s="187">
        <v>0</v>
      </c>
      <c r="B202" s="35">
        <v>0</v>
      </c>
      <c r="C202" s="35">
        <v>0</v>
      </c>
      <c r="D202" s="35">
        <v>0</v>
      </c>
      <c r="E202" s="28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/>
      <c r="M202" s="35"/>
      <c r="N202" s="188"/>
      <c r="O202" s="188"/>
      <c r="P202" s="23"/>
      <c r="Q202" s="35"/>
      <c r="R202" s="35"/>
      <c r="S202" s="35"/>
    </row>
    <row r="203" spans="1:19" ht="29.25" customHeight="1" x14ac:dyDescent="0.2">
      <c r="A203" s="187">
        <v>0</v>
      </c>
      <c r="B203" s="35">
        <v>0</v>
      </c>
      <c r="C203" s="35">
        <v>0</v>
      </c>
      <c r="D203" s="35">
        <v>0</v>
      </c>
      <c r="E203" s="28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/>
      <c r="M203" s="35"/>
      <c r="N203" s="188"/>
      <c r="O203" s="188"/>
      <c r="P203" s="23"/>
      <c r="Q203" s="35"/>
      <c r="R203" s="35"/>
      <c r="S203" s="35"/>
    </row>
    <row r="204" spans="1:19" ht="29.25" customHeight="1" x14ac:dyDescent="0.2">
      <c r="A204" s="187">
        <v>0</v>
      </c>
      <c r="B204" s="35">
        <v>0</v>
      </c>
      <c r="C204" s="35">
        <v>0</v>
      </c>
      <c r="D204" s="35">
        <v>0</v>
      </c>
      <c r="E204" s="28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/>
      <c r="M204" s="35"/>
      <c r="N204" s="188"/>
      <c r="O204" s="188"/>
      <c r="P204" s="23"/>
      <c r="Q204" s="35"/>
      <c r="R204" s="35"/>
      <c r="S204" s="35"/>
    </row>
    <row r="205" spans="1:19" ht="29.25" customHeight="1" x14ac:dyDescent="0.2">
      <c r="A205" s="187">
        <v>0</v>
      </c>
      <c r="B205" s="35">
        <v>0</v>
      </c>
      <c r="C205" s="35">
        <v>0</v>
      </c>
      <c r="D205" s="35">
        <v>0</v>
      </c>
      <c r="E205" s="28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/>
      <c r="M205" s="35"/>
      <c r="N205" s="188"/>
      <c r="O205" s="188"/>
      <c r="P205" s="23"/>
      <c r="Q205" s="35"/>
      <c r="R205" s="35"/>
      <c r="S205" s="35"/>
    </row>
    <row r="206" spans="1:19" ht="29.25" customHeight="1" x14ac:dyDescent="0.2">
      <c r="A206" s="187">
        <v>0</v>
      </c>
      <c r="B206" s="35">
        <v>0</v>
      </c>
      <c r="C206" s="35">
        <v>0</v>
      </c>
      <c r="D206" s="35">
        <v>0</v>
      </c>
      <c r="E206" s="28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/>
      <c r="M206" s="35"/>
      <c r="N206" s="188"/>
      <c r="O206" s="188"/>
      <c r="P206" s="23"/>
      <c r="Q206" s="35"/>
      <c r="R206" s="35"/>
      <c r="S206" s="35"/>
    </row>
    <row r="207" spans="1:19" ht="29.25" customHeight="1" x14ac:dyDescent="0.2">
      <c r="A207" s="187">
        <v>0</v>
      </c>
      <c r="B207" s="35">
        <v>0</v>
      </c>
      <c r="C207" s="35">
        <v>0</v>
      </c>
      <c r="D207" s="35">
        <v>0</v>
      </c>
      <c r="E207" s="28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/>
      <c r="M207" s="35"/>
      <c r="N207" s="188"/>
      <c r="O207" s="188"/>
      <c r="P207" s="23"/>
      <c r="Q207" s="35"/>
      <c r="R207" s="35"/>
      <c r="S207" s="35"/>
    </row>
    <row r="208" spans="1:19" ht="29.25" customHeight="1" x14ac:dyDescent="0.2">
      <c r="A208" s="187">
        <v>0</v>
      </c>
      <c r="B208" s="35">
        <v>0</v>
      </c>
      <c r="C208" s="35">
        <v>0</v>
      </c>
      <c r="D208" s="35">
        <v>0</v>
      </c>
      <c r="E208" s="28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/>
      <c r="M208" s="35"/>
      <c r="N208" s="188"/>
      <c r="O208" s="188"/>
      <c r="P208" s="23"/>
      <c r="Q208" s="35"/>
      <c r="R208" s="35"/>
      <c r="S208" s="35"/>
    </row>
    <row r="209" spans="1:19" ht="29.25" customHeight="1" x14ac:dyDescent="0.2">
      <c r="A209" s="187">
        <v>0</v>
      </c>
      <c r="B209" s="35">
        <v>0</v>
      </c>
      <c r="C209" s="35">
        <v>0</v>
      </c>
      <c r="D209" s="35">
        <v>0</v>
      </c>
      <c r="E209" s="28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/>
      <c r="M209" s="35"/>
      <c r="N209" s="188"/>
      <c r="O209" s="188"/>
      <c r="P209" s="23"/>
      <c r="Q209" s="35"/>
      <c r="R209" s="35"/>
      <c r="S209" s="35"/>
    </row>
    <row r="210" spans="1:19" ht="29.25" customHeight="1" x14ac:dyDescent="0.2">
      <c r="A210" s="187">
        <v>0</v>
      </c>
      <c r="B210" s="35">
        <v>0</v>
      </c>
      <c r="C210" s="35">
        <v>0</v>
      </c>
      <c r="D210" s="35">
        <v>0</v>
      </c>
      <c r="E210" s="28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/>
      <c r="M210" s="35"/>
      <c r="N210" s="188"/>
      <c r="O210" s="188"/>
      <c r="P210" s="23"/>
      <c r="Q210" s="35"/>
      <c r="R210" s="35"/>
      <c r="S210" s="35"/>
    </row>
    <row r="211" spans="1:19" ht="29.25" customHeight="1" x14ac:dyDescent="0.2">
      <c r="A211" s="187">
        <v>0</v>
      </c>
      <c r="B211" s="35">
        <v>0</v>
      </c>
      <c r="C211" s="35">
        <v>0</v>
      </c>
      <c r="D211" s="35">
        <v>0</v>
      </c>
      <c r="E211" s="28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/>
      <c r="M211" s="35"/>
      <c r="N211" s="188"/>
      <c r="O211" s="188"/>
      <c r="P211" s="23"/>
      <c r="Q211" s="35"/>
      <c r="R211" s="35"/>
      <c r="S211" s="35"/>
    </row>
    <row r="212" spans="1:19" ht="29.25" customHeight="1" x14ac:dyDescent="0.2">
      <c r="A212" s="187">
        <v>0</v>
      </c>
      <c r="B212" s="35">
        <v>0</v>
      </c>
      <c r="C212" s="35">
        <v>0</v>
      </c>
      <c r="D212" s="35">
        <v>0</v>
      </c>
      <c r="E212" s="28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/>
      <c r="M212" s="35"/>
      <c r="N212" s="188"/>
      <c r="O212" s="188"/>
      <c r="P212" s="23"/>
      <c r="Q212" s="35"/>
      <c r="R212" s="35"/>
      <c r="S212" s="35"/>
    </row>
    <row r="213" spans="1:19" ht="29.25" customHeight="1" x14ac:dyDescent="0.2">
      <c r="A213" s="187">
        <v>0</v>
      </c>
      <c r="B213" s="35">
        <v>0</v>
      </c>
      <c r="C213" s="35">
        <v>0</v>
      </c>
      <c r="D213" s="35">
        <v>0</v>
      </c>
      <c r="E213" s="28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/>
      <c r="M213" s="35"/>
      <c r="N213" s="188"/>
      <c r="O213" s="188"/>
      <c r="P213" s="23"/>
      <c r="Q213" s="35"/>
      <c r="R213" s="35"/>
      <c r="S213" s="35"/>
    </row>
    <row r="214" spans="1:19" ht="29.25" customHeight="1" x14ac:dyDescent="0.2">
      <c r="A214" s="187">
        <v>0</v>
      </c>
      <c r="B214" s="35">
        <v>0</v>
      </c>
      <c r="C214" s="35">
        <v>0</v>
      </c>
      <c r="D214" s="35">
        <v>0</v>
      </c>
      <c r="E214" s="28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/>
      <c r="M214" s="35"/>
      <c r="N214" s="188"/>
      <c r="O214" s="188"/>
      <c r="P214" s="23"/>
      <c r="Q214" s="35"/>
      <c r="R214" s="35"/>
      <c r="S214" s="35"/>
    </row>
    <row r="215" spans="1:19" ht="29.25" customHeight="1" x14ac:dyDescent="0.2">
      <c r="A215" s="187">
        <v>0</v>
      </c>
      <c r="B215" s="35">
        <v>0</v>
      </c>
      <c r="C215" s="35">
        <v>0</v>
      </c>
      <c r="D215" s="35">
        <v>0</v>
      </c>
      <c r="E215" s="28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/>
      <c r="M215" s="35"/>
      <c r="N215" s="188"/>
      <c r="O215" s="188"/>
      <c r="P215" s="23"/>
      <c r="Q215" s="35"/>
      <c r="R215" s="35"/>
      <c r="S215" s="35"/>
    </row>
    <row r="216" spans="1:19" ht="29.25" customHeight="1" x14ac:dyDescent="0.2">
      <c r="A216" s="187">
        <v>0</v>
      </c>
      <c r="B216" s="35">
        <v>0</v>
      </c>
      <c r="C216" s="35">
        <v>0</v>
      </c>
      <c r="D216" s="35">
        <v>0</v>
      </c>
      <c r="E216" s="28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/>
      <c r="M216" s="35"/>
      <c r="N216" s="188"/>
      <c r="O216" s="188"/>
      <c r="P216" s="23"/>
      <c r="Q216" s="35"/>
      <c r="R216" s="35"/>
      <c r="S216" s="35"/>
    </row>
    <row r="217" spans="1:19" ht="29.25" customHeight="1" x14ac:dyDescent="0.2">
      <c r="A217" s="187">
        <v>0</v>
      </c>
      <c r="B217" s="35">
        <v>0</v>
      </c>
      <c r="C217" s="35">
        <v>0</v>
      </c>
      <c r="D217" s="35">
        <v>0</v>
      </c>
      <c r="E217" s="28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/>
      <c r="M217" s="35"/>
      <c r="N217" s="188"/>
      <c r="O217" s="188"/>
      <c r="P217" s="23"/>
      <c r="Q217" s="35"/>
      <c r="R217" s="35"/>
      <c r="S217" s="35"/>
    </row>
    <row r="218" spans="1:19" ht="29.25" customHeight="1" x14ac:dyDescent="0.2">
      <c r="A218" s="187">
        <v>0</v>
      </c>
      <c r="B218" s="35">
        <v>0</v>
      </c>
      <c r="C218" s="35">
        <v>0</v>
      </c>
      <c r="D218" s="35">
        <v>0</v>
      </c>
      <c r="E218" s="28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/>
      <c r="M218" s="35"/>
      <c r="N218" s="188"/>
      <c r="O218" s="188"/>
      <c r="P218" s="23"/>
      <c r="Q218" s="35"/>
      <c r="R218" s="35"/>
      <c r="S218" s="35"/>
    </row>
    <row r="219" spans="1:19" ht="29.25" customHeight="1" x14ac:dyDescent="0.2">
      <c r="A219" s="187">
        <v>0</v>
      </c>
      <c r="B219" s="35">
        <v>0</v>
      </c>
      <c r="C219" s="35">
        <v>0</v>
      </c>
      <c r="D219" s="35">
        <v>0</v>
      </c>
      <c r="E219" s="28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/>
      <c r="M219" s="35"/>
      <c r="N219" s="188"/>
      <c r="O219" s="188"/>
      <c r="P219" s="23"/>
      <c r="Q219" s="35"/>
      <c r="R219" s="35"/>
      <c r="S219" s="35"/>
    </row>
    <row r="220" spans="1:19" ht="29.25" customHeight="1" x14ac:dyDescent="0.2">
      <c r="A220" s="187">
        <v>0</v>
      </c>
      <c r="B220" s="35">
        <v>0</v>
      </c>
      <c r="C220" s="35">
        <v>0</v>
      </c>
      <c r="D220" s="35">
        <v>0</v>
      </c>
      <c r="E220" s="28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/>
      <c r="M220" s="35"/>
      <c r="N220" s="188"/>
      <c r="O220" s="188"/>
      <c r="P220" s="23"/>
      <c r="Q220" s="35"/>
      <c r="R220" s="35"/>
      <c r="S220" s="35"/>
    </row>
    <row r="221" spans="1:19" ht="29.25" customHeight="1" x14ac:dyDescent="0.2">
      <c r="A221" s="187">
        <v>0</v>
      </c>
      <c r="B221" s="35">
        <v>0</v>
      </c>
      <c r="C221" s="35">
        <v>0</v>
      </c>
      <c r="D221" s="35">
        <v>0</v>
      </c>
      <c r="E221" s="28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/>
      <c r="M221" s="35"/>
      <c r="N221" s="188"/>
      <c r="O221" s="188"/>
      <c r="P221" s="23"/>
      <c r="Q221" s="35"/>
      <c r="R221" s="35"/>
      <c r="S221" s="35"/>
    </row>
    <row r="222" spans="1:19" ht="29.25" customHeight="1" x14ac:dyDescent="0.2">
      <c r="A222" s="187">
        <v>0</v>
      </c>
      <c r="B222" s="35">
        <v>0</v>
      </c>
      <c r="C222" s="35">
        <v>0</v>
      </c>
      <c r="D222" s="35">
        <v>0</v>
      </c>
      <c r="E222" s="28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/>
      <c r="M222" s="35"/>
      <c r="N222" s="188"/>
      <c r="O222" s="188"/>
      <c r="P222" s="23"/>
      <c r="Q222" s="35"/>
      <c r="R222" s="35"/>
      <c r="S222" s="35"/>
    </row>
    <row r="223" spans="1:19" ht="29.25" customHeight="1" x14ac:dyDescent="0.2">
      <c r="A223" s="187">
        <v>0</v>
      </c>
      <c r="B223" s="35">
        <v>0</v>
      </c>
      <c r="C223" s="35">
        <v>0</v>
      </c>
      <c r="D223" s="35">
        <v>0</v>
      </c>
      <c r="E223" s="28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/>
      <c r="M223" s="35"/>
      <c r="N223" s="188"/>
      <c r="O223" s="188"/>
      <c r="P223" s="23"/>
      <c r="Q223" s="35"/>
      <c r="R223" s="35"/>
      <c r="S223" s="35"/>
    </row>
    <row r="224" spans="1:19" ht="29.25" customHeight="1" x14ac:dyDescent="0.2">
      <c r="A224" s="187">
        <v>0</v>
      </c>
      <c r="B224" s="35">
        <v>0</v>
      </c>
      <c r="C224" s="35">
        <v>0</v>
      </c>
      <c r="D224" s="35">
        <v>0</v>
      </c>
      <c r="E224" s="28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/>
      <c r="M224" s="35"/>
      <c r="N224" s="188"/>
      <c r="O224" s="188"/>
      <c r="P224" s="23"/>
      <c r="Q224" s="35"/>
      <c r="R224" s="35"/>
      <c r="S224" s="35"/>
    </row>
    <row r="225" spans="1:19" ht="29.25" customHeight="1" x14ac:dyDescent="0.2">
      <c r="A225" s="187">
        <v>0</v>
      </c>
      <c r="B225" s="35">
        <v>0</v>
      </c>
      <c r="C225" s="35">
        <v>0</v>
      </c>
      <c r="D225" s="35">
        <v>0</v>
      </c>
      <c r="E225" s="28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/>
      <c r="M225" s="35"/>
      <c r="N225" s="188"/>
      <c r="O225" s="188"/>
      <c r="P225" s="23"/>
      <c r="Q225" s="35"/>
      <c r="R225" s="35"/>
      <c r="S225" s="35"/>
    </row>
    <row r="226" spans="1:19" ht="29.25" customHeight="1" x14ac:dyDescent="0.2">
      <c r="A226" s="187">
        <v>0</v>
      </c>
      <c r="B226" s="35">
        <v>0</v>
      </c>
      <c r="C226" s="35">
        <v>0</v>
      </c>
      <c r="D226" s="35">
        <v>0</v>
      </c>
      <c r="E226" s="28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/>
      <c r="M226" s="35"/>
      <c r="N226" s="188"/>
      <c r="O226" s="188"/>
      <c r="P226" s="23"/>
      <c r="Q226" s="35"/>
      <c r="R226" s="35"/>
      <c r="S226" s="35"/>
    </row>
    <row r="227" spans="1:19" ht="29.25" customHeight="1" x14ac:dyDescent="0.2">
      <c r="A227" s="187">
        <v>0</v>
      </c>
      <c r="B227" s="35">
        <v>0</v>
      </c>
      <c r="C227" s="35">
        <v>0</v>
      </c>
      <c r="D227" s="35">
        <v>0</v>
      </c>
      <c r="E227" s="28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/>
      <c r="M227" s="35"/>
      <c r="N227" s="188"/>
      <c r="O227" s="188"/>
      <c r="P227" s="23"/>
      <c r="Q227" s="35"/>
      <c r="R227" s="35"/>
      <c r="S227" s="35"/>
    </row>
    <row r="228" spans="1:19" ht="29.25" customHeight="1" x14ac:dyDescent="0.2">
      <c r="A228" s="187">
        <v>0</v>
      </c>
      <c r="B228" s="35">
        <v>0</v>
      </c>
      <c r="C228" s="35">
        <v>0</v>
      </c>
      <c r="D228" s="35">
        <v>0</v>
      </c>
      <c r="E228" s="28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/>
      <c r="M228" s="35"/>
      <c r="N228" s="188"/>
      <c r="O228" s="188"/>
      <c r="P228" s="23"/>
      <c r="Q228" s="35"/>
      <c r="R228" s="35"/>
      <c r="S228" s="35"/>
    </row>
    <row r="229" spans="1:19" ht="29.25" customHeight="1" x14ac:dyDescent="0.2">
      <c r="A229" s="187">
        <v>0</v>
      </c>
      <c r="B229" s="35">
        <v>0</v>
      </c>
      <c r="C229" s="35">
        <v>0</v>
      </c>
      <c r="D229" s="35">
        <v>0</v>
      </c>
      <c r="E229" s="28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/>
      <c r="M229" s="35"/>
      <c r="N229" s="188"/>
      <c r="O229" s="188"/>
      <c r="P229" s="23"/>
      <c r="Q229" s="35"/>
      <c r="R229" s="35"/>
      <c r="S229" s="35"/>
    </row>
    <row r="230" spans="1:19" ht="29.25" customHeight="1" x14ac:dyDescent="0.2">
      <c r="A230" s="187">
        <v>0</v>
      </c>
      <c r="B230" s="35">
        <v>0</v>
      </c>
      <c r="C230" s="35">
        <v>0</v>
      </c>
      <c r="D230" s="35">
        <v>0</v>
      </c>
      <c r="E230" s="28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/>
      <c r="M230" s="35"/>
      <c r="N230" s="188"/>
      <c r="O230" s="188"/>
      <c r="P230" s="23"/>
      <c r="Q230" s="35"/>
      <c r="R230" s="35"/>
      <c r="S230" s="35"/>
    </row>
    <row r="231" spans="1:19" ht="29.25" customHeight="1" x14ac:dyDescent="0.2">
      <c r="A231" s="187">
        <v>0</v>
      </c>
      <c r="B231" s="35">
        <v>0</v>
      </c>
      <c r="C231" s="35">
        <v>0</v>
      </c>
      <c r="D231" s="35">
        <v>0</v>
      </c>
      <c r="E231" s="28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/>
      <c r="M231" s="35"/>
      <c r="N231" s="188"/>
      <c r="O231" s="188"/>
      <c r="P231" s="23"/>
      <c r="Q231" s="35"/>
      <c r="R231" s="35"/>
      <c r="S231" s="35"/>
    </row>
    <row r="232" spans="1:19" ht="29.25" customHeight="1" x14ac:dyDescent="0.2">
      <c r="A232" s="187">
        <v>0</v>
      </c>
      <c r="B232" s="35">
        <v>0</v>
      </c>
      <c r="C232" s="35">
        <v>0</v>
      </c>
      <c r="D232" s="35">
        <v>0</v>
      </c>
      <c r="E232" s="28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/>
      <c r="M232" s="35"/>
      <c r="N232" s="188"/>
      <c r="O232" s="188"/>
      <c r="P232" s="23"/>
      <c r="Q232" s="35"/>
      <c r="R232" s="35"/>
      <c r="S232" s="35"/>
    </row>
    <row r="233" spans="1:19" ht="29.25" customHeight="1" x14ac:dyDescent="0.2">
      <c r="A233" s="187">
        <v>0</v>
      </c>
      <c r="B233" s="35">
        <v>0</v>
      </c>
      <c r="C233" s="35">
        <v>0</v>
      </c>
      <c r="D233" s="35">
        <v>0</v>
      </c>
      <c r="E233" s="28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/>
      <c r="M233" s="35"/>
      <c r="N233" s="188"/>
      <c r="O233" s="188"/>
      <c r="P233" s="23"/>
      <c r="Q233" s="35"/>
      <c r="R233" s="35"/>
      <c r="S233" s="35"/>
    </row>
    <row r="234" spans="1:19" ht="29.25" customHeight="1" x14ac:dyDescent="0.2">
      <c r="A234" s="187">
        <v>0</v>
      </c>
      <c r="B234" s="35">
        <v>0</v>
      </c>
      <c r="C234" s="35">
        <v>0</v>
      </c>
      <c r="D234" s="35">
        <v>0</v>
      </c>
      <c r="E234" s="28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/>
      <c r="M234" s="35"/>
      <c r="N234" s="188"/>
      <c r="O234" s="188"/>
      <c r="P234" s="23"/>
      <c r="Q234" s="35"/>
      <c r="R234" s="35"/>
      <c r="S234" s="35"/>
    </row>
    <row r="235" spans="1:19" ht="29.25" customHeight="1" x14ac:dyDescent="0.2">
      <c r="A235" s="187">
        <v>0</v>
      </c>
      <c r="B235" s="35">
        <v>0</v>
      </c>
      <c r="C235" s="35">
        <v>0</v>
      </c>
      <c r="D235" s="35">
        <v>0</v>
      </c>
      <c r="E235" s="28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/>
      <c r="M235" s="35"/>
      <c r="N235" s="188"/>
      <c r="O235" s="188"/>
      <c r="P235" s="23"/>
      <c r="Q235" s="35"/>
      <c r="R235" s="35"/>
      <c r="S235" s="35"/>
    </row>
    <row r="236" spans="1:19" ht="29.25" customHeight="1" x14ac:dyDescent="0.2">
      <c r="A236" s="187">
        <v>0</v>
      </c>
      <c r="B236" s="35">
        <v>0</v>
      </c>
      <c r="C236" s="35">
        <v>0</v>
      </c>
      <c r="D236" s="35">
        <v>0</v>
      </c>
      <c r="E236" s="28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/>
      <c r="M236" s="35"/>
      <c r="N236" s="188"/>
      <c r="O236" s="188"/>
      <c r="P236" s="23"/>
      <c r="Q236" s="35"/>
      <c r="R236" s="35"/>
      <c r="S236" s="35"/>
    </row>
    <row r="237" spans="1:19" ht="29.25" customHeight="1" x14ac:dyDescent="0.2">
      <c r="A237" s="187">
        <v>0</v>
      </c>
      <c r="B237" s="35">
        <v>0</v>
      </c>
      <c r="C237" s="35">
        <v>0</v>
      </c>
      <c r="D237" s="35">
        <v>0</v>
      </c>
      <c r="E237" s="28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/>
      <c r="M237" s="35"/>
      <c r="N237" s="188"/>
      <c r="O237" s="188"/>
      <c r="P237" s="23"/>
      <c r="Q237" s="35"/>
      <c r="R237" s="35"/>
      <c r="S237" s="35"/>
    </row>
    <row r="238" spans="1:19" ht="29.25" customHeight="1" x14ac:dyDescent="0.2">
      <c r="A238" s="187">
        <v>0</v>
      </c>
      <c r="B238" s="35">
        <v>0</v>
      </c>
      <c r="C238" s="35">
        <v>0</v>
      </c>
      <c r="D238" s="35">
        <v>0</v>
      </c>
      <c r="E238" s="28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/>
      <c r="M238" s="35"/>
      <c r="N238" s="188"/>
      <c r="O238" s="188"/>
      <c r="P238" s="23"/>
      <c r="Q238" s="35"/>
      <c r="R238" s="35"/>
      <c r="S238" s="35"/>
    </row>
    <row r="239" spans="1:19" ht="29.25" customHeight="1" x14ac:dyDescent="0.2">
      <c r="A239" s="187">
        <v>0</v>
      </c>
      <c r="B239" s="35">
        <v>0</v>
      </c>
      <c r="C239" s="35">
        <v>0</v>
      </c>
      <c r="D239" s="35">
        <v>0</v>
      </c>
      <c r="E239" s="28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/>
      <c r="M239" s="35"/>
      <c r="N239" s="188"/>
      <c r="O239" s="188"/>
      <c r="P239" s="23"/>
      <c r="Q239" s="35"/>
      <c r="R239" s="35"/>
      <c r="S239" s="35"/>
    </row>
    <row r="240" spans="1:19" ht="29.25" customHeight="1" x14ac:dyDescent="0.2">
      <c r="A240" s="187">
        <v>0</v>
      </c>
      <c r="B240" s="35">
        <v>0</v>
      </c>
      <c r="C240" s="35">
        <v>0</v>
      </c>
      <c r="D240" s="35">
        <v>0</v>
      </c>
      <c r="E240" s="28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/>
      <c r="M240" s="35"/>
      <c r="N240" s="188"/>
      <c r="O240" s="188"/>
      <c r="P240" s="23"/>
      <c r="Q240" s="35"/>
      <c r="R240" s="35"/>
      <c r="S240" s="35"/>
    </row>
    <row r="241" spans="1:19" ht="29.25" customHeight="1" x14ac:dyDescent="0.2">
      <c r="A241" s="187">
        <v>0</v>
      </c>
      <c r="B241" s="35">
        <v>0</v>
      </c>
      <c r="C241" s="35">
        <v>0</v>
      </c>
      <c r="D241" s="35">
        <v>0</v>
      </c>
      <c r="E241" s="28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/>
      <c r="M241" s="35"/>
      <c r="N241" s="188"/>
      <c r="O241" s="188"/>
      <c r="P241" s="23"/>
      <c r="Q241" s="35"/>
      <c r="R241" s="35"/>
      <c r="S241" s="35"/>
    </row>
    <row r="242" spans="1:19" ht="29.25" customHeight="1" x14ac:dyDescent="0.2">
      <c r="A242" s="187">
        <v>0</v>
      </c>
      <c r="B242" s="35">
        <v>0</v>
      </c>
      <c r="C242" s="35">
        <v>0</v>
      </c>
      <c r="D242" s="35">
        <v>0</v>
      </c>
      <c r="E242" s="28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/>
      <c r="M242" s="35"/>
      <c r="N242" s="188"/>
      <c r="O242" s="188"/>
      <c r="P242" s="23"/>
      <c r="Q242" s="35"/>
      <c r="R242" s="35"/>
      <c r="S242" s="35"/>
    </row>
    <row r="243" spans="1:19" ht="29.25" customHeight="1" x14ac:dyDescent="0.2">
      <c r="A243" s="187">
        <v>0</v>
      </c>
      <c r="B243" s="35">
        <v>0</v>
      </c>
      <c r="C243" s="35">
        <v>0</v>
      </c>
      <c r="D243" s="35">
        <v>0</v>
      </c>
      <c r="E243" s="28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/>
      <c r="M243" s="35"/>
      <c r="N243" s="188"/>
      <c r="O243" s="188"/>
      <c r="P243" s="23"/>
      <c r="Q243" s="35"/>
      <c r="R243" s="35"/>
      <c r="S243" s="35"/>
    </row>
    <row r="244" spans="1:19" ht="29.25" customHeight="1" x14ac:dyDescent="0.2">
      <c r="A244" s="187">
        <v>0</v>
      </c>
      <c r="B244" s="35">
        <v>0</v>
      </c>
      <c r="C244" s="35">
        <v>0</v>
      </c>
      <c r="D244" s="35">
        <v>0</v>
      </c>
      <c r="E244" s="28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/>
      <c r="M244" s="35"/>
      <c r="N244" s="188"/>
      <c r="O244" s="188"/>
      <c r="P244" s="23"/>
      <c r="Q244" s="35"/>
      <c r="R244" s="35"/>
      <c r="S244" s="35"/>
    </row>
    <row r="245" spans="1:19" ht="29.25" customHeight="1" x14ac:dyDescent="0.2">
      <c r="A245" s="187">
        <v>0</v>
      </c>
      <c r="B245" s="35">
        <v>0</v>
      </c>
      <c r="C245" s="35">
        <v>0</v>
      </c>
      <c r="D245" s="35">
        <v>0</v>
      </c>
      <c r="E245" s="28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/>
      <c r="M245" s="35"/>
      <c r="N245" s="188"/>
      <c r="O245" s="188"/>
      <c r="P245" s="23"/>
      <c r="Q245" s="35"/>
      <c r="R245" s="35"/>
      <c r="S245" s="35"/>
    </row>
    <row r="246" spans="1:19" ht="29.25" customHeight="1" x14ac:dyDescent="0.2">
      <c r="A246" s="187">
        <v>0</v>
      </c>
      <c r="B246" s="35">
        <v>0</v>
      </c>
      <c r="C246" s="35">
        <v>0</v>
      </c>
      <c r="D246" s="35">
        <v>0</v>
      </c>
      <c r="E246" s="28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/>
      <c r="M246" s="35"/>
      <c r="N246" s="188"/>
      <c r="O246" s="188"/>
      <c r="P246" s="23"/>
      <c r="Q246" s="35"/>
      <c r="R246" s="35"/>
      <c r="S246" s="35"/>
    </row>
    <row r="247" spans="1:19" ht="29.25" customHeight="1" x14ac:dyDescent="0.2">
      <c r="A247" s="187">
        <v>0</v>
      </c>
      <c r="B247" s="35">
        <v>0</v>
      </c>
      <c r="C247" s="35">
        <v>0</v>
      </c>
      <c r="D247" s="35">
        <v>0</v>
      </c>
      <c r="E247" s="28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/>
      <c r="M247" s="35"/>
      <c r="N247" s="188"/>
      <c r="O247" s="188"/>
      <c r="P247" s="23"/>
      <c r="Q247" s="35"/>
      <c r="R247" s="35"/>
      <c r="S247" s="35"/>
    </row>
    <row r="248" spans="1:19" ht="29.25" customHeight="1" x14ac:dyDescent="0.2">
      <c r="A248" s="187">
        <v>0</v>
      </c>
      <c r="B248" s="35">
        <v>0</v>
      </c>
      <c r="C248" s="35">
        <v>0</v>
      </c>
      <c r="D248" s="35">
        <v>0</v>
      </c>
      <c r="E248" s="28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/>
      <c r="M248" s="35"/>
      <c r="N248" s="188"/>
      <c r="O248" s="188"/>
      <c r="P248" s="23"/>
      <c r="Q248" s="35"/>
      <c r="R248" s="35"/>
      <c r="S248" s="35"/>
    </row>
    <row r="249" spans="1:19" ht="29.25" customHeight="1" x14ac:dyDescent="0.2">
      <c r="A249" s="187">
        <v>0</v>
      </c>
      <c r="B249" s="35">
        <v>0</v>
      </c>
      <c r="C249" s="35">
        <v>0</v>
      </c>
      <c r="D249" s="35">
        <v>0</v>
      </c>
      <c r="E249" s="28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/>
      <c r="M249" s="35"/>
      <c r="N249" s="188"/>
      <c r="O249" s="188"/>
      <c r="P249" s="23"/>
      <c r="Q249" s="35"/>
      <c r="R249" s="35"/>
      <c r="S249" s="35"/>
    </row>
    <row r="250" spans="1:19" ht="29.25" customHeight="1" x14ac:dyDescent="0.2">
      <c r="A250" s="187">
        <v>0</v>
      </c>
      <c r="B250" s="35">
        <v>0</v>
      </c>
      <c r="C250" s="35">
        <v>0</v>
      </c>
      <c r="D250" s="35">
        <v>0</v>
      </c>
      <c r="E250" s="28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/>
      <c r="M250" s="35"/>
      <c r="N250" s="188"/>
      <c r="O250" s="188"/>
      <c r="P250" s="23"/>
      <c r="Q250" s="35"/>
      <c r="R250" s="35"/>
      <c r="S250" s="35"/>
    </row>
    <row r="251" spans="1:19" ht="29.25" customHeight="1" x14ac:dyDescent="0.2">
      <c r="A251" s="187">
        <v>0</v>
      </c>
      <c r="B251" s="35">
        <v>0</v>
      </c>
      <c r="C251" s="35">
        <v>0</v>
      </c>
      <c r="D251" s="35">
        <v>0</v>
      </c>
      <c r="E251" s="28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/>
      <c r="M251" s="35"/>
      <c r="N251" s="188"/>
      <c r="O251" s="188"/>
      <c r="P251" s="23"/>
      <c r="Q251" s="35"/>
      <c r="R251" s="35"/>
      <c r="S251" s="35"/>
    </row>
    <row r="252" spans="1:19" ht="29.25" customHeight="1" x14ac:dyDescent="0.2">
      <c r="A252" s="187">
        <v>0</v>
      </c>
      <c r="B252" s="35">
        <v>0</v>
      </c>
      <c r="C252" s="35">
        <v>0</v>
      </c>
      <c r="D252" s="35">
        <v>0</v>
      </c>
      <c r="E252" s="28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/>
      <c r="M252" s="35"/>
      <c r="N252" s="188"/>
      <c r="O252" s="188"/>
      <c r="P252" s="23"/>
      <c r="Q252" s="35"/>
      <c r="R252" s="35"/>
      <c r="S252" s="35"/>
    </row>
    <row r="253" spans="1:19" ht="29.25" customHeight="1" x14ac:dyDescent="0.2">
      <c r="A253" s="187">
        <v>0</v>
      </c>
      <c r="B253" s="35">
        <v>0</v>
      </c>
      <c r="C253" s="35">
        <v>0</v>
      </c>
      <c r="D253" s="35">
        <v>0</v>
      </c>
      <c r="E253" s="28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/>
      <c r="M253" s="35"/>
      <c r="N253" s="188"/>
      <c r="O253" s="188"/>
      <c r="P253" s="23"/>
      <c r="Q253" s="35"/>
      <c r="R253" s="35"/>
      <c r="S253" s="35"/>
    </row>
    <row r="254" spans="1:19" ht="29.25" customHeight="1" x14ac:dyDescent="0.2">
      <c r="A254" s="187">
        <v>0</v>
      </c>
      <c r="B254" s="35">
        <v>0</v>
      </c>
      <c r="C254" s="35">
        <v>0</v>
      </c>
      <c r="D254" s="35">
        <v>0</v>
      </c>
      <c r="E254" s="28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/>
      <c r="M254" s="35"/>
      <c r="N254" s="188"/>
      <c r="O254" s="188"/>
      <c r="P254" s="23"/>
      <c r="Q254" s="35"/>
      <c r="R254" s="35"/>
      <c r="S254" s="35"/>
    </row>
    <row r="255" spans="1:19" ht="29.25" customHeight="1" x14ac:dyDescent="0.2">
      <c r="A255" s="187">
        <v>0</v>
      </c>
      <c r="B255" s="35">
        <v>0</v>
      </c>
      <c r="C255" s="35">
        <v>0</v>
      </c>
      <c r="D255" s="35">
        <v>0</v>
      </c>
      <c r="E255" s="28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/>
      <c r="M255" s="35"/>
      <c r="N255" s="188"/>
      <c r="O255" s="188"/>
      <c r="P255" s="23"/>
      <c r="Q255" s="35"/>
      <c r="R255" s="35"/>
      <c r="S255" s="35"/>
    </row>
    <row r="256" spans="1:19" ht="29.25" customHeight="1" x14ac:dyDescent="0.2">
      <c r="A256" s="187">
        <v>0</v>
      </c>
      <c r="B256" s="35">
        <v>0</v>
      </c>
      <c r="C256" s="35">
        <v>0</v>
      </c>
      <c r="D256" s="35">
        <v>0</v>
      </c>
      <c r="E256" s="28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/>
      <c r="M256" s="35"/>
      <c r="N256" s="188"/>
      <c r="O256" s="188"/>
      <c r="P256" s="23"/>
      <c r="Q256" s="35"/>
      <c r="R256" s="35"/>
      <c r="S256" s="35"/>
    </row>
    <row r="257" spans="1:19" ht="29.25" customHeight="1" x14ac:dyDescent="0.2">
      <c r="A257" s="187">
        <v>0</v>
      </c>
      <c r="B257" s="35">
        <v>0</v>
      </c>
      <c r="C257" s="35">
        <v>0</v>
      </c>
      <c r="D257" s="35">
        <v>0</v>
      </c>
      <c r="E257" s="28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/>
      <c r="M257" s="35"/>
      <c r="N257" s="188"/>
      <c r="O257" s="188"/>
      <c r="P257" s="23"/>
      <c r="Q257" s="35"/>
      <c r="R257" s="35"/>
      <c r="S257" s="35"/>
    </row>
    <row r="258" spans="1:19" ht="29.25" customHeight="1" x14ac:dyDescent="0.2">
      <c r="A258" s="187">
        <v>0</v>
      </c>
      <c r="B258" s="35">
        <v>0</v>
      </c>
      <c r="C258" s="35">
        <v>0</v>
      </c>
      <c r="D258" s="35">
        <v>0</v>
      </c>
      <c r="E258" s="28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/>
      <c r="M258" s="35"/>
      <c r="N258" s="188"/>
      <c r="O258" s="188"/>
      <c r="P258" s="23"/>
      <c r="Q258" s="35"/>
      <c r="R258" s="35"/>
      <c r="S258" s="35"/>
    </row>
    <row r="259" spans="1:19" ht="29.25" customHeight="1" x14ac:dyDescent="0.2">
      <c r="A259" s="187">
        <v>0</v>
      </c>
      <c r="B259" s="35">
        <v>0</v>
      </c>
      <c r="C259" s="35">
        <v>0</v>
      </c>
      <c r="D259" s="35">
        <v>0</v>
      </c>
      <c r="E259" s="28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/>
      <c r="M259" s="35"/>
      <c r="N259" s="188"/>
      <c r="O259" s="188"/>
      <c r="P259" s="23"/>
      <c r="Q259" s="35"/>
      <c r="R259" s="35"/>
      <c r="S259" s="35"/>
    </row>
    <row r="260" spans="1:19" ht="29.25" customHeight="1" x14ac:dyDescent="0.2">
      <c r="A260" s="187">
        <v>0</v>
      </c>
      <c r="B260" s="35">
        <v>0</v>
      </c>
      <c r="C260" s="35">
        <v>0</v>
      </c>
      <c r="D260" s="35">
        <v>0</v>
      </c>
      <c r="E260" s="28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/>
      <c r="M260" s="35"/>
      <c r="N260" s="188"/>
      <c r="O260" s="188"/>
      <c r="P260" s="23"/>
      <c r="Q260" s="35"/>
      <c r="R260" s="35"/>
      <c r="S260" s="35"/>
    </row>
    <row r="261" spans="1:19" ht="29.25" customHeight="1" x14ac:dyDescent="0.2">
      <c r="A261" s="187">
        <v>0</v>
      </c>
      <c r="B261" s="35">
        <v>0</v>
      </c>
      <c r="C261" s="35">
        <v>0</v>
      </c>
      <c r="D261" s="35">
        <v>0</v>
      </c>
      <c r="E261" s="28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/>
      <c r="M261" s="35"/>
      <c r="N261" s="188"/>
      <c r="O261" s="188"/>
      <c r="P261" s="23"/>
      <c r="Q261" s="35"/>
      <c r="R261" s="35"/>
      <c r="S261" s="35"/>
    </row>
    <row r="262" spans="1:19" ht="29.25" customHeight="1" x14ac:dyDescent="0.2">
      <c r="A262" s="187">
        <v>0</v>
      </c>
      <c r="B262" s="35">
        <v>0</v>
      </c>
      <c r="C262" s="35">
        <v>0</v>
      </c>
      <c r="D262" s="35">
        <v>0</v>
      </c>
      <c r="E262" s="28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/>
      <c r="M262" s="35"/>
      <c r="N262" s="188"/>
      <c r="O262" s="188"/>
      <c r="P262" s="23"/>
      <c r="Q262" s="35"/>
      <c r="R262" s="35"/>
      <c r="S262" s="35"/>
    </row>
    <row r="263" spans="1:19" ht="29.25" customHeight="1" x14ac:dyDescent="0.2">
      <c r="A263" s="187">
        <v>0</v>
      </c>
      <c r="B263" s="35">
        <v>0</v>
      </c>
      <c r="C263" s="35">
        <v>0</v>
      </c>
      <c r="D263" s="35">
        <v>0</v>
      </c>
      <c r="E263" s="28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/>
      <c r="M263" s="35"/>
      <c r="N263" s="188"/>
      <c r="O263" s="188"/>
      <c r="P263" s="23"/>
      <c r="Q263" s="35"/>
      <c r="R263" s="35"/>
      <c r="S263" s="35"/>
    </row>
    <row r="264" spans="1:19" ht="29.25" customHeight="1" x14ac:dyDescent="0.2">
      <c r="A264" s="187">
        <v>0</v>
      </c>
      <c r="B264" s="35">
        <v>0</v>
      </c>
      <c r="C264" s="35">
        <v>0</v>
      </c>
      <c r="D264" s="35">
        <v>0</v>
      </c>
      <c r="E264" s="28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/>
      <c r="M264" s="35"/>
      <c r="N264" s="188"/>
      <c r="O264" s="188"/>
      <c r="P264" s="23"/>
      <c r="Q264" s="35"/>
      <c r="R264" s="35"/>
      <c r="S264" s="35"/>
    </row>
    <row r="265" spans="1:19" ht="29.25" customHeight="1" x14ac:dyDescent="0.2">
      <c r="A265" s="187">
        <v>0</v>
      </c>
      <c r="B265" s="35">
        <v>0</v>
      </c>
      <c r="C265" s="35">
        <v>0</v>
      </c>
      <c r="D265" s="35">
        <v>0</v>
      </c>
      <c r="E265" s="28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/>
      <c r="M265" s="35"/>
      <c r="N265" s="188"/>
      <c r="O265" s="188"/>
      <c r="P265" s="23"/>
      <c r="Q265" s="35"/>
      <c r="R265" s="35"/>
      <c r="S265" s="35"/>
    </row>
    <row r="266" spans="1:19" ht="29.25" customHeight="1" x14ac:dyDescent="0.2">
      <c r="A266" s="187">
        <v>0</v>
      </c>
      <c r="B266" s="35">
        <v>0</v>
      </c>
      <c r="C266" s="35">
        <v>0</v>
      </c>
      <c r="D266" s="35">
        <v>0</v>
      </c>
      <c r="E266" s="28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/>
      <c r="M266" s="35"/>
      <c r="N266" s="188"/>
      <c r="O266" s="188"/>
      <c r="P266" s="23"/>
      <c r="Q266" s="35"/>
      <c r="R266" s="35"/>
      <c r="S266" s="35"/>
    </row>
    <row r="267" spans="1:19" ht="29.25" customHeight="1" x14ac:dyDescent="0.2">
      <c r="A267" s="187">
        <v>0</v>
      </c>
      <c r="B267" s="35">
        <v>0</v>
      </c>
      <c r="C267" s="35">
        <v>0</v>
      </c>
      <c r="D267" s="35">
        <v>0</v>
      </c>
      <c r="E267" s="28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/>
      <c r="M267" s="35"/>
      <c r="N267" s="188"/>
      <c r="O267" s="188"/>
      <c r="P267" s="23"/>
      <c r="Q267" s="35"/>
      <c r="R267" s="35"/>
      <c r="S267" s="35"/>
    </row>
    <row r="268" spans="1:19" ht="29.25" customHeight="1" x14ac:dyDescent="0.2">
      <c r="A268" s="187">
        <v>0</v>
      </c>
      <c r="B268" s="35">
        <v>0</v>
      </c>
      <c r="C268" s="35">
        <v>0</v>
      </c>
      <c r="D268" s="35">
        <v>0</v>
      </c>
      <c r="E268" s="28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/>
      <c r="M268" s="35"/>
      <c r="N268" s="188"/>
      <c r="O268" s="188"/>
      <c r="P268" s="23"/>
      <c r="Q268" s="35"/>
      <c r="R268" s="35"/>
      <c r="S268" s="35"/>
    </row>
    <row r="269" spans="1:19" ht="29.25" customHeight="1" x14ac:dyDescent="0.2">
      <c r="A269" s="187">
        <v>0</v>
      </c>
      <c r="B269" s="35">
        <v>0</v>
      </c>
      <c r="C269" s="35">
        <v>0</v>
      </c>
      <c r="D269" s="35">
        <v>0</v>
      </c>
      <c r="E269" s="28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/>
      <c r="M269" s="35"/>
      <c r="N269" s="188"/>
      <c r="O269" s="188"/>
      <c r="P269" s="23"/>
      <c r="Q269" s="35"/>
      <c r="R269" s="35"/>
      <c r="S269" s="35"/>
    </row>
    <row r="270" spans="1:19" ht="29.25" customHeight="1" x14ac:dyDescent="0.2">
      <c r="A270" s="187">
        <v>0</v>
      </c>
      <c r="B270" s="35">
        <v>0</v>
      </c>
      <c r="C270" s="35">
        <v>0</v>
      </c>
      <c r="D270" s="35">
        <v>0</v>
      </c>
      <c r="E270" s="28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/>
      <c r="M270" s="35"/>
      <c r="N270" s="188"/>
      <c r="O270" s="188"/>
      <c r="P270" s="23"/>
      <c r="Q270" s="35"/>
      <c r="R270" s="35"/>
      <c r="S270" s="35"/>
    </row>
    <row r="271" spans="1:19" ht="29.25" customHeight="1" x14ac:dyDescent="0.2">
      <c r="A271" s="187">
        <v>0</v>
      </c>
      <c r="B271" s="35">
        <v>0</v>
      </c>
      <c r="C271" s="35">
        <v>0</v>
      </c>
      <c r="D271" s="35">
        <v>0</v>
      </c>
      <c r="E271" s="28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/>
      <c r="M271" s="35"/>
      <c r="N271" s="188"/>
      <c r="O271" s="188"/>
      <c r="P271" s="23"/>
      <c r="Q271" s="35"/>
      <c r="R271" s="35"/>
      <c r="S271" s="35"/>
    </row>
    <row r="272" spans="1:19" ht="29.25" customHeight="1" x14ac:dyDescent="0.2">
      <c r="A272" s="187">
        <v>0</v>
      </c>
      <c r="B272" s="35">
        <v>0</v>
      </c>
      <c r="C272" s="35">
        <v>0</v>
      </c>
      <c r="D272" s="35">
        <v>0</v>
      </c>
      <c r="E272" s="28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/>
      <c r="M272" s="35"/>
      <c r="N272" s="188"/>
      <c r="O272" s="188"/>
      <c r="P272" s="23"/>
      <c r="Q272" s="35"/>
      <c r="R272" s="35"/>
      <c r="S272" s="35"/>
    </row>
    <row r="273" spans="1:19" ht="29.25" customHeight="1" x14ac:dyDescent="0.2">
      <c r="A273" s="187">
        <v>0</v>
      </c>
      <c r="B273" s="35">
        <v>0</v>
      </c>
      <c r="C273" s="35">
        <v>0</v>
      </c>
      <c r="D273" s="35">
        <v>0</v>
      </c>
      <c r="E273" s="28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/>
      <c r="M273" s="35"/>
      <c r="N273" s="188"/>
      <c r="O273" s="188"/>
      <c r="P273" s="23"/>
      <c r="Q273" s="35"/>
      <c r="R273" s="35"/>
      <c r="S273" s="35"/>
    </row>
    <row r="274" spans="1:19" ht="29.25" customHeight="1" x14ac:dyDescent="0.2">
      <c r="A274" s="187">
        <v>0</v>
      </c>
      <c r="B274" s="35">
        <v>0</v>
      </c>
      <c r="C274" s="35">
        <v>0</v>
      </c>
      <c r="D274" s="35">
        <v>0</v>
      </c>
      <c r="E274" s="28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/>
      <c r="M274" s="35"/>
      <c r="N274" s="188"/>
      <c r="O274" s="188"/>
      <c r="P274" s="23"/>
      <c r="Q274" s="35"/>
      <c r="R274" s="35"/>
      <c r="S274" s="35"/>
    </row>
    <row r="275" spans="1:19" ht="29.25" customHeight="1" x14ac:dyDescent="0.2">
      <c r="A275" s="187">
        <v>0</v>
      </c>
      <c r="B275" s="35">
        <v>0</v>
      </c>
      <c r="C275" s="35">
        <v>0</v>
      </c>
      <c r="D275" s="35">
        <v>0</v>
      </c>
      <c r="E275" s="28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/>
      <c r="M275" s="35"/>
      <c r="N275" s="188"/>
      <c r="O275" s="188"/>
      <c r="P275" s="23"/>
      <c r="Q275" s="35"/>
      <c r="R275" s="35"/>
      <c r="S275" s="35"/>
    </row>
    <row r="276" spans="1:19" ht="29.25" customHeight="1" x14ac:dyDescent="0.2">
      <c r="A276" s="187">
        <v>0</v>
      </c>
      <c r="B276" s="35">
        <v>0</v>
      </c>
      <c r="C276" s="35">
        <v>0</v>
      </c>
      <c r="D276" s="35">
        <v>0</v>
      </c>
      <c r="E276" s="28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/>
      <c r="M276" s="35"/>
      <c r="N276" s="188"/>
      <c r="O276" s="188"/>
      <c r="P276" s="23"/>
      <c r="Q276" s="35"/>
      <c r="R276" s="35"/>
      <c r="S276" s="35"/>
    </row>
    <row r="277" spans="1:19" ht="29.25" customHeight="1" x14ac:dyDescent="0.2">
      <c r="A277" s="187">
        <v>0</v>
      </c>
      <c r="B277" s="35">
        <v>0</v>
      </c>
      <c r="C277" s="35">
        <v>0</v>
      </c>
      <c r="D277" s="35">
        <v>0</v>
      </c>
      <c r="E277" s="28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/>
      <c r="M277" s="35"/>
      <c r="N277" s="188"/>
      <c r="O277" s="188"/>
      <c r="P277" s="23"/>
      <c r="Q277" s="35"/>
      <c r="R277" s="35"/>
      <c r="S277" s="35"/>
    </row>
    <row r="278" spans="1:19" ht="29.25" customHeight="1" x14ac:dyDescent="0.2">
      <c r="A278" s="187">
        <v>0</v>
      </c>
      <c r="B278" s="35">
        <v>0</v>
      </c>
      <c r="C278" s="35">
        <v>0</v>
      </c>
      <c r="D278" s="35">
        <v>0</v>
      </c>
      <c r="E278" s="28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/>
      <c r="M278" s="35"/>
      <c r="N278" s="188"/>
      <c r="O278" s="188"/>
      <c r="P278" s="23"/>
      <c r="Q278" s="35"/>
      <c r="R278" s="35"/>
      <c r="S278" s="35"/>
    </row>
    <row r="279" spans="1:19" ht="29.25" customHeight="1" x14ac:dyDescent="0.2">
      <c r="A279" s="187">
        <v>0</v>
      </c>
      <c r="B279" s="35">
        <v>0</v>
      </c>
      <c r="C279" s="35">
        <v>0</v>
      </c>
      <c r="D279" s="35">
        <v>0</v>
      </c>
      <c r="E279" s="28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/>
      <c r="M279" s="35"/>
      <c r="N279" s="188"/>
      <c r="O279" s="188"/>
      <c r="P279" s="23"/>
      <c r="Q279" s="35"/>
      <c r="R279" s="35"/>
      <c r="S279" s="35"/>
    </row>
    <row r="280" spans="1:19" ht="29.25" customHeight="1" x14ac:dyDescent="0.2">
      <c r="A280" s="187">
        <v>0</v>
      </c>
      <c r="B280" s="35">
        <v>0</v>
      </c>
      <c r="C280" s="35">
        <v>0</v>
      </c>
      <c r="D280" s="35">
        <v>0</v>
      </c>
      <c r="E280" s="28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/>
      <c r="M280" s="35"/>
      <c r="N280" s="188"/>
      <c r="O280" s="188"/>
      <c r="P280" s="23"/>
      <c r="Q280" s="35"/>
      <c r="R280" s="35"/>
      <c r="S280" s="35"/>
    </row>
    <row r="281" spans="1:19" ht="29.25" customHeight="1" x14ac:dyDescent="0.2">
      <c r="A281" s="187">
        <v>0</v>
      </c>
      <c r="B281" s="35">
        <v>0</v>
      </c>
      <c r="C281" s="35">
        <v>0</v>
      </c>
      <c r="D281" s="35">
        <v>0</v>
      </c>
      <c r="E281" s="28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/>
      <c r="M281" s="35"/>
      <c r="N281" s="188"/>
      <c r="O281" s="188"/>
      <c r="P281" s="23"/>
      <c r="Q281" s="35"/>
      <c r="R281" s="35"/>
      <c r="S281" s="35"/>
    </row>
    <row r="282" spans="1:19" ht="29.25" customHeight="1" x14ac:dyDescent="0.2">
      <c r="A282" s="187">
        <v>0</v>
      </c>
      <c r="B282" s="35">
        <v>0</v>
      </c>
      <c r="C282" s="35">
        <v>0</v>
      </c>
      <c r="D282" s="35">
        <v>0</v>
      </c>
      <c r="E282" s="28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/>
      <c r="M282" s="35"/>
      <c r="N282" s="188"/>
      <c r="O282" s="188"/>
      <c r="P282" s="23"/>
      <c r="Q282" s="35"/>
      <c r="R282" s="35"/>
      <c r="S282" s="35"/>
    </row>
    <row r="283" spans="1:19" ht="29.25" customHeight="1" x14ac:dyDescent="0.2">
      <c r="A283" s="187">
        <v>0</v>
      </c>
      <c r="B283" s="35">
        <v>0</v>
      </c>
      <c r="C283" s="35">
        <v>0</v>
      </c>
      <c r="D283" s="35">
        <v>0</v>
      </c>
      <c r="E283" s="28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/>
      <c r="M283" s="35"/>
      <c r="N283" s="188"/>
      <c r="O283" s="188"/>
      <c r="P283" s="23"/>
      <c r="Q283" s="35"/>
      <c r="R283" s="35"/>
      <c r="S283" s="35"/>
    </row>
    <row r="284" spans="1:19" ht="29.25" customHeight="1" x14ac:dyDescent="0.2">
      <c r="A284" s="187">
        <v>0</v>
      </c>
      <c r="B284" s="35">
        <v>0</v>
      </c>
      <c r="C284" s="35">
        <v>0</v>
      </c>
      <c r="D284" s="35">
        <v>0</v>
      </c>
      <c r="E284" s="28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/>
      <c r="M284" s="35"/>
      <c r="N284" s="188"/>
      <c r="O284" s="188"/>
      <c r="P284" s="23"/>
      <c r="Q284" s="35"/>
      <c r="R284" s="35"/>
      <c r="S284" s="35"/>
    </row>
    <row r="285" spans="1:19" ht="29.25" customHeight="1" x14ac:dyDescent="0.2">
      <c r="A285" s="187">
        <v>0</v>
      </c>
      <c r="B285" s="35">
        <v>0</v>
      </c>
      <c r="C285" s="35">
        <v>0</v>
      </c>
      <c r="D285" s="35">
        <v>0</v>
      </c>
      <c r="E285" s="28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/>
      <c r="M285" s="35"/>
      <c r="N285" s="188"/>
      <c r="O285" s="188"/>
      <c r="P285" s="23"/>
      <c r="Q285" s="35"/>
      <c r="R285" s="35"/>
      <c r="S285" s="35"/>
    </row>
    <row r="286" spans="1:19" ht="29.25" customHeight="1" x14ac:dyDescent="0.2">
      <c r="A286" s="187">
        <v>0</v>
      </c>
      <c r="B286" s="35">
        <v>0</v>
      </c>
      <c r="C286" s="35">
        <v>0</v>
      </c>
      <c r="D286" s="35">
        <v>0</v>
      </c>
      <c r="E286" s="28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/>
      <c r="M286" s="35"/>
      <c r="N286" s="188"/>
      <c r="O286" s="188"/>
      <c r="P286" s="23"/>
      <c r="Q286" s="35"/>
      <c r="R286" s="35"/>
      <c r="S286" s="35"/>
    </row>
    <row r="287" spans="1:19" ht="29.25" customHeight="1" x14ac:dyDescent="0.2">
      <c r="A287" s="187">
        <v>0</v>
      </c>
      <c r="B287" s="35">
        <v>0</v>
      </c>
      <c r="C287" s="35">
        <v>0</v>
      </c>
      <c r="D287" s="35">
        <v>0</v>
      </c>
      <c r="E287" s="28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/>
      <c r="M287" s="35"/>
      <c r="N287" s="188"/>
      <c r="O287" s="188"/>
      <c r="P287" s="23"/>
      <c r="Q287" s="35"/>
      <c r="R287" s="35"/>
      <c r="S287" s="35"/>
    </row>
    <row r="288" spans="1:19" ht="29.25" customHeight="1" x14ac:dyDescent="0.2">
      <c r="A288" s="187">
        <v>0</v>
      </c>
      <c r="B288" s="35">
        <v>0</v>
      </c>
      <c r="C288" s="35">
        <v>0</v>
      </c>
      <c r="D288" s="35">
        <v>0</v>
      </c>
      <c r="E288" s="28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/>
      <c r="M288" s="35"/>
      <c r="N288" s="188"/>
      <c r="O288" s="188"/>
      <c r="P288" s="23"/>
      <c r="Q288" s="35"/>
      <c r="R288" s="35"/>
      <c r="S288" s="35"/>
    </row>
    <row r="289" spans="1:19" ht="29.25" customHeight="1" x14ac:dyDescent="0.2">
      <c r="A289" s="187">
        <v>0</v>
      </c>
      <c r="B289" s="35">
        <v>0</v>
      </c>
      <c r="C289" s="35">
        <v>0</v>
      </c>
      <c r="D289" s="35">
        <v>0</v>
      </c>
      <c r="E289" s="28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/>
      <c r="M289" s="35"/>
      <c r="N289" s="188"/>
      <c r="O289" s="188"/>
      <c r="P289" s="23"/>
      <c r="Q289" s="35"/>
      <c r="R289" s="35"/>
      <c r="S289" s="35"/>
    </row>
    <row r="290" spans="1:19" ht="29.25" customHeight="1" x14ac:dyDescent="0.2">
      <c r="A290" s="187">
        <v>0</v>
      </c>
      <c r="B290" s="35">
        <v>0</v>
      </c>
      <c r="C290" s="35">
        <v>0</v>
      </c>
      <c r="D290" s="35">
        <v>0</v>
      </c>
      <c r="E290" s="28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/>
      <c r="M290" s="35"/>
      <c r="N290" s="188"/>
      <c r="O290" s="188"/>
      <c r="P290" s="23"/>
      <c r="Q290" s="35"/>
      <c r="R290" s="35"/>
      <c r="S290" s="35"/>
    </row>
    <row r="291" spans="1:19" ht="29.25" customHeight="1" x14ac:dyDescent="0.2">
      <c r="A291" s="187">
        <v>0</v>
      </c>
      <c r="B291" s="35">
        <v>0</v>
      </c>
      <c r="C291" s="35">
        <v>0</v>
      </c>
      <c r="D291" s="35">
        <v>0</v>
      </c>
      <c r="E291" s="28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/>
      <c r="M291" s="35"/>
      <c r="N291" s="188"/>
      <c r="O291" s="188"/>
      <c r="P291" s="23"/>
      <c r="Q291" s="35"/>
      <c r="R291" s="35"/>
      <c r="S291" s="35"/>
    </row>
    <row r="292" spans="1:19" ht="29.25" customHeight="1" x14ac:dyDescent="0.2">
      <c r="A292" s="187">
        <v>0</v>
      </c>
      <c r="B292" s="35">
        <v>0</v>
      </c>
      <c r="C292" s="35">
        <v>0</v>
      </c>
      <c r="D292" s="35">
        <v>0</v>
      </c>
      <c r="E292" s="28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/>
      <c r="M292" s="35"/>
      <c r="N292" s="188"/>
      <c r="O292" s="188"/>
      <c r="P292" s="23"/>
      <c r="Q292" s="35"/>
      <c r="R292" s="35"/>
      <c r="S292" s="35"/>
    </row>
    <row r="293" spans="1:19" ht="29.25" customHeight="1" x14ac:dyDescent="0.2">
      <c r="A293" s="187">
        <v>0</v>
      </c>
      <c r="B293" s="35">
        <v>0</v>
      </c>
      <c r="C293" s="35">
        <v>0</v>
      </c>
      <c r="D293" s="35">
        <v>0</v>
      </c>
      <c r="E293" s="28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/>
      <c r="M293" s="35"/>
      <c r="N293" s="188"/>
      <c r="O293" s="188"/>
      <c r="P293" s="23"/>
      <c r="Q293" s="35"/>
      <c r="R293" s="35"/>
      <c r="S293" s="35"/>
    </row>
    <row r="294" spans="1:19" ht="29.25" customHeight="1" x14ac:dyDescent="0.2">
      <c r="A294" s="187">
        <v>0</v>
      </c>
      <c r="B294" s="35">
        <v>0</v>
      </c>
      <c r="C294" s="35">
        <v>0</v>
      </c>
      <c r="D294" s="35">
        <v>0</v>
      </c>
      <c r="E294" s="28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/>
      <c r="M294" s="35"/>
      <c r="N294" s="188"/>
      <c r="O294" s="188"/>
      <c r="P294" s="23"/>
      <c r="Q294" s="35"/>
      <c r="R294" s="35"/>
      <c r="S294" s="35"/>
    </row>
    <row r="295" spans="1:19" ht="29.25" customHeight="1" x14ac:dyDescent="0.2">
      <c r="A295" s="187">
        <v>0</v>
      </c>
      <c r="B295" s="35">
        <v>0</v>
      </c>
      <c r="C295" s="35">
        <v>0</v>
      </c>
      <c r="D295" s="35">
        <v>0</v>
      </c>
      <c r="E295" s="28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/>
      <c r="M295" s="35"/>
      <c r="N295" s="188"/>
      <c r="O295" s="188"/>
      <c r="P295" s="23"/>
      <c r="Q295" s="35"/>
      <c r="R295" s="35"/>
      <c r="S295" s="35"/>
    </row>
    <row r="296" spans="1:19" ht="29.25" customHeight="1" x14ac:dyDescent="0.2">
      <c r="A296" s="187">
        <v>0</v>
      </c>
      <c r="B296" s="35">
        <v>0</v>
      </c>
      <c r="C296" s="35">
        <v>0</v>
      </c>
      <c r="D296" s="35">
        <v>0</v>
      </c>
      <c r="E296" s="28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/>
      <c r="M296" s="35"/>
      <c r="N296" s="188"/>
      <c r="O296" s="188"/>
      <c r="P296" s="23"/>
      <c r="Q296" s="35"/>
      <c r="R296" s="35"/>
      <c r="S296" s="35"/>
    </row>
    <row r="297" spans="1:19" ht="29.25" customHeight="1" x14ac:dyDescent="0.2">
      <c r="A297" s="187">
        <v>0</v>
      </c>
      <c r="B297" s="35">
        <v>0</v>
      </c>
      <c r="C297" s="35">
        <v>0</v>
      </c>
      <c r="D297" s="35">
        <v>0</v>
      </c>
      <c r="E297" s="28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/>
      <c r="M297" s="35"/>
      <c r="N297" s="188"/>
      <c r="O297" s="188"/>
      <c r="P297" s="23"/>
      <c r="Q297" s="35"/>
      <c r="R297" s="35"/>
      <c r="S297" s="35"/>
    </row>
    <row r="298" spans="1:19" ht="29.25" customHeight="1" x14ac:dyDescent="0.2">
      <c r="A298" s="187">
        <v>0</v>
      </c>
      <c r="B298" s="35">
        <v>0</v>
      </c>
      <c r="C298" s="35">
        <v>0</v>
      </c>
      <c r="D298" s="35">
        <v>0</v>
      </c>
      <c r="E298" s="28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/>
      <c r="M298" s="35"/>
      <c r="N298" s="188"/>
      <c r="O298" s="188"/>
      <c r="P298" s="23"/>
      <c r="Q298" s="35"/>
      <c r="R298" s="35"/>
      <c r="S298" s="35"/>
    </row>
    <row r="299" spans="1:19" ht="29.25" customHeight="1" x14ac:dyDescent="0.2">
      <c r="A299" s="187">
        <v>0</v>
      </c>
      <c r="B299" s="35">
        <v>0</v>
      </c>
      <c r="C299" s="35">
        <v>0</v>
      </c>
      <c r="D299" s="35">
        <v>0</v>
      </c>
      <c r="E299" s="28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/>
      <c r="M299" s="35"/>
      <c r="N299" s="188"/>
      <c r="O299" s="188"/>
      <c r="P299" s="23"/>
      <c r="Q299" s="35"/>
      <c r="R299" s="35"/>
      <c r="S299" s="35"/>
    </row>
    <row r="300" spans="1:19" ht="29.25" customHeight="1" x14ac:dyDescent="0.2">
      <c r="A300" s="187">
        <v>0</v>
      </c>
      <c r="B300" s="35">
        <v>0</v>
      </c>
      <c r="C300" s="35">
        <v>0</v>
      </c>
      <c r="D300" s="35">
        <v>0</v>
      </c>
      <c r="E300" s="28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/>
      <c r="M300" s="35"/>
      <c r="N300" s="188"/>
      <c r="O300" s="188"/>
      <c r="P300" s="23"/>
      <c r="Q300" s="35"/>
      <c r="R300" s="35"/>
      <c r="S300" s="35"/>
    </row>
    <row r="301" spans="1:19" ht="29.25" customHeight="1" x14ac:dyDescent="0.2">
      <c r="A301" s="187">
        <v>0</v>
      </c>
      <c r="B301" s="35">
        <v>0</v>
      </c>
      <c r="C301" s="35">
        <v>0</v>
      </c>
      <c r="D301" s="35">
        <v>0</v>
      </c>
      <c r="E301" s="28">
        <v>0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/>
      <c r="M301" s="35"/>
      <c r="N301" s="188"/>
      <c r="O301" s="188"/>
      <c r="P301" s="23"/>
      <c r="Q301" s="35"/>
      <c r="R301" s="35"/>
      <c r="S301" s="35"/>
    </row>
    <row r="302" spans="1:19" ht="29.25" customHeight="1" x14ac:dyDescent="0.2">
      <c r="A302" s="187">
        <v>0</v>
      </c>
      <c r="B302" s="35">
        <v>0</v>
      </c>
      <c r="C302" s="35">
        <v>0</v>
      </c>
      <c r="D302" s="35">
        <v>0</v>
      </c>
      <c r="E302" s="28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/>
      <c r="M302" s="35"/>
      <c r="N302" s="188"/>
      <c r="O302" s="188"/>
      <c r="P302" s="23"/>
      <c r="Q302" s="35"/>
      <c r="R302" s="35"/>
      <c r="S302" s="35"/>
    </row>
    <row r="303" spans="1:19" ht="29.25" customHeight="1" x14ac:dyDescent="0.2">
      <c r="A303" s="187">
        <v>0</v>
      </c>
      <c r="B303" s="35">
        <v>0</v>
      </c>
      <c r="C303" s="35">
        <v>0</v>
      </c>
      <c r="D303" s="35">
        <v>0</v>
      </c>
      <c r="E303" s="28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/>
      <c r="M303" s="35"/>
      <c r="N303" s="188"/>
      <c r="O303" s="188"/>
      <c r="P303" s="23"/>
      <c r="Q303" s="35"/>
      <c r="R303" s="35"/>
      <c r="S303" s="35"/>
    </row>
    <row r="304" spans="1:19" ht="29.25" customHeight="1" x14ac:dyDescent="0.2">
      <c r="A304" s="187">
        <v>0</v>
      </c>
      <c r="B304" s="35">
        <v>0</v>
      </c>
      <c r="C304" s="35">
        <v>0</v>
      </c>
      <c r="D304" s="35">
        <v>0</v>
      </c>
      <c r="E304" s="28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/>
      <c r="M304" s="35"/>
      <c r="N304" s="188"/>
      <c r="O304" s="188"/>
      <c r="P304" s="23"/>
      <c r="Q304" s="35"/>
      <c r="R304" s="35"/>
      <c r="S304" s="35"/>
    </row>
    <row r="305" spans="1:19" ht="29.25" customHeight="1" x14ac:dyDescent="0.2">
      <c r="A305" s="187">
        <v>0</v>
      </c>
      <c r="B305" s="35">
        <v>0</v>
      </c>
      <c r="C305" s="35">
        <v>0</v>
      </c>
      <c r="D305" s="35">
        <v>0</v>
      </c>
      <c r="E305" s="28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/>
      <c r="M305" s="35"/>
      <c r="N305" s="188"/>
      <c r="O305" s="188"/>
      <c r="P305" s="23"/>
      <c r="Q305" s="35"/>
      <c r="R305" s="35"/>
      <c r="S305" s="35"/>
    </row>
    <row r="306" spans="1:19" ht="29.25" customHeight="1" x14ac:dyDescent="0.2">
      <c r="A306" s="187">
        <v>0</v>
      </c>
      <c r="B306" s="35">
        <v>0</v>
      </c>
      <c r="C306" s="35">
        <v>0</v>
      </c>
      <c r="D306" s="35">
        <v>0</v>
      </c>
      <c r="E306" s="28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/>
      <c r="M306" s="35"/>
      <c r="N306" s="188"/>
      <c r="O306" s="188"/>
      <c r="P306" s="23"/>
      <c r="Q306" s="35"/>
      <c r="R306" s="35"/>
      <c r="S306" s="35"/>
    </row>
    <row r="307" spans="1:19" ht="29.25" customHeight="1" x14ac:dyDescent="0.2">
      <c r="A307" s="187">
        <v>0</v>
      </c>
      <c r="B307" s="35">
        <v>0</v>
      </c>
      <c r="C307" s="35">
        <v>0</v>
      </c>
      <c r="D307" s="35">
        <v>0</v>
      </c>
      <c r="E307" s="28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/>
      <c r="M307" s="35"/>
      <c r="N307" s="188"/>
      <c r="O307" s="188"/>
      <c r="P307" s="23"/>
      <c r="Q307" s="35"/>
      <c r="R307" s="35"/>
      <c r="S307" s="35"/>
    </row>
    <row r="308" spans="1:19" ht="29.25" customHeight="1" x14ac:dyDescent="0.2">
      <c r="A308" s="187">
        <v>0</v>
      </c>
      <c r="B308" s="35">
        <v>0</v>
      </c>
      <c r="C308" s="35">
        <v>0</v>
      </c>
      <c r="D308" s="35">
        <v>0</v>
      </c>
      <c r="E308" s="28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/>
      <c r="M308" s="35"/>
      <c r="N308" s="188"/>
      <c r="O308" s="188"/>
      <c r="P308" s="23"/>
      <c r="Q308" s="35"/>
      <c r="R308" s="35"/>
      <c r="S308" s="35"/>
    </row>
    <row r="309" spans="1:19" ht="29.25" customHeight="1" x14ac:dyDescent="0.2">
      <c r="A309" s="187">
        <v>0</v>
      </c>
      <c r="B309" s="35">
        <v>0</v>
      </c>
      <c r="C309" s="35">
        <v>0</v>
      </c>
      <c r="D309" s="35">
        <v>0</v>
      </c>
      <c r="E309" s="28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/>
      <c r="M309" s="35"/>
      <c r="N309" s="188"/>
      <c r="O309" s="188"/>
      <c r="P309" s="23"/>
      <c r="Q309" s="35"/>
      <c r="R309" s="35"/>
      <c r="S309" s="35"/>
    </row>
    <row r="310" spans="1:19" ht="29.25" customHeight="1" x14ac:dyDescent="0.2">
      <c r="A310" s="187">
        <v>0</v>
      </c>
      <c r="B310" s="35">
        <v>0</v>
      </c>
      <c r="C310" s="35">
        <v>0</v>
      </c>
      <c r="D310" s="35">
        <v>0</v>
      </c>
      <c r="E310" s="28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/>
      <c r="M310" s="35"/>
      <c r="N310" s="188"/>
      <c r="O310" s="188"/>
      <c r="P310" s="23"/>
      <c r="Q310" s="35"/>
      <c r="R310" s="35"/>
      <c r="S310" s="35"/>
    </row>
    <row r="311" spans="1:19" ht="29.25" customHeight="1" x14ac:dyDescent="0.2">
      <c r="A311" s="187">
        <v>0</v>
      </c>
      <c r="B311" s="35">
        <v>0</v>
      </c>
      <c r="C311" s="35">
        <v>0</v>
      </c>
      <c r="D311" s="35">
        <v>0</v>
      </c>
      <c r="E311" s="28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/>
      <c r="M311" s="35"/>
      <c r="N311" s="188"/>
      <c r="O311" s="188"/>
      <c r="P311" s="23"/>
      <c r="Q311" s="35"/>
      <c r="R311" s="35"/>
      <c r="S311" s="35"/>
    </row>
    <row r="312" spans="1:19" ht="29.25" customHeight="1" x14ac:dyDescent="0.2">
      <c r="A312" s="187">
        <v>0</v>
      </c>
      <c r="B312" s="35">
        <v>0</v>
      </c>
      <c r="C312" s="35">
        <v>0</v>
      </c>
      <c r="D312" s="35">
        <v>0</v>
      </c>
      <c r="E312" s="28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/>
      <c r="M312" s="35"/>
      <c r="N312" s="188"/>
      <c r="O312" s="188"/>
      <c r="P312" s="23"/>
      <c r="Q312" s="35"/>
      <c r="R312" s="35"/>
      <c r="S312" s="35"/>
    </row>
    <row r="313" spans="1:19" ht="29.25" customHeight="1" x14ac:dyDescent="0.2">
      <c r="A313" s="187">
        <v>0</v>
      </c>
      <c r="B313" s="35">
        <v>0</v>
      </c>
      <c r="C313" s="35">
        <v>0</v>
      </c>
      <c r="D313" s="35">
        <v>0</v>
      </c>
      <c r="E313" s="28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/>
      <c r="M313" s="35"/>
      <c r="N313" s="188"/>
      <c r="O313" s="188"/>
      <c r="P313" s="23"/>
      <c r="Q313" s="35"/>
      <c r="R313" s="35"/>
      <c r="S313" s="35"/>
    </row>
    <row r="314" spans="1:19" ht="29.25" customHeight="1" x14ac:dyDescent="0.2">
      <c r="A314" s="187">
        <v>0</v>
      </c>
      <c r="B314" s="35">
        <v>0</v>
      </c>
      <c r="C314" s="35">
        <v>0</v>
      </c>
      <c r="D314" s="35">
        <v>0</v>
      </c>
      <c r="E314" s="28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/>
      <c r="M314" s="35"/>
      <c r="N314" s="188"/>
      <c r="O314" s="188"/>
      <c r="P314" s="23"/>
      <c r="Q314" s="35"/>
      <c r="R314" s="35"/>
      <c r="S314" s="35"/>
    </row>
    <row r="315" spans="1:19" ht="29.25" customHeight="1" x14ac:dyDescent="0.2">
      <c r="A315" s="187">
        <v>0</v>
      </c>
      <c r="B315" s="35">
        <v>0</v>
      </c>
      <c r="C315" s="35">
        <v>0</v>
      </c>
      <c r="D315" s="35">
        <v>0</v>
      </c>
      <c r="E315" s="28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/>
      <c r="M315" s="35"/>
      <c r="N315" s="188"/>
      <c r="O315" s="188"/>
      <c r="P315" s="23"/>
      <c r="Q315" s="35"/>
      <c r="R315" s="35"/>
      <c r="S315" s="35"/>
    </row>
    <row r="316" spans="1:19" ht="29.25" customHeight="1" x14ac:dyDescent="0.2">
      <c r="A316" s="187">
        <v>0</v>
      </c>
      <c r="B316" s="35">
        <v>0</v>
      </c>
      <c r="C316" s="35">
        <v>0</v>
      </c>
      <c r="D316" s="35">
        <v>0</v>
      </c>
      <c r="E316" s="28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/>
      <c r="M316" s="35"/>
      <c r="N316" s="188"/>
      <c r="O316" s="188"/>
      <c r="P316" s="23"/>
      <c r="Q316" s="35"/>
      <c r="R316" s="35"/>
      <c r="S316" s="35"/>
    </row>
    <row r="317" spans="1:19" ht="29.25" customHeight="1" x14ac:dyDescent="0.2">
      <c r="A317" s="187">
        <v>0</v>
      </c>
      <c r="B317" s="35">
        <v>0</v>
      </c>
      <c r="C317" s="35">
        <v>0</v>
      </c>
      <c r="D317" s="35">
        <v>0</v>
      </c>
      <c r="E317" s="28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/>
      <c r="M317" s="35"/>
      <c r="N317" s="188"/>
      <c r="O317" s="188"/>
      <c r="P317" s="23"/>
      <c r="Q317" s="35"/>
      <c r="R317" s="35"/>
      <c r="S317" s="35"/>
    </row>
    <row r="318" spans="1:19" ht="29.25" customHeight="1" x14ac:dyDescent="0.2">
      <c r="A318" s="187">
        <v>0</v>
      </c>
      <c r="B318" s="35">
        <v>0</v>
      </c>
      <c r="C318" s="35">
        <v>0</v>
      </c>
      <c r="D318" s="35">
        <v>0</v>
      </c>
      <c r="E318" s="28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/>
      <c r="M318" s="35"/>
      <c r="N318" s="188"/>
      <c r="O318" s="188"/>
      <c r="P318" s="23"/>
      <c r="Q318" s="35"/>
      <c r="R318" s="35"/>
      <c r="S318" s="35"/>
    </row>
    <row r="319" spans="1:19" ht="29.25" customHeight="1" x14ac:dyDescent="0.2">
      <c r="A319" s="187">
        <v>0</v>
      </c>
      <c r="B319" s="35">
        <v>0</v>
      </c>
      <c r="C319" s="35">
        <v>0</v>
      </c>
      <c r="D319" s="35">
        <v>0</v>
      </c>
      <c r="E319" s="28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/>
      <c r="M319" s="35"/>
      <c r="N319" s="188"/>
      <c r="O319" s="188"/>
      <c r="P319" s="23"/>
      <c r="Q319" s="35"/>
      <c r="R319" s="35"/>
      <c r="S319" s="35"/>
    </row>
    <row r="320" spans="1:19" ht="29.25" customHeight="1" x14ac:dyDescent="0.2">
      <c r="A320" s="187">
        <v>0</v>
      </c>
      <c r="B320" s="35">
        <v>0</v>
      </c>
      <c r="C320" s="35">
        <v>0</v>
      </c>
      <c r="D320" s="35">
        <v>0</v>
      </c>
      <c r="E320" s="28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/>
      <c r="M320" s="35"/>
      <c r="N320" s="188"/>
      <c r="O320" s="188"/>
      <c r="P320" s="23"/>
      <c r="Q320" s="35"/>
      <c r="R320" s="35"/>
      <c r="S320" s="35"/>
    </row>
    <row r="321" spans="1:19" ht="29.25" customHeight="1" x14ac:dyDescent="0.2">
      <c r="A321" s="187">
        <v>0</v>
      </c>
      <c r="B321" s="35">
        <v>0</v>
      </c>
      <c r="C321" s="35">
        <v>0</v>
      </c>
      <c r="D321" s="35">
        <v>0</v>
      </c>
      <c r="E321" s="28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/>
      <c r="M321" s="35"/>
      <c r="N321" s="188"/>
      <c r="O321" s="188"/>
      <c r="P321" s="23"/>
      <c r="Q321" s="35"/>
      <c r="R321" s="35"/>
      <c r="S321" s="35"/>
    </row>
    <row r="322" spans="1:19" ht="29.25" customHeight="1" x14ac:dyDescent="0.2">
      <c r="A322" s="187">
        <v>0</v>
      </c>
      <c r="B322" s="35">
        <v>0</v>
      </c>
      <c r="C322" s="35">
        <v>0</v>
      </c>
      <c r="D322" s="35">
        <v>0</v>
      </c>
      <c r="E322" s="28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/>
      <c r="M322" s="35"/>
      <c r="N322" s="188"/>
      <c r="O322" s="188"/>
      <c r="P322" s="23"/>
      <c r="Q322" s="35"/>
      <c r="R322" s="35"/>
      <c r="S322" s="35"/>
    </row>
    <row r="323" spans="1:19" ht="29.25" customHeight="1" x14ac:dyDescent="0.2">
      <c r="A323" s="187">
        <v>0</v>
      </c>
      <c r="B323" s="35">
        <v>0</v>
      </c>
      <c r="C323" s="35">
        <v>0</v>
      </c>
      <c r="D323" s="35">
        <v>0</v>
      </c>
      <c r="E323" s="28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/>
      <c r="M323" s="35"/>
      <c r="N323" s="188"/>
      <c r="O323" s="188"/>
      <c r="P323" s="23"/>
      <c r="Q323" s="35"/>
      <c r="R323" s="35"/>
      <c r="S323" s="35"/>
    </row>
    <row r="324" spans="1:19" ht="29.25" customHeight="1" x14ac:dyDescent="0.2">
      <c r="A324" s="187">
        <v>0</v>
      </c>
      <c r="B324" s="35">
        <v>0</v>
      </c>
      <c r="C324" s="35">
        <v>0</v>
      </c>
      <c r="D324" s="35">
        <v>0</v>
      </c>
      <c r="E324" s="28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/>
      <c r="M324" s="35"/>
      <c r="N324" s="188"/>
      <c r="O324" s="188"/>
      <c r="P324" s="23"/>
      <c r="Q324" s="35"/>
      <c r="R324" s="35"/>
      <c r="S324" s="35"/>
    </row>
    <row r="325" spans="1:19" ht="29.25" customHeight="1" x14ac:dyDescent="0.2">
      <c r="A325" s="187">
        <v>0</v>
      </c>
      <c r="B325" s="35">
        <v>0</v>
      </c>
      <c r="C325" s="35">
        <v>0</v>
      </c>
      <c r="D325" s="35">
        <v>0</v>
      </c>
      <c r="E325" s="28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/>
      <c r="M325" s="35"/>
      <c r="N325" s="188"/>
      <c r="O325" s="188"/>
      <c r="P325" s="23"/>
      <c r="Q325" s="35"/>
      <c r="R325" s="35"/>
      <c r="S325" s="35"/>
    </row>
    <row r="326" spans="1:19" ht="29.25" customHeight="1" x14ac:dyDescent="0.2">
      <c r="A326" s="187">
        <v>0</v>
      </c>
      <c r="B326" s="35">
        <v>0</v>
      </c>
      <c r="C326" s="35">
        <v>0</v>
      </c>
      <c r="D326" s="35">
        <v>0</v>
      </c>
      <c r="E326" s="28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/>
      <c r="M326" s="35"/>
      <c r="N326" s="188"/>
      <c r="O326" s="188"/>
      <c r="P326" s="23"/>
      <c r="Q326" s="35"/>
      <c r="R326" s="35"/>
      <c r="S326" s="35"/>
    </row>
    <row r="327" spans="1:19" ht="29.25" customHeight="1" x14ac:dyDescent="0.2">
      <c r="A327" s="187">
        <v>0</v>
      </c>
      <c r="B327" s="35">
        <v>0</v>
      </c>
      <c r="C327" s="35">
        <v>0</v>
      </c>
      <c r="D327" s="35">
        <v>0</v>
      </c>
      <c r="E327" s="28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/>
      <c r="M327" s="35"/>
      <c r="N327" s="188"/>
      <c r="O327" s="188"/>
      <c r="P327" s="23"/>
      <c r="Q327" s="35"/>
      <c r="R327" s="35"/>
      <c r="S327" s="35"/>
    </row>
    <row r="328" spans="1:19" ht="29.25" customHeight="1" x14ac:dyDescent="0.2">
      <c r="A328" s="187">
        <v>0</v>
      </c>
      <c r="B328" s="35">
        <v>0</v>
      </c>
      <c r="C328" s="35">
        <v>0</v>
      </c>
      <c r="D328" s="35">
        <v>0</v>
      </c>
      <c r="E328" s="28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/>
      <c r="M328" s="35"/>
      <c r="N328" s="188"/>
      <c r="O328" s="188"/>
      <c r="P328" s="23"/>
      <c r="Q328" s="35"/>
      <c r="R328" s="35"/>
      <c r="S328" s="35"/>
    </row>
    <row r="329" spans="1:19" ht="29.25" customHeight="1" x14ac:dyDescent="0.2">
      <c r="A329" s="187">
        <v>0</v>
      </c>
      <c r="B329" s="35">
        <v>0</v>
      </c>
      <c r="C329" s="35">
        <v>0</v>
      </c>
      <c r="D329" s="35">
        <v>0</v>
      </c>
      <c r="E329" s="28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/>
      <c r="M329" s="35"/>
      <c r="N329" s="188"/>
      <c r="O329" s="188"/>
      <c r="P329" s="23"/>
      <c r="Q329" s="35"/>
      <c r="R329" s="35"/>
      <c r="S329" s="35"/>
    </row>
    <row r="330" spans="1:19" ht="29.25" customHeight="1" x14ac:dyDescent="0.2">
      <c r="A330" s="187">
        <v>0</v>
      </c>
      <c r="B330" s="35">
        <v>0</v>
      </c>
      <c r="C330" s="35">
        <v>0</v>
      </c>
      <c r="D330" s="35">
        <v>0</v>
      </c>
      <c r="E330" s="28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/>
      <c r="M330" s="35"/>
      <c r="N330" s="188"/>
      <c r="O330" s="188"/>
      <c r="P330" s="23"/>
      <c r="Q330" s="35"/>
      <c r="R330" s="35"/>
      <c r="S330" s="35"/>
    </row>
    <row r="331" spans="1:19" ht="29.25" customHeight="1" x14ac:dyDescent="0.2">
      <c r="A331" s="187">
        <v>0</v>
      </c>
      <c r="B331" s="35">
        <v>0</v>
      </c>
      <c r="C331" s="35">
        <v>0</v>
      </c>
      <c r="D331" s="35">
        <v>0</v>
      </c>
      <c r="E331" s="28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/>
      <c r="M331" s="35"/>
      <c r="N331" s="188"/>
      <c r="O331" s="188"/>
      <c r="P331" s="23"/>
      <c r="Q331" s="35"/>
      <c r="R331" s="35"/>
      <c r="S331" s="35"/>
    </row>
    <row r="332" spans="1:19" ht="29.25" customHeight="1" x14ac:dyDescent="0.2">
      <c r="A332" s="187">
        <v>0</v>
      </c>
      <c r="B332" s="35">
        <v>0</v>
      </c>
      <c r="C332" s="35">
        <v>0</v>
      </c>
      <c r="D332" s="35">
        <v>0</v>
      </c>
      <c r="E332" s="28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/>
      <c r="M332" s="35"/>
      <c r="N332" s="188"/>
      <c r="O332" s="188"/>
      <c r="P332" s="23"/>
      <c r="Q332" s="35"/>
      <c r="R332" s="35"/>
      <c r="S332" s="35"/>
    </row>
    <row r="333" spans="1:19" ht="29.25" customHeight="1" x14ac:dyDescent="0.2">
      <c r="A333" s="187">
        <v>0</v>
      </c>
      <c r="B333" s="35">
        <v>0</v>
      </c>
      <c r="C333" s="35">
        <v>0</v>
      </c>
      <c r="D333" s="35">
        <v>0</v>
      </c>
      <c r="E333" s="28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/>
      <c r="M333" s="35"/>
      <c r="N333" s="188"/>
      <c r="O333" s="188"/>
      <c r="P333" s="23"/>
      <c r="Q333" s="35"/>
      <c r="R333" s="35"/>
      <c r="S333" s="35"/>
    </row>
    <row r="334" spans="1:19" ht="29.25" customHeight="1" x14ac:dyDescent="0.2">
      <c r="A334" s="187">
        <v>0</v>
      </c>
      <c r="B334" s="35">
        <v>0</v>
      </c>
      <c r="C334" s="35">
        <v>0</v>
      </c>
      <c r="D334" s="35">
        <v>0</v>
      </c>
      <c r="E334" s="28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/>
      <c r="M334" s="35"/>
      <c r="N334" s="188"/>
      <c r="O334" s="188"/>
      <c r="P334" s="23"/>
      <c r="Q334" s="35"/>
      <c r="R334" s="35"/>
      <c r="S334" s="35"/>
    </row>
    <row r="335" spans="1:19" ht="29.25" customHeight="1" x14ac:dyDescent="0.2">
      <c r="A335" s="187">
        <v>0</v>
      </c>
      <c r="B335" s="35">
        <v>0</v>
      </c>
      <c r="C335" s="35">
        <v>0</v>
      </c>
      <c r="D335" s="35">
        <v>0</v>
      </c>
      <c r="E335" s="28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/>
      <c r="M335" s="35"/>
      <c r="N335" s="188"/>
      <c r="O335" s="188"/>
      <c r="P335" s="23"/>
      <c r="Q335" s="35"/>
      <c r="R335" s="35"/>
      <c r="S335" s="35"/>
    </row>
    <row r="336" spans="1:19" ht="29.25" customHeight="1" x14ac:dyDescent="0.2">
      <c r="A336" s="187">
        <v>0</v>
      </c>
      <c r="B336" s="35">
        <v>0</v>
      </c>
      <c r="C336" s="35">
        <v>0</v>
      </c>
      <c r="D336" s="35">
        <v>0</v>
      </c>
      <c r="E336" s="28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/>
      <c r="M336" s="35"/>
      <c r="N336" s="188"/>
      <c r="O336" s="188"/>
      <c r="P336" s="23"/>
      <c r="Q336" s="35"/>
      <c r="R336" s="35"/>
      <c r="S336" s="35"/>
    </row>
    <row r="337" spans="1:19" ht="29.25" customHeight="1" x14ac:dyDescent="0.2">
      <c r="A337" s="187">
        <v>0</v>
      </c>
      <c r="B337" s="35">
        <v>0</v>
      </c>
      <c r="C337" s="35">
        <v>0</v>
      </c>
      <c r="D337" s="35">
        <v>0</v>
      </c>
      <c r="E337" s="28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/>
      <c r="M337" s="35"/>
      <c r="N337" s="188"/>
      <c r="O337" s="188"/>
      <c r="P337" s="23"/>
      <c r="Q337" s="35"/>
      <c r="R337" s="35"/>
      <c r="S337" s="35"/>
    </row>
    <row r="338" spans="1:19" ht="29.25" customHeight="1" x14ac:dyDescent="0.2">
      <c r="A338" s="187">
        <v>0</v>
      </c>
      <c r="B338" s="35">
        <v>0</v>
      </c>
      <c r="C338" s="35">
        <v>0</v>
      </c>
      <c r="D338" s="35">
        <v>0</v>
      </c>
      <c r="E338" s="28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/>
      <c r="M338" s="35"/>
      <c r="N338" s="188"/>
      <c r="O338" s="188"/>
      <c r="P338" s="23"/>
      <c r="Q338" s="35"/>
      <c r="R338" s="35"/>
      <c r="S338" s="35"/>
    </row>
    <row r="339" spans="1:19" ht="29.25" customHeight="1" x14ac:dyDescent="0.2">
      <c r="A339" s="187">
        <v>0</v>
      </c>
      <c r="B339" s="35">
        <v>0</v>
      </c>
      <c r="C339" s="35">
        <v>0</v>
      </c>
      <c r="D339" s="35">
        <v>0</v>
      </c>
      <c r="E339" s="28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/>
      <c r="M339" s="35"/>
      <c r="N339" s="188"/>
      <c r="O339" s="188"/>
      <c r="P339" s="23"/>
      <c r="Q339" s="35"/>
      <c r="R339" s="35"/>
      <c r="S339" s="35"/>
    </row>
    <row r="340" spans="1:19" ht="29.25" customHeight="1" x14ac:dyDescent="0.2">
      <c r="A340" s="187">
        <v>0</v>
      </c>
      <c r="B340" s="35">
        <v>0</v>
      </c>
      <c r="C340" s="35">
        <v>0</v>
      </c>
      <c r="D340" s="35">
        <v>0</v>
      </c>
      <c r="E340" s="28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/>
      <c r="M340" s="35"/>
      <c r="N340" s="188"/>
      <c r="O340" s="188"/>
      <c r="P340" s="23"/>
      <c r="Q340" s="35"/>
      <c r="R340" s="35"/>
      <c r="S340" s="35"/>
    </row>
    <row r="341" spans="1:19" ht="29.25" customHeight="1" x14ac:dyDescent="0.2">
      <c r="A341" s="187">
        <v>0</v>
      </c>
      <c r="B341" s="35">
        <v>0</v>
      </c>
      <c r="C341" s="35">
        <v>0</v>
      </c>
      <c r="D341" s="35">
        <v>0</v>
      </c>
      <c r="E341" s="28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/>
      <c r="M341" s="35"/>
      <c r="N341" s="188"/>
      <c r="O341" s="188"/>
      <c r="P341" s="23"/>
      <c r="Q341" s="35"/>
      <c r="R341" s="35"/>
      <c r="S341" s="35"/>
    </row>
    <row r="342" spans="1:19" ht="29.25" customHeight="1" x14ac:dyDescent="0.2">
      <c r="A342" s="187">
        <v>0</v>
      </c>
      <c r="B342" s="35">
        <v>0</v>
      </c>
      <c r="C342" s="35">
        <v>0</v>
      </c>
      <c r="D342" s="35">
        <v>0</v>
      </c>
      <c r="E342" s="28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/>
      <c r="M342" s="35"/>
      <c r="N342" s="188"/>
      <c r="O342" s="188"/>
      <c r="P342" s="23"/>
      <c r="Q342" s="35"/>
      <c r="R342" s="35"/>
      <c r="S342" s="35"/>
    </row>
    <row r="343" spans="1:19" ht="29.25" customHeight="1" x14ac:dyDescent="0.2">
      <c r="A343" s="187">
        <v>0</v>
      </c>
      <c r="B343" s="35">
        <v>0</v>
      </c>
      <c r="C343" s="35">
        <v>0</v>
      </c>
      <c r="D343" s="35">
        <v>0</v>
      </c>
      <c r="E343" s="28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/>
      <c r="M343" s="35"/>
      <c r="N343" s="188"/>
      <c r="O343" s="188"/>
      <c r="P343" s="23"/>
      <c r="Q343" s="35"/>
      <c r="R343" s="35"/>
      <c r="S343" s="35"/>
    </row>
    <row r="344" spans="1:19" ht="29.25" customHeight="1" x14ac:dyDescent="0.2">
      <c r="A344" s="187">
        <v>0</v>
      </c>
      <c r="B344" s="35">
        <v>0</v>
      </c>
      <c r="C344" s="35">
        <v>0</v>
      </c>
      <c r="D344" s="35">
        <v>0</v>
      </c>
      <c r="E344" s="28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/>
      <c r="M344" s="35"/>
      <c r="N344" s="188"/>
      <c r="O344" s="188"/>
      <c r="P344" s="23"/>
      <c r="Q344" s="35"/>
      <c r="R344" s="35"/>
      <c r="S344" s="35"/>
    </row>
    <row r="345" spans="1:19" ht="29.25" customHeight="1" x14ac:dyDescent="0.2">
      <c r="A345" s="187">
        <v>0</v>
      </c>
      <c r="B345" s="35">
        <v>0</v>
      </c>
      <c r="C345" s="35">
        <v>0</v>
      </c>
      <c r="D345" s="35">
        <v>0</v>
      </c>
      <c r="E345" s="28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/>
      <c r="M345" s="35"/>
      <c r="N345" s="188"/>
      <c r="O345" s="188"/>
      <c r="P345" s="23"/>
      <c r="Q345" s="35"/>
      <c r="R345" s="35"/>
      <c r="S345" s="35"/>
    </row>
    <row r="346" spans="1:19" ht="29.25" customHeight="1" x14ac:dyDescent="0.2">
      <c r="A346" s="187">
        <v>0</v>
      </c>
      <c r="B346" s="35">
        <v>0</v>
      </c>
      <c r="C346" s="35">
        <v>0</v>
      </c>
      <c r="D346" s="35">
        <v>0</v>
      </c>
      <c r="E346" s="28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/>
      <c r="M346" s="35"/>
      <c r="N346" s="188"/>
      <c r="O346" s="188"/>
      <c r="P346" s="23"/>
      <c r="Q346" s="35"/>
      <c r="R346" s="35"/>
      <c r="S346" s="35"/>
    </row>
    <row r="347" spans="1:19" ht="29.25" customHeight="1" x14ac:dyDescent="0.2">
      <c r="A347" s="187">
        <v>0</v>
      </c>
      <c r="B347" s="35">
        <v>0</v>
      </c>
      <c r="C347" s="35">
        <v>0</v>
      </c>
      <c r="D347" s="35">
        <v>0</v>
      </c>
      <c r="E347" s="28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/>
      <c r="M347" s="35"/>
      <c r="N347" s="188"/>
      <c r="O347" s="188"/>
      <c r="P347" s="23"/>
      <c r="Q347" s="35"/>
      <c r="R347" s="35"/>
      <c r="S347" s="35"/>
    </row>
    <row r="348" spans="1:19" ht="29.25" customHeight="1" x14ac:dyDescent="0.2">
      <c r="A348" s="187">
        <v>0</v>
      </c>
      <c r="B348" s="35">
        <v>0</v>
      </c>
      <c r="C348" s="35">
        <v>0</v>
      </c>
      <c r="D348" s="35">
        <v>0</v>
      </c>
      <c r="E348" s="28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/>
      <c r="M348" s="35"/>
      <c r="N348" s="188"/>
      <c r="O348" s="188"/>
      <c r="P348" s="23"/>
      <c r="Q348" s="35"/>
      <c r="R348" s="35"/>
      <c r="S348" s="35"/>
    </row>
    <row r="349" spans="1:19" ht="29.25" customHeight="1" x14ac:dyDescent="0.2">
      <c r="A349" s="187">
        <v>0</v>
      </c>
      <c r="B349" s="35">
        <v>0</v>
      </c>
      <c r="C349" s="35">
        <v>0</v>
      </c>
      <c r="D349" s="35">
        <v>0</v>
      </c>
      <c r="E349" s="28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/>
      <c r="M349" s="35"/>
      <c r="N349" s="188"/>
      <c r="O349" s="188"/>
      <c r="P349" s="23"/>
      <c r="Q349" s="35"/>
      <c r="R349" s="35"/>
      <c r="S349" s="35"/>
    </row>
    <row r="350" spans="1:19" ht="29.25" customHeight="1" x14ac:dyDescent="0.2">
      <c r="A350" s="187">
        <v>0</v>
      </c>
      <c r="B350" s="35">
        <v>0</v>
      </c>
      <c r="C350" s="35">
        <v>0</v>
      </c>
      <c r="D350" s="35">
        <v>0</v>
      </c>
      <c r="E350" s="28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/>
      <c r="M350" s="35"/>
      <c r="N350" s="188"/>
      <c r="O350" s="188"/>
      <c r="P350" s="23"/>
      <c r="Q350" s="35"/>
      <c r="R350" s="35"/>
      <c r="S350" s="35"/>
    </row>
    <row r="351" spans="1:19" ht="29.25" customHeight="1" x14ac:dyDescent="0.2">
      <c r="A351" s="187">
        <v>0</v>
      </c>
      <c r="B351" s="35">
        <v>0</v>
      </c>
      <c r="C351" s="35">
        <v>0</v>
      </c>
      <c r="D351" s="35">
        <v>0</v>
      </c>
      <c r="E351" s="28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/>
      <c r="M351" s="35"/>
      <c r="N351" s="188"/>
      <c r="O351" s="188"/>
      <c r="P351" s="23"/>
      <c r="Q351" s="35"/>
      <c r="R351" s="35"/>
      <c r="S351" s="35"/>
    </row>
    <row r="352" spans="1:19" ht="29.25" customHeight="1" x14ac:dyDescent="0.2">
      <c r="A352" s="187">
        <v>0</v>
      </c>
      <c r="B352" s="35">
        <v>0</v>
      </c>
      <c r="C352" s="35">
        <v>0</v>
      </c>
      <c r="D352" s="35">
        <v>0</v>
      </c>
      <c r="E352" s="28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/>
      <c r="M352" s="35"/>
      <c r="N352" s="188"/>
      <c r="O352" s="188"/>
      <c r="P352" s="23"/>
      <c r="Q352" s="35"/>
      <c r="R352" s="35"/>
      <c r="S352" s="35"/>
    </row>
    <row r="353" spans="1:19" ht="29.25" customHeight="1" x14ac:dyDescent="0.2">
      <c r="A353" s="187">
        <v>0</v>
      </c>
      <c r="B353" s="35">
        <v>0</v>
      </c>
      <c r="C353" s="35">
        <v>0</v>
      </c>
      <c r="D353" s="35">
        <v>0</v>
      </c>
      <c r="E353" s="28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/>
      <c r="M353" s="35"/>
      <c r="N353" s="188"/>
      <c r="O353" s="188"/>
      <c r="P353" s="23"/>
      <c r="Q353" s="35"/>
      <c r="R353" s="35"/>
      <c r="S353" s="35"/>
    </row>
    <row r="354" spans="1:19" ht="29.25" customHeight="1" x14ac:dyDescent="0.2">
      <c r="A354" s="187">
        <v>0</v>
      </c>
      <c r="B354" s="35">
        <v>0</v>
      </c>
      <c r="C354" s="35">
        <v>0</v>
      </c>
      <c r="D354" s="35">
        <v>0</v>
      </c>
      <c r="E354" s="28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/>
      <c r="M354" s="35"/>
      <c r="N354" s="188"/>
      <c r="O354" s="188"/>
      <c r="P354" s="23"/>
      <c r="Q354" s="35"/>
      <c r="R354" s="35"/>
      <c r="S354" s="35"/>
    </row>
    <row r="355" spans="1:19" ht="29.25" customHeight="1" x14ac:dyDescent="0.2">
      <c r="A355" s="187">
        <v>0</v>
      </c>
      <c r="B355" s="35">
        <v>0</v>
      </c>
      <c r="C355" s="35">
        <v>0</v>
      </c>
      <c r="D355" s="35">
        <v>0</v>
      </c>
      <c r="E355" s="28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/>
      <c r="M355" s="35"/>
      <c r="N355" s="188"/>
      <c r="O355" s="188"/>
      <c r="P355" s="23"/>
      <c r="Q355" s="35"/>
      <c r="R355" s="35"/>
      <c r="S355" s="35"/>
    </row>
    <row r="356" spans="1:19" ht="29.25" customHeight="1" x14ac:dyDescent="0.2">
      <c r="A356" s="187">
        <v>0</v>
      </c>
      <c r="B356" s="35">
        <v>0</v>
      </c>
      <c r="C356" s="35">
        <v>0</v>
      </c>
      <c r="D356" s="35">
        <v>0</v>
      </c>
      <c r="E356" s="28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/>
      <c r="M356" s="35"/>
      <c r="N356" s="188"/>
      <c r="O356" s="188"/>
      <c r="P356" s="23"/>
      <c r="Q356" s="35"/>
      <c r="R356" s="35"/>
      <c r="S356" s="35"/>
    </row>
    <row r="357" spans="1:19" ht="29.25" customHeight="1" x14ac:dyDescent="0.2">
      <c r="A357" s="187">
        <v>0</v>
      </c>
      <c r="B357" s="35">
        <v>0</v>
      </c>
      <c r="C357" s="35">
        <v>0</v>
      </c>
      <c r="D357" s="35">
        <v>0</v>
      </c>
      <c r="E357" s="28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/>
      <c r="M357" s="35"/>
      <c r="N357" s="188"/>
      <c r="O357" s="188"/>
      <c r="P357" s="23"/>
      <c r="Q357" s="35"/>
      <c r="R357" s="35"/>
      <c r="S357" s="35"/>
    </row>
    <row r="358" spans="1:19" ht="29.25" customHeight="1" x14ac:dyDescent="0.2">
      <c r="A358" s="187">
        <v>0</v>
      </c>
      <c r="B358" s="35">
        <v>0</v>
      </c>
      <c r="C358" s="35">
        <v>0</v>
      </c>
      <c r="D358" s="35">
        <v>0</v>
      </c>
      <c r="E358" s="28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/>
      <c r="M358" s="35"/>
      <c r="N358" s="188"/>
      <c r="O358" s="188"/>
      <c r="P358" s="23"/>
      <c r="Q358" s="35"/>
      <c r="R358" s="35"/>
      <c r="S358" s="35"/>
    </row>
    <row r="359" spans="1:19" ht="29.25" customHeight="1" x14ac:dyDescent="0.2">
      <c r="A359" s="187">
        <v>0</v>
      </c>
      <c r="B359" s="35">
        <v>0</v>
      </c>
      <c r="C359" s="35">
        <v>0</v>
      </c>
      <c r="D359" s="35">
        <v>0</v>
      </c>
      <c r="E359" s="28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/>
      <c r="M359" s="35"/>
      <c r="N359" s="188"/>
      <c r="O359" s="188"/>
      <c r="P359" s="23"/>
      <c r="Q359" s="35"/>
      <c r="R359" s="35"/>
      <c r="S359" s="35"/>
    </row>
    <row r="360" spans="1:19" ht="29.25" customHeight="1" x14ac:dyDescent="0.2">
      <c r="A360" s="187">
        <v>0</v>
      </c>
      <c r="B360" s="35">
        <v>0</v>
      </c>
      <c r="C360" s="35">
        <v>0</v>
      </c>
      <c r="D360" s="35">
        <v>0</v>
      </c>
      <c r="E360" s="28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/>
      <c r="M360" s="35"/>
      <c r="N360" s="188"/>
      <c r="O360" s="188"/>
      <c r="P360" s="23"/>
      <c r="Q360" s="35"/>
      <c r="R360" s="35"/>
      <c r="S360" s="35"/>
    </row>
    <row r="361" spans="1:19" ht="29.25" customHeight="1" x14ac:dyDescent="0.2">
      <c r="A361" s="187">
        <v>0</v>
      </c>
      <c r="B361" s="35">
        <v>0</v>
      </c>
      <c r="C361" s="35">
        <v>0</v>
      </c>
      <c r="D361" s="35">
        <v>0</v>
      </c>
      <c r="E361" s="28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/>
      <c r="M361" s="35"/>
      <c r="N361" s="188"/>
      <c r="O361" s="188"/>
      <c r="P361" s="23"/>
      <c r="Q361" s="35"/>
      <c r="R361" s="35"/>
      <c r="S361" s="35"/>
    </row>
    <row r="362" spans="1:19" ht="29.25" customHeight="1" x14ac:dyDescent="0.2">
      <c r="A362" s="187">
        <v>0</v>
      </c>
      <c r="B362" s="35">
        <v>0</v>
      </c>
      <c r="C362" s="35">
        <v>0</v>
      </c>
      <c r="D362" s="35">
        <v>0</v>
      </c>
      <c r="E362" s="28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/>
      <c r="M362" s="35"/>
      <c r="N362" s="188"/>
      <c r="O362" s="188"/>
      <c r="P362" s="23"/>
      <c r="Q362" s="35"/>
      <c r="R362" s="35"/>
      <c r="S362" s="35"/>
    </row>
    <row r="363" spans="1:19" ht="29.25" customHeight="1" x14ac:dyDescent="0.2">
      <c r="A363" s="187">
        <v>0</v>
      </c>
      <c r="B363" s="35">
        <v>0</v>
      </c>
      <c r="C363" s="35">
        <v>0</v>
      </c>
      <c r="D363" s="35">
        <v>0</v>
      </c>
      <c r="E363" s="28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/>
      <c r="M363" s="35"/>
      <c r="N363" s="188"/>
      <c r="O363" s="188"/>
      <c r="P363" s="23"/>
      <c r="Q363" s="35"/>
      <c r="R363" s="35"/>
      <c r="S363" s="35"/>
    </row>
    <row r="364" spans="1:19" ht="29.25" customHeight="1" x14ac:dyDescent="0.2">
      <c r="A364" s="187">
        <v>0</v>
      </c>
      <c r="B364" s="35">
        <v>0</v>
      </c>
      <c r="C364" s="35">
        <v>0</v>
      </c>
      <c r="D364" s="35">
        <v>0</v>
      </c>
      <c r="E364" s="28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/>
      <c r="M364" s="35"/>
      <c r="N364" s="188"/>
      <c r="O364" s="188"/>
      <c r="P364" s="23"/>
      <c r="Q364" s="35"/>
      <c r="R364" s="35"/>
      <c r="S364" s="35"/>
    </row>
    <row r="365" spans="1:19" ht="29.25" customHeight="1" x14ac:dyDescent="0.2">
      <c r="A365" s="187">
        <v>0</v>
      </c>
      <c r="B365" s="35">
        <v>0</v>
      </c>
      <c r="C365" s="35">
        <v>0</v>
      </c>
      <c r="D365" s="35">
        <v>0</v>
      </c>
      <c r="E365" s="28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/>
      <c r="M365" s="35"/>
      <c r="N365" s="188"/>
      <c r="O365" s="188"/>
      <c r="P365" s="23"/>
      <c r="Q365" s="35"/>
      <c r="R365" s="35"/>
      <c r="S365" s="35"/>
    </row>
    <row r="366" spans="1:19" ht="29.25" customHeight="1" x14ac:dyDescent="0.2">
      <c r="A366" s="187">
        <v>0</v>
      </c>
      <c r="B366" s="35">
        <v>0</v>
      </c>
      <c r="C366" s="35">
        <v>0</v>
      </c>
      <c r="D366" s="35">
        <v>0</v>
      </c>
      <c r="E366" s="28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/>
      <c r="M366" s="35"/>
      <c r="N366" s="188"/>
      <c r="O366" s="188"/>
      <c r="P366" s="23"/>
      <c r="Q366" s="35"/>
      <c r="R366" s="35"/>
      <c r="S366" s="35"/>
    </row>
    <row r="367" spans="1:19" ht="29.25" customHeight="1" x14ac:dyDescent="0.2">
      <c r="A367" s="187">
        <v>0</v>
      </c>
      <c r="B367" s="35">
        <v>0</v>
      </c>
      <c r="C367" s="35">
        <v>0</v>
      </c>
      <c r="D367" s="35">
        <v>0</v>
      </c>
      <c r="E367" s="28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/>
      <c r="M367" s="35"/>
      <c r="N367" s="188"/>
      <c r="O367" s="188"/>
      <c r="P367" s="23"/>
      <c r="Q367" s="35"/>
      <c r="R367" s="35"/>
      <c r="S367" s="35"/>
    </row>
    <row r="368" spans="1:19" ht="29.25" customHeight="1" x14ac:dyDescent="0.2">
      <c r="A368" s="187">
        <v>0</v>
      </c>
      <c r="B368" s="35">
        <v>0</v>
      </c>
      <c r="C368" s="35">
        <v>0</v>
      </c>
      <c r="D368" s="35">
        <v>0</v>
      </c>
      <c r="E368" s="28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/>
      <c r="M368" s="35"/>
      <c r="N368" s="188"/>
      <c r="O368" s="188"/>
      <c r="P368" s="23"/>
      <c r="Q368" s="35"/>
      <c r="R368" s="35"/>
      <c r="S368" s="35"/>
    </row>
    <row r="369" spans="1:19" ht="29.25" customHeight="1" x14ac:dyDescent="0.2">
      <c r="A369" s="187">
        <v>0</v>
      </c>
      <c r="B369" s="35">
        <v>0</v>
      </c>
      <c r="C369" s="35">
        <v>0</v>
      </c>
      <c r="D369" s="35">
        <v>0</v>
      </c>
      <c r="E369" s="28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/>
      <c r="M369" s="35"/>
      <c r="N369" s="188"/>
      <c r="O369" s="188"/>
      <c r="P369" s="23"/>
      <c r="Q369" s="35"/>
      <c r="R369" s="35"/>
      <c r="S369" s="35"/>
    </row>
    <row r="370" spans="1:19" ht="29.25" customHeight="1" x14ac:dyDescent="0.2">
      <c r="A370" s="187">
        <v>0</v>
      </c>
      <c r="B370" s="35">
        <v>0</v>
      </c>
      <c r="C370" s="35">
        <v>0</v>
      </c>
      <c r="D370" s="35">
        <v>0</v>
      </c>
      <c r="E370" s="28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/>
      <c r="M370" s="35"/>
      <c r="N370" s="188"/>
      <c r="O370" s="188"/>
      <c r="P370" s="23"/>
      <c r="Q370" s="35"/>
      <c r="R370" s="35"/>
      <c r="S370" s="35"/>
    </row>
    <row r="371" spans="1:19" ht="29.25" customHeight="1" x14ac:dyDescent="0.2">
      <c r="A371" s="187">
        <v>0</v>
      </c>
      <c r="B371" s="35">
        <v>0</v>
      </c>
      <c r="C371" s="35">
        <v>0</v>
      </c>
      <c r="D371" s="35">
        <v>0</v>
      </c>
      <c r="E371" s="28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/>
      <c r="M371" s="35"/>
      <c r="N371" s="188"/>
      <c r="O371" s="188"/>
      <c r="P371" s="23"/>
      <c r="Q371" s="35"/>
      <c r="R371" s="35"/>
      <c r="S371" s="35"/>
    </row>
    <row r="372" spans="1:19" ht="29.25" customHeight="1" x14ac:dyDescent="0.2">
      <c r="A372" s="187">
        <v>0</v>
      </c>
      <c r="B372" s="35">
        <v>0</v>
      </c>
      <c r="C372" s="35">
        <v>0</v>
      </c>
      <c r="D372" s="35">
        <v>0</v>
      </c>
      <c r="E372" s="28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/>
      <c r="M372" s="35"/>
      <c r="N372" s="188"/>
      <c r="O372" s="188"/>
      <c r="P372" s="23"/>
      <c r="Q372" s="35"/>
      <c r="R372" s="35"/>
      <c r="S372" s="35"/>
    </row>
    <row r="373" spans="1:19" ht="29.25" customHeight="1" x14ac:dyDescent="0.2">
      <c r="A373" s="187">
        <v>0</v>
      </c>
      <c r="B373" s="35">
        <v>0</v>
      </c>
      <c r="C373" s="35">
        <v>0</v>
      </c>
      <c r="D373" s="35">
        <v>0</v>
      </c>
      <c r="E373" s="28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/>
      <c r="M373" s="35"/>
      <c r="N373" s="188"/>
      <c r="O373" s="188"/>
      <c r="P373" s="23"/>
      <c r="Q373" s="35"/>
      <c r="R373" s="35"/>
      <c r="S373" s="35"/>
    </row>
    <row r="374" spans="1:19" ht="29.25" customHeight="1" x14ac:dyDescent="0.2">
      <c r="A374" s="187">
        <v>0</v>
      </c>
      <c r="B374" s="35">
        <v>0</v>
      </c>
      <c r="C374" s="35">
        <v>0</v>
      </c>
      <c r="D374" s="35">
        <v>0</v>
      </c>
      <c r="E374" s="28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/>
      <c r="M374" s="35"/>
      <c r="N374" s="188"/>
      <c r="O374" s="188"/>
      <c r="P374" s="23"/>
      <c r="Q374" s="35"/>
      <c r="R374" s="35"/>
      <c r="S374" s="35"/>
    </row>
    <row r="375" spans="1:19" ht="29.25" customHeight="1" x14ac:dyDescent="0.2">
      <c r="A375" s="187">
        <v>0</v>
      </c>
      <c r="B375" s="35">
        <v>0</v>
      </c>
      <c r="C375" s="35">
        <v>0</v>
      </c>
      <c r="D375" s="35">
        <v>0</v>
      </c>
      <c r="E375" s="28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/>
      <c r="M375" s="35"/>
      <c r="N375" s="188"/>
      <c r="O375" s="188"/>
      <c r="P375" s="23"/>
      <c r="Q375" s="35"/>
      <c r="R375" s="35"/>
      <c r="S375" s="35"/>
    </row>
    <row r="376" spans="1:19" ht="29.25" customHeight="1" x14ac:dyDescent="0.2">
      <c r="A376" s="187">
        <v>0</v>
      </c>
      <c r="B376" s="35">
        <v>0</v>
      </c>
      <c r="C376" s="35">
        <v>0</v>
      </c>
      <c r="D376" s="35">
        <v>0</v>
      </c>
      <c r="E376" s="28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/>
      <c r="M376" s="35"/>
      <c r="N376" s="188"/>
      <c r="O376" s="188"/>
      <c r="P376" s="23"/>
      <c r="Q376" s="35"/>
      <c r="R376" s="35"/>
      <c r="S376" s="35"/>
    </row>
    <row r="377" spans="1:19" ht="29.25" customHeight="1" x14ac:dyDescent="0.2">
      <c r="A377" s="187">
        <v>0</v>
      </c>
      <c r="B377" s="35">
        <v>0</v>
      </c>
      <c r="C377" s="35">
        <v>0</v>
      </c>
      <c r="D377" s="35">
        <v>0</v>
      </c>
      <c r="E377" s="28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/>
      <c r="M377" s="35"/>
      <c r="N377" s="188"/>
      <c r="O377" s="188"/>
      <c r="P377" s="23"/>
      <c r="Q377" s="35"/>
      <c r="R377" s="35"/>
      <c r="S377" s="35"/>
    </row>
    <row r="378" spans="1:19" ht="29.25" customHeight="1" x14ac:dyDescent="0.2">
      <c r="A378" s="187">
        <v>0</v>
      </c>
      <c r="B378" s="35">
        <v>0</v>
      </c>
      <c r="C378" s="35">
        <v>0</v>
      </c>
      <c r="D378" s="35">
        <v>0</v>
      </c>
      <c r="E378" s="28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/>
      <c r="M378" s="35"/>
      <c r="N378" s="188"/>
      <c r="O378" s="188"/>
      <c r="P378" s="23"/>
      <c r="Q378" s="35"/>
      <c r="R378" s="35"/>
      <c r="S378" s="35"/>
    </row>
    <row r="379" spans="1:19" ht="29.25" customHeight="1" x14ac:dyDescent="0.2">
      <c r="A379" s="187">
        <v>0</v>
      </c>
      <c r="B379" s="35">
        <v>0</v>
      </c>
      <c r="C379" s="35">
        <v>0</v>
      </c>
      <c r="D379" s="35">
        <v>0</v>
      </c>
      <c r="E379" s="28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/>
      <c r="M379" s="35"/>
      <c r="N379" s="188"/>
      <c r="O379" s="188"/>
      <c r="P379" s="23"/>
      <c r="Q379" s="35"/>
      <c r="R379" s="35"/>
      <c r="S379" s="35"/>
    </row>
    <row r="380" spans="1:19" ht="29.25" customHeight="1" x14ac:dyDescent="0.2">
      <c r="A380" s="187">
        <v>0</v>
      </c>
      <c r="B380" s="35">
        <v>0</v>
      </c>
      <c r="C380" s="35">
        <v>0</v>
      </c>
      <c r="D380" s="35">
        <v>0</v>
      </c>
      <c r="E380" s="28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/>
      <c r="M380" s="35"/>
      <c r="N380" s="188"/>
      <c r="O380" s="188"/>
      <c r="P380" s="23"/>
      <c r="Q380" s="35"/>
      <c r="R380" s="35"/>
      <c r="S380" s="35"/>
    </row>
    <row r="381" spans="1:19" ht="29.25" customHeight="1" x14ac:dyDescent="0.2">
      <c r="A381" s="187">
        <v>0</v>
      </c>
      <c r="B381" s="35">
        <v>0</v>
      </c>
      <c r="C381" s="35">
        <v>0</v>
      </c>
      <c r="D381" s="35">
        <v>0</v>
      </c>
      <c r="E381" s="28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/>
      <c r="M381" s="35"/>
      <c r="N381" s="188"/>
      <c r="O381" s="188"/>
      <c r="P381" s="23"/>
      <c r="Q381" s="35"/>
      <c r="R381" s="35"/>
      <c r="S381" s="35"/>
    </row>
    <row r="382" spans="1:19" ht="29.25" customHeight="1" x14ac:dyDescent="0.2">
      <c r="A382" s="187">
        <v>0</v>
      </c>
      <c r="B382" s="35">
        <v>0</v>
      </c>
      <c r="C382" s="35">
        <v>0</v>
      </c>
      <c r="D382" s="35">
        <v>0</v>
      </c>
      <c r="E382" s="28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/>
      <c r="M382" s="35"/>
      <c r="N382" s="188"/>
      <c r="O382" s="188"/>
      <c r="P382" s="23"/>
      <c r="Q382" s="35"/>
      <c r="R382" s="35"/>
      <c r="S382" s="35"/>
    </row>
    <row r="383" spans="1:19" ht="29.25" customHeight="1" x14ac:dyDescent="0.2">
      <c r="A383" s="187">
        <v>0</v>
      </c>
      <c r="B383" s="35">
        <v>0</v>
      </c>
      <c r="C383" s="35">
        <v>0</v>
      </c>
      <c r="D383" s="35">
        <v>0</v>
      </c>
      <c r="E383" s="28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/>
      <c r="M383" s="35"/>
      <c r="N383" s="188"/>
      <c r="O383" s="188"/>
      <c r="P383" s="23"/>
      <c r="Q383" s="35"/>
      <c r="R383" s="35"/>
      <c r="S383" s="35"/>
    </row>
    <row r="384" spans="1:19" ht="29.25" customHeight="1" x14ac:dyDescent="0.2">
      <c r="A384" s="187">
        <v>0</v>
      </c>
      <c r="B384" s="35">
        <v>0</v>
      </c>
      <c r="C384" s="35">
        <v>0</v>
      </c>
      <c r="D384" s="35">
        <v>0</v>
      </c>
      <c r="E384" s="28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/>
      <c r="M384" s="35"/>
      <c r="N384" s="188"/>
      <c r="O384" s="188"/>
      <c r="P384" s="23"/>
      <c r="Q384" s="35"/>
      <c r="R384" s="35"/>
      <c r="S384" s="35"/>
    </row>
    <row r="385" spans="1:19" ht="29.25" customHeight="1" x14ac:dyDescent="0.2">
      <c r="A385" s="187">
        <v>0</v>
      </c>
      <c r="B385" s="35">
        <v>0</v>
      </c>
      <c r="C385" s="35">
        <v>0</v>
      </c>
      <c r="D385" s="35">
        <v>0</v>
      </c>
      <c r="E385" s="28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/>
      <c r="M385" s="35"/>
      <c r="N385" s="188"/>
      <c r="O385" s="188"/>
      <c r="P385" s="23"/>
      <c r="Q385" s="35"/>
      <c r="R385" s="35"/>
      <c r="S385" s="35"/>
    </row>
    <row r="386" spans="1:19" ht="29.25" customHeight="1" x14ac:dyDescent="0.2">
      <c r="A386" s="187">
        <v>0</v>
      </c>
      <c r="B386" s="35">
        <v>0</v>
      </c>
      <c r="C386" s="35">
        <v>0</v>
      </c>
      <c r="D386" s="35">
        <v>0</v>
      </c>
      <c r="E386" s="28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/>
      <c r="M386" s="35"/>
      <c r="N386" s="188"/>
      <c r="O386" s="188"/>
      <c r="P386" s="23"/>
      <c r="Q386" s="35"/>
      <c r="R386" s="35"/>
      <c r="S386" s="35"/>
    </row>
    <row r="387" spans="1:19" ht="29.25" customHeight="1" x14ac:dyDescent="0.2">
      <c r="A387" s="187">
        <v>0</v>
      </c>
      <c r="B387" s="35">
        <v>0</v>
      </c>
      <c r="C387" s="35">
        <v>0</v>
      </c>
      <c r="D387" s="35">
        <v>0</v>
      </c>
      <c r="E387" s="28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/>
      <c r="M387" s="35"/>
      <c r="N387" s="188"/>
      <c r="O387" s="188"/>
      <c r="P387" s="23"/>
      <c r="Q387" s="35"/>
      <c r="R387" s="35"/>
      <c r="S387" s="35"/>
    </row>
    <row r="388" spans="1:19" ht="29.25" customHeight="1" x14ac:dyDescent="0.2">
      <c r="A388" s="187">
        <v>0</v>
      </c>
      <c r="B388" s="35">
        <v>0</v>
      </c>
      <c r="C388" s="35">
        <v>0</v>
      </c>
      <c r="D388" s="35">
        <v>0</v>
      </c>
      <c r="E388" s="28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/>
      <c r="M388" s="35"/>
      <c r="N388" s="188"/>
      <c r="O388" s="188"/>
      <c r="P388" s="23"/>
      <c r="Q388" s="35"/>
      <c r="R388" s="35"/>
      <c r="S388" s="35"/>
    </row>
    <row r="389" spans="1:19" ht="29.25" customHeight="1" x14ac:dyDescent="0.2">
      <c r="A389" s="187">
        <v>0</v>
      </c>
      <c r="B389" s="35">
        <v>0</v>
      </c>
      <c r="C389" s="35">
        <v>0</v>
      </c>
      <c r="D389" s="35">
        <v>0</v>
      </c>
      <c r="E389" s="28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/>
      <c r="M389" s="35"/>
      <c r="N389" s="188"/>
      <c r="O389" s="188"/>
      <c r="P389" s="23"/>
      <c r="Q389" s="35"/>
      <c r="R389" s="35"/>
      <c r="S389" s="35"/>
    </row>
    <row r="390" spans="1:19" ht="29.25" customHeight="1" x14ac:dyDescent="0.2">
      <c r="A390" s="187">
        <v>0</v>
      </c>
      <c r="B390" s="35">
        <v>0</v>
      </c>
      <c r="C390" s="35">
        <v>0</v>
      </c>
      <c r="D390" s="35">
        <v>0</v>
      </c>
      <c r="E390" s="28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/>
      <c r="M390" s="35"/>
      <c r="N390" s="188"/>
      <c r="O390" s="188"/>
      <c r="P390" s="23"/>
      <c r="Q390" s="35"/>
      <c r="R390" s="35"/>
      <c r="S390" s="35"/>
    </row>
    <row r="391" spans="1:19" ht="29.25" customHeight="1" x14ac:dyDescent="0.2">
      <c r="A391" s="187">
        <v>0</v>
      </c>
      <c r="B391" s="35">
        <v>0</v>
      </c>
      <c r="C391" s="35">
        <v>0</v>
      </c>
      <c r="D391" s="35">
        <v>0</v>
      </c>
      <c r="E391" s="28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/>
      <c r="M391" s="35"/>
      <c r="N391" s="188"/>
      <c r="O391" s="188"/>
      <c r="P391" s="23"/>
      <c r="Q391" s="35"/>
      <c r="R391" s="35"/>
      <c r="S391" s="35"/>
    </row>
    <row r="392" spans="1:19" ht="29.25" customHeight="1" x14ac:dyDescent="0.2">
      <c r="A392" s="187">
        <v>0</v>
      </c>
      <c r="B392" s="35">
        <v>0</v>
      </c>
      <c r="C392" s="35">
        <v>0</v>
      </c>
      <c r="D392" s="35">
        <v>0</v>
      </c>
      <c r="E392" s="28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/>
      <c r="M392" s="35"/>
      <c r="N392" s="188"/>
      <c r="O392" s="188"/>
      <c r="P392" s="23"/>
      <c r="Q392" s="35"/>
      <c r="R392" s="35"/>
      <c r="S392" s="35"/>
    </row>
    <row r="393" spans="1:19" ht="29.25" customHeight="1" x14ac:dyDescent="0.2">
      <c r="A393" s="187">
        <v>0</v>
      </c>
      <c r="B393" s="35">
        <v>0</v>
      </c>
      <c r="C393" s="35">
        <v>0</v>
      </c>
      <c r="D393" s="35">
        <v>0</v>
      </c>
      <c r="E393" s="28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/>
      <c r="M393" s="35"/>
      <c r="N393" s="188"/>
      <c r="O393" s="188"/>
      <c r="P393" s="23"/>
      <c r="Q393" s="35"/>
      <c r="R393" s="35"/>
      <c r="S393" s="35"/>
    </row>
    <row r="394" spans="1:19" ht="29.25" customHeight="1" x14ac:dyDescent="0.2">
      <c r="A394" s="187">
        <v>0</v>
      </c>
      <c r="B394" s="35">
        <v>0</v>
      </c>
      <c r="C394" s="35">
        <v>0</v>
      </c>
      <c r="D394" s="35">
        <v>0</v>
      </c>
      <c r="E394" s="28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/>
      <c r="M394" s="35"/>
      <c r="N394" s="188"/>
      <c r="O394" s="188"/>
      <c r="P394" s="23"/>
      <c r="Q394" s="35"/>
      <c r="R394" s="35"/>
      <c r="S394" s="35"/>
    </row>
    <row r="395" spans="1:19" ht="29.25" customHeight="1" x14ac:dyDescent="0.2">
      <c r="A395" s="187">
        <v>0</v>
      </c>
      <c r="B395" s="35">
        <v>0</v>
      </c>
      <c r="C395" s="35">
        <v>0</v>
      </c>
      <c r="D395" s="35">
        <v>0</v>
      </c>
      <c r="E395" s="28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/>
      <c r="M395" s="35"/>
      <c r="N395" s="188"/>
      <c r="O395" s="188"/>
      <c r="P395" s="23"/>
      <c r="Q395" s="35"/>
      <c r="R395" s="35"/>
      <c r="S395" s="35"/>
    </row>
    <row r="396" spans="1:19" ht="29.25" customHeight="1" x14ac:dyDescent="0.2">
      <c r="A396" s="187">
        <v>0</v>
      </c>
      <c r="B396" s="35">
        <v>0</v>
      </c>
      <c r="C396" s="35">
        <v>0</v>
      </c>
      <c r="D396" s="35">
        <v>0</v>
      </c>
      <c r="E396" s="28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/>
      <c r="M396" s="35"/>
      <c r="N396" s="188"/>
      <c r="O396" s="188"/>
      <c r="P396" s="23"/>
      <c r="Q396" s="35"/>
      <c r="R396" s="35"/>
      <c r="S396" s="35"/>
    </row>
    <row r="397" spans="1:19" ht="29.25" customHeight="1" x14ac:dyDescent="0.2">
      <c r="A397" s="187">
        <v>0</v>
      </c>
      <c r="B397" s="35">
        <v>0</v>
      </c>
      <c r="C397" s="35">
        <v>0</v>
      </c>
      <c r="D397" s="35">
        <v>0</v>
      </c>
      <c r="E397" s="28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/>
      <c r="M397" s="35"/>
      <c r="N397" s="188"/>
      <c r="O397" s="188"/>
      <c r="P397" s="23"/>
      <c r="Q397" s="35"/>
      <c r="R397" s="35"/>
      <c r="S397" s="35"/>
    </row>
    <row r="398" spans="1:19" ht="29.25" customHeight="1" x14ac:dyDescent="0.2">
      <c r="A398" s="187">
        <v>0</v>
      </c>
      <c r="B398" s="35">
        <v>0</v>
      </c>
      <c r="C398" s="35">
        <v>0</v>
      </c>
      <c r="D398" s="35">
        <v>0</v>
      </c>
      <c r="E398" s="28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/>
      <c r="M398" s="35"/>
      <c r="N398" s="188"/>
      <c r="O398" s="188"/>
      <c r="P398" s="23"/>
      <c r="Q398" s="35"/>
      <c r="R398" s="35"/>
      <c r="S398" s="35"/>
    </row>
    <row r="399" spans="1:19" ht="29.25" customHeight="1" x14ac:dyDescent="0.2">
      <c r="A399" s="187">
        <v>0</v>
      </c>
      <c r="B399" s="35">
        <v>0</v>
      </c>
      <c r="C399" s="35">
        <v>0</v>
      </c>
      <c r="D399" s="35">
        <v>0</v>
      </c>
      <c r="E399" s="28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/>
      <c r="M399" s="35"/>
      <c r="N399" s="188"/>
      <c r="O399" s="188"/>
      <c r="P399" s="23"/>
      <c r="Q399" s="35"/>
      <c r="R399" s="35"/>
      <c r="S399" s="35"/>
    </row>
    <row r="400" spans="1:19" ht="29.25" customHeight="1" x14ac:dyDescent="0.2">
      <c r="A400" s="187">
        <v>0</v>
      </c>
      <c r="B400" s="35">
        <v>0</v>
      </c>
      <c r="C400" s="35">
        <v>0</v>
      </c>
      <c r="D400" s="35">
        <v>0</v>
      </c>
      <c r="E400" s="28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/>
      <c r="M400" s="35"/>
      <c r="N400" s="188"/>
      <c r="O400" s="188"/>
      <c r="P400" s="23"/>
      <c r="Q400" s="35"/>
      <c r="R400" s="35"/>
      <c r="S400" s="35"/>
    </row>
    <row r="401" spans="1:19" ht="29.25" customHeight="1" x14ac:dyDescent="0.2">
      <c r="A401" s="187">
        <v>0</v>
      </c>
      <c r="B401" s="35">
        <v>0</v>
      </c>
      <c r="C401" s="35">
        <v>0</v>
      </c>
      <c r="D401" s="35">
        <v>0</v>
      </c>
      <c r="E401" s="28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/>
      <c r="M401" s="35"/>
      <c r="N401" s="188"/>
      <c r="O401" s="188"/>
      <c r="P401" s="23"/>
      <c r="Q401" s="35"/>
      <c r="R401" s="35"/>
      <c r="S401" s="35"/>
    </row>
    <row r="402" spans="1:19" ht="29.25" customHeight="1" x14ac:dyDescent="0.2">
      <c r="A402" s="187">
        <v>0</v>
      </c>
      <c r="B402" s="35">
        <v>0</v>
      </c>
      <c r="C402" s="35">
        <v>0</v>
      </c>
      <c r="D402" s="35">
        <v>0</v>
      </c>
      <c r="E402" s="28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/>
      <c r="M402" s="35"/>
      <c r="N402" s="188"/>
      <c r="O402" s="188"/>
      <c r="P402" s="23"/>
      <c r="Q402" s="35"/>
      <c r="R402" s="35"/>
      <c r="S402" s="35"/>
    </row>
    <row r="403" spans="1:19" ht="29.25" customHeight="1" x14ac:dyDescent="0.2">
      <c r="A403" s="187">
        <v>0</v>
      </c>
      <c r="B403" s="35">
        <v>0</v>
      </c>
      <c r="C403" s="35">
        <v>0</v>
      </c>
      <c r="D403" s="35">
        <v>0</v>
      </c>
      <c r="E403" s="28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/>
      <c r="M403" s="35"/>
      <c r="N403" s="188"/>
      <c r="O403" s="188"/>
      <c r="P403" s="23"/>
      <c r="Q403" s="35"/>
      <c r="R403" s="35"/>
      <c r="S403" s="35"/>
    </row>
    <row r="404" spans="1:19" ht="29.25" customHeight="1" x14ac:dyDescent="0.2">
      <c r="A404" s="187">
        <v>0</v>
      </c>
      <c r="B404" s="35">
        <v>0</v>
      </c>
      <c r="C404" s="35">
        <v>0</v>
      </c>
      <c r="D404" s="35">
        <v>0</v>
      </c>
      <c r="E404" s="28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/>
      <c r="M404" s="35"/>
      <c r="N404" s="188"/>
      <c r="O404" s="188"/>
      <c r="P404" s="23"/>
      <c r="Q404" s="35"/>
      <c r="R404" s="35"/>
      <c r="S404" s="35"/>
    </row>
    <row r="405" spans="1:19" ht="29.25" customHeight="1" x14ac:dyDescent="0.2">
      <c r="A405" s="187">
        <v>0</v>
      </c>
      <c r="B405" s="35">
        <v>0</v>
      </c>
      <c r="C405" s="35">
        <v>0</v>
      </c>
      <c r="D405" s="35">
        <v>0</v>
      </c>
      <c r="E405" s="28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/>
      <c r="M405" s="35"/>
      <c r="N405" s="188"/>
      <c r="O405" s="188"/>
      <c r="P405" s="23"/>
      <c r="Q405" s="35"/>
      <c r="R405" s="35"/>
      <c r="S405" s="35"/>
    </row>
    <row r="406" spans="1:19" ht="29.25" customHeight="1" x14ac:dyDescent="0.2">
      <c r="A406" s="187">
        <v>0</v>
      </c>
      <c r="B406" s="35">
        <v>0</v>
      </c>
      <c r="C406" s="35">
        <v>0</v>
      </c>
      <c r="D406" s="35">
        <v>0</v>
      </c>
      <c r="E406" s="28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/>
      <c r="M406" s="35"/>
      <c r="N406" s="188"/>
      <c r="O406" s="188"/>
      <c r="P406" s="23"/>
      <c r="Q406" s="35"/>
      <c r="R406" s="35"/>
      <c r="S406" s="35"/>
    </row>
    <row r="407" spans="1:19" ht="29.25" customHeight="1" x14ac:dyDescent="0.2">
      <c r="A407" s="187">
        <v>0</v>
      </c>
      <c r="B407" s="35">
        <v>0</v>
      </c>
      <c r="C407" s="35">
        <v>0</v>
      </c>
      <c r="D407" s="35">
        <v>0</v>
      </c>
      <c r="E407" s="28">
        <v>0</v>
      </c>
      <c r="F407" s="35">
        <v>0</v>
      </c>
      <c r="G407" s="35">
        <v>0</v>
      </c>
      <c r="H407" s="35">
        <v>0</v>
      </c>
      <c r="I407" s="35">
        <v>0</v>
      </c>
      <c r="J407" s="35">
        <v>0</v>
      </c>
      <c r="K407" s="35">
        <v>0</v>
      </c>
      <c r="L407" s="35"/>
      <c r="M407" s="35"/>
      <c r="N407" s="188"/>
      <c r="O407" s="188"/>
      <c r="P407" s="23"/>
      <c r="Q407" s="35"/>
      <c r="R407" s="35"/>
      <c r="S407" s="35"/>
    </row>
    <row r="408" spans="1:19" ht="29.25" customHeight="1" x14ac:dyDescent="0.2">
      <c r="A408" s="187">
        <v>0</v>
      </c>
      <c r="B408" s="35">
        <v>0</v>
      </c>
      <c r="C408" s="35">
        <v>0</v>
      </c>
      <c r="D408" s="35">
        <v>0</v>
      </c>
      <c r="E408" s="28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  <c r="K408" s="35">
        <v>0</v>
      </c>
      <c r="L408" s="35"/>
      <c r="M408" s="35"/>
      <c r="N408" s="188"/>
      <c r="O408" s="188"/>
      <c r="P408" s="23"/>
      <c r="Q408" s="35"/>
      <c r="R408" s="35"/>
      <c r="S408" s="35"/>
    </row>
    <row r="409" spans="1:19" ht="29.25" customHeight="1" x14ac:dyDescent="0.2">
      <c r="A409" s="187">
        <v>0</v>
      </c>
      <c r="B409" s="35">
        <v>0</v>
      </c>
      <c r="C409" s="35">
        <v>0</v>
      </c>
      <c r="D409" s="35">
        <v>0</v>
      </c>
      <c r="E409" s="28">
        <v>0</v>
      </c>
      <c r="F409" s="35">
        <v>0</v>
      </c>
      <c r="G409" s="35">
        <v>0</v>
      </c>
      <c r="H409" s="35">
        <v>0</v>
      </c>
      <c r="I409" s="35">
        <v>0</v>
      </c>
      <c r="J409" s="35">
        <v>0</v>
      </c>
      <c r="K409" s="35">
        <v>0</v>
      </c>
      <c r="L409" s="35"/>
      <c r="M409" s="35"/>
      <c r="N409" s="188"/>
      <c r="O409" s="188"/>
      <c r="P409" s="23"/>
      <c r="Q409" s="35"/>
      <c r="R409" s="35"/>
      <c r="S409" s="35"/>
    </row>
    <row r="410" spans="1:19" ht="29.25" customHeight="1" x14ac:dyDescent="0.2">
      <c r="A410" s="187">
        <v>0</v>
      </c>
      <c r="B410" s="35">
        <v>0</v>
      </c>
      <c r="C410" s="35">
        <v>0</v>
      </c>
      <c r="D410" s="35">
        <v>0</v>
      </c>
      <c r="E410" s="28">
        <v>0</v>
      </c>
      <c r="F410" s="35">
        <v>0</v>
      </c>
      <c r="G410" s="35">
        <v>0</v>
      </c>
      <c r="H410" s="35">
        <v>0</v>
      </c>
      <c r="I410" s="35">
        <v>0</v>
      </c>
      <c r="J410" s="35">
        <v>0</v>
      </c>
      <c r="K410" s="35">
        <v>0</v>
      </c>
      <c r="L410" s="35"/>
      <c r="M410" s="35"/>
      <c r="N410" s="188"/>
      <c r="O410" s="188"/>
      <c r="P410" s="23"/>
      <c r="Q410" s="35"/>
      <c r="R410" s="35"/>
      <c r="S410" s="35"/>
    </row>
    <row r="411" spans="1:19" ht="29.25" customHeight="1" x14ac:dyDescent="0.2">
      <c r="A411" s="187">
        <v>0</v>
      </c>
      <c r="B411" s="35">
        <v>0</v>
      </c>
      <c r="C411" s="35">
        <v>0</v>
      </c>
      <c r="D411" s="35">
        <v>0</v>
      </c>
      <c r="E411" s="28">
        <v>0</v>
      </c>
      <c r="F411" s="35">
        <v>0</v>
      </c>
      <c r="G411" s="35">
        <v>0</v>
      </c>
      <c r="H411" s="35">
        <v>0</v>
      </c>
      <c r="I411" s="35">
        <v>0</v>
      </c>
      <c r="J411" s="35">
        <v>0</v>
      </c>
      <c r="K411" s="35">
        <v>0</v>
      </c>
      <c r="L411" s="35"/>
      <c r="M411" s="35"/>
      <c r="N411" s="188"/>
      <c r="O411" s="188"/>
      <c r="P411" s="23"/>
      <c r="Q411" s="35"/>
      <c r="R411" s="35"/>
      <c r="S411" s="35"/>
    </row>
    <row r="412" spans="1:19" ht="29.25" customHeight="1" x14ac:dyDescent="0.2">
      <c r="A412" s="187">
        <v>0</v>
      </c>
      <c r="B412" s="35">
        <v>0</v>
      </c>
      <c r="C412" s="35">
        <v>0</v>
      </c>
      <c r="D412" s="35">
        <v>0</v>
      </c>
      <c r="E412" s="28">
        <v>0</v>
      </c>
      <c r="F412" s="35">
        <v>0</v>
      </c>
      <c r="G412" s="35">
        <v>0</v>
      </c>
      <c r="H412" s="35">
        <v>0</v>
      </c>
      <c r="I412" s="35">
        <v>0</v>
      </c>
      <c r="J412" s="35">
        <v>0</v>
      </c>
      <c r="K412" s="35">
        <v>0</v>
      </c>
      <c r="L412" s="35"/>
      <c r="M412" s="35"/>
      <c r="N412" s="188"/>
      <c r="O412" s="188"/>
      <c r="P412" s="23"/>
      <c r="Q412" s="35"/>
      <c r="R412" s="35"/>
      <c r="S412" s="35"/>
    </row>
    <row r="413" spans="1:19" ht="29.25" customHeight="1" x14ac:dyDescent="0.2">
      <c r="A413" s="187">
        <v>0</v>
      </c>
      <c r="B413" s="35">
        <v>0</v>
      </c>
      <c r="C413" s="35">
        <v>0</v>
      </c>
      <c r="D413" s="35">
        <v>0</v>
      </c>
      <c r="E413" s="28">
        <v>0</v>
      </c>
      <c r="F413" s="35">
        <v>0</v>
      </c>
      <c r="G413" s="35">
        <v>0</v>
      </c>
      <c r="H413" s="35">
        <v>0</v>
      </c>
      <c r="I413" s="35">
        <v>0</v>
      </c>
      <c r="J413" s="35">
        <v>0</v>
      </c>
      <c r="K413" s="35">
        <v>0</v>
      </c>
      <c r="L413" s="35"/>
      <c r="M413" s="35"/>
      <c r="N413" s="188"/>
      <c r="O413" s="188"/>
      <c r="P413" s="23"/>
      <c r="Q413" s="35"/>
      <c r="R413" s="35"/>
      <c r="S413" s="35"/>
    </row>
    <row r="414" spans="1:19" ht="29.25" customHeight="1" x14ac:dyDescent="0.2">
      <c r="A414" s="187">
        <v>0</v>
      </c>
      <c r="B414" s="35">
        <v>0</v>
      </c>
      <c r="C414" s="35">
        <v>0</v>
      </c>
      <c r="D414" s="35">
        <v>0</v>
      </c>
      <c r="E414" s="28">
        <v>0</v>
      </c>
      <c r="F414" s="35">
        <v>0</v>
      </c>
      <c r="G414" s="35">
        <v>0</v>
      </c>
      <c r="H414" s="35">
        <v>0</v>
      </c>
      <c r="I414" s="35">
        <v>0</v>
      </c>
      <c r="J414" s="35">
        <v>0</v>
      </c>
      <c r="K414" s="35">
        <v>0</v>
      </c>
      <c r="L414" s="35"/>
      <c r="M414" s="35"/>
      <c r="N414" s="188"/>
      <c r="O414" s="188"/>
      <c r="P414" s="23"/>
      <c r="Q414" s="35"/>
      <c r="R414" s="35"/>
      <c r="S414" s="35"/>
    </row>
    <row r="415" spans="1:19" ht="29.25" customHeight="1" x14ac:dyDescent="0.2">
      <c r="A415" s="187">
        <v>0</v>
      </c>
      <c r="B415" s="35">
        <v>0</v>
      </c>
      <c r="C415" s="35">
        <v>0</v>
      </c>
      <c r="D415" s="35">
        <v>0</v>
      </c>
      <c r="E415" s="28">
        <v>0</v>
      </c>
      <c r="F415" s="35">
        <v>0</v>
      </c>
      <c r="G415" s="35">
        <v>0</v>
      </c>
      <c r="H415" s="35">
        <v>0</v>
      </c>
      <c r="I415" s="35">
        <v>0</v>
      </c>
      <c r="J415" s="35">
        <v>0</v>
      </c>
      <c r="K415" s="35">
        <v>0</v>
      </c>
      <c r="L415" s="35"/>
      <c r="M415" s="35"/>
      <c r="N415" s="188"/>
      <c r="O415" s="188"/>
      <c r="P415" s="23"/>
      <c r="Q415" s="35"/>
      <c r="R415" s="35"/>
      <c r="S415" s="35"/>
    </row>
    <row r="416" spans="1:19" ht="29.25" customHeight="1" x14ac:dyDescent="0.2">
      <c r="A416" s="187">
        <v>0</v>
      </c>
      <c r="B416" s="35">
        <v>0</v>
      </c>
      <c r="C416" s="35">
        <v>0</v>
      </c>
      <c r="D416" s="35">
        <v>0</v>
      </c>
      <c r="E416" s="28">
        <v>0</v>
      </c>
      <c r="F416" s="35">
        <v>0</v>
      </c>
      <c r="G416" s="35">
        <v>0</v>
      </c>
      <c r="H416" s="35">
        <v>0</v>
      </c>
      <c r="I416" s="35">
        <v>0</v>
      </c>
      <c r="J416" s="35">
        <v>0</v>
      </c>
      <c r="K416" s="35">
        <v>0</v>
      </c>
      <c r="L416" s="35"/>
      <c r="M416" s="35"/>
      <c r="N416" s="188"/>
      <c r="O416" s="188"/>
      <c r="P416" s="23"/>
      <c r="Q416" s="35"/>
      <c r="R416" s="35"/>
      <c r="S416" s="35"/>
    </row>
    <row r="417" spans="1:19" ht="29.25" customHeight="1" x14ac:dyDescent="0.2">
      <c r="A417" s="187">
        <v>0</v>
      </c>
      <c r="B417" s="35">
        <v>0</v>
      </c>
      <c r="C417" s="35">
        <v>0</v>
      </c>
      <c r="D417" s="35">
        <v>0</v>
      </c>
      <c r="E417" s="28">
        <v>0</v>
      </c>
      <c r="F417" s="35">
        <v>0</v>
      </c>
      <c r="G417" s="35">
        <v>0</v>
      </c>
      <c r="H417" s="35">
        <v>0</v>
      </c>
      <c r="I417" s="35">
        <v>0</v>
      </c>
      <c r="J417" s="35">
        <v>0</v>
      </c>
      <c r="K417" s="35">
        <v>0</v>
      </c>
      <c r="L417" s="35"/>
      <c r="M417" s="35"/>
      <c r="N417" s="188"/>
      <c r="O417" s="188"/>
      <c r="P417" s="23"/>
      <c r="Q417" s="35"/>
      <c r="R417" s="35"/>
      <c r="S417" s="35"/>
    </row>
    <row r="418" spans="1:19" ht="29.25" customHeight="1" x14ac:dyDescent="0.2">
      <c r="A418" s="187">
        <v>0</v>
      </c>
      <c r="B418" s="35">
        <v>0</v>
      </c>
      <c r="C418" s="35">
        <v>0</v>
      </c>
      <c r="D418" s="35">
        <v>0</v>
      </c>
      <c r="E418" s="28">
        <v>0</v>
      </c>
      <c r="F418" s="35">
        <v>0</v>
      </c>
      <c r="G418" s="35">
        <v>0</v>
      </c>
      <c r="H418" s="35">
        <v>0</v>
      </c>
      <c r="I418" s="35">
        <v>0</v>
      </c>
      <c r="J418" s="35">
        <v>0</v>
      </c>
      <c r="K418" s="35">
        <v>0</v>
      </c>
      <c r="L418" s="35"/>
      <c r="M418" s="35"/>
      <c r="N418" s="188"/>
      <c r="O418" s="188"/>
      <c r="P418" s="23"/>
      <c r="Q418" s="35"/>
      <c r="R418" s="35"/>
      <c r="S418" s="35"/>
    </row>
    <row r="419" spans="1:19" ht="29.25" customHeight="1" x14ac:dyDescent="0.2">
      <c r="A419" s="187">
        <v>0</v>
      </c>
      <c r="B419" s="35">
        <v>0</v>
      </c>
      <c r="C419" s="35">
        <v>0</v>
      </c>
      <c r="D419" s="35">
        <v>0</v>
      </c>
      <c r="E419" s="28">
        <v>0</v>
      </c>
      <c r="F419" s="35">
        <v>0</v>
      </c>
      <c r="G419" s="35">
        <v>0</v>
      </c>
      <c r="H419" s="35">
        <v>0</v>
      </c>
      <c r="I419" s="35">
        <v>0</v>
      </c>
      <c r="J419" s="35">
        <v>0</v>
      </c>
      <c r="K419" s="35">
        <v>0</v>
      </c>
      <c r="L419" s="35"/>
      <c r="M419" s="35"/>
      <c r="N419" s="188"/>
      <c r="O419" s="188"/>
      <c r="P419" s="23"/>
      <c r="Q419" s="35"/>
      <c r="R419" s="35"/>
      <c r="S419" s="35"/>
    </row>
    <row r="420" spans="1:19" ht="29.25" customHeight="1" x14ac:dyDescent="0.2">
      <c r="A420" s="187">
        <v>0</v>
      </c>
      <c r="B420" s="35">
        <v>0</v>
      </c>
      <c r="C420" s="35">
        <v>0</v>
      </c>
      <c r="D420" s="35">
        <v>0</v>
      </c>
      <c r="E420" s="28">
        <v>0</v>
      </c>
      <c r="F420" s="35">
        <v>0</v>
      </c>
      <c r="G420" s="35">
        <v>0</v>
      </c>
      <c r="H420" s="35">
        <v>0</v>
      </c>
      <c r="I420" s="35">
        <v>0</v>
      </c>
      <c r="J420" s="35">
        <v>0</v>
      </c>
      <c r="K420" s="35">
        <v>0</v>
      </c>
      <c r="L420" s="35"/>
      <c r="M420" s="35"/>
      <c r="N420" s="188"/>
      <c r="O420" s="188"/>
      <c r="P420" s="23"/>
      <c r="Q420" s="35"/>
      <c r="R420" s="35"/>
      <c r="S420" s="35"/>
    </row>
    <row r="421" spans="1:19" ht="29.25" customHeight="1" x14ac:dyDescent="0.2">
      <c r="A421" s="187">
        <v>0</v>
      </c>
      <c r="B421" s="35">
        <v>0</v>
      </c>
      <c r="C421" s="35">
        <v>0</v>
      </c>
      <c r="D421" s="35">
        <v>0</v>
      </c>
      <c r="E421" s="28">
        <v>0</v>
      </c>
      <c r="F421" s="35">
        <v>0</v>
      </c>
      <c r="G421" s="35">
        <v>0</v>
      </c>
      <c r="H421" s="35">
        <v>0</v>
      </c>
      <c r="I421" s="35">
        <v>0</v>
      </c>
      <c r="J421" s="35">
        <v>0</v>
      </c>
      <c r="K421" s="35">
        <v>0</v>
      </c>
      <c r="L421" s="35"/>
      <c r="M421" s="35"/>
      <c r="N421" s="188"/>
      <c r="O421" s="188"/>
      <c r="P421" s="23"/>
      <c r="Q421" s="35"/>
      <c r="R421" s="35"/>
      <c r="S421" s="35"/>
    </row>
    <row r="422" spans="1:19" ht="29.25" customHeight="1" x14ac:dyDescent="0.2">
      <c r="A422" s="187">
        <v>0</v>
      </c>
      <c r="B422" s="35">
        <v>0</v>
      </c>
      <c r="C422" s="35">
        <v>0</v>
      </c>
      <c r="D422" s="35">
        <v>0</v>
      </c>
      <c r="E422" s="28">
        <v>0</v>
      </c>
      <c r="F422" s="35">
        <v>0</v>
      </c>
      <c r="G422" s="35">
        <v>0</v>
      </c>
      <c r="H422" s="35">
        <v>0</v>
      </c>
      <c r="I422" s="35">
        <v>0</v>
      </c>
      <c r="J422" s="35">
        <v>0</v>
      </c>
      <c r="K422" s="35">
        <v>0</v>
      </c>
      <c r="L422" s="35"/>
      <c r="M422" s="35"/>
      <c r="N422" s="188"/>
      <c r="O422" s="188"/>
      <c r="P422" s="23"/>
      <c r="Q422" s="35"/>
      <c r="R422" s="35"/>
      <c r="S422" s="35"/>
    </row>
    <row r="423" spans="1:19" ht="29.25" customHeight="1" x14ac:dyDescent="0.2">
      <c r="A423" s="187">
        <v>0</v>
      </c>
      <c r="B423" s="35">
        <v>0</v>
      </c>
      <c r="C423" s="35">
        <v>0</v>
      </c>
      <c r="D423" s="35">
        <v>0</v>
      </c>
      <c r="E423" s="28">
        <v>0</v>
      </c>
      <c r="F423" s="35">
        <v>0</v>
      </c>
      <c r="G423" s="35">
        <v>0</v>
      </c>
      <c r="H423" s="35">
        <v>0</v>
      </c>
      <c r="I423" s="35">
        <v>0</v>
      </c>
      <c r="J423" s="35">
        <v>0</v>
      </c>
      <c r="K423" s="35">
        <v>0</v>
      </c>
      <c r="L423" s="35"/>
      <c r="M423" s="35"/>
      <c r="N423" s="188"/>
      <c r="O423" s="188"/>
      <c r="P423" s="23"/>
      <c r="Q423" s="35"/>
      <c r="R423" s="35"/>
      <c r="S423" s="35"/>
    </row>
    <row r="424" spans="1:19" ht="29.25" customHeight="1" x14ac:dyDescent="0.2">
      <c r="A424" s="187">
        <v>0</v>
      </c>
      <c r="B424" s="35">
        <v>0</v>
      </c>
      <c r="C424" s="35">
        <v>0</v>
      </c>
      <c r="D424" s="35">
        <v>0</v>
      </c>
      <c r="E424" s="28">
        <v>0</v>
      </c>
      <c r="F424" s="35">
        <v>0</v>
      </c>
      <c r="G424" s="35">
        <v>0</v>
      </c>
      <c r="H424" s="35">
        <v>0</v>
      </c>
      <c r="I424" s="35">
        <v>0</v>
      </c>
      <c r="J424" s="35">
        <v>0</v>
      </c>
      <c r="K424" s="35">
        <v>0</v>
      </c>
      <c r="L424" s="35"/>
      <c r="M424" s="35"/>
      <c r="N424" s="188"/>
      <c r="O424" s="188"/>
      <c r="P424" s="23"/>
      <c r="Q424" s="35"/>
      <c r="R424" s="35"/>
      <c r="S424" s="35"/>
    </row>
    <row r="425" spans="1:19" ht="29.25" customHeight="1" x14ac:dyDescent="0.2">
      <c r="A425" s="187">
        <v>0</v>
      </c>
      <c r="B425" s="35">
        <v>0</v>
      </c>
      <c r="C425" s="35">
        <v>0</v>
      </c>
      <c r="D425" s="35">
        <v>0</v>
      </c>
      <c r="E425" s="28">
        <v>0</v>
      </c>
      <c r="F425" s="35">
        <v>0</v>
      </c>
      <c r="G425" s="35">
        <v>0</v>
      </c>
      <c r="H425" s="35">
        <v>0</v>
      </c>
      <c r="I425" s="35">
        <v>0</v>
      </c>
      <c r="J425" s="35">
        <v>0</v>
      </c>
      <c r="K425" s="35">
        <v>0</v>
      </c>
      <c r="L425" s="35"/>
      <c r="M425" s="35"/>
      <c r="N425" s="188"/>
      <c r="O425" s="188"/>
      <c r="P425" s="23"/>
      <c r="Q425" s="35"/>
      <c r="R425" s="35"/>
      <c r="S425" s="35"/>
    </row>
    <row r="426" spans="1:19" ht="29.25" customHeight="1" x14ac:dyDescent="0.2">
      <c r="A426" s="187">
        <v>0</v>
      </c>
      <c r="B426" s="35">
        <v>0</v>
      </c>
      <c r="C426" s="35">
        <v>0</v>
      </c>
      <c r="D426" s="35">
        <v>0</v>
      </c>
      <c r="E426" s="28">
        <v>0</v>
      </c>
      <c r="F426" s="35">
        <v>0</v>
      </c>
      <c r="G426" s="35">
        <v>0</v>
      </c>
      <c r="H426" s="35">
        <v>0</v>
      </c>
      <c r="I426" s="35">
        <v>0</v>
      </c>
      <c r="J426" s="35">
        <v>0</v>
      </c>
      <c r="K426" s="35">
        <v>0</v>
      </c>
      <c r="L426" s="35"/>
      <c r="M426" s="35"/>
      <c r="N426" s="188"/>
      <c r="O426" s="188"/>
      <c r="P426" s="23"/>
      <c r="Q426" s="35"/>
      <c r="R426" s="35"/>
      <c r="S426" s="35"/>
    </row>
    <row r="427" spans="1:19" ht="29.25" customHeight="1" x14ac:dyDescent="0.2">
      <c r="A427" s="187">
        <v>0</v>
      </c>
      <c r="B427" s="35">
        <v>0</v>
      </c>
      <c r="C427" s="35">
        <v>0</v>
      </c>
      <c r="D427" s="35">
        <v>0</v>
      </c>
      <c r="E427" s="28">
        <v>0</v>
      </c>
      <c r="F427" s="35">
        <v>0</v>
      </c>
      <c r="G427" s="35">
        <v>0</v>
      </c>
      <c r="H427" s="35">
        <v>0</v>
      </c>
      <c r="I427" s="35">
        <v>0</v>
      </c>
      <c r="J427" s="35">
        <v>0</v>
      </c>
      <c r="K427" s="35">
        <v>0</v>
      </c>
      <c r="L427" s="35"/>
      <c r="M427" s="35"/>
      <c r="N427" s="188"/>
      <c r="O427" s="188"/>
      <c r="P427" s="23"/>
      <c r="Q427" s="35"/>
      <c r="R427" s="35"/>
      <c r="S427" s="35"/>
    </row>
    <row r="428" spans="1:19" ht="29.25" customHeight="1" x14ac:dyDescent="0.2">
      <c r="A428" s="187">
        <v>0</v>
      </c>
      <c r="B428" s="35">
        <v>0</v>
      </c>
      <c r="C428" s="35">
        <v>0</v>
      </c>
      <c r="D428" s="35">
        <v>0</v>
      </c>
      <c r="E428" s="28">
        <v>0</v>
      </c>
      <c r="F428" s="35">
        <v>0</v>
      </c>
      <c r="G428" s="35">
        <v>0</v>
      </c>
      <c r="H428" s="35">
        <v>0</v>
      </c>
      <c r="I428" s="35">
        <v>0</v>
      </c>
      <c r="J428" s="35">
        <v>0</v>
      </c>
      <c r="K428" s="35">
        <v>0</v>
      </c>
      <c r="L428" s="35"/>
      <c r="M428" s="35"/>
      <c r="N428" s="188"/>
      <c r="O428" s="188"/>
      <c r="P428" s="23"/>
      <c r="Q428" s="35"/>
      <c r="R428" s="35"/>
      <c r="S428" s="35"/>
    </row>
    <row r="429" spans="1:19" ht="29.25" customHeight="1" x14ac:dyDescent="0.2">
      <c r="A429" s="187">
        <v>0</v>
      </c>
      <c r="B429" s="35">
        <v>0</v>
      </c>
      <c r="C429" s="35">
        <v>0</v>
      </c>
      <c r="D429" s="35">
        <v>0</v>
      </c>
      <c r="E429" s="28">
        <v>0</v>
      </c>
      <c r="F429" s="35">
        <v>0</v>
      </c>
      <c r="G429" s="35">
        <v>0</v>
      </c>
      <c r="H429" s="35">
        <v>0</v>
      </c>
      <c r="I429" s="35">
        <v>0</v>
      </c>
      <c r="J429" s="35">
        <v>0</v>
      </c>
      <c r="K429" s="35">
        <v>0</v>
      </c>
      <c r="L429" s="35"/>
      <c r="M429" s="35"/>
      <c r="N429" s="188"/>
      <c r="O429" s="188"/>
      <c r="P429" s="23"/>
      <c r="Q429" s="35"/>
      <c r="R429" s="35"/>
      <c r="S429" s="35"/>
    </row>
    <row r="430" spans="1:19" ht="29.25" customHeight="1" x14ac:dyDescent="0.2">
      <c r="A430" s="187">
        <v>0</v>
      </c>
      <c r="B430" s="35">
        <v>0</v>
      </c>
      <c r="C430" s="35">
        <v>0</v>
      </c>
      <c r="D430" s="35">
        <v>0</v>
      </c>
      <c r="E430" s="28">
        <v>0</v>
      </c>
      <c r="F430" s="35">
        <v>0</v>
      </c>
      <c r="G430" s="35">
        <v>0</v>
      </c>
      <c r="H430" s="35">
        <v>0</v>
      </c>
      <c r="I430" s="35">
        <v>0</v>
      </c>
      <c r="J430" s="35">
        <v>0</v>
      </c>
      <c r="K430" s="35">
        <v>0</v>
      </c>
      <c r="L430" s="35"/>
      <c r="M430" s="35"/>
      <c r="N430" s="188"/>
      <c r="O430" s="188"/>
      <c r="P430" s="23"/>
      <c r="Q430" s="35"/>
      <c r="R430" s="35"/>
      <c r="S430" s="35"/>
    </row>
    <row r="431" spans="1:19" ht="29.25" customHeight="1" x14ac:dyDescent="0.2">
      <c r="A431" s="187">
        <v>0</v>
      </c>
      <c r="B431" s="35">
        <v>0</v>
      </c>
      <c r="C431" s="35">
        <v>0</v>
      </c>
      <c r="D431" s="35">
        <v>0</v>
      </c>
      <c r="E431" s="28">
        <v>0</v>
      </c>
      <c r="F431" s="35">
        <v>0</v>
      </c>
      <c r="G431" s="35">
        <v>0</v>
      </c>
      <c r="H431" s="35">
        <v>0</v>
      </c>
      <c r="I431" s="35">
        <v>0</v>
      </c>
      <c r="J431" s="35">
        <v>0</v>
      </c>
      <c r="K431" s="35">
        <v>0</v>
      </c>
      <c r="L431" s="35"/>
      <c r="M431" s="35"/>
      <c r="N431" s="188"/>
      <c r="O431" s="188"/>
      <c r="P431" s="23"/>
      <c r="Q431" s="35"/>
      <c r="R431" s="35"/>
      <c r="S431" s="35"/>
    </row>
    <row r="432" spans="1:19" ht="29.25" customHeight="1" x14ac:dyDescent="0.2">
      <c r="A432" s="187">
        <v>0</v>
      </c>
      <c r="B432" s="35">
        <v>0</v>
      </c>
      <c r="C432" s="35">
        <v>0</v>
      </c>
      <c r="D432" s="35">
        <v>0</v>
      </c>
      <c r="E432" s="28">
        <v>0</v>
      </c>
      <c r="F432" s="35">
        <v>0</v>
      </c>
      <c r="G432" s="35">
        <v>0</v>
      </c>
      <c r="H432" s="35">
        <v>0</v>
      </c>
      <c r="I432" s="35">
        <v>0</v>
      </c>
      <c r="J432" s="35">
        <v>0</v>
      </c>
      <c r="K432" s="35">
        <v>0</v>
      </c>
      <c r="L432" s="35"/>
      <c r="M432" s="35"/>
      <c r="N432" s="188"/>
      <c r="O432" s="188"/>
      <c r="P432" s="23"/>
      <c r="Q432" s="35"/>
      <c r="R432" s="35"/>
      <c r="S432" s="35"/>
    </row>
    <row r="433" spans="1:19" ht="29.25" customHeight="1" x14ac:dyDescent="0.2">
      <c r="A433" s="187">
        <v>0</v>
      </c>
      <c r="B433" s="35">
        <v>0</v>
      </c>
      <c r="C433" s="35">
        <v>0</v>
      </c>
      <c r="D433" s="35">
        <v>0</v>
      </c>
      <c r="E433" s="28">
        <v>0</v>
      </c>
      <c r="F433" s="35">
        <v>0</v>
      </c>
      <c r="G433" s="35">
        <v>0</v>
      </c>
      <c r="H433" s="35">
        <v>0</v>
      </c>
      <c r="I433" s="35">
        <v>0</v>
      </c>
      <c r="J433" s="35">
        <v>0</v>
      </c>
      <c r="K433" s="35">
        <v>0</v>
      </c>
      <c r="L433" s="35"/>
      <c r="M433" s="35"/>
      <c r="N433" s="188"/>
      <c r="O433" s="188"/>
      <c r="P433" s="23"/>
      <c r="Q433" s="35"/>
      <c r="R433" s="35"/>
      <c r="S433" s="35"/>
    </row>
    <row r="434" spans="1:19" ht="29.25" customHeight="1" x14ac:dyDescent="0.2">
      <c r="A434" s="187">
        <v>0</v>
      </c>
      <c r="B434" s="35">
        <v>0</v>
      </c>
      <c r="C434" s="35">
        <v>0</v>
      </c>
      <c r="D434" s="35">
        <v>0</v>
      </c>
      <c r="E434" s="28">
        <v>0</v>
      </c>
      <c r="F434" s="35">
        <v>0</v>
      </c>
      <c r="G434" s="35">
        <v>0</v>
      </c>
      <c r="H434" s="35">
        <v>0</v>
      </c>
      <c r="I434" s="35">
        <v>0</v>
      </c>
      <c r="J434" s="35">
        <v>0</v>
      </c>
      <c r="K434" s="35">
        <v>0</v>
      </c>
      <c r="L434" s="35"/>
      <c r="M434" s="35"/>
      <c r="N434" s="188"/>
      <c r="O434" s="188"/>
      <c r="P434" s="23"/>
      <c r="Q434" s="35"/>
      <c r="R434" s="35"/>
      <c r="S434" s="35"/>
    </row>
    <row r="435" spans="1:19" ht="29.25" customHeight="1" x14ac:dyDescent="0.2">
      <c r="A435" s="187">
        <v>0</v>
      </c>
      <c r="B435" s="35">
        <v>0</v>
      </c>
      <c r="C435" s="35">
        <v>0</v>
      </c>
      <c r="D435" s="35">
        <v>0</v>
      </c>
      <c r="E435" s="28">
        <v>0</v>
      </c>
      <c r="F435" s="35">
        <v>0</v>
      </c>
      <c r="G435" s="35">
        <v>0</v>
      </c>
      <c r="H435" s="35">
        <v>0</v>
      </c>
      <c r="I435" s="35">
        <v>0</v>
      </c>
      <c r="J435" s="35">
        <v>0</v>
      </c>
      <c r="K435" s="35">
        <v>0</v>
      </c>
      <c r="L435" s="35"/>
      <c r="M435" s="35"/>
      <c r="N435" s="188"/>
      <c r="O435" s="188"/>
      <c r="P435" s="23"/>
      <c r="Q435" s="35"/>
      <c r="R435" s="35"/>
      <c r="S435" s="35"/>
    </row>
    <row r="436" spans="1:19" ht="29.25" customHeight="1" x14ac:dyDescent="0.2">
      <c r="A436" s="187">
        <v>0</v>
      </c>
      <c r="B436" s="35">
        <v>0</v>
      </c>
      <c r="C436" s="35">
        <v>0</v>
      </c>
      <c r="D436" s="35">
        <v>0</v>
      </c>
      <c r="E436" s="28">
        <v>0</v>
      </c>
      <c r="F436" s="35">
        <v>0</v>
      </c>
      <c r="G436" s="35">
        <v>0</v>
      </c>
      <c r="H436" s="35">
        <v>0</v>
      </c>
      <c r="I436" s="35">
        <v>0</v>
      </c>
      <c r="J436" s="35">
        <v>0</v>
      </c>
      <c r="K436" s="35">
        <v>0</v>
      </c>
      <c r="L436" s="35"/>
      <c r="M436" s="35"/>
      <c r="N436" s="188"/>
      <c r="O436" s="188"/>
      <c r="P436" s="23"/>
      <c r="Q436" s="35"/>
      <c r="R436" s="35"/>
      <c r="S436" s="35"/>
    </row>
    <row r="437" spans="1:19" ht="29.25" customHeight="1" x14ac:dyDescent="0.2">
      <c r="A437" s="187">
        <v>0</v>
      </c>
      <c r="B437" s="35">
        <v>0</v>
      </c>
      <c r="C437" s="35">
        <v>0</v>
      </c>
      <c r="D437" s="35">
        <v>0</v>
      </c>
      <c r="E437" s="28">
        <v>0</v>
      </c>
      <c r="F437" s="35">
        <v>0</v>
      </c>
      <c r="G437" s="35">
        <v>0</v>
      </c>
      <c r="H437" s="35">
        <v>0</v>
      </c>
      <c r="I437" s="35">
        <v>0</v>
      </c>
      <c r="J437" s="35">
        <v>0</v>
      </c>
      <c r="K437" s="35">
        <v>0</v>
      </c>
      <c r="L437" s="35"/>
      <c r="M437" s="35"/>
      <c r="N437" s="188"/>
      <c r="O437" s="188"/>
      <c r="P437" s="23"/>
      <c r="Q437" s="35"/>
      <c r="R437" s="35"/>
      <c r="S437" s="35"/>
    </row>
    <row r="438" spans="1:19" ht="29.25" customHeight="1" x14ac:dyDescent="0.2">
      <c r="A438" s="187">
        <v>0</v>
      </c>
      <c r="B438" s="35">
        <v>0</v>
      </c>
      <c r="C438" s="35">
        <v>0</v>
      </c>
      <c r="D438" s="35">
        <v>0</v>
      </c>
      <c r="E438" s="28">
        <v>0</v>
      </c>
      <c r="F438" s="35">
        <v>0</v>
      </c>
      <c r="G438" s="35">
        <v>0</v>
      </c>
      <c r="H438" s="35">
        <v>0</v>
      </c>
      <c r="I438" s="35">
        <v>0</v>
      </c>
      <c r="J438" s="35">
        <v>0</v>
      </c>
      <c r="K438" s="35">
        <v>0</v>
      </c>
      <c r="L438" s="35"/>
      <c r="M438" s="35"/>
      <c r="N438" s="188"/>
      <c r="O438" s="188"/>
      <c r="P438" s="23"/>
      <c r="Q438" s="35"/>
      <c r="R438" s="35"/>
      <c r="S438" s="35"/>
    </row>
    <row r="439" spans="1:19" ht="29.25" customHeight="1" x14ac:dyDescent="0.2">
      <c r="A439" s="187">
        <v>0</v>
      </c>
      <c r="B439" s="35">
        <v>0</v>
      </c>
      <c r="C439" s="35">
        <v>0</v>
      </c>
      <c r="D439" s="35">
        <v>0</v>
      </c>
      <c r="E439" s="28">
        <v>0</v>
      </c>
      <c r="F439" s="35">
        <v>0</v>
      </c>
      <c r="G439" s="35">
        <v>0</v>
      </c>
      <c r="H439" s="35">
        <v>0</v>
      </c>
      <c r="I439" s="35">
        <v>0</v>
      </c>
      <c r="J439" s="35">
        <v>0</v>
      </c>
      <c r="K439" s="35">
        <v>0</v>
      </c>
      <c r="L439" s="35"/>
      <c r="M439" s="35"/>
      <c r="N439" s="188"/>
      <c r="O439" s="188"/>
      <c r="P439" s="23"/>
      <c r="Q439" s="35"/>
      <c r="R439" s="35"/>
      <c r="S439" s="35"/>
    </row>
    <row r="440" spans="1:19" ht="29.25" customHeight="1" x14ac:dyDescent="0.2">
      <c r="A440" s="187">
        <v>0</v>
      </c>
      <c r="B440" s="35">
        <v>0</v>
      </c>
      <c r="C440" s="35">
        <v>0</v>
      </c>
      <c r="D440" s="35">
        <v>0</v>
      </c>
      <c r="E440" s="28">
        <v>0</v>
      </c>
      <c r="F440" s="35">
        <v>0</v>
      </c>
      <c r="G440" s="35">
        <v>0</v>
      </c>
      <c r="H440" s="35">
        <v>0</v>
      </c>
      <c r="I440" s="35">
        <v>0</v>
      </c>
      <c r="J440" s="35">
        <v>0</v>
      </c>
      <c r="K440" s="35">
        <v>0</v>
      </c>
      <c r="L440" s="35"/>
      <c r="M440" s="35"/>
      <c r="N440" s="188"/>
      <c r="O440" s="188"/>
      <c r="P440" s="23"/>
      <c r="Q440" s="35"/>
      <c r="R440" s="35"/>
      <c r="S440" s="35"/>
    </row>
    <row r="441" spans="1:19" ht="29.25" customHeight="1" x14ac:dyDescent="0.2">
      <c r="A441" s="187">
        <v>0</v>
      </c>
      <c r="B441" s="35">
        <v>0</v>
      </c>
      <c r="C441" s="35">
        <v>0</v>
      </c>
      <c r="D441" s="35">
        <v>0</v>
      </c>
      <c r="E441" s="28">
        <v>0</v>
      </c>
      <c r="F441" s="35">
        <v>0</v>
      </c>
      <c r="G441" s="35">
        <v>0</v>
      </c>
      <c r="H441" s="35">
        <v>0</v>
      </c>
      <c r="I441" s="35">
        <v>0</v>
      </c>
      <c r="J441" s="35">
        <v>0</v>
      </c>
      <c r="K441" s="35">
        <v>0</v>
      </c>
      <c r="L441" s="35"/>
      <c r="M441" s="35"/>
      <c r="N441" s="188"/>
      <c r="O441" s="188"/>
      <c r="P441" s="23"/>
      <c r="Q441" s="35"/>
      <c r="R441" s="35"/>
      <c r="S441" s="35"/>
    </row>
    <row r="442" spans="1:19" ht="29.25" customHeight="1" x14ac:dyDescent="0.2">
      <c r="A442" s="187">
        <v>0</v>
      </c>
      <c r="B442" s="35">
        <v>0</v>
      </c>
      <c r="C442" s="35">
        <v>0</v>
      </c>
      <c r="D442" s="35">
        <v>0</v>
      </c>
      <c r="E442" s="28">
        <v>0</v>
      </c>
      <c r="F442" s="35">
        <v>0</v>
      </c>
      <c r="G442" s="35">
        <v>0</v>
      </c>
      <c r="H442" s="35">
        <v>0</v>
      </c>
      <c r="I442" s="35">
        <v>0</v>
      </c>
      <c r="J442" s="35">
        <v>0</v>
      </c>
      <c r="K442" s="35">
        <v>0</v>
      </c>
      <c r="L442" s="35"/>
      <c r="M442" s="35"/>
      <c r="N442" s="188"/>
      <c r="O442" s="188"/>
      <c r="P442" s="23"/>
      <c r="Q442" s="35"/>
      <c r="R442" s="35"/>
      <c r="S442" s="35"/>
    </row>
    <row r="443" spans="1:19" ht="29.25" customHeight="1" x14ac:dyDescent="0.2">
      <c r="A443" s="187">
        <v>0</v>
      </c>
      <c r="B443" s="35">
        <v>0</v>
      </c>
      <c r="C443" s="35">
        <v>0</v>
      </c>
      <c r="D443" s="35">
        <v>0</v>
      </c>
      <c r="E443" s="28">
        <v>0</v>
      </c>
      <c r="F443" s="35">
        <v>0</v>
      </c>
      <c r="G443" s="35">
        <v>0</v>
      </c>
      <c r="H443" s="35">
        <v>0</v>
      </c>
      <c r="I443" s="35">
        <v>0</v>
      </c>
      <c r="J443" s="35">
        <v>0</v>
      </c>
      <c r="K443" s="35">
        <v>0</v>
      </c>
      <c r="L443" s="35"/>
      <c r="M443" s="35"/>
      <c r="N443" s="188"/>
      <c r="O443" s="188"/>
      <c r="P443" s="23"/>
      <c r="Q443" s="35"/>
      <c r="R443" s="35"/>
      <c r="S443" s="35"/>
    </row>
    <row r="444" spans="1:19" ht="29.25" customHeight="1" x14ac:dyDescent="0.2">
      <c r="A444" s="187">
        <v>0</v>
      </c>
      <c r="B444" s="35">
        <v>0</v>
      </c>
      <c r="C444" s="35">
        <v>0</v>
      </c>
      <c r="D444" s="35">
        <v>0</v>
      </c>
      <c r="E444" s="28">
        <v>0</v>
      </c>
      <c r="F444" s="35">
        <v>0</v>
      </c>
      <c r="G444" s="35">
        <v>0</v>
      </c>
      <c r="H444" s="35">
        <v>0</v>
      </c>
      <c r="I444" s="35">
        <v>0</v>
      </c>
      <c r="J444" s="35">
        <v>0</v>
      </c>
      <c r="K444" s="35">
        <v>0</v>
      </c>
      <c r="L444" s="35"/>
      <c r="M444" s="35"/>
      <c r="N444" s="188"/>
      <c r="O444" s="188"/>
      <c r="P444" s="23"/>
      <c r="Q444" s="35"/>
      <c r="R444" s="35"/>
      <c r="S444" s="35"/>
    </row>
    <row r="445" spans="1:19" ht="29.25" customHeight="1" x14ac:dyDescent="0.2">
      <c r="A445" s="187">
        <v>0</v>
      </c>
      <c r="B445" s="35">
        <v>0</v>
      </c>
      <c r="C445" s="35">
        <v>0</v>
      </c>
      <c r="D445" s="35">
        <v>0</v>
      </c>
      <c r="E445" s="28">
        <v>0</v>
      </c>
      <c r="F445" s="35">
        <v>0</v>
      </c>
      <c r="G445" s="35">
        <v>0</v>
      </c>
      <c r="H445" s="35">
        <v>0</v>
      </c>
      <c r="I445" s="35">
        <v>0</v>
      </c>
      <c r="J445" s="35">
        <v>0</v>
      </c>
      <c r="K445" s="35">
        <v>0</v>
      </c>
      <c r="L445" s="35"/>
      <c r="M445" s="35"/>
      <c r="N445" s="188"/>
      <c r="O445" s="188"/>
      <c r="P445" s="23"/>
      <c r="Q445" s="35"/>
      <c r="R445" s="35"/>
      <c r="S445" s="35"/>
    </row>
    <row r="446" spans="1:19" ht="29.25" customHeight="1" x14ac:dyDescent="0.2">
      <c r="A446" s="187">
        <v>0</v>
      </c>
      <c r="B446" s="35">
        <v>0</v>
      </c>
      <c r="C446" s="35">
        <v>0</v>
      </c>
      <c r="D446" s="35">
        <v>0</v>
      </c>
      <c r="E446" s="28">
        <v>0</v>
      </c>
      <c r="F446" s="35">
        <v>0</v>
      </c>
      <c r="G446" s="35">
        <v>0</v>
      </c>
      <c r="H446" s="35">
        <v>0</v>
      </c>
      <c r="I446" s="35">
        <v>0</v>
      </c>
      <c r="J446" s="35">
        <v>0</v>
      </c>
      <c r="K446" s="35">
        <v>0</v>
      </c>
      <c r="L446" s="35"/>
      <c r="M446" s="35"/>
      <c r="N446" s="188"/>
      <c r="O446" s="188"/>
      <c r="P446" s="23"/>
      <c r="Q446" s="35"/>
      <c r="R446" s="35"/>
      <c r="S446" s="35"/>
    </row>
    <row r="447" spans="1:19" ht="29.25" customHeight="1" x14ac:dyDescent="0.2">
      <c r="A447" s="187">
        <v>0</v>
      </c>
      <c r="B447" s="35">
        <v>0</v>
      </c>
      <c r="C447" s="35">
        <v>0</v>
      </c>
      <c r="D447" s="35">
        <v>0</v>
      </c>
      <c r="E447" s="28">
        <v>0</v>
      </c>
      <c r="F447" s="35">
        <v>0</v>
      </c>
      <c r="G447" s="35">
        <v>0</v>
      </c>
      <c r="H447" s="35">
        <v>0</v>
      </c>
      <c r="I447" s="35">
        <v>0</v>
      </c>
      <c r="J447" s="35">
        <v>0</v>
      </c>
      <c r="K447" s="35">
        <v>0</v>
      </c>
      <c r="L447" s="35"/>
      <c r="M447" s="35"/>
      <c r="N447" s="188"/>
      <c r="O447" s="188"/>
      <c r="P447" s="23"/>
      <c r="Q447" s="35"/>
      <c r="R447" s="35"/>
      <c r="S447" s="35"/>
    </row>
    <row r="448" spans="1:19" ht="29.25" customHeight="1" x14ac:dyDescent="0.2">
      <c r="A448" s="187">
        <v>0</v>
      </c>
      <c r="B448" s="35">
        <v>0</v>
      </c>
      <c r="C448" s="35">
        <v>0</v>
      </c>
      <c r="D448" s="35">
        <v>0</v>
      </c>
      <c r="E448" s="28">
        <v>0</v>
      </c>
      <c r="F448" s="35">
        <v>0</v>
      </c>
      <c r="G448" s="35">
        <v>0</v>
      </c>
      <c r="H448" s="35">
        <v>0</v>
      </c>
      <c r="I448" s="35">
        <v>0</v>
      </c>
      <c r="J448" s="35">
        <v>0</v>
      </c>
      <c r="K448" s="35">
        <v>0</v>
      </c>
      <c r="L448" s="35"/>
      <c r="M448" s="35"/>
      <c r="N448" s="188"/>
      <c r="O448" s="188"/>
      <c r="P448" s="23"/>
      <c r="Q448" s="35"/>
      <c r="R448" s="35"/>
      <c r="S448" s="35"/>
    </row>
    <row r="449" spans="1:19" ht="29.25" customHeight="1" x14ac:dyDescent="0.2">
      <c r="A449" s="187">
        <v>0</v>
      </c>
      <c r="B449" s="35">
        <v>0</v>
      </c>
      <c r="C449" s="35">
        <v>0</v>
      </c>
      <c r="D449" s="35">
        <v>0</v>
      </c>
      <c r="E449" s="28">
        <v>0</v>
      </c>
      <c r="F449" s="35">
        <v>0</v>
      </c>
      <c r="G449" s="35">
        <v>0</v>
      </c>
      <c r="H449" s="35">
        <v>0</v>
      </c>
      <c r="I449" s="35">
        <v>0</v>
      </c>
      <c r="J449" s="35">
        <v>0</v>
      </c>
      <c r="K449" s="35">
        <v>0</v>
      </c>
      <c r="L449" s="35"/>
      <c r="M449" s="35"/>
      <c r="N449" s="188"/>
      <c r="O449" s="188"/>
      <c r="P449" s="23"/>
      <c r="Q449" s="35"/>
      <c r="R449" s="35"/>
      <c r="S449" s="35"/>
    </row>
    <row r="450" spans="1:19" ht="29.25" customHeight="1" x14ac:dyDescent="0.2">
      <c r="A450" s="187">
        <v>0</v>
      </c>
      <c r="B450" s="35">
        <v>0</v>
      </c>
      <c r="C450" s="35">
        <v>0</v>
      </c>
      <c r="D450" s="35">
        <v>0</v>
      </c>
      <c r="E450" s="28">
        <v>0</v>
      </c>
      <c r="F450" s="35">
        <v>0</v>
      </c>
      <c r="G450" s="35">
        <v>0</v>
      </c>
      <c r="H450" s="35">
        <v>0</v>
      </c>
      <c r="I450" s="35">
        <v>0</v>
      </c>
      <c r="J450" s="35">
        <v>0</v>
      </c>
      <c r="K450" s="35">
        <v>0</v>
      </c>
      <c r="L450" s="35"/>
      <c r="M450" s="35"/>
      <c r="N450" s="188"/>
      <c r="O450" s="188"/>
      <c r="P450" s="23"/>
      <c r="Q450" s="35"/>
      <c r="R450" s="35"/>
      <c r="S450" s="35"/>
    </row>
    <row r="451" spans="1:19" ht="29.25" customHeight="1" x14ac:dyDescent="0.2">
      <c r="A451" s="187">
        <v>0</v>
      </c>
      <c r="B451" s="35">
        <v>0</v>
      </c>
      <c r="C451" s="35">
        <v>0</v>
      </c>
      <c r="D451" s="35">
        <v>0</v>
      </c>
      <c r="E451" s="28">
        <v>0</v>
      </c>
      <c r="F451" s="35">
        <v>0</v>
      </c>
      <c r="G451" s="35">
        <v>0</v>
      </c>
      <c r="H451" s="35">
        <v>0</v>
      </c>
      <c r="I451" s="35">
        <v>0</v>
      </c>
      <c r="J451" s="35">
        <v>0</v>
      </c>
      <c r="K451" s="35">
        <v>0</v>
      </c>
      <c r="L451" s="35"/>
      <c r="M451" s="35"/>
      <c r="N451" s="188"/>
      <c r="O451" s="188"/>
      <c r="P451" s="23"/>
      <c r="Q451" s="35"/>
      <c r="R451" s="35"/>
      <c r="S451" s="35"/>
    </row>
    <row r="452" spans="1:19" ht="29.25" customHeight="1" x14ac:dyDescent="0.2">
      <c r="A452" s="187">
        <v>0</v>
      </c>
      <c r="B452" s="35">
        <v>0</v>
      </c>
      <c r="C452" s="35">
        <v>0</v>
      </c>
      <c r="D452" s="35">
        <v>0</v>
      </c>
      <c r="E452" s="28">
        <v>0</v>
      </c>
      <c r="F452" s="35">
        <v>0</v>
      </c>
      <c r="G452" s="35">
        <v>0</v>
      </c>
      <c r="H452" s="35">
        <v>0</v>
      </c>
      <c r="I452" s="35">
        <v>0</v>
      </c>
      <c r="J452" s="35">
        <v>0</v>
      </c>
      <c r="K452" s="35">
        <v>0</v>
      </c>
      <c r="L452" s="35"/>
      <c r="M452" s="35"/>
      <c r="N452" s="188"/>
      <c r="O452" s="188"/>
      <c r="P452" s="23"/>
      <c r="Q452" s="35"/>
      <c r="R452" s="35"/>
      <c r="S452" s="35"/>
    </row>
    <row r="453" spans="1:19" ht="29.25" customHeight="1" x14ac:dyDescent="0.2">
      <c r="A453" s="187">
        <v>0</v>
      </c>
      <c r="B453" s="35">
        <v>0</v>
      </c>
      <c r="C453" s="35">
        <v>0</v>
      </c>
      <c r="D453" s="35">
        <v>0</v>
      </c>
      <c r="E453" s="28">
        <v>0</v>
      </c>
      <c r="F453" s="35">
        <v>0</v>
      </c>
      <c r="G453" s="35">
        <v>0</v>
      </c>
      <c r="H453" s="35">
        <v>0</v>
      </c>
      <c r="I453" s="35">
        <v>0</v>
      </c>
      <c r="J453" s="35">
        <v>0</v>
      </c>
      <c r="K453" s="35">
        <v>0</v>
      </c>
      <c r="L453" s="35"/>
      <c r="M453" s="35"/>
      <c r="N453" s="188"/>
      <c r="O453" s="188"/>
      <c r="P453" s="23"/>
      <c r="Q453" s="35"/>
      <c r="R453" s="35"/>
      <c r="S453" s="35"/>
    </row>
    <row r="454" spans="1:19" ht="29.25" customHeight="1" x14ac:dyDescent="0.2">
      <c r="A454" s="187">
        <v>0</v>
      </c>
      <c r="B454" s="35">
        <v>0</v>
      </c>
      <c r="C454" s="35">
        <v>0</v>
      </c>
      <c r="D454" s="35">
        <v>0</v>
      </c>
      <c r="E454" s="28">
        <v>0</v>
      </c>
      <c r="F454" s="35">
        <v>0</v>
      </c>
      <c r="G454" s="35">
        <v>0</v>
      </c>
      <c r="H454" s="35">
        <v>0</v>
      </c>
      <c r="I454" s="35">
        <v>0</v>
      </c>
      <c r="J454" s="35">
        <v>0</v>
      </c>
      <c r="K454" s="35">
        <v>0</v>
      </c>
      <c r="L454" s="35"/>
      <c r="M454" s="35"/>
      <c r="N454" s="188"/>
      <c r="O454" s="188"/>
      <c r="P454" s="23"/>
      <c r="Q454" s="35"/>
      <c r="R454" s="35"/>
      <c r="S454" s="35"/>
    </row>
    <row r="455" spans="1:19" ht="29.25" customHeight="1" x14ac:dyDescent="0.2">
      <c r="A455" s="187">
        <v>0</v>
      </c>
      <c r="B455" s="35">
        <v>0</v>
      </c>
      <c r="C455" s="35">
        <v>0</v>
      </c>
      <c r="D455" s="35">
        <v>0</v>
      </c>
      <c r="E455" s="28">
        <v>0</v>
      </c>
      <c r="F455" s="35">
        <v>0</v>
      </c>
      <c r="G455" s="35">
        <v>0</v>
      </c>
      <c r="H455" s="35">
        <v>0</v>
      </c>
      <c r="I455" s="35">
        <v>0</v>
      </c>
      <c r="J455" s="35">
        <v>0</v>
      </c>
      <c r="K455" s="35">
        <v>0</v>
      </c>
      <c r="L455" s="35"/>
      <c r="M455" s="35"/>
      <c r="N455" s="188"/>
      <c r="O455" s="188"/>
      <c r="P455" s="23"/>
      <c r="Q455" s="35"/>
      <c r="R455" s="35"/>
      <c r="S455" s="35"/>
    </row>
    <row r="456" spans="1:19" ht="29.25" customHeight="1" x14ac:dyDescent="0.2">
      <c r="A456" s="187">
        <v>0</v>
      </c>
      <c r="B456" s="35">
        <v>0</v>
      </c>
      <c r="C456" s="35">
        <v>0</v>
      </c>
      <c r="D456" s="35">
        <v>0</v>
      </c>
      <c r="E456" s="28">
        <v>0</v>
      </c>
      <c r="F456" s="35">
        <v>0</v>
      </c>
      <c r="G456" s="35">
        <v>0</v>
      </c>
      <c r="H456" s="35">
        <v>0</v>
      </c>
      <c r="I456" s="35">
        <v>0</v>
      </c>
      <c r="J456" s="35">
        <v>0</v>
      </c>
      <c r="K456" s="35">
        <v>0</v>
      </c>
      <c r="L456" s="35"/>
      <c r="M456" s="35"/>
      <c r="N456" s="188"/>
      <c r="O456" s="188"/>
      <c r="P456" s="23"/>
      <c r="Q456" s="35"/>
      <c r="R456" s="35"/>
      <c r="S456" s="35"/>
    </row>
    <row r="457" spans="1:19" ht="29.25" customHeight="1" x14ac:dyDescent="0.2">
      <c r="A457" s="187">
        <v>0</v>
      </c>
      <c r="B457" s="35">
        <v>0</v>
      </c>
      <c r="C457" s="35">
        <v>0</v>
      </c>
      <c r="D457" s="35">
        <v>0</v>
      </c>
      <c r="E457" s="28">
        <v>0</v>
      </c>
      <c r="F457" s="35">
        <v>0</v>
      </c>
      <c r="G457" s="35">
        <v>0</v>
      </c>
      <c r="H457" s="35">
        <v>0</v>
      </c>
      <c r="I457" s="35">
        <v>0</v>
      </c>
      <c r="J457" s="35">
        <v>0</v>
      </c>
      <c r="K457" s="35">
        <v>0</v>
      </c>
      <c r="L457" s="35"/>
      <c r="M457" s="35"/>
      <c r="N457" s="188"/>
      <c r="O457" s="188"/>
      <c r="P457" s="23"/>
      <c r="Q457" s="35"/>
      <c r="R457" s="35"/>
      <c r="S457" s="35"/>
    </row>
    <row r="458" spans="1:19" ht="29.25" customHeight="1" x14ac:dyDescent="0.2">
      <c r="A458" s="187">
        <v>0</v>
      </c>
      <c r="B458" s="35">
        <v>0</v>
      </c>
      <c r="C458" s="35">
        <v>0</v>
      </c>
      <c r="D458" s="35">
        <v>0</v>
      </c>
      <c r="E458" s="28">
        <v>0</v>
      </c>
      <c r="F458" s="35">
        <v>0</v>
      </c>
      <c r="G458" s="35">
        <v>0</v>
      </c>
      <c r="H458" s="35">
        <v>0</v>
      </c>
      <c r="I458" s="35">
        <v>0</v>
      </c>
      <c r="J458" s="35">
        <v>0</v>
      </c>
      <c r="K458" s="35">
        <v>0</v>
      </c>
      <c r="L458" s="35"/>
      <c r="M458" s="35"/>
      <c r="N458" s="188"/>
      <c r="O458" s="188"/>
      <c r="P458" s="23"/>
      <c r="Q458" s="35"/>
      <c r="R458" s="35"/>
      <c r="S458" s="35"/>
    </row>
    <row r="459" spans="1:19" ht="29.25" customHeight="1" x14ac:dyDescent="0.2">
      <c r="A459" s="187">
        <v>0</v>
      </c>
      <c r="B459" s="35">
        <v>0</v>
      </c>
      <c r="C459" s="35">
        <v>0</v>
      </c>
      <c r="D459" s="35">
        <v>0</v>
      </c>
      <c r="E459" s="28">
        <v>0</v>
      </c>
      <c r="F459" s="35">
        <v>0</v>
      </c>
      <c r="G459" s="35">
        <v>0</v>
      </c>
      <c r="H459" s="35">
        <v>0</v>
      </c>
      <c r="I459" s="35">
        <v>0</v>
      </c>
      <c r="J459" s="35">
        <v>0</v>
      </c>
      <c r="K459" s="35">
        <v>0</v>
      </c>
      <c r="L459" s="35"/>
      <c r="M459" s="35"/>
      <c r="N459" s="188"/>
      <c r="O459" s="188"/>
      <c r="P459" s="23"/>
      <c r="Q459" s="35"/>
      <c r="R459" s="35"/>
      <c r="S459" s="35"/>
    </row>
    <row r="460" spans="1:19" ht="29.25" customHeight="1" x14ac:dyDescent="0.2">
      <c r="A460" s="187">
        <v>0</v>
      </c>
      <c r="B460" s="35">
        <v>0</v>
      </c>
      <c r="C460" s="35">
        <v>0</v>
      </c>
      <c r="D460" s="35">
        <v>0</v>
      </c>
      <c r="E460" s="28">
        <v>0</v>
      </c>
      <c r="F460" s="35">
        <v>0</v>
      </c>
      <c r="G460" s="35">
        <v>0</v>
      </c>
      <c r="H460" s="35">
        <v>0</v>
      </c>
      <c r="I460" s="35">
        <v>0</v>
      </c>
      <c r="J460" s="35">
        <v>0</v>
      </c>
      <c r="K460" s="35">
        <v>0</v>
      </c>
      <c r="L460" s="35"/>
      <c r="M460" s="35"/>
      <c r="N460" s="188"/>
      <c r="O460" s="188"/>
      <c r="P460" s="23"/>
      <c r="Q460" s="35"/>
      <c r="R460" s="35"/>
      <c r="S460" s="35"/>
    </row>
    <row r="461" spans="1:19" ht="29.25" customHeight="1" x14ac:dyDescent="0.2">
      <c r="A461" s="187">
        <v>0</v>
      </c>
      <c r="B461" s="35">
        <v>0</v>
      </c>
      <c r="C461" s="35">
        <v>0</v>
      </c>
      <c r="D461" s="35">
        <v>0</v>
      </c>
      <c r="E461" s="28">
        <v>0</v>
      </c>
      <c r="F461" s="35">
        <v>0</v>
      </c>
      <c r="G461" s="35">
        <v>0</v>
      </c>
      <c r="H461" s="35">
        <v>0</v>
      </c>
      <c r="I461" s="35">
        <v>0</v>
      </c>
      <c r="J461" s="35">
        <v>0</v>
      </c>
      <c r="K461" s="35">
        <v>0</v>
      </c>
      <c r="L461" s="35"/>
      <c r="M461" s="35"/>
      <c r="N461" s="188"/>
      <c r="O461" s="188"/>
      <c r="P461" s="23"/>
      <c r="Q461" s="35"/>
      <c r="R461" s="35"/>
      <c r="S461" s="35"/>
    </row>
    <row r="462" spans="1:19" ht="29.25" customHeight="1" x14ac:dyDescent="0.2">
      <c r="A462" s="187">
        <v>0</v>
      </c>
      <c r="B462" s="35">
        <v>0</v>
      </c>
      <c r="C462" s="35">
        <v>0</v>
      </c>
      <c r="D462" s="35">
        <v>0</v>
      </c>
      <c r="E462" s="28">
        <v>0</v>
      </c>
      <c r="F462" s="35">
        <v>0</v>
      </c>
      <c r="G462" s="35">
        <v>0</v>
      </c>
      <c r="H462" s="35">
        <v>0</v>
      </c>
      <c r="I462" s="35">
        <v>0</v>
      </c>
      <c r="J462" s="35">
        <v>0</v>
      </c>
      <c r="K462" s="35">
        <v>0</v>
      </c>
      <c r="L462" s="35"/>
      <c r="M462" s="35"/>
      <c r="N462" s="188"/>
      <c r="O462" s="188"/>
      <c r="P462" s="23"/>
      <c r="Q462" s="35"/>
      <c r="R462" s="35"/>
      <c r="S462" s="35"/>
    </row>
    <row r="463" spans="1:19" ht="29.25" customHeight="1" x14ac:dyDescent="0.2">
      <c r="A463" s="187">
        <v>0</v>
      </c>
      <c r="B463" s="35">
        <v>0</v>
      </c>
      <c r="C463" s="35">
        <v>0</v>
      </c>
      <c r="D463" s="35">
        <v>0</v>
      </c>
      <c r="E463" s="28">
        <v>0</v>
      </c>
      <c r="F463" s="35">
        <v>0</v>
      </c>
      <c r="G463" s="35">
        <v>0</v>
      </c>
      <c r="H463" s="35">
        <v>0</v>
      </c>
      <c r="I463" s="35">
        <v>0</v>
      </c>
      <c r="J463" s="35">
        <v>0</v>
      </c>
      <c r="K463" s="35">
        <v>0</v>
      </c>
      <c r="L463" s="35"/>
      <c r="M463" s="35"/>
      <c r="N463" s="188"/>
      <c r="O463" s="188"/>
      <c r="P463" s="23"/>
      <c r="Q463" s="35"/>
      <c r="R463" s="35"/>
      <c r="S463" s="35"/>
    </row>
    <row r="464" spans="1:19" ht="29.25" customHeight="1" x14ac:dyDescent="0.2">
      <c r="A464" s="187">
        <v>0</v>
      </c>
      <c r="B464" s="35">
        <v>0</v>
      </c>
      <c r="C464" s="35">
        <v>0</v>
      </c>
      <c r="D464" s="35">
        <v>0</v>
      </c>
      <c r="E464" s="28">
        <v>0</v>
      </c>
      <c r="F464" s="35">
        <v>0</v>
      </c>
      <c r="G464" s="35">
        <v>0</v>
      </c>
      <c r="H464" s="35">
        <v>0</v>
      </c>
      <c r="I464" s="35">
        <v>0</v>
      </c>
      <c r="J464" s="35">
        <v>0</v>
      </c>
      <c r="K464" s="35">
        <v>0</v>
      </c>
      <c r="L464" s="35"/>
      <c r="M464" s="35"/>
      <c r="N464" s="188"/>
      <c r="O464" s="188"/>
      <c r="P464" s="23"/>
      <c r="Q464" s="35"/>
      <c r="R464" s="35"/>
      <c r="S464" s="35"/>
    </row>
    <row r="465" spans="1:19" ht="29.25" customHeight="1" x14ac:dyDescent="0.2">
      <c r="A465" s="187">
        <v>0</v>
      </c>
      <c r="B465" s="35">
        <v>0</v>
      </c>
      <c r="C465" s="35">
        <v>0</v>
      </c>
      <c r="D465" s="35">
        <v>0</v>
      </c>
      <c r="E465" s="28">
        <v>0</v>
      </c>
      <c r="F465" s="35">
        <v>0</v>
      </c>
      <c r="G465" s="35">
        <v>0</v>
      </c>
      <c r="H465" s="35">
        <v>0</v>
      </c>
      <c r="I465" s="35">
        <v>0</v>
      </c>
      <c r="J465" s="35">
        <v>0</v>
      </c>
      <c r="K465" s="35">
        <v>0</v>
      </c>
      <c r="L465" s="35"/>
      <c r="M465" s="35"/>
      <c r="N465" s="188"/>
      <c r="O465" s="188"/>
      <c r="P465" s="23"/>
      <c r="Q465" s="35"/>
      <c r="R465" s="35"/>
      <c r="S465" s="35"/>
    </row>
    <row r="466" spans="1:19" ht="29.25" customHeight="1" x14ac:dyDescent="0.2">
      <c r="A466" s="187">
        <v>0</v>
      </c>
      <c r="B466" s="35">
        <v>0</v>
      </c>
      <c r="C466" s="35">
        <v>0</v>
      </c>
      <c r="D466" s="35">
        <v>0</v>
      </c>
      <c r="E466" s="28">
        <v>0</v>
      </c>
      <c r="F466" s="35">
        <v>0</v>
      </c>
      <c r="G466" s="35">
        <v>0</v>
      </c>
      <c r="H466" s="35">
        <v>0</v>
      </c>
      <c r="I466" s="35">
        <v>0</v>
      </c>
      <c r="J466" s="35">
        <v>0</v>
      </c>
      <c r="K466" s="35">
        <v>0</v>
      </c>
      <c r="L466" s="35"/>
      <c r="M466" s="35"/>
      <c r="N466" s="188"/>
      <c r="O466" s="188"/>
      <c r="P466" s="23"/>
      <c r="Q466" s="35"/>
      <c r="R466" s="35"/>
      <c r="S466" s="35"/>
    </row>
    <row r="467" spans="1:19" ht="29.25" customHeight="1" x14ac:dyDescent="0.2">
      <c r="A467" s="187">
        <v>0</v>
      </c>
      <c r="B467" s="35">
        <v>0</v>
      </c>
      <c r="C467" s="35">
        <v>0</v>
      </c>
      <c r="D467" s="35">
        <v>0</v>
      </c>
      <c r="E467" s="28">
        <v>0</v>
      </c>
      <c r="F467" s="35">
        <v>0</v>
      </c>
      <c r="G467" s="35">
        <v>0</v>
      </c>
      <c r="H467" s="35">
        <v>0</v>
      </c>
      <c r="I467" s="35">
        <v>0</v>
      </c>
      <c r="J467" s="35">
        <v>0</v>
      </c>
      <c r="K467" s="35">
        <v>0</v>
      </c>
      <c r="L467" s="35"/>
      <c r="M467" s="35"/>
      <c r="N467" s="188"/>
      <c r="O467" s="188"/>
      <c r="P467" s="23"/>
      <c r="Q467" s="35"/>
      <c r="R467" s="35"/>
      <c r="S467" s="35"/>
    </row>
    <row r="468" spans="1:19" ht="29.25" customHeight="1" x14ac:dyDescent="0.2">
      <c r="A468" s="187">
        <v>0</v>
      </c>
      <c r="B468" s="35">
        <v>0</v>
      </c>
      <c r="C468" s="35">
        <v>0</v>
      </c>
      <c r="D468" s="35">
        <v>0</v>
      </c>
      <c r="E468" s="28">
        <v>0</v>
      </c>
      <c r="F468" s="35">
        <v>0</v>
      </c>
      <c r="G468" s="35">
        <v>0</v>
      </c>
      <c r="H468" s="35">
        <v>0</v>
      </c>
      <c r="I468" s="35">
        <v>0</v>
      </c>
      <c r="J468" s="35">
        <v>0</v>
      </c>
      <c r="K468" s="35">
        <v>0</v>
      </c>
      <c r="L468" s="35"/>
      <c r="M468" s="35"/>
      <c r="N468" s="188"/>
      <c r="O468" s="188"/>
      <c r="P468" s="23"/>
      <c r="Q468" s="35"/>
      <c r="R468" s="35"/>
      <c r="S468" s="35"/>
    </row>
    <row r="469" spans="1:19" ht="29.25" customHeight="1" x14ac:dyDescent="0.2">
      <c r="A469" s="187">
        <v>0</v>
      </c>
      <c r="B469" s="35">
        <v>0</v>
      </c>
      <c r="C469" s="35">
        <v>0</v>
      </c>
      <c r="D469" s="35">
        <v>0</v>
      </c>
      <c r="E469" s="28">
        <v>0</v>
      </c>
      <c r="F469" s="35">
        <v>0</v>
      </c>
      <c r="G469" s="35">
        <v>0</v>
      </c>
      <c r="H469" s="35">
        <v>0</v>
      </c>
      <c r="I469" s="35">
        <v>0</v>
      </c>
      <c r="J469" s="35">
        <v>0</v>
      </c>
      <c r="K469" s="35">
        <v>0</v>
      </c>
      <c r="L469" s="35"/>
      <c r="M469" s="35"/>
      <c r="N469" s="188"/>
      <c r="O469" s="188"/>
      <c r="P469" s="23"/>
      <c r="Q469" s="35"/>
      <c r="R469" s="35"/>
      <c r="S469" s="35"/>
    </row>
    <row r="470" spans="1:19" ht="29.25" customHeight="1" x14ac:dyDescent="0.2">
      <c r="A470" s="187">
        <v>0</v>
      </c>
      <c r="B470" s="35">
        <v>0</v>
      </c>
      <c r="C470" s="35">
        <v>0</v>
      </c>
      <c r="D470" s="35">
        <v>0</v>
      </c>
      <c r="E470" s="28">
        <v>0</v>
      </c>
      <c r="F470" s="35">
        <v>0</v>
      </c>
      <c r="G470" s="35">
        <v>0</v>
      </c>
      <c r="H470" s="35">
        <v>0</v>
      </c>
      <c r="I470" s="35">
        <v>0</v>
      </c>
      <c r="J470" s="35">
        <v>0</v>
      </c>
      <c r="K470" s="35">
        <v>0</v>
      </c>
      <c r="L470" s="35"/>
      <c r="M470" s="35"/>
      <c r="N470" s="188"/>
      <c r="O470" s="188"/>
      <c r="P470" s="23"/>
      <c r="Q470" s="35"/>
      <c r="R470" s="35"/>
      <c r="S470" s="35"/>
    </row>
    <row r="471" spans="1:19" ht="29.25" customHeight="1" x14ac:dyDescent="0.2">
      <c r="A471" s="187">
        <v>0</v>
      </c>
      <c r="B471" s="35">
        <v>0</v>
      </c>
      <c r="C471" s="35">
        <v>0</v>
      </c>
      <c r="D471" s="35">
        <v>0</v>
      </c>
      <c r="E471" s="28">
        <v>0</v>
      </c>
      <c r="F471" s="35">
        <v>0</v>
      </c>
      <c r="G471" s="35">
        <v>0</v>
      </c>
      <c r="H471" s="35">
        <v>0</v>
      </c>
      <c r="I471" s="35">
        <v>0</v>
      </c>
      <c r="J471" s="35">
        <v>0</v>
      </c>
      <c r="K471" s="35">
        <v>0</v>
      </c>
      <c r="L471" s="35"/>
      <c r="M471" s="35"/>
      <c r="N471" s="188"/>
      <c r="O471" s="188"/>
      <c r="P471" s="23"/>
      <c r="Q471" s="35"/>
      <c r="R471" s="35"/>
      <c r="S471" s="35"/>
    </row>
    <row r="472" spans="1:19" ht="29.25" customHeight="1" x14ac:dyDescent="0.2">
      <c r="A472" s="187">
        <v>0</v>
      </c>
      <c r="B472" s="35">
        <v>0</v>
      </c>
      <c r="C472" s="35">
        <v>0</v>
      </c>
      <c r="D472" s="35">
        <v>0</v>
      </c>
      <c r="E472" s="28">
        <v>0</v>
      </c>
      <c r="F472" s="35">
        <v>0</v>
      </c>
      <c r="G472" s="35">
        <v>0</v>
      </c>
      <c r="H472" s="35">
        <v>0</v>
      </c>
      <c r="I472" s="35">
        <v>0</v>
      </c>
      <c r="J472" s="35">
        <v>0</v>
      </c>
      <c r="K472" s="35">
        <v>0</v>
      </c>
      <c r="L472" s="35"/>
      <c r="M472" s="35"/>
      <c r="N472" s="188"/>
      <c r="O472" s="188"/>
      <c r="P472" s="23"/>
      <c r="Q472" s="35"/>
      <c r="R472" s="35"/>
      <c r="S472" s="35"/>
    </row>
    <row r="473" spans="1:19" ht="29.25" customHeight="1" x14ac:dyDescent="0.2">
      <c r="A473" s="187">
        <v>0</v>
      </c>
      <c r="B473" s="35">
        <v>0</v>
      </c>
      <c r="C473" s="35">
        <v>0</v>
      </c>
      <c r="D473" s="35">
        <v>0</v>
      </c>
      <c r="E473" s="28">
        <v>0</v>
      </c>
      <c r="F473" s="35">
        <v>0</v>
      </c>
      <c r="G473" s="35">
        <v>0</v>
      </c>
      <c r="H473" s="35">
        <v>0</v>
      </c>
      <c r="I473" s="35">
        <v>0</v>
      </c>
      <c r="J473" s="35">
        <v>0</v>
      </c>
      <c r="K473" s="35">
        <v>0</v>
      </c>
      <c r="L473" s="35"/>
      <c r="M473" s="35"/>
      <c r="N473" s="188"/>
      <c r="O473" s="188"/>
      <c r="P473" s="23"/>
      <c r="Q473" s="35"/>
      <c r="R473" s="35"/>
      <c r="S473" s="35"/>
    </row>
    <row r="474" spans="1:19" ht="29.25" customHeight="1" x14ac:dyDescent="0.2">
      <c r="A474" s="187">
        <v>0</v>
      </c>
      <c r="B474" s="35">
        <v>0</v>
      </c>
      <c r="C474" s="35">
        <v>0</v>
      </c>
      <c r="D474" s="35">
        <v>0</v>
      </c>
      <c r="E474" s="28">
        <v>0</v>
      </c>
      <c r="F474" s="35">
        <v>0</v>
      </c>
      <c r="G474" s="35">
        <v>0</v>
      </c>
      <c r="H474" s="35">
        <v>0</v>
      </c>
      <c r="I474" s="35">
        <v>0</v>
      </c>
      <c r="J474" s="35">
        <v>0</v>
      </c>
      <c r="K474" s="35">
        <v>0</v>
      </c>
      <c r="L474" s="35"/>
      <c r="M474" s="35"/>
      <c r="N474" s="188"/>
      <c r="O474" s="188"/>
      <c r="P474" s="23"/>
      <c r="Q474" s="35"/>
      <c r="R474" s="35"/>
      <c r="S474" s="35"/>
    </row>
    <row r="475" spans="1:19" ht="29.25" customHeight="1" x14ac:dyDescent="0.2">
      <c r="A475" s="187">
        <v>0</v>
      </c>
      <c r="B475" s="35">
        <v>0</v>
      </c>
      <c r="C475" s="35">
        <v>0</v>
      </c>
      <c r="D475" s="35">
        <v>0</v>
      </c>
      <c r="E475" s="28">
        <v>0</v>
      </c>
      <c r="F475" s="35">
        <v>0</v>
      </c>
      <c r="G475" s="35">
        <v>0</v>
      </c>
      <c r="H475" s="35">
        <v>0</v>
      </c>
      <c r="I475" s="35">
        <v>0</v>
      </c>
      <c r="J475" s="35">
        <v>0</v>
      </c>
      <c r="K475" s="35">
        <v>0</v>
      </c>
      <c r="L475" s="35"/>
      <c r="M475" s="35"/>
      <c r="N475" s="188"/>
      <c r="O475" s="188"/>
      <c r="P475" s="23"/>
      <c r="Q475" s="35"/>
      <c r="R475" s="35"/>
      <c r="S475" s="35"/>
    </row>
    <row r="476" spans="1:19" ht="29.25" customHeight="1" x14ac:dyDescent="0.2">
      <c r="A476" s="187">
        <v>0</v>
      </c>
      <c r="B476" s="35">
        <v>0</v>
      </c>
      <c r="C476" s="35">
        <v>0</v>
      </c>
      <c r="D476" s="35">
        <v>0</v>
      </c>
      <c r="E476" s="28">
        <v>0</v>
      </c>
      <c r="F476" s="35">
        <v>0</v>
      </c>
      <c r="G476" s="35">
        <v>0</v>
      </c>
      <c r="H476" s="35">
        <v>0</v>
      </c>
      <c r="I476" s="35">
        <v>0</v>
      </c>
      <c r="J476" s="35">
        <v>0</v>
      </c>
      <c r="K476" s="35">
        <v>0</v>
      </c>
      <c r="L476" s="35"/>
      <c r="M476" s="35"/>
      <c r="N476" s="188"/>
      <c r="O476" s="188"/>
      <c r="P476" s="23"/>
      <c r="Q476" s="35"/>
      <c r="R476" s="35"/>
      <c r="S476" s="35"/>
    </row>
    <row r="477" spans="1:19" ht="29.25" customHeight="1" x14ac:dyDescent="0.2">
      <c r="A477" s="187">
        <v>0</v>
      </c>
      <c r="B477" s="35">
        <v>0</v>
      </c>
      <c r="C477" s="35">
        <v>0</v>
      </c>
      <c r="D477" s="35">
        <v>0</v>
      </c>
      <c r="E477" s="28">
        <v>0</v>
      </c>
      <c r="F477" s="35">
        <v>0</v>
      </c>
      <c r="G477" s="35">
        <v>0</v>
      </c>
      <c r="H477" s="35">
        <v>0</v>
      </c>
      <c r="I477" s="35">
        <v>0</v>
      </c>
      <c r="J477" s="35">
        <v>0</v>
      </c>
      <c r="K477" s="35">
        <v>0</v>
      </c>
      <c r="L477" s="35"/>
      <c r="M477" s="35"/>
      <c r="N477" s="188"/>
      <c r="O477" s="188"/>
      <c r="P477" s="23"/>
      <c r="Q477" s="35"/>
      <c r="R477" s="35"/>
      <c r="S477" s="35"/>
    </row>
    <row r="478" spans="1:19" ht="29.25" customHeight="1" x14ac:dyDescent="0.2">
      <c r="A478" s="187">
        <v>0</v>
      </c>
      <c r="B478" s="35">
        <v>0</v>
      </c>
      <c r="C478" s="35">
        <v>0</v>
      </c>
      <c r="D478" s="35">
        <v>0</v>
      </c>
      <c r="E478" s="28">
        <v>0</v>
      </c>
      <c r="F478" s="35">
        <v>0</v>
      </c>
      <c r="G478" s="35">
        <v>0</v>
      </c>
      <c r="H478" s="35">
        <v>0</v>
      </c>
      <c r="I478" s="35">
        <v>0</v>
      </c>
      <c r="J478" s="35">
        <v>0</v>
      </c>
      <c r="K478" s="35">
        <v>0</v>
      </c>
      <c r="L478" s="35"/>
      <c r="M478" s="35"/>
      <c r="N478" s="188"/>
      <c r="O478" s="188"/>
      <c r="P478" s="23"/>
      <c r="Q478" s="35"/>
      <c r="R478" s="35"/>
      <c r="S478" s="35"/>
    </row>
    <row r="479" spans="1:19" ht="29.25" customHeight="1" x14ac:dyDescent="0.2">
      <c r="A479" s="187">
        <v>0</v>
      </c>
      <c r="B479" s="35">
        <v>0</v>
      </c>
      <c r="C479" s="35">
        <v>0</v>
      </c>
      <c r="D479" s="35">
        <v>0</v>
      </c>
      <c r="E479" s="28">
        <v>0</v>
      </c>
      <c r="F479" s="35">
        <v>0</v>
      </c>
      <c r="G479" s="35">
        <v>0</v>
      </c>
      <c r="H479" s="35">
        <v>0</v>
      </c>
      <c r="I479" s="35">
        <v>0</v>
      </c>
      <c r="J479" s="35">
        <v>0</v>
      </c>
      <c r="K479" s="35">
        <v>0</v>
      </c>
      <c r="L479" s="35"/>
      <c r="M479" s="35"/>
      <c r="N479" s="188"/>
      <c r="O479" s="188"/>
      <c r="P479" s="23"/>
      <c r="Q479" s="35"/>
      <c r="R479" s="35"/>
      <c r="S479" s="35"/>
    </row>
    <row r="480" spans="1:19" ht="29.25" customHeight="1" x14ac:dyDescent="0.2">
      <c r="A480" s="187">
        <v>0</v>
      </c>
      <c r="B480" s="35">
        <v>0</v>
      </c>
      <c r="C480" s="35">
        <v>0</v>
      </c>
      <c r="D480" s="35">
        <v>0</v>
      </c>
      <c r="E480" s="28">
        <v>0</v>
      </c>
      <c r="F480" s="35">
        <v>0</v>
      </c>
      <c r="G480" s="35">
        <v>0</v>
      </c>
      <c r="H480" s="35">
        <v>0</v>
      </c>
      <c r="I480" s="35">
        <v>0</v>
      </c>
      <c r="J480" s="35">
        <v>0</v>
      </c>
      <c r="K480" s="35">
        <v>0</v>
      </c>
      <c r="L480" s="35"/>
      <c r="M480" s="35"/>
      <c r="N480" s="188"/>
      <c r="O480" s="188"/>
      <c r="P480" s="23"/>
      <c r="Q480" s="35"/>
      <c r="R480" s="35"/>
      <c r="S480" s="35"/>
    </row>
    <row r="481" spans="1:19" ht="29.25" customHeight="1" x14ac:dyDescent="0.2">
      <c r="A481" s="187">
        <v>0</v>
      </c>
      <c r="B481" s="35">
        <v>0</v>
      </c>
      <c r="C481" s="35">
        <v>0</v>
      </c>
      <c r="D481" s="35">
        <v>0</v>
      </c>
      <c r="E481" s="28">
        <v>0</v>
      </c>
      <c r="F481" s="35">
        <v>0</v>
      </c>
      <c r="G481" s="35">
        <v>0</v>
      </c>
      <c r="H481" s="35">
        <v>0</v>
      </c>
      <c r="I481" s="35">
        <v>0</v>
      </c>
      <c r="J481" s="35">
        <v>0</v>
      </c>
      <c r="K481" s="35">
        <v>0</v>
      </c>
      <c r="L481" s="35"/>
      <c r="M481" s="35"/>
      <c r="N481" s="188"/>
      <c r="O481" s="188"/>
      <c r="P481" s="23"/>
      <c r="Q481" s="35"/>
      <c r="R481" s="35"/>
      <c r="S481" s="35"/>
    </row>
    <row r="482" spans="1:19" ht="29.25" customHeight="1" x14ac:dyDescent="0.2">
      <c r="A482" s="187">
        <v>0</v>
      </c>
      <c r="B482" s="35">
        <v>0</v>
      </c>
      <c r="C482" s="35">
        <v>0</v>
      </c>
      <c r="D482" s="35">
        <v>0</v>
      </c>
      <c r="E482" s="28">
        <v>0</v>
      </c>
      <c r="F482" s="35">
        <v>0</v>
      </c>
      <c r="G482" s="35">
        <v>0</v>
      </c>
      <c r="H482" s="35">
        <v>0</v>
      </c>
      <c r="I482" s="35">
        <v>0</v>
      </c>
      <c r="J482" s="35">
        <v>0</v>
      </c>
      <c r="K482" s="35">
        <v>0</v>
      </c>
      <c r="L482" s="35"/>
      <c r="M482" s="35"/>
      <c r="N482" s="188"/>
      <c r="O482" s="188"/>
      <c r="P482" s="23"/>
      <c r="Q482" s="35"/>
      <c r="R482" s="35"/>
      <c r="S482" s="35"/>
    </row>
    <row r="483" spans="1:19" ht="29.25" customHeight="1" x14ac:dyDescent="0.2">
      <c r="A483" s="187">
        <v>0</v>
      </c>
      <c r="B483" s="35">
        <v>0</v>
      </c>
      <c r="C483" s="35">
        <v>0</v>
      </c>
      <c r="D483" s="35">
        <v>0</v>
      </c>
      <c r="E483" s="28">
        <v>0</v>
      </c>
      <c r="F483" s="35">
        <v>0</v>
      </c>
      <c r="G483" s="35">
        <v>0</v>
      </c>
      <c r="H483" s="35">
        <v>0</v>
      </c>
      <c r="I483" s="35">
        <v>0</v>
      </c>
      <c r="J483" s="35">
        <v>0</v>
      </c>
      <c r="K483" s="35">
        <v>0</v>
      </c>
      <c r="L483" s="35"/>
      <c r="M483" s="35"/>
      <c r="N483" s="188"/>
      <c r="O483" s="188"/>
      <c r="P483" s="23"/>
      <c r="Q483" s="35"/>
      <c r="R483" s="35"/>
      <c r="S483" s="35"/>
    </row>
    <row r="484" spans="1:19" ht="29.25" customHeight="1" x14ac:dyDescent="0.2">
      <c r="A484" s="187">
        <v>0</v>
      </c>
      <c r="B484" s="35">
        <v>0</v>
      </c>
      <c r="C484" s="35">
        <v>0</v>
      </c>
      <c r="D484" s="35">
        <v>0</v>
      </c>
      <c r="E484" s="28">
        <v>0</v>
      </c>
      <c r="F484" s="35">
        <v>0</v>
      </c>
      <c r="G484" s="35">
        <v>0</v>
      </c>
      <c r="H484" s="35">
        <v>0</v>
      </c>
      <c r="I484" s="35">
        <v>0</v>
      </c>
      <c r="J484" s="35">
        <v>0</v>
      </c>
      <c r="K484" s="35">
        <v>0</v>
      </c>
      <c r="L484" s="35"/>
      <c r="M484" s="35"/>
      <c r="N484" s="188"/>
      <c r="O484" s="188"/>
      <c r="P484" s="23"/>
      <c r="Q484" s="35"/>
      <c r="R484" s="35"/>
      <c r="S484" s="35"/>
    </row>
    <row r="485" spans="1:19" ht="29.25" customHeight="1" x14ac:dyDescent="0.2">
      <c r="A485" s="187">
        <v>0</v>
      </c>
      <c r="B485" s="35">
        <v>0</v>
      </c>
      <c r="C485" s="35">
        <v>0</v>
      </c>
      <c r="D485" s="35">
        <v>0</v>
      </c>
      <c r="E485" s="28">
        <v>0</v>
      </c>
      <c r="F485" s="35">
        <v>0</v>
      </c>
      <c r="G485" s="35">
        <v>0</v>
      </c>
      <c r="H485" s="35">
        <v>0</v>
      </c>
      <c r="I485" s="35">
        <v>0</v>
      </c>
      <c r="J485" s="35">
        <v>0</v>
      </c>
      <c r="K485" s="35">
        <v>0</v>
      </c>
      <c r="L485" s="35"/>
      <c r="M485" s="35"/>
      <c r="N485" s="188"/>
      <c r="O485" s="188"/>
      <c r="P485" s="23"/>
      <c r="Q485" s="35"/>
      <c r="R485" s="35"/>
      <c r="S485" s="35"/>
    </row>
    <row r="486" spans="1:19" ht="29.25" customHeight="1" x14ac:dyDescent="0.2">
      <c r="A486" s="187">
        <v>0</v>
      </c>
      <c r="B486" s="35">
        <v>0</v>
      </c>
      <c r="C486" s="35">
        <v>0</v>
      </c>
      <c r="D486" s="35">
        <v>0</v>
      </c>
      <c r="E486" s="28">
        <v>0</v>
      </c>
      <c r="F486" s="35">
        <v>0</v>
      </c>
      <c r="G486" s="35">
        <v>0</v>
      </c>
      <c r="H486" s="35">
        <v>0</v>
      </c>
      <c r="I486" s="35">
        <v>0</v>
      </c>
      <c r="J486" s="35">
        <v>0</v>
      </c>
      <c r="K486" s="35">
        <v>0</v>
      </c>
      <c r="L486" s="35"/>
      <c r="M486" s="35"/>
      <c r="N486" s="188"/>
      <c r="O486" s="188"/>
      <c r="P486" s="23"/>
      <c r="Q486" s="35"/>
      <c r="R486" s="35"/>
      <c r="S486" s="35"/>
    </row>
    <row r="487" spans="1:19" ht="29.25" customHeight="1" x14ac:dyDescent="0.2">
      <c r="A487" s="187">
        <v>0</v>
      </c>
      <c r="B487" s="35">
        <v>0</v>
      </c>
      <c r="C487" s="35">
        <v>0</v>
      </c>
      <c r="D487" s="35">
        <v>0</v>
      </c>
      <c r="E487" s="28">
        <v>0</v>
      </c>
      <c r="F487" s="35">
        <v>0</v>
      </c>
      <c r="G487" s="35">
        <v>0</v>
      </c>
      <c r="H487" s="35">
        <v>0</v>
      </c>
      <c r="I487" s="35">
        <v>0</v>
      </c>
      <c r="J487" s="35">
        <v>0</v>
      </c>
      <c r="K487" s="35">
        <v>0</v>
      </c>
      <c r="L487" s="35"/>
      <c r="M487" s="35"/>
      <c r="N487" s="188"/>
      <c r="O487" s="188"/>
      <c r="P487" s="23"/>
      <c r="Q487" s="35"/>
      <c r="R487" s="35"/>
      <c r="S487" s="35"/>
    </row>
    <row r="488" spans="1:19" ht="29.25" customHeight="1" x14ac:dyDescent="0.2">
      <c r="A488" s="187">
        <v>0</v>
      </c>
      <c r="B488" s="35">
        <v>0</v>
      </c>
      <c r="C488" s="35">
        <v>0</v>
      </c>
      <c r="D488" s="35">
        <v>0</v>
      </c>
      <c r="E488" s="28">
        <v>0</v>
      </c>
      <c r="F488" s="35">
        <v>0</v>
      </c>
      <c r="G488" s="35">
        <v>0</v>
      </c>
      <c r="H488" s="35">
        <v>0</v>
      </c>
      <c r="I488" s="35">
        <v>0</v>
      </c>
      <c r="J488" s="35">
        <v>0</v>
      </c>
      <c r="K488" s="35">
        <v>0</v>
      </c>
      <c r="L488" s="35"/>
      <c r="M488" s="35"/>
      <c r="N488" s="188"/>
      <c r="O488" s="188"/>
      <c r="P488" s="23"/>
      <c r="Q488" s="35"/>
      <c r="R488" s="35"/>
      <c r="S488" s="35"/>
    </row>
    <row r="489" spans="1:19" ht="29.25" customHeight="1" x14ac:dyDescent="0.2">
      <c r="A489" s="187">
        <v>0</v>
      </c>
      <c r="B489" s="35">
        <v>0</v>
      </c>
      <c r="C489" s="35">
        <v>0</v>
      </c>
      <c r="D489" s="35">
        <v>0</v>
      </c>
      <c r="E489" s="28">
        <v>0</v>
      </c>
      <c r="F489" s="35">
        <v>0</v>
      </c>
      <c r="G489" s="35">
        <v>0</v>
      </c>
      <c r="H489" s="35">
        <v>0</v>
      </c>
      <c r="I489" s="35">
        <v>0</v>
      </c>
      <c r="J489" s="35">
        <v>0</v>
      </c>
      <c r="K489" s="35">
        <v>0</v>
      </c>
      <c r="L489" s="35"/>
      <c r="M489" s="35"/>
      <c r="N489" s="188"/>
      <c r="O489" s="188"/>
      <c r="P489" s="23"/>
      <c r="Q489" s="35"/>
      <c r="R489" s="35"/>
      <c r="S489" s="35"/>
    </row>
    <row r="490" spans="1:19" ht="29.25" customHeight="1" x14ac:dyDescent="0.2">
      <c r="A490" s="187">
        <v>0</v>
      </c>
      <c r="B490" s="35">
        <v>0</v>
      </c>
      <c r="C490" s="35">
        <v>0</v>
      </c>
      <c r="D490" s="35">
        <v>0</v>
      </c>
      <c r="E490" s="28">
        <v>0</v>
      </c>
      <c r="F490" s="35">
        <v>0</v>
      </c>
      <c r="G490" s="35">
        <v>0</v>
      </c>
      <c r="H490" s="35">
        <v>0</v>
      </c>
      <c r="I490" s="35">
        <v>0</v>
      </c>
      <c r="J490" s="35">
        <v>0</v>
      </c>
      <c r="K490" s="35">
        <v>0</v>
      </c>
      <c r="L490" s="35"/>
      <c r="M490" s="35"/>
      <c r="N490" s="188"/>
      <c r="O490" s="188"/>
      <c r="P490" s="23"/>
      <c r="Q490" s="35"/>
      <c r="R490" s="35"/>
      <c r="S490" s="35"/>
    </row>
    <row r="491" spans="1:19" ht="29.25" customHeight="1" x14ac:dyDescent="0.2">
      <c r="A491" s="187">
        <v>0</v>
      </c>
      <c r="B491" s="35">
        <v>0</v>
      </c>
      <c r="C491" s="35">
        <v>0</v>
      </c>
      <c r="D491" s="35">
        <v>0</v>
      </c>
      <c r="E491" s="28">
        <v>0</v>
      </c>
      <c r="F491" s="35">
        <v>0</v>
      </c>
      <c r="G491" s="35">
        <v>0</v>
      </c>
      <c r="H491" s="35">
        <v>0</v>
      </c>
      <c r="I491" s="35">
        <v>0</v>
      </c>
      <c r="J491" s="35">
        <v>0</v>
      </c>
      <c r="K491" s="35">
        <v>0</v>
      </c>
      <c r="L491" s="35"/>
      <c r="M491" s="35"/>
      <c r="N491" s="188"/>
      <c r="O491" s="188"/>
      <c r="P491" s="23"/>
      <c r="Q491" s="35"/>
      <c r="R491" s="35"/>
      <c r="S491" s="35"/>
    </row>
    <row r="492" spans="1:19" ht="29.25" customHeight="1" x14ac:dyDescent="0.2">
      <c r="A492" s="187">
        <v>0</v>
      </c>
      <c r="B492" s="35">
        <v>0</v>
      </c>
      <c r="C492" s="35">
        <v>0</v>
      </c>
      <c r="D492" s="35">
        <v>0</v>
      </c>
      <c r="E492" s="28">
        <v>0</v>
      </c>
      <c r="F492" s="35">
        <v>0</v>
      </c>
      <c r="G492" s="35">
        <v>0</v>
      </c>
      <c r="H492" s="35">
        <v>0</v>
      </c>
      <c r="I492" s="35">
        <v>0</v>
      </c>
      <c r="J492" s="35">
        <v>0</v>
      </c>
      <c r="K492" s="35">
        <v>0</v>
      </c>
      <c r="L492" s="35"/>
      <c r="M492" s="35"/>
      <c r="N492" s="188"/>
      <c r="O492" s="188"/>
      <c r="P492" s="23"/>
      <c r="Q492" s="35"/>
      <c r="R492" s="35"/>
      <c r="S492" s="35"/>
    </row>
    <row r="493" spans="1:19" ht="29.25" customHeight="1" x14ac:dyDescent="0.2">
      <c r="A493" s="187">
        <v>0</v>
      </c>
      <c r="B493" s="35">
        <v>0</v>
      </c>
      <c r="C493" s="35">
        <v>0</v>
      </c>
      <c r="D493" s="35">
        <v>0</v>
      </c>
      <c r="E493" s="28">
        <v>0</v>
      </c>
      <c r="F493" s="35">
        <v>0</v>
      </c>
      <c r="G493" s="35">
        <v>0</v>
      </c>
      <c r="H493" s="35">
        <v>0</v>
      </c>
      <c r="I493" s="35">
        <v>0</v>
      </c>
      <c r="J493" s="35">
        <v>0</v>
      </c>
      <c r="K493" s="35">
        <v>0</v>
      </c>
      <c r="L493" s="35"/>
      <c r="M493" s="35"/>
      <c r="N493" s="188"/>
      <c r="O493" s="188"/>
      <c r="P493" s="23"/>
      <c r="Q493" s="35"/>
      <c r="R493" s="35"/>
      <c r="S493" s="35"/>
    </row>
    <row r="494" spans="1:19" ht="29.25" customHeight="1" x14ac:dyDescent="0.2">
      <c r="A494" s="187">
        <v>0</v>
      </c>
      <c r="B494" s="35">
        <v>0</v>
      </c>
      <c r="C494" s="35">
        <v>0</v>
      </c>
      <c r="D494" s="35">
        <v>0</v>
      </c>
      <c r="E494" s="28">
        <v>0</v>
      </c>
      <c r="F494" s="35">
        <v>0</v>
      </c>
      <c r="G494" s="35">
        <v>0</v>
      </c>
      <c r="H494" s="35">
        <v>0</v>
      </c>
      <c r="I494" s="35">
        <v>0</v>
      </c>
      <c r="J494" s="35">
        <v>0</v>
      </c>
      <c r="K494" s="35">
        <v>0</v>
      </c>
      <c r="L494" s="35"/>
      <c r="M494" s="35"/>
      <c r="N494" s="188"/>
      <c r="O494" s="188"/>
      <c r="P494" s="23"/>
      <c r="Q494" s="35"/>
      <c r="R494" s="35"/>
      <c r="S494" s="35"/>
    </row>
    <row r="495" spans="1:19" ht="29.25" customHeight="1" x14ac:dyDescent="0.2">
      <c r="A495" s="187">
        <v>0</v>
      </c>
      <c r="B495" s="35">
        <v>0</v>
      </c>
      <c r="C495" s="35">
        <v>0</v>
      </c>
      <c r="D495" s="35">
        <v>0</v>
      </c>
      <c r="E495" s="28">
        <v>0</v>
      </c>
      <c r="F495" s="35">
        <v>0</v>
      </c>
      <c r="G495" s="35">
        <v>0</v>
      </c>
      <c r="H495" s="35">
        <v>0</v>
      </c>
      <c r="I495" s="35">
        <v>0</v>
      </c>
      <c r="J495" s="35">
        <v>0</v>
      </c>
      <c r="K495" s="35">
        <v>0</v>
      </c>
      <c r="L495" s="35"/>
      <c r="M495" s="35"/>
      <c r="N495" s="188"/>
      <c r="O495" s="188"/>
      <c r="P495" s="23"/>
      <c r="Q495" s="35"/>
      <c r="R495" s="35"/>
      <c r="S495" s="35"/>
    </row>
    <row r="496" spans="1:19" ht="29.25" customHeight="1" x14ac:dyDescent="0.2">
      <c r="A496" s="187">
        <v>0</v>
      </c>
      <c r="B496" s="35">
        <v>0</v>
      </c>
      <c r="C496" s="35">
        <v>0</v>
      </c>
      <c r="D496" s="35">
        <v>0</v>
      </c>
      <c r="E496" s="28">
        <v>0</v>
      </c>
      <c r="F496" s="35">
        <v>0</v>
      </c>
      <c r="G496" s="35">
        <v>0</v>
      </c>
      <c r="H496" s="35">
        <v>0</v>
      </c>
      <c r="I496" s="35">
        <v>0</v>
      </c>
      <c r="J496" s="35">
        <v>0</v>
      </c>
      <c r="K496" s="35">
        <v>0</v>
      </c>
      <c r="L496" s="35"/>
      <c r="M496" s="35"/>
      <c r="N496" s="188"/>
      <c r="O496" s="188"/>
      <c r="P496" s="23"/>
      <c r="Q496" s="35"/>
      <c r="R496" s="35"/>
      <c r="S496" s="35"/>
    </row>
    <row r="497" spans="1:19" ht="29.25" customHeight="1" x14ac:dyDescent="0.2">
      <c r="A497" s="187">
        <v>0</v>
      </c>
      <c r="B497" s="35">
        <v>0</v>
      </c>
      <c r="C497" s="35">
        <v>0</v>
      </c>
      <c r="D497" s="35">
        <v>0</v>
      </c>
      <c r="E497" s="28">
        <v>0</v>
      </c>
      <c r="F497" s="35">
        <v>0</v>
      </c>
      <c r="G497" s="35">
        <v>0</v>
      </c>
      <c r="H497" s="35">
        <v>0</v>
      </c>
      <c r="I497" s="35">
        <v>0</v>
      </c>
      <c r="J497" s="35">
        <v>0</v>
      </c>
      <c r="K497" s="35">
        <v>0</v>
      </c>
      <c r="L497" s="35"/>
      <c r="M497" s="35"/>
      <c r="N497" s="188"/>
      <c r="O497" s="188"/>
      <c r="P497" s="23"/>
      <c r="Q497" s="35"/>
      <c r="R497" s="35"/>
      <c r="S497" s="35"/>
    </row>
    <row r="498" spans="1:19" ht="29.25" customHeight="1" x14ac:dyDescent="0.2">
      <c r="A498" s="187">
        <v>0</v>
      </c>
      <c r="B498" s="35">
        <v>0</v>
      </c>
      <c r="C498" s="35">
        <v>0</v>
      </c>
      <c r="D498" s="35">
        <v>0</v>
      </c>
      <c r="E498" s="28">
        <v>0</v>
      </c>
      <c r="F498" s="35">
        <v>0</v>
      </c>
      <c r="G498" s="35">
        <v>0</v>
      </c>
      <c r="H498" s="35">
        <v>0</v>
      </c>
      <c r="I498" s="35">
        <v>0</v>
      </c>
      <c r="J498" s="35">
        <v>0</v>
      </c>
      <c r="K498" s="35">
        <v>0</v>
      </c>
      <c r="L498" s="35"/>
      <c r="M498" s="35"/>
      <c r="N498" s="188"/>
      <c r="O498" s="188"/>
      <c r="P498" s="23"/>
      <c r="Q498" s="35"/>
      <c r="R498" s="35"/>
      <c r="S498" s="35"/>
    </row>
    <row r="499" spans="1:19" ht="29.25" customHeight="1" x14ac:dyDescent="0.2">
      <c r="A499" s="187">
        <v>0</v>
      </c>
      <c r="B499" s="35">
        <v>0</v>
      </c>
      <c r="C499" s="35">
        <v>0</v>
      </c>
      <c r="D499" s="35">
        <v>0</v>
      </c>
      <c r="E499" s="28">
        <v>0</v>
      </c>
      <c r="F499" s="35">
        <v>0</v>
      </c>
      <c r="G499" s="35">
        <v>0</v>
      </c>
      <c r="H499" s="35">
        <v>0</v>
      </c>
      <c r="I499" s="35">
        <v>0</v>
      </c>
      <c r="J499" s="35">
        <v>0</v>
      </c>
      <c r="K499" s="35">
        <v>0</v>
      </c>
      <c r="L499" s="35"/>
      <c r="M499" s="35"/>
      <c r="N499" s="188"/>
      <c r="O499" s="188"/>
      <c r="P499" s="23"/>
      <c r="Q499" s="35"/>
      <c r="R499" s="35"/>
      <c r="S499" s="35"/>
    </row>
    <row r="500" spans="1:19" ht="29.25" customHeight="1" x14ac:dyDescent="0.2">
      <c r="A500" s="187">
        <v>0</v>
      </c>
      <c r="B500" s="35">
        <v>0</v>
      </c>
      <c r="C500" s="35">
        <v>0</v>
      </c>
      <c r="D500" s="35">
        <v>0</v>
      </c>
      <c r="E500" s="28">
        <v>0</v>
      </c>
      <c r="F500" s="35">
        <v>0</v>
      </c>
      <c r="G500" s="35">
        <v>0</v>
      </c>
      <c r="H500" s="35">
        <v>0</v>
      </c>
      <c r="I500" s="35">
        <v>0</v>
      </c>
      <c r="J500" s="35">
        <v>0</v>
      </c>
      <c r="K500" s="35">
        <v>0</v>
      </c>
      <c r="L500" s="35"/>
      <c r="M500" s="35"/>
      <c r="N500" s="188"/>
      <c r="O500" s="188"/>
      <c r="P500" s="23"/>
      <c r="Q500" s="35"/>
      <c r="R500" s="35"/>
      <c r="S500" s="35"/>
    </row>
    <row r="501" spans="1:19" ht="29.25" customHeight="1" x14ac:dyDescent="0.2">
      <c r="A501" s="187">
        <v>0</v>
      </c>
      <c r="B501" s="35">
        <v>0</v>
      </c>
      <c r="C501" s="35">
        <v>0</v>
      </c>
      <c r="D501" s="35">
        <v>0</v>
      </c>
      <c r="E501" s="28">
        <v>0</v>
      </c>
      <c r="F501" s="35">
        <v>0</v>
      </c>
      <c r="G501" s="35">
        <v>0</v>
      </c>
      <c r="H501" s="35">
        <v>0</v>
      </c>
      <c r="I501" s="35">
        <v>0</v>
      </c>
      <c r="J501" s="35">
        <v>0</v>
      </c>
      <c r="K501" s="35">
        <v>0</v>
      </c>
      <c r="L501" s="35"/>
      <c r="M501" s="35"/>
      <c r="N501" s="188"/>
      <c r="O501" s="188"/>
      <c r="P501" s="23"/>
      <c r="Q501" s="35"/>
      <c r="R501" s="35"/>
      <c r="S501" s="35"/>
    </row>
    <row r="502" spans="1:19" ht="29.25" customHeight="1" x14ac:dyDescent="0.2">
      <c r="A502" s="187">
        <v>0</v>
      </c>
      <c r="B502" s="35">
        <v>0</v>
      </c>
      <c r="C502" s="35">
        <v>0</v>
      </c>
      <c r="D502" s="35">
        <v>0</v>
      </c>
      <c r="E502" s="28">
        <v>0</v>
      </c>
      <c r="F502" s="35">
        <v>0</v>
      </c>
      <c r="G502" s="35">
        <v>0</v>
      </c>
      <c r="H502" s="35">
        <v>0</v>
      </c>
      <c r="I502" s="35">
        <v>0</v>
      </c>
      <c r="J502" s="35">
        <v>0</v>
      </c>
      <c r="K502" s="35">
        <v>0</v>
      </c>
      <c r="L502" s="35"/>
      <c r="M502" s="35"/>
      <c r="N502" s="188"/>
      <c r="O502" s="188"/>
      <c r="P502" s="23"/>
      <c r="Q502" s="35"/>
      <c r="R502" s="35"/>
      <c r="S502" s="35"/>
    </row>
    <row r="503" spans="1:19" ht="29.25" customHeight="1" x14ac:dyDescent="0.2">
      <c r="A503" s="187">
        <v>0</v>
      </c>
      <c r="B503" s="35">
        <v>0</v>
      </c>
      <c r="C503" s="35">
        <v>0</v>
      </c>
      <c r="D503" s="35">
        <v>0</v>
      </c>
      <c r="E503" s="28">
        <v>0</v>
      </c>
      <c r="F503" s="35">
        <v>0</v>
      </c>
      <c r="G503" s="35">
        <v>0</v>
      </c>
      <c r="H503" s="35">
        <v>0</v>
      </c>
      <c r="I503" s="35">
        <v>0</v>
      </c>
      <c r="J503" s="35">
        <v>0</v>
      </c>
      <c r="K503" s="35">
        <v>0</v>
      </c>
      <c r="L503" s="35"/>
      <c r="M503" s="35"/>
      <c r="N503" s="188"/>
      <c r="O503" s="188"/>
      <c r="P503" s="23"/>
      <c r="Q503" s="35"/>
      <c r="R503" s="35"/>
      <c r="S503" s="35"/>
    </row>
    <row r="504" spans="1:19" ht="29.25" customHeight="1" x14ac:dyDescent="0.2">
      <c r="A504" s="187">
        <v>0</v>
      </c>
      <c r="B504" s="35">
        <v>0</v>
      </c>
      <c r="C504" s="35">
        <v>0</v>
      </c>
      <c r="D504" s="35">
        <v>0</v>
      </c>
      <c r="E504" s="28">
        <v>0</v>
      </c>
      <c r="F504" s="35">
        <v>0</v>
      </c>
      <c r="G504" s="35">
        <v>0</v>
      </c>
      <c r="H504" s="35">
        <v>0</v>
      </c>
      <c r="I504" s="35">
        <v>0</v>
      </c>
      <c r="J504" s="35">
        <v>0</v>
      </c>
      <c r="K504" s="35">
        <v>0</v>
      </c>
      <c r="L504" s="35"/>
      <c r="M504" s="35"/>
      <c r="N504" s="188"/>
      <c r="O504" s="188"/>
      <c r="P504" s="23"/>
      <c r="Q504" s="35"/>
      <c r="R504" s="35"/>
      <c r="S504" s="35"/>
    </row>
    <row r="505" spans="1:19" ht="29.25" customHeight="1" x14ac:dyDescent="0.2">
      <c r="A505" s="187">
        <v>0</v>
      </c>
      <c r="B505" s="35">
        <v>0</v>
      </c>
      <c r="C505" s="35">
        <v>0</v>
      </c>
      <c r="D505" s="35">
        <v>0</v>
      </c>
      <c r="E505" s="28">
        <v>0</v>
      </c>
      <c r="F505" s="35">
        <v>0</v>
      </c>
      <c r="G505" s="35">
        <v>0</v>
      </c>
      <c r="H505" s="35">
        <v>0</v>
      </c>
      <c r="I505" s="35">
        <v>0</v>
      </c>
      <c r="J505" s="35">
        <v>0</v>
      </c>
      <c r="K505" s="35">
        <v>0</v>
      </c>
      <c r="L505" s="35"/>
      <c r="M505" s="35"/>
      <c r="N505" s="188"/>
      <c r="O505" s="188"/>
      <c r="P505" s="23"/>
      <c r="Q505" s="35"/>
      <c r="R505" s="35"/>
      <c r="S505" s="35"/>
    </row>
    <row r="506" spans="1:19" ht="29.25" customHeight="1" x14ac:dyDescent="0.2">
      <c r="A506" s="187">
        <v>0</v>
      </c>
      <c r="B506" s="35">
        <v>0</v>
      </c>
      <c r="C506" s="35">
        <v>0</v>
      </c>
      <c r="D506" s="35">
        <v>0</v>
      </c>
      <c r="E506" s="28">
        <v>0</v>
      </c>
      <c r="F506" s="35">
        <v>0</v>
      </c>
      <c r="G506" s="35">
        <v>0</v>
      </c>
      <c r="H506" s="35">
        <v>0</v>
      </c>
      <c r="I506" s="35">
        <v>0</v>
      </c>
      <c r="J506" s="35">
        <v>0</v>
      </c>
      <c r="K506" s="35">
        <v>0</v>
      </c>
      <c r="L506" s="35"/>
      <c r="M506" s="35"/>
      <c r="N506" s="188"/>
      <c r="O506" s="188"/>
      <c r="P506" s="23"/>
      <c r="Q506" s="35"/>
      <c r="R506" s="35"/>
      <c r="S506" s="35"/>
    </row>
    <row r="507" spans="1:19" ht="29.25" customHeight="1" x14ac:dyDescent="0.2">
      <c r="A507" s="187">
        <v>0</v>
      </c>
      <c r="B507" s="35">
        <v>0</v>
      </c>
      <c r="C507" s="35">
        <v>0</v>
      </c>
      <c r="D507" s="35">
        <v>0</v>
      </c>
      <c r="E507" s="28">
        <v>0</v>
      </c>
      <c r="F507" s="35">
        <v>0</v>
      </c>
      <c r="G507" s="35"/>
      <c r="H507" s="35"/>
      <c r="I507" s="35"/>
      <c r="J507" s="35"/>
      <c r="K507" s="35"/>
      <c r="L507" s="35"/>
      <c r="M507" s="35"/>
      <c r="N507" s="188"/>
      <c r="O507" s="188"/>
      <c r="P507" s="23"/>
      <c r="Q507" s="35"/>
      <c r="R507" s="35"/>
      <c r="S507" s="35"/>
    </row>
    <row r="508" spans="1:19" ht="29.25" customHeight="1" x14ac:dyDescent="0.2">
      <c r="A508" s="187">
        <v>0</v>
      </c>
      <c r="B508" s="35">
        <v>0</v>
      </c>
      <c r="C508" s="35">
        <v>0</v>
      </c>
      <c r="D508" s="35">
        <v>0</v>
      </c>
      <c r="E508" s="28">
        <v>0</v>
      </c>
      <c r="F508" s="35">
        <v>0</v>
      </c>
      <c r="G508" s="35"/>
      <c r="H508" s="35"/>
      <c r="I508" s="35"/>
      <c r="J508" s="35"/>
      <c r="K508" s="35"/>
      <c r="L508" s="35"/>
      <c r="M508" s="35"/>
      <c r="N508" s="188"/>
      <c r="O508" s="188"/>
      <c r="P508" s="23"/>
      <c r="Q508" s="35"/>
      <c r="R508" s="35"/>
      <c r="S508" s="35"/>
    </row>
    <row r="509" spans="1:19" ht="29.25" customHeight="1" x14ac:dyDescent="0.2">
      <c r="A509" s="187">
        <v>0</v>
      </c>
      <c r="B509" s="35">
        <v>0</v>
      </c>
      <c r="C509" s="35">
        <v>0</v>
      </c>
      <c r="D509" s="35">
        <v>0</v>
      </c>
      <c r="E509" s="28">
        <v>0</v>
      </c>
      <c r="F509" s="35">
        <v>0</v>
      </c>
      <c r="G509" s="35"/>
      <c r="H509" s="35"/>
      <c r="I509" s="35"/>
      <c r="J509" s="35"/>
      <c r="K509" s="35"/>
      <c r="L509" s="35"/>
      <c r="M509" s="35"/>
      <c r="N509" s="188"/>
      <c r="O509" s="188"/>
      <c r="P509" s="23"/>
      <c r="Q509" s="35"/>
      <c r="R509" s="35"/>
      <c r="S509" s="35"/>
    </row>
    <row r="510" spans="1:19" ht="29.25" customHeight="1" x14ac:dyDescent="0.2">
      <c r="A510" s="187">
        <v>0</v>
      </c>
      <c r="B510" s="35">
        <v>0</v>
      </c>
      <c r="C510" s="35">
        <v>0</v>
      </c>
      <c r="D510" s="35">
        <v>0</v>
      </c>
      <c r="E510" s="28">
        <v>0</v>
      </c>
      <c r="F510" s="35">
        <v>0</v>
      </c>
      <c r="G510" s="35"/>
      <c r="H510" s="35"/>
      <c r="I510" s="35"/>
      <c r="J510" s="35"/>
      <c r="K510" s="35"/>
      <c r="L510" s="35"/>
      <c r="M510" s="35"/>
      <c r="N510" s="188"/>
      <c r="O510" s="188"/>
      <c r="P510" s="23"/>
      <c r="Q510" s="35"/>
      <c r="R510" s="35"/>
      <c r="S510" s="35"/>
    </row>
    <row r="511" spans="1:19" ht="29.25" customHeight="1" x14ac:dyDescent="0.2">
      <c r="A511" s="187">
        <v>0</v>
      </c>
      <c r="B511" s="35">
        <v>0</v>
      </c>
      <c r="C511" s="35">
        <v>0</v>
      </c>
      <c r="D511" s="35">
        <v>0</v>
      </c>
      <c r="E511" s="28">
        <v>0</v>
      </c>
      <c r="F511" s="35">
        <v>0</v>
      </c>
      <c r="G511" s="35"/>
      <c r="H511" s="35"/>
      <c r="I511" s="35"/>
      <c r="J511" s="35"/>
      <c r="K511" s="35"/>
      <c r="L511" s="35"/>
      <c r="M511" s="35"/>
      <c r="N511" s="188"/>
      <c r="O511" s="188"/>
      <c r="P511" s="23"/>
      <c r="Q511" s="35"/>
      <c r="R511" s="35"/>
      <c r="S511" s="35"/>
    </row>
    <row r="512" spans="1:19" ht="29.25" customHeight="1" x14ac:dyDescent="0.2">
      <c r="A512" s="187">
        <v>0</v>
      </c>
      <c r="B512" s="35">
        <v>0</v>
      </c>
      <c r="C512" s="35">
        <v>0</v>
      </c>
      <c r="D512" s="35">
        <v>0</v>
      </c>
      <c r="E512" s="28">
        <v>0</v>
      </c>
      <c r="F512" s="35">
        <v>0</v>
      </c>
      <c r="G512" s="35"/>
      <c r="H512" s="35"/>
      <c r="I512" s="35"/>
      <c r="J512" s="35"/>
      <c r="K512" s="35"/>
      <c r="L512" s="35"/>
      <c r="M512" s="35"/>
      <c r="N512" s="188"/>
      <c r="O512" s="188"/>
      <c r="P512" s="23"/>
      <c r="Q512" s="35"/>
      <c r="R512" s="35"/>
      <c r="S512" s="35"/>
    </row>
    <row r="513" spans="1:19" ht="29.25" customHeight="1" x14ac:dyDescent="0.2">
      <c r="A513" s="187">
        <v>0</v>
      </c>
      <c r="B513" s="35">
        <v>0</v>
      </c>
      <c r="C513" s="35">
        <v>0</v>
      </c>
      <c r="D513" s="35">
        <v>0</v>
      </c>
      <c r="E513" s="28">
        <v>0</v>
      </c>
      <c r="F513" s="35">
        <v>0</v>
      </c>
      <c r="G513" s="35"/>
      <c r="H513" s="35"/>
      <c r="I513" s="35"/>
      <c r="J513" s="35"/>
      <c r="K513" s="35"/>
      <c r="L513" s="35"/>
      <c r="M513" s="35"/>
      <c r="N513" s="188"/>
      <c r="O513" s="188"/>
      <c r="P513" s="23"/>
      <c r="Q513" s="35"/>
      <c r="R513" s="35"/>
      <c r="S513" s="35"/>
    </row>
    <row r="514" spans="1:19" ht="29.25" customHeight="1" x14ac:dyDescent="0.2">
      <c r="A514" s="187">
        <v>0</v>
      </c>
      <c r="B514" s="35">
        <v>0</v>
      </c>
      <c r="C514" s="35">
        <v>0</v>
      </c>
      <c r="D514" s="35">
        <v>0</v>
      </c>
      <c r="E514" s="28">
        <v>0</v>
      </c>
      <c r="F514" s="35">
        <v>0</v>
      </c>
      <c r="G514" s="35"/>
      <c r="H514" s="35"/>
      <c r="I514" s="35"/>
      <c r="J514" s="35"/>
      <c r="K514" s="35"/>
      <c r="L514" s="35"/>
      <c r="M514" s="35"/>
      <c r="N514" s="188"/>
      <c r="O514" s="188"/>
      <c r="P514" s="23"/>
      <c r="Q514" s="35"/>
      <c r="R514" s="35"/>
      <c r="S514" s="35"/>
    </row>
    <row r="515" spans="1:19" ht="29.25" customHeight="1" x14ac:dyDescent="0.2">
      <c r="A515" s="187">
        <v>0</v>
      </c>
      <c r="B515" s="35">
        <v>0</v>
      </c>
      <c r="C515" s="35">
        <v>0</v>
      </c>
      <c r="D515" s="35">
        <v>0</v>
      </c>
      <c r="E515" s="28">
        <v>0</v>
      </c>
      <c r="F515" s="35">
        <v>0</v>
      </c>
      <c r="G515" s="35"/>
      <c r="H515" s="35"/>
      <c r="I515" s="35"/>
      <c r="J515" s="35"/>
      <c r="K515" s="35"/>
      <c r="L515" s="35"/>
      <c r="M515" s="35"/>
      <c r="N515" s="188"/>
      <c r="O515" s="188"/>
      <c r="P515" s="23"/>
      <c r="Q515" s="35"/>
      <c r="R515" s="35"/>
      <c r="S515" s="35"/>
    </row>
    <row r="516" spans="1:19" ht="29.25" customHeight="1" x14ac:dyDescent="0.2">
      <c r="A516" s="187">
        <v>0</v>
      </c>
      <c r="B516" s="35">
        <v>0</v>
      </c>
      <c r="C516" s="35">
        <v>0</v>
      </c>
      <c r="D516" s="35">
        <v>0</v>
      </c>
      <c r="E516" s="28">
        <v>0</v>
      </c>
      <c r="F516" s="35">
        <v>0</v>
      </c>
      <c r="G516" s="35"/>
      <c r="H516" s="35"/>
      <c r="I516" s="35"/>
      <c r="J516" s="35"/>
      <c r="K516" s="35"/>
      <c r="L516" s="35"/>
      <c r="M516" s="35"/>
      <c r="N516" s="188"/>
      <c r="O516" s="188"/>
      <c r="P516" s="23"/>
      <c r="Q516" s="35"/>
      <c r="R516" s="35"/>
      <c r="S516" s="35"/>
    </row>
    <row r="517" spans="1:19" ht="29.25" customHeight="1" x14ac:dyDescent="0.2">
      <c r="A517" s="187">
        <v>0</v>
      </c>
      <c r="B517" s="35">
        <v>0</v>
      </c>
      <c r="C517" s="35">
        <v>0</v>
      </c>
      <c r="D517" s="35">
        <v>0</v>
      </c>
      <c r="E517" s="28">
        <v>0</v>
      </c>
      <c r="F517" s="35">
        <v>0</v>
      </c>
      <c r="G517" s="35"/>
      <c r="H517" s="35"/>
      <c r="I517" s="35"/>
      <c r="J517" s="35"/>
      <c r="K517" s="35"/>
      <c r="L517" s="35"/>
      <c r="M517" s="35"/>
      <c r="N517" s="188"/>
      <c r="O517" s="188"/>
      <c r="P517" s="23"/>
      <c r="Q517" s="35"/>
      <c r="R517" s="35"/>
      <c r="S517" s="35"/>
    </row>
    <row r="518" spans="1:19" ht="29.25" customHeight="1" x14ac:dyDescent="0.2">
      <c r="A518" s="187">
        <v>0</v>
      </c>
      <c r="B518" s="35">
        <v>0</v>
      </c>
      <c r="C518" s="35">
        <v>0</v>
      </c>
      <c r="D518" s="35">
        <v>0</v>
      </c>
      <c r="E518" s="28">
        <v>0</v>
      </c>
      <c r="F518" s="35">
        <v>0</v>
      </c>
      <c r="G518" s="35"/>
      <c r="H518" s="35"/>
      <c r="I518" s="35"/>
      <c r="J518" s="35"/>
      <c r="K518" s="35"/>
      <c r="L518" s="35"/>
      <c r="M518" s="35"/>
      <c r="N518" s="188"/>
      <c r="O518" s="188"/>
      <c r="P518" s="23"/>
      <c r="Q518" s="35"/>
      <c r="R518" s="35"/>
      <c r="S518" s="35"/>
    </row>
    <row r="519" spans="1:19" ht="29.25" customHeight="1" x14ac:dyDescent="0.2">
      <c r="A519" s="187">
        <v>0</v>
      </c>
      <c r="B519" s="35">
        <v>0</v>
      </c>
      <c r="C519" s="35">
        <v>0</v>
      </c>
      <c r="D519" s="35">
        <v>0</v>
      </c>
      <c r="E519" s="28">
        <v>0</v>
      </c>
      <c r="F519" s="35">
        <v>0</v>
      </c>
      <c r="G519" s="35"/>
      <c r="H519" s="35"/>
      <c r="I519" s="35"/>
      <c r="J519" s="35"/>
      <c r="K519" s="35"/>
      <c r="L519" s="35"/>
      <c r="M519" s="35"/>
      <c r="N519" s="188"/>
      <c r="O519" s="188"/>
      <c r="P519" s="23"/>
      <c r="Q519" s="35"/>
      <c r="R519" s="35"/>
      <c r="S519" s="35"/>
    </row>
    <row r="520" spans="1:19" ht="29.25" customHeight="1" x14ac:dyDescent="0.2">
      <c r="A520" s="187">
        <v>0</v>
      </c>
      <c r="B520" s="35">
        <v>0</v>
      </c>
      <c r="C520" s="35">
        <v>0</v>
      </c>
      <c r="D520" s="35">
        <v>0</v>
      </c>
      <c r="E520" s="28">
        <v>0</v>
      </c>
      <c r="F520" s="35">
        <v>0</v>
      </c>
      <c r="G520" s="35"/>
      <c r="H520" s="35"/>
      <c r="I520" s="35"/>
      <c r="J520" s="35"/>
      <c r="K520" s="35"/>
      <c r="L520" s="35"/>
      <c r="M520" s="35"/>
      <c r="N520" s="188"/>
      <c r="O520" s="188"/>
      <c r="P520" s="23"/>
      <c r="Q520" s="35"/>
      <c r="R520" s="35"/>
      <c r="S520" s="35"/>
    </row>
    <row r="521" spans="1:19" ht="29.25" customHeight="1" x14ac:dyDescent="0.2">
      <c r="A521" s="187">
        <v>0</v>
      </c>
      <c r="B521" s="35">
        <v>0</v>
      </c>
      <c r="C521" s="35">
        <v>0</v>
      </c>
      <c r="D521" s="35">
        <v>0</v>
      </c>
      <c r="E521" s="28">
        <v>0</v>
      </c>
      <c r="F521" s="35">
        <v>0</v>
      </c>
      <c r="G521" s="35"/>
      <c r="H521" s="35"/>
      <c r="I521" s="35"/>
      <c r="J521" s="35"/>
      <c r="K521" s="35"/>
      <c r="L521" s="35"/>
      <c r="M521" s="35"/>
      <c r="N521" s="188"/>
      <c r="O521" s="188"/>
      <c r="P521" s="23"/>
      <c r="Q521" s="35"/>
      <c r="R521" s="35"/>
      <c r="S521" s="35"/>
    </row>
    <row r="522" spans="1:19" ht="29.25" customHeight="1" x14ac:dyDescent="0.2">
      <c r="A522" s="187">
        <v>0</v>
      </c>
      <c r="B522" s="35">
        <v>0</v>
      </c>
      <c r="C522" s="35">
        <v>0</v>
      </c>
      <c r="D522" s="35">
        <v>0</v>
      </c>
      <c r="E522" s="28">
        <v>0</v>
      </c>
      <c r="F522" s="35">
        <v>0</v>
      </c>
      <c r="G522" s="35"/>
      <c r="H522" s="35"/>
      <c r="I522" s="35"/>
      <c r="J522" s="35"/>
      <c r="K522" s="35"/>
      <c r="L522" s="35"/>
      <c r="M522" s="35"/>
      <c r="N522" s="188"/>
      <c r="O522" s="188"/>
      <c r="P522" s="23"/>
      <c r="Q522" s="35"/>
      <c r="R522" s="35"/>
      <c r="S522" s="35"/>
    </row>
    <row r="523" spans="1:19" ht="29.25" customHeight="1" x14ac:dyDescent="0.2">
      <c r="A523" s="187">
        <v>0</v>
      </c>
      <c r="B523" s="35">
        <v>0</v>
      </c>
      <c r="C523" s="35">
        <v>0</v>
      </c>
      <c r="D523" s="35">
        <v>0</v>
      </c>
      <c r="E523" s="28">
        <v>0</v>
      </c>
      <c r="F523" s="35">
        <v>0</v>
      </c>
      <c r="G523" s="35"/>
      <c r="H523" s="35"/>
      <c r="I523" s="35"/>
      <c r="J523" s="35"/>
      <c r="K523" s="35"/>
      <c r="L523" s="35"/>
      <c r="M523" s="35"/>
      <c r="N523" s="188"/>
      <c r="O523" s="188"/>
      <c r="P523" s="23"/>
      <c r="Q523" s="35"/>
      <c r="R523" s="35"/>
      <c r="S523" s="35"/>
    </row>
    <row r="524" spans="1:19" ht="29.25" customHeight="1" x14ac:dyDescent="0.2">
      <c r="A524" s="187">
        <v>0</v>
      </c>
      <c r="B524" s="35">
        <v>0</v>
      </c>
      <c r="C524" s="35">
        <v>0</v>
      </c>
      <c r="D524" s="35">
        <v>0</v>
      </c>
      <c r="E524" s="28">
        <v>0</v>
      </c>
      <c r="F524" s="35">
        <v>0</v>
      </c>
      <c r="G524" s="35"/>
      <c r="H524" s="35"/>
      <c r="I524" s="35"/>
      <c r="J524" s="35"/>
      <c r="K524" s="35"/>
      <c r="L524" s="35"/>
      <c r="M524" s="35"/>
      <c r="N524" s="188"/>
      <c r="O524" s="188"/>
      <c r="P524" s="23"/>
      <c r="Q524" s="35"/>
      <c r="R524" s="35"/>
      <c r="S524" s="35"/>
    </row>
    <row r="525" spans="1:19" ht="29.25" customHeight="1" x14ac:dyDescent="0.2">
      <c r="A525" s="187">
        <v>0</v>
      </c>
      <c r="B525" s="35">
        <v>0</v>
      </c>
      <c r="C525" s="35">
        <v>0</v>
      </c>
      <c r="D525" s="35">
        <v>0</v>
      </c>
      <c r="E525" s="28">
        <v>0</v>
      </c>
      <c r="F525" s="35">
        <v>0</v>
      </c>
      <c r="G525" s="35"/>
      <c r="H525" s="35"/>
      <c r="I525" s="35"/>
      <c r="J525" s="35"/>
      <c r="K525" s="35"/>
      <c r="L525" s="35"/>
      <c r="M525" s="35"/>
      <c r="N525" s="188"/>
      <c r="O525" s="188"/>
      <c r="P525" s="23"/>
      <c r="Q525" s="35"/>
      <c r="R525" s="35"/>
      <c r="S525" s="35"/>
    </row>
    <row r="526" spans="1:19" ht="29.25" customHeight="1" x14ac:dyDescent="0.2">
      <c r="A526" s="187">
        <v>0</v>
      </c>
      <c r="B526" s="35">
        <v>0</v>
      </c>
      <c r="C526" s="35">
        <v>0</v>
      </c>
      <c r="D526" s="35">
        <v>0</v>
      </c>
      <c r="E526" s="28">
        <v>0</v>
      </c>
      <c r="F526" s="35">
        <v>0</v>
      </c>
      <c r="G526" s="35"/>
      <c r="H526" s="35"/>
      <c r="I526" s="35"/>
      <c r="J526" s="35"/>
      <c r="K526" s="35"/>
      <c r="L526" s="35"/>
      <c r="M526" s="35"/>
      <c r="N526" s="188"/>
      <c r="O526" s="188"/>
      <c r="P526" s="23"/>
      <c r="Q526" s="35"/>
      <c r="R526" s="35"/>
      <c r="S526" s="35"/>
    </row>
    <row r="527" spans="1:19" ht="29.25" customHeight="1" x14ac:dyDescent="0.2">
      <c r="A527" s="187">
        <v>0</v>
      </c>
      <c r="B527" s="35">
        <v>0</v>
      </c>
      <c r="C527" s="35">
        <v>0</v>
      </c>
      <c r="D527" s="35">
        <v>0</v>
      </c>
      <c r="E527" s="28">
        <v>0</v>
      </c>
      <c r="F527" s="35">
        <v>0</v>
      </c>
      <c r="G527" s="35"/>
      <c r="H527" s="35"/>
      <c r="I527" s="35"/>
      <c r="J527" s="35"/>
      <c r="K527" s="35"/>
      <c r="L527" s="35"/>
      <c r="M527" s="35"/>
      <c r="N527" s="188"/>
      <c r="O527" s="188"/>
      <c r="P527" s="23"/>
      <c r="Q527" s="35"/>
      <c r="R527" s="35"/>
      <c r="S527" s="35"/>
    </row>
    <row r="528" spans="1:19" ht="29.25" customHeight="1" x14ac:dyDescent="0.2">
      <c r="A528" s="187">
        <v>0</v>
      </c>
      <c r="B528" s="35">
        <v>0</v>
      </c>
      <c r="C528" s="35">
        <v>0</v>
      </c>
      <c r="D528" s="35">
        <v>0</v>
      </c>
      <c r="E528" s="28">
        <v>0</v>
      </c>
      <c r="F528" s="35">
        <v>0</v>
      </c>
      <c r="G528" s="35"/>
      <c r="H528" s="35"/>
      <c r="I528" s="35"/>
      <c r="J528" s="35"/>
      <c r="K528" s="35"/>
      <c r="L528" s="35"/>
      <c r="M528" s="35"/>
      <c r="N528" s="188"/>
      <c r="O528" s="188"/>
      <c r="P528" s="23"/>
      <c r="Q528" s="35"/>
      <c r="R528" s="35"/>
      <c r="S528" s="35"/>
    </row>
    <row r="529" spans="1:19" ht="29.25" customHeight="1" x14ac:dyDescent="0.2">
      <c r="A529" s="187">
        <v>0</v>
      </c>
      <c r="B529" s="35">
        <v>0</v>
      </c>
      <c r="C529" s="35">
        <v>0</v>
      </c>
      <c r="D529" s="35">
        <v>0</v>
      </c>
      <c r="E529" s="28">
        <v>0</v>
      </c>
      <c r="F529" s="35">
        <v>0</v>
      </c>
      <c r="G529" s="35"/>
      <c r="H529" s="35"/>
      <c r="I529" s="35"/>
      <c r="J529" s="35"/>
      <c r="K529" s="35"/>
      <c r="L529" s="35"/>
      <c r="M529" s="35"/>
      <c r="N529" s="188"/>
      <c r="O529" s="188"/>
      <c r="P529" s="23"/>
      <c r="Q529" s="35"/>
      <c r="R529" s="35"/>
      <c r="S529" s="35"/>
    </row>
    <row r="530" spans="1:19" ht="29.25" customHeight="1" x14ac:dyDescent="0.2">
      <c r="A530" s="187">
        <v>0</v>
      </c>
      <c r="B530" s="35">
        <v>0</v>
      </c>
      <c r="C530" s="35">
        <v>0</v>
      </c>
      <c r="D530" s="35">
        <v>0</v>
      </c>
      <c r="E530" s="28">
        <v>0</v>
      </c>
      <c r="F530" s="35">
        <v>0</v>
      </c>
      <c r="G530" s="35"/>
      <c r="H530" s="35"/>
      <c r="I530" s="35"/>
      <c r="J530" s="35"/>
      <c r="K530" s="35"/>
      <c r="L530" s="35"/>
      <c r="M530" s="35"/>
      <c r="N530" s="188"/>
      <c r="O530" s="188"/>
      <c r="P530" s="23"/>
      <c r="Q530" s="35"/>
      <c r="R530" s="35"/>
      <c r="S530" s="35"/>
    </row>
    <row r="531" spans="1:19" ht="29.25" customHeight="1" x14ac:dyDescent="0.2">
      <c r="A531" s="187">
        <v>0</v>
      </c>
      <c r="B531" s="35">
        <v>0</v>
      </c>
      <c r="C531" s="35">
        <v>0</v>
      </c>
      <c r="D531" s="35">
        <v>0</v>
      </c>
      <c r="E531" s="28">
        <v>0</v>
      </c>
      <c r="F531" s="35">
        <v>0</v>
      </c>
      <c r="G531" s="35"/>
      <c r="H531" s="35"/>
      <c r="I531" s="35"/>
      <c r="J531" s="35"/>
      <c r="K531" s="35"/>
      <c r="L531" s="35"/>
      <c r="M531" s="35"/>
      <c r="N531" s="188"/>
      <c r="O531" s="188"/>
      <c r="P531" s="23"/>
      <c r="Q531" s="35"/>
      <c r="R531" s="35"/>
      <c r="S531" s="35"/>
    </row>
    <row r="532" spans="1:19" ht="29.25" customHeight="1" x14ac:dyDescent="0.2">
      <c r="A532" s="187">
        <v>0</v>
      </c>
      <c r="B532" s="35">
        <v>0</v>
      </c>
      <c r="C532" s="35">
        <v>0</v>
      </c>
      <c r="D532" s="35">
        <v>0</v>
      </c>
      <c r="E532" s="28">
        <v>0</v>
      </c>
      <c r="F532" s="35">
        <v>0</v>
      </c>
      <c r="G532" s="35"/>
      <c r="H532" s="35"/>
      <c r="I532" s="35"/>
      <c r="J532" s="35"/>
      <c r="K532" s="35"/>
      <c r="L532" s="35"/>
      <c r="M532" s="35"/>
      <c r="N532" s="188"/>
      <c r="O532" s="188"/>
      <c r="P532" s="23"/>
      <c r="Q532" s="35"/>
      <c r="R532" s="35"/>
      <c r="S532" s="35"/>
    </row>
    <row r="533" spans="1:19" ht="29.25" customHeight="1" x14ac:dyDescent="0.2">
      <c r="A533" s="187">
        <v>0</v>
      </c>
      <c r="B533" s="35">
        <v>0</v>
      </c>
      <c r="C533" s="35">
        <v>0</v>
      </c>
      <c r="D533" s="35">
        <v>0</v>
      </c>
      <c r="E533" s="28">
        <v>0</v>
      </c>
      <c r="F533" s="35">
        <v>0</v>
      </c>
      <c r="G533" s="35"/>
      <c r="H533" s="35"/>
      <c r="I533" s="35"/>
      <c r="J533" s="35"/>
      <c r="K533" s="35"/>
      <c r="L533" s="35"/>
      <c r="M533" s="35"/>
      <c r="N533" s="188"/>
      <c r="O533" s="188"/>
      <c r="P533" s="23"/>
      <c r="Q533" s="35"/>
      <c r="R533" s="35"/>
      <c r="S533" s="35"/>
    </row>
    <row r="534" spans="1:19" ht="29.25" customHeight="1" x14ac:dyDescent="0.2">
      <c r="A534" s="187">
        <v>0</v>
      </c>
      <c r="B534" s="35">
        <v>0</v>
      </c>
      <c r="C534" s="35">
        <v>0</v>
      </c>
      <c r="D534" s="35">
        <v>0</v>
      </c>
      <c r="E534" s="28">
        <v>0</v>
      </c>
      <c r="F534" s="35">
        <v>0</v>
      </c>
      <c r="G534" s="35"/>
      <c r="H534" s="35"/>
      <c r="I534" s="35"/>
      <c r="J534" s="35"/>
      <c r="K534" s="35"/>
      <c r="L534" s="35"/>
      <c r="M534" s="35"/>
      <c r="N534" s="188"/>
      <c r="O534" s="188"/>
      <c r="P534" s="23"/>
      <c r="Q534" s="35"/>
      <c r="R534" s="35"/>
      <c r="S534" s="35"/>
    </row>
    <row r="535" spans="1:19" ht="29.25" customHeight="1" x14ac:dyDescent="0.2">
      <c r="A535" s="187">
        <v>0</v>
      </c>
      <c r="B535" s="35">
        <v>0</v>
      </c>
      <c r="C535" s="35">
        <v>0</v>
      </c>
      <c r="D535" s="35">
        <v>0</v>
      </c>
      <c r="E535" s="28">
        <v>0</v>
      </c>
      <c r="F535" s="35">
        <v>0</v>
      </c>
      <c r="G535" s="35"/>
      <c r="H535" s="35"/>
      <c r="I535" s="35"/>
      <c r="J535" s="35"/>
      <c r="K535" s="35"/>
      <c r="L535" s="35"/>
      <c r="M535" s="35"/>
      <c r="N535" s="188"/>
      <c r="O535" s="188"/>
      <c r="P535" s="23"/>
      <c r="Q535" s="35"/>
      <c r="R535" s="35"/>
      <c r="S535" s="35"/>
    </row>
    <row r="536" spans="1:19" ht="29.25" customHeight="1" x14ac:dyDescent="0.2">
      <c r="A536" s="187">
        <v>0</v>
      </c>
      <c r="B536" s="35">
        <v>0</v>
      </c>
      <c r="C536" s="35">
        <v>0</v>
      </c>
      <c r="D536" s="35">
        <v>0</v>
      </c>
      <c r="E536" s="28">
        <v>0</v>
      </c>
      <c r="F536" s="35">
        <v>0</v>
      </c>
      <c r="G536" s="35"/>
      <c r="H536" s="35"/>
      <c r="I536" s="35"/>
      <c r="J536" s="35"/>
      <c r="K536" s="35"/>
      <c r="L536" s="35"/>
      <c r="M536" s="35"/>
      <c r="N536" s="188"/>
      <c r="O536" s="188"/>
      <c r="P536" s="23"/>
      <c r="Q536" s="35"/>
      <c r="R536" s="35"/>
      <c r="S536" s="35"/>
    </row>
    <row r="537" spans="1:19" ht="29.25" customHeight="1" x14ac:dyDescent="0.2">
      <c r="A537" s="187">
        <v>0</v>
      </c>
      <c r="B537" s="35">
        <v>0</v>
      </c>
      <c r="C537" s="35">
        <v>0</v>
      </c>
      <c r="D537" s="35">
        <v>0</v>
      </c>
      <c r="E537" s="28">
        <v>0</v>
      </c>
      <c r="F537" s="35">
        <v>0</v>
      </c>
      <c r="G537" s="35"/>
      <c r="H537" s="35"/>
      <c r="I537" s="35"/>
      <c r="J537" s="35"/>
      <c r="K537" s="35"/>
      <c r="L537" s="35"/>
      <c r="M537" s="35"/>
      <c r="N537" s="188"/>
      <c r="O537" s="188"/>
      <c r="P537" s="23"/>
      <c r="Q537" s="35"/>
      <c r="R537" s="35"/>
      <c r="S537" s="35"/>
    </row>
    <row r="538" spans="1:19" ht="29.25" customHeight="1" x14ac:dyDescent="0.2">
      <c r="A538" s="187">
        <v>0</v>
      </c>
      <c r="B538" s="35">
        <v>0</v>
      </c>
      <c r="C538" s="35">
        <v>0</v>
      </c>
      <c r="D538" s="35">
        <v>0</v>
      </c>
      <c r="E538" s="28">
        <v>0</v>
      </c>
      <c r="F538" s="35">
        <v>0</v>
      </c>
      <c r="G538" s="35"/>
      <c r="H538" s="35"/>
      <c r="I538" s="35"/>
      <c r="J538" s="35"/>
      <c r="K538" s="35"/>
      <c r="L538" s="35"/>
      <c r="M538" s="35"/>
      <c r="N538" s="188"/>
      <c r="O538" s="188"/>
      <c r="P538" s="23"/>
      <c r="Q538" s="35"/>
      <c r="R538" s="35"/>
      <c r="S538" s="35"/>
    </row>
    <row r="539" spans="1:19" ht="29.25" customHeight="1" x14ac:dyDescent="0.2">
      <c r="A539" s="187">
        <v>0</v>
      </c>
      <c r="B539" s="35">
        <v>0</v>
      </c>
      <c r="C539" s="35">
        <v>0</v>
      </c>
      <c r="D539" s="35">
        <v>0</v>
      </c>
      <c r="E539" s="28">
        <v>0</v>
      </c>
      <c r="F539" s="35">
        <v>0</v>
      </c>
      <c r="G539" s="35"/>
      <c r="H539" s="35"/>
      <c r="I539" s="35"/>
      <c r="J539" s="35"/>
      <c r="K539" s="35"/>
      <c r="L539" s="35"/>
      <c r="M539" s="35"/>
      <c r="N539" s="188"/>
      <c r="O539" s="188"/>
      <c r="P539" s="23"/>
      <c r="Q539" s="35"/>
      <c r="R539" s="35"/>
      <c r="S539" s="35"/>
    </row>
    <row r="540" spans="1:19" ht="29.25" customHeight="1" x14ac:dyDescent="0.2">
      <c r="A540" s="187">
        <v>0</v>
      </c>
      <c r="B540" s="35">
        <v>0</v>
      </c>
      <c r="C540" s="35">
        <v>0</v>
      </c>
      <c r="D540" s="35">
        <v>0</v>
      </c>
      <c r="E540" s="28">
        <v>0</v>
      </c>
      <c r="F540" s="35">
        <v>0</v>
      </c>
      <c r="G540" s="35"/>
      <c r="H540" s="35"/>
      <c r="I540" s="35"/>
      <c r="J540" s="35"/>
      <c r="K540" s="35"/>
      <c r="L540" s="35"/>
      <c r="M540" s="35"/>
      <c r="N540" s="188"/>
      <c r="O540" s="188"/>
      <c r="P540" s="23"/>
      <c r="Q540" s="35"/>
      <c r="R540" s="35"/>
      <c r="S540" s="35"/>
    </row>
    <row r="541" spans="1:19" ht="29.25" customHeight="1" x14ac:dyDescent="0.2">
      <c r="A541" s="187">
        <v>0</v>
      </c>
      <c r="B541" s="35">
        <v>0</v>
      </c>
      <c r="C541" s="35">
        <v>0</v>
      </c>
      <c r="D541" s="35">
        <v>0</v>
      </c>
      <c r="E541" s="28">
        <v>0</v>
      </c>
      <c r="F541" s="35">
        <v>0</v>
      </c>
      <c r="G541" s="35"/>
      <c r="H541" s="35"/>
      <c r="I541" s="35"/>
      <c r="J541" s="35"/>
      <c r="K541" s="35"/>
      <c r="L541" s="35"/>
      <c r="M541" s="35"/>
      <c r="N541" s="188"/>
      <c r="O541" s="188"/>
      <c r="P541" s="23"/>
      <c r="Q541" s="35"/>
      <c r="R541" s="35"/>
      <c r="S541" s="35"/>
    </row>
    <row r="542" spans="1:19" ht="29.25" customHeight="1" x14ac:dyDescent="0.2">
      <c r="A542" s="187">
        <v>0</v>
      </c>
      <c r="B542" s="35">
        <v>0</v>
      </c>
      <c r="C542" s="35">
        <v>0</v>
      </c>
      <c r="D542" s="35">
        <v>0</v>
      </c>
      <c r="E542" s="28">
        <v>0</v>
      </c>
      <c r="F542" s="35">
        <v>0</v>
      </c>
      <c r="G542" s="35"/>
      <c r="H542" s="35"/>
      <c r="I542" s="35"/>
      <c r="J542" s="35"/>
      <c r="K542" s="35"/>
      <c r="L542" s="35"/>
      <c r="M542" s="35"/>
      <c r="N542" s="188"/>
      <c r="O542" s="188"/>
      <c r="P542" s="23"/>
      <c r="Q542" s="35"/>
      <c r="R542" s="35"/>
      <c r="S542" s="35"/>
    </row>
    <row r="543" spans="1:19" ht="29.25" customHeight="1" x14ac:dyDescent="0.2">
      <c r="A543" s="187">
        <v>0</v>
      </c>
      <c r="B543" s="35">
        <v>0</v>
      </c>
      <c r="C543" s="35">
        <v>0</v>
      </c>
      <c r="D543" s="35">
        <v>0</v>
      </c>
      <c r="E543" s="28">
        <v>0</v>
      </c>
      <c r="F543" s="35">
        <v>0</v>
      </c>
      <c r="G543" s="35"/>
      <c r="H543" s="35"/>
      <c r="I543" s="35"/>
      <c r="J543" s="35"/>
      <c r="K543" s="35"/>
      <c r="L543" s="35"/>
      <c r="M543" s="35"/>
      <c r="N543" s="188"/>
      <c r="O543" s="188"/>
      <c r="P543" s="23"/>
      <c r="Q543" s="35"/>
      <c r="R543" s="35"/>
      <c r="S543" s="35"/>
    </row>
    <row r="544" spans="1:19" ht="29.25" customHeight="1" x14ac:dyDescent="0.2">
      <c r="A544" s="187">
        <v>0</v>
      </c>
      <c r="B544" s="35">
        <v>0</v>
      </c>
      <c r="C544" s="35">
        <v>0</v>
      </c>
      <c r="D544" s="35">
        <v>0</v>
      </c>
      <c r="E544" s="28">
        <v>0</v>
      </c>
      <c r="F544" s="35">
        <v>0</v>
      </c>
      <c r="G544" s="35"/>
      <c r="H544" s="35"/>
      <c r="I544" s="35"/>
      <c r="J544" s="35"/>
      <c r="K544" s="35"/>
      <c r="L544" s="35"/>
      <c r="M544" s="35"/>
      <c r="N544" s="188"/>
      <c r="O544" s="188"/>
      <c r="P544" s="23"/>
      <c r="Q544" s="35"/>
      <c r="R544" s="35"/>
      <c r="S544" s="35"/>
    </row>
    <row r="545" spans="1:19" ht="29.25" customHeight="1" x14ac:dyDescent="0.2">
      <c r="A545" s="187">
        <v>0</v>
      </c>
      <c r="B545" s="35">
        <v>0</v>
      </c>
      <c r="C545" s="35">
        <v>0</v>
      </c>
      <c r="D545" s="35">
        <v>0</v>
      </c>
      <c r="E545" s="28">
        <v>0</v>
      </c>
      <c r="F545" s="35">
        <v>0</v>
      </c>
      <c r="G545" s="35"/>
      <c r="H545" s="35"/>
      <c r="I545" s="35"/>
      <c r="J545" s="35"/>
      <c r="K545" s="35"/>
      <c r="L545" s="35"/>
      <c r="M545" s="35"/>
      <c r="N545" s="188"/>
      <c r="O545" s="188"/>
      <c r="P545" s="23"/>
      <c r="Q545" s="35"/>
      <c r="R545" s="35"/>
      <c r="S545" s="35"/>
    </row>
    <row r="546" spans="1:19" ht="29.25" customHeight="1" x14ac:dyDescent="0.2">
      <c r="A546" s="187">
        <v>0</v>
      </c>
      <c r="B546" s="35">
        <v>0</v>
      </c>
      <c r="C546" s="35">
        <v>0</v>
      </c>
      <c r="D546" s="35">
        <v>0</v>
      </c>
      <c r="E546" s="28">
        <v>0</v>
      </c>
      <c r="F546" s="35">
        <v>0</v>
      </c>
      <c r="G546" s="35"/>
      <c r="H546" s="35"/>
      <c r="I546" s="35"/>
      <c r="J546" s="35"/>
      <c r="K546" s="35"/>
      <c r="L546" s="35"/>
      <c r="M546" s="35"/>
      <c r="N546" s="188"/>
      <c r="O546" s="188"/>
      <c r="P546" s="23"/>
      <c r="Q546" s="35"/>
      <c r="R546" s="35"/>
      <c r="S546" s="35"/>
    </row>
    <row r="547" spans="1:19" ht="29.25" customHeight="1" x14ac:dyDescent="0.2">
      <c r="A547" s="187">
        <v>0</v>
      </c>
      <c r="B547" s="35">
        <v>0</v>
      </c>
      <c r="C547" s="35">
        <v>0</v>
      </c>
      <c r="D547" s="35">
        <v>0</v>
      </c>
      <c r="E547" s="28">
        <v>0</v>
      </c>
      <c r="F547" s="35">
        <v>0</v>
      </c>
      <c r="G547" s="35"/>
      <c r="H547" s="35"/>
      <c r="I547" s="35"/>
      <c r="J547" s="35"/>
      <c r="K547" s="35"/>
      <c r="L547" s="35"/>
      <c r="M547" s="35"/>
      <c r="N547" s="188"/>
      <c r="O547" s="188"/>
      <c r="P547" s="23"/>
      <c r="Q547" s="35"/>
      <c r="R547" s="35"/>
      <c r="S547" s="35"/>
    </row>
    <row r="548" spans="1:19" ht="29.25" customHeight="1" x14ac:dyDescent="0.2">
      <c r="A548" s="187">
        <v>0</v>
      </c>
      <c r="B548" s="35">
        <v>0</v>
      </c>
      <c r="C548" s="35">
        <v>0</v>
      </c>
      <c r="D548" s="35">
        <v>0</v>
      </c>
      <c r="E548" s="28">
        <v>0</v>
      </c>
      <c r="F548" s="35">
        <v>0</v>
      </c>
      <c r="G548" s="35"/>
      <c r="H548" s="35"/>
      <c r="I548" s="35"/>
      <c r="J548" s="35"/>
      <c r="K548" s="35"/>
      <c r="L548" s="35"/>
      <c r="M548" s="35"/>
      <c r="N548" s="188"/>
      <c r="O548" s="188"/>
      <c r="P548" s="23"/>
      <c r="Q548" s="35"/>
      <c r="R548" s="35"/>
      <c r="S548" s="35"/>
    </row>
    <row r="549" spans="1:19" ht="29.25" customHeight="1" x14ac:dyDescent="0.2">
      <c r="A549" s="187">
        <v>0</v>
      </c>
      <c r="B549" s="35">
        <v>0</v>
      </c>
      <c r="C549" s="35">
        <v>0</v>
      </c>
      <c r="D549" s="35">
        <v>0</v>
      </c>
      <c r="E549" s="28">
        <v>0</v>
      </c>
      <c r="F549" s="35">
        <v>0</v>
      </c>
      <c r="G549" s="35"/>
      <c r="H549" s="35"/>
      <c r="I549" s="35"/>
      <c r="J549" s="35"/>
      <c r="K549" s="35"/>
      <c r="L549" s="35"/>
      <c r="M549" s="35"/>
      <c r="N549" s="188"/>
      <c r="O549" s="188"/>
      <c r="P549" s="23"/>
      <c r="Q549" s="35"/>
      <c r="R549" s="35"/>
      <c r="S549" s="35"/>
    </row>
    <row r="550" spans="1:19" ht="29.25" customHeight="1" x14ac:dyDescent="0.2">
      <c r="A550" s="187">
        <v>0</v>
      </c>
      <c r="B550" s="35">
        <v>0</v>
      </c>
      <c r="C550" s="35">
        <v>0</v>
      </c>
      <c r="D550" s="35">
        <v>0</v>
      </c>
      <c r="E550" s="28">
        <v>0</v>
      </c>
      <c r="F550" s="35">
        <v>0</v>
      </c>
      <c r="G550" s="35"/>
      <c r="H550" s="35"/>
      <c r="I550" s="35"/>
      <c r="J550" s="35"/>
      <c r="K550" s="35"/>
      <c r="L550" s="35"/>
      <c r="M550" s="35"/>
      <c r="N550" s="188"/>
      <c r="O550" s="188"/>
      <c r="P550" s="23"/>
      <c r="Q550" s="35"/>
      <c r="R550" s="35"/>
      <c r="S550" s="35"/>
    </row>
    <row r="551" spans="1:19" ht="29.25" customHeight="1" x14ac:dyDescent="0.2">
      <c r="A551" s="187">
        <v>0</v>
      </c>
      <c r="B551" s="35">
        <v>0</v>
      </c>
      <c r="C551" s="35">
        <v>0</v>
      </c>
      <c r="D551" s="35">
        <v>0</v>
      </c>
      <c r="E551" s="28">
        <v>0</v>
      </c>
      <c r="F551" s="35">
        <v>0</v>
      </c>
      <c r="G551" s="35"/>
      <c r="H551" s="35"/>
      <c r="I551" s="35"/>
      <c r="J551" s="35"/>
      <c r="K551" s="35"/>
      <c r="L551" s="35"/>
      <c r="M551" s="35"/>
      <c r="N551" s="188"/>
      <c r="O551" s="188"/>
      <c r="P551" s="23"/>
      <c r="Q551" s="35"/>
      <c r="R551" s="35"/>
      <c r="S551" s="35"/>
    </row>
    <row r="552" spans="1:19" ht="29.25" customHeight="1" x14ac:dyDescent="0.2">
      <c r="A552" s="187">
        <v>0</v>
      </c>
      <c r="B552" s="35">
        <v>0</v>
      </c>
      <c r="C552" s="35">
        <v>0</v>
      </c>
      <c r="D552" s="35">
        <v>0</v>
      </c>
      <c r="E552" s="28">
        <v>0</v>
      </c>
      <c r="F552" s="35">
        <v>0</v>
      </c>
      <c r="G552" s="35"/>
      <c r="H552" s="35"/>
      <c r="I552" s="35"/>
      <c r="J552" s="35"/>
      <c r="K552" s="35"/>
      <c r="L552" s="35"/>
      <c r="M552" s="35"/>
      <c r="N552" s="188"/>
      <c r="O552" s="188"/>
      <c r="P552" s="23"/>
      <c r="Q552" s="35"/>
      <c r="R552" s="35"/>
      <c r="S552" s="35"/>
    </row>
    <row r="553" spans="1:19" ht="29.25" customHeight="1" x14ac:dyDescent="0.2">
      <c r="A553" s="187">
        <v>0</v>
      </c>
      <c r="B553" s="35">
        <v>0</v>
      </c>
      <c r="C553" s="35">
        <v>0</v>
      </c>
      <c r="D553" s="35">
        <v>0</v>
      </c>
      <c r="E553" s="28">
        <v>0</v>
      </c>
      <c r="F553" s="35">
        <v>0</v>
      </c>
      <c r="G553" s="35"/>
      <c r="H553" s="35"/>
      <c r="I553" s="35"/>
      <c r="J553" s="35"/>
      <c r="K553" s="35"/>
      <c r="L553" s="35"/>
      <c r="M553" s="35"/>
      <c r="N553" s="188"/>
      <c r="O553" s="188"/>
      <c r="P553" s="23"/>
      <c r="Q553" s="35"/>
      <c r="R553" s="35"/>
      <c r="S553" s="35"/>
    </row>
    <row r="554" spans="1:19" ht="29.25" customHeight="1" x14ac:dyDescent="0.2">
      <c r="A554" s="187">
        <v>0</v>
      </c>
      <c r="B554" s="35">
        <v>0</v>
      </c>
      <c r="C554" s="35">
        <v>0</v>
      </c>
      <c r="D554" s="35">
        <v>0</v>
      </c>
      <c r="E554" s="28">
        <v>0</v>
      </c>
      <c r="F554" s="35">
        <v>0</v>
      </c>
      <c r="G554" s="35"/>
      <c r="H554" s="35"/>
      <c r="I554" s="35"/>
      <c r="J554" s="35"/>
      <c r="K554" s="35"/>
      <c r="L554" s="35"/>
      <c r="M554" s="35"/>
      <c r="N554" s="188"/>
      <c r="O554" s="188"/>
      <c r="P554" s="23"/>
      <c r="Q554" s="35"/>
      <c r="R554" s="35"/>
      <c r="S554" s="35"/>
    </row>
    <row r="555" spans="1:19" ht="29.25" customHeight="1" x14ac:dyDescent="0.2">
      <c r="A555" s="187">
        <v>0</v>
      </c>
      <c r="B555" s="35">
        <v>0</v>
      </c>
      <c r="C555" s="35">
        <v>0</v>
      </c>
      <c r="D555" s="35">
        <v>0</v>
      </c>
      <c r="E555" s="28">
        <v>0</v>
      </c>
      <c r="F555" s="35">
        <v>0</v>
      </c>
      <c r="G555" s="35"/>
      <c r="H555" s="35"/>
      <c r="I555" s="35"/>
      <c r="J555" s="35"/>
      <c r="K555" s="35"/>
      <c r="L555" s="35"/>
      <c r="M555" s="35"/>
      <c r="N555" s="188"/>
      <c r="O555" s="188"/>
      <c r="P555" s="23"/>
      <c r="Q555" s="35"/>
      <c r="R555" s="35"/>
      <c r="S555" s="35"/>
    </row>
    <row r="556" spans="1:19" ht="29.25" customHeight="1" x14ac:dyDescent="0.2">
      <c r="A556" s="187">
        <v>0</v>
      </c>
      <c r="B556" s="35">
        <v>0</v>
      </c>
      <c r="C556" s="35">
        <v>0</v>
      </c>
      <c r="D556" s="35">
        <v>0</v>
      </c>
      <c r="E556" s="28">
        <v>0</v>
      </c>
      <c r="F556" s="35">
        <v>0</v>
      </c>
      <c r="G556" s="35"/>
      <c r="H556" s="35"/>
      <c r="I556" s="35"/>
      <c r="J556" s="35"/>
      <c r="K556" s="35"/>
      <c r="L556" s="35"/>
      <c r="M556" s="35"/>
      <c r="N556" s="188"/>
      <c r="O556" s="188"/>
      <c r="P556" s="23"/>
      <c r="Q556" s="35"/>
      <c r="R556" s="35"/>
      <c r="S556" s="35"/>
    </row>
    <row r="557" spans="1:19" ht="29.25" customHeight="1" x14ac:dyDescent="0.2">
      <c r="A557" s="187">
        <v>0</v>
      </c>
      <c r="B557" s="35">
        <v>0</v>
      </c>
      <c r="C557" s="35">
        <v>0</v>
      </c>
      <c r="D557" s="35">
        <v>0</v>
      </c>
      <c r="E557" s="28">
        <v>0</v>
      </c>
      <c r="F557" s="35">
        <v>0</v>
      </c>
      <c r="G557" s="35"/>
      <c r="H557" s="35"/>
      <c r="I557" s="35"/>
      <c r="J557" s="35"/>
      <c r="K557" s="35"/>
      <c r="L557" s="35"/>
      <c r="M557" s="35"/>
      <c r="N557" s="188"/>
      <c r="O557" s="188"/>
      <c r="P557" s="23"/>
      <c r="Q557" s="35"/>
      <c r="R557" s="35"/>
      <c r="S557" s="35"/>
    </row>
    <row r="558" spans="1:19" ht="29.25" customHeight="1" x14ac:dyDescent="0.2">
      <c r="A558" s="187">
        <v>0</v>
      </c>
      <c r="B558" s="35">
        <v>0</v>
      </c>
      <c r="C558" s="35">
        <v>0</v>
      </c>
      <c r="D558" s="35">
        <v>0</v>
      </c>
      <c r="E558" s="28">
        <v>0</v>
      </c>
      <c r="F558" s="35">
        <v>0</v>
      </c>
      <c r="G558" s="35"/>
      <c r="H558" s="35"/>
      <c r="I558" s="35"/>
      <c r="J558" s="35"/>
      <c r="K558" s="35"/>
      <c r="L558" s="35"/>
      <c r="M558" s="35"/>
      <c r="N558" s="188"/>
      <c r="O558" s="188"/>
      <c r="P558" s="23"/>
      <c r="Q558" s="35"/>
      <c r="R558" s="35"/>
      <c r="S558" s="35"/>
    </row>
    <row r="559" spans="1:19" ht="29.25" customHeight="1" x14ac:dyDescent="0.2">
      <c r="A559" s="187">
        <v>0</v>
      </c>
      <c r="B559" s="35">
        <v>0</v>
      </c>
      <c r="C559" s="35">
        <v>0</v>
      </c>
      <c r="D559" s="35">
        <v>0</v>
      </c>
      <c r="E559" s="28">
        <v>0</v>
      </c>
      <c r="F559" s="35">
        <v>0</v>
      </c>
      <c r="G559" s="35"/>
      <c r="H559" s="35"/>
      <c r="I559" s="35"/>
      <c r="J559" s="35"/>
      <c r="K559" s="35"/>
      <c r="L559" s="35"/>
      <c r="M559" s="35"/>
      <c r="N559" s="188"/>
      <c r="O559" s="188"/>
      <c r="P559" s="23"/>
      <c r="Q559" s="35"/>
      <c r="R559" s="35"/>
      <c r="S559" s="35"/>
    </row>
    <row r="560" spans="1:19" ht="29.25" customHeight="1" x14ac:dyDescent="0.2">
      <c r="A560" s="187">
        <v>0</v>
      </c>
      <c r="B560" s="35">
        <v>0</v>
      </c>
      <c r="C560" s="35">
        <v>0</v>
      </c>
      <c r="D560" s="35">
        <v>0</v>
      </c>
      <c r="E560" s="28">
        <v>0</v>
      </c>
      <c r="F560" s="35">
        <v>0</v>
      </c>
      <c r="G560" s="35"/>
      <c r="H560" s="35"/>
      <c r="I560" s="35"/>
      <c r="J560" s="35"/>
      <c r="K560" s="35"/>
      <c r="L560" s="35"/>
      <c r="M560" s="35"/>
      <c r="N560" s="188"/>
      <c r="O560" s="188"/>
      <c r="P560" s="23"/>
      <c r="Q560" s="35"/>
      <c r="R560" s="35"/>
      <c r="S560" s="35"/>
    </row>
    <row r="561" spans="1:19" ht="29.25" customHeight="1" x14ac:dyDescent="0.2">
      <c r="A561" s="187">
        <v>0</v>
      </c>
      <c r="B561" s="35">
        <v>0</v>
      </c>
      <c r="C561" s="35">
        <v>0</v>
      </c>
      <c r="D561" s="35">
        <v>0</v>
      </c>
      <c r="E561" s="28">
        <v>0</v>
      </c>
      <c r="F561" s="35">
        <v>0</v>
      </c>
      <c r="G561" s="35"/>
      <c r="H561" s="35"/>
      <c r="I561" s="35"/>
      <c r="J561" s="35"/>
      <c r="K561" s="35"/>
      <c r="L561" s="35"/>
      <c r="M561" s="35"/>
      <c r="N561" s="188"/>
      <c r="O561" s="188"/>
      <c r="P561" s="23"/>
      <c r="Q561" s="35"/>
      <c r="R561" s="35"/>
      <c r="S561" s="35"/>
    </row>
    <row r="562" spans="1:19" ht="29.25" customHeight="1" x14ac:dyDescent="0.2">
      <c r="A562" s="187">
        <v>0</v>
      </c>
      <c r="B562" s="35">
        <v>0</v>
      </c>
      <c r="C562" s="35">
        <v>0</v>
      </c>
      <c r="D562" s="35">
        <v>0</v>
      </c>
      <c r="E562" s="28">
        <v>0</v>
      </c>
      <c r="F562" s="35">
        <v>0</v>
      </c>
      <c r="G562" s="35"/>
      <c r="H562" s="35"/>
      <c r="I562" s="35"/>
      <c r="J562" s="35"/>
      <c r="K562" s="35"/>
      <c r="L562" s="35"/>
      <c r="M562" s="35"/>
      <c r="N562" s="188"/>
      <c r="O562" s="188"/>
      <c r="P562" s="23"/>
      <c r="Q562" s="35"/>
      <c r="R562" s="35"/>
      <c r="S562" s="35"/>
    </row>
    <row r="563" spans="1:19" ht="29.25" customHeight="1" x14ac:dyDescent="0.2">
      <c r="A563" s="187">
        <v>0</v>
      </c>
      <c r="B563" s="35">
        <v>0</v>
      </c>
      <c r="C563" s="35">
        <v>0</v>
      </c>
      <c r="D563" s="35">
        <v>0</v>
      </c>
      <c r="E563" s="28">
        <v>0</v>
      </c>
      <c r="F563" s="35">
        <v>0</v>
      </c>
      <c r="G563" s="35"/>
      <c r="H563" s="35"/>
      <c r="I563" s="35"/>
      <c r="J563" s="35"/>
      <c r="K563" s="35"/>
      <c r="L563" s="35"/>
      <c r="M563" s="35"/>
      <c r="N563" s="188"/>
      <c r="O563" s="188"/>
      <c r="P563" s="23"/>
      <c r="Q563" s="35"/>
      <c r="R563" s="35"/>
      <c r="S563" s="35"/>
    </row>
    <row r="564" spans="1:19" ht="29.25" customHeight="1" x14ac:dyDescent="0.2">
      <c r="A564" s="187">
        <v>0</v>
      </c>
      <c r="B564" s="35">
        <v>0</v>
      </c>
      <c r="C564" s="35">
        <v>0</v>
      </c>
      <c r="D564" s="35">
        <v>0</v>
      </c>
      <c r="E564" s="28">
        <v>0</v>
      </c>
      <c r="F564" s="35">
        <v>0</v>
      </c>
      <c r="G564" s="35"/>
      <c r="H564" s="35"/>
      <c r="I564" s="35"/>
      <c r="J564" s="35"/>
      <c r="K564" s="35"/>
      <c r="L564" s="35"/>
      <c r="M564" s="35"/>
      <c r="N564" s="188"/>
      <c r="O564" s="188"/>
      <c r="P564" s="23"/>
      <c r="Q564" s="35"/>
      <c r="R564" s="35"/>
      <c r="S564" s="35"/>
    </row>
    <row r="565" spans="1:19" ht="29.25" customHeight="1" x14ac:dyDescent="0.2">
      <c r="A565" s="187">
        <v>0</v>
      </c>
      <c r="B565" s="35">
        <v>0</v>
      </c>
      <c r="C565" s="35">
        <v>0</v>
      </c>
      <c r="D565" s="35">
        <v>0</v>
      </c>
      <c r="E565" s="28">
        <v>0</v>
      </c>
      <c r="F565" s="35">
        <v>0</v>
      </c>
      <c r="G565" s="35"/>
      <c r="H565" s="35"/>
      <c r="I565" s="35"/>
      <c r="J565" s="35"/>
      <c r="K565" s="35"/>
      <c r="L565" s="35"/>
      <c r="M565" s="35"/>
      <c r="N565" s="188"/>
      <c r="O565" s="188"/>
      <c r="P565" s="23"/>
      <c r="Q565" s="35"/>
      <c r="R565" s="35"/>
      <c r="S565" s="35"/>
    </row>
    <row r="566" spans="1:19" ht="29.25" customHeight="1" x14ac:dyDescent="0.2">
      <c r="A566" s="187">
        <v>0</v>
      </c>
      <c r="B566" s="35">
        <v>0</v>
      </c>
      <c r="C566" s="35">
        <v>0</v>
      </c>
      <c r="D566" s="35">
        <v>0</v>
      </c>
      <c r="E566" s="28">
        <v>0</v>
      </c>
      <c r="F566" s="35">
        <v>0</v>
      </c>
      <c r="G566" s="35"/>
      <c r="H566" s="35"/>
      <c r="I566" s="35"/>
      <c r="J566" s="35"/>
      <c r="K566" s="35"/>
      <c r="L566" s="35"/>
      <c r="M566" s="35"/>
      <c r="N566" s="188"/>
      <c r="O566" s="188"/>
      <c r="P566" s="23"/>
      <c r="Q566" s="35"/>
      <c r="R566" s="35"/>
      <c r="S566" s="35"/>
    </row>
    <row r="567" spans="1:19" ht="29.25" customHeight="1" x14ac:dyDescent="0.2">
      <c r="A567" s="187">
        <v>0</v>
      </c>
      <c r="B567" s="35">
        <v>0</v>
      </c>
      <c r="C567" s="35">
        <v>0</v>
      </c>
      <c r="D567" s="35">
        <v>0</v>
      </c>
      <c r="E567" s="28">
        <v>0</v>
      </c>
      <c r="F567" s="35">
        <v>0</v>
      </c>
      <c r="G567" s="35"/>
      <c r="H567" s="35"/>
      <c r="I567" s="35"/>
      <c r="J567" s="35"/>
      <c r="K567" s="35"/>
      <c r="L567" s="35"/>
      <c r="M567" s="35"/>
      <c r="N567" s="188"/>
      <c r="O567" s="188"/>
      <c r="P567" s="23"/>
      <c r="Q567" s="35"/>
      <c r="R567" s="35"/>
      <c r="S567" s="35"/>
    </row>
    <row r="568" spans="1:19" ht="29.25" customHeight="1" x14ac:dyDescent="0.2">
      <c r="A568" s="187">
        <v>0</v>
      </c>
      <c r="B568" s="35">
        <v>0</v>
      </c>
      <c r="C568" s="35">
        <v>0</v>
      </c>
      <c r="D568" s="35">
        <v>0</v>
      </c>
      <c r="E568" s="28">
        <v>0</v>
      </c>
      <c r="F568" s="35">
        <v>0</v>
      </c>
      <c r="G568" s="35"/>
      <c r="H568" s="35"/>
      <c r="I568" s="35"/>
      <c r="J568" s="35"/>
      <c r="K568" s="35"/>
      <c r="L568" s="35"/>
      <c r="M568" s="35"/>
      <c r="N568" s="188"/>
      <c r="O568" s="188"/>
      <c r="P568" s="23"/>
      <c r="Q568" s="35"/>
      <c r="R568" s="35"/>
      <c r="S568" s="35"/>
    </row>
    <row r="569" spans="1:19" ht="29.25" customHeight="1" x14ac:dyDescent="0.2">
      <c r="A569" s="187">
        <v>0</v>
      </c>
      <c r="B569" s="35">
        <v>0</v>
      </c>
      <c r="C569" s="35">
        <v>0</v>
      </c>
      <c r="D569" s="35">
        <v>0</v>
      </c>
      <c r="E569" s="28">
        <v>0</v>
      </c>
      <c r="F569" s="35">
        <v>0</v>
      </c>
      <c r="G569" s="35"/>
      <c r="H569" s="35"/>
      <c r="I569" s="35"/>
      <c r="J569" s="35"/>
      <c r="K569" s="35"/>
      <c r="L569" s="35"/>
      <c r="M569" s="35"/>
      <c r="N569" s="188"/>
      <c r="O569" s="188"/>
      <c r="P569" s="23"/>
      <c r="Q569" s="35"/>
      <c r="R569" s="35"/>
      <c r="S569" s="35"/>
    </row>
    <row r="570" spans="1:19" ht="29.25" customHeight="1" x14ac:dyDescent="0.2">
      <c r="A570" s="187">
        <v>0</v>
      </c>
      <c r="B570" s="35">
        <v>0</v>
      </c>
      <c r="C570" s="35">
        <v>0</v>
      </c>
      <c r="D570" s="35">
        <v>0</v>
      </c>
      <c r="E570" s="28">
        <v>0</v>
      </c>
      <c r="F570" s="35">
        <v>0</v>
      </c>
      <c r="G570" s="35"/>
      <c r="H570" s="35"/>
      <c r="I570" s="35"/>
      <c r="J570" s="35"/>
      <c r="K570" s="35"/>
      <c r="L570" s="35"/>
      <c r="M570" s="35"/>
      <c r="N570" s="188"/>
      <c r="O570" s="188"/>
      <c r="P570" s="23"/>
      <c r="Q570" s="35"/>
      <c r="R570" s="35"/>
      <c r="S570" s="35"/>
    </row>
    <row r="571" spans="1:19" ht="29.25" customHeight="1" x14ac:dyDescent="0.2">
      <c r="A571" s="187">
        <v>0</v>
      </c>
      <c r="B571" s="35">
        <v>0</v>
      </c>
      <c r="C571" s="35">
        <v>0</v>
      </c>
      <c r="D571" s="35">
        <v>0</v>
      </c>
      <c r="E571" s="28">
        <v>0</v>
      </c>
      <c r="F571" s="35">
        <v>0</v>
      </c>
      <c r="G571" s="35"/>
      <c r="H571" s="35"/>
      <c r="I571" s="35"/>
      <c r="J571" s="35"/>
      <c r="K571" s="35"/>
      <c r="L571" s="35"/>
      <c r="M571" s="35"/>
      <c r="N571" s="188"/>
      <c r="O571" s="188"/>
      <c r="P571" s="23"/>
      <c r="Q571" s="35"/>
      <c r="R571" s="35"/>
      <c r="S571" s="35"/>
    </row>
    <row r="572" spans="1:19" ht="29.25" customHeight="1" x14ac:dyDescent="0.2">
      <c r="A572" s="187">
        <v>0</v>
      </c>
      <c r="B572" s="35">
        <v>0</v>
      </c>
      <c r="C572" s="35">
        <v>0</v>
      </c>
      <c r="D572" s="35">
        <v>0</v>
      </c>
      <c r="E572" s="28">
        <v>0</v>
      </c>
      <c r="F572" s="35">
        <v>0</v>
      </c>
      <c r="G572" s="35"/>
      <c r="H572" s="35"/>
      <c r="I572" s="35"/>
      <c r="J572" s="35"/>
      <c r="K572" s="35"/>
      <c r="L572" s="35"/>
      <c r="M572" s="35"/>
      <c r="N572" s="188"/>
      <c r="O572" s="188"/>
      <c r="P572" s="23"/>
      <c r="Q572" s="35"/>
      <c r="R572" s="35"/>
      <c r="S572" s="35"/>
    </row>
    <row r="573" spans="1:19" ht="29.25" customHeight="1" x14ac:dyDescent="0.2">
      <c r="A573" s="187">
        <v>0</v>
      </c>
      <c r="B573" s="35">
        <v>0</v>
      </c>
      <c r="C573" s="35">
        <v>0</v>
      </c>
      <c r="D573" s="35">
        <v>0</v>
      </c>
      <c r="E573" s="28">
        <v>0</v>
      </c>
      <c r="F573" s="35">
        <v>0</v>
      </c>
      <c r="G573" s="35"/>
      <c r="H573" s="35"/>
      <c r="I573" s="35"/>
      <c r="J573" s="35"/>
      <c r="K573" s="35"/>
      <c r="L573" s="35"/>
      <c r="M573" s="35"/>
      <c r="N573" s="188"/>
      <c r="O573" s="188"/>
      <c r="P573" s="23"/>
      <c r="Q573" s="35"/>
      <c r="R573" s="35"/>
      <c r="S573" s="35"/>
    </row>
    <row r="574" spans="1:19" ht="29.25" customHeight="1" x14ac:dyDescent="0.2">
      <c r="A574" s="187">
        <v>0</v>
      </c>
      <c r="B574" s="35">
        <v>0</v>
      </c>
      <c r="C574" s="35">
        <v>0</v>
      </c>
      <c r="D574" s="35">
        <v>0</v>
      </c>
      <c r="E574" s="28">
        <v>0</v>
      </c>
      <c r="F574" s="35">
        <v>0</v>
      </c>
      <c r="G574" s="35"/>
      <c r="H574" s="35"/>
      <c r="I574" s="35"/>
      <c r="J574" s="35"/>
      <c r="K574" s="35"/>
      <c r="L574" s="35"/>
      <c r="M574" s="35"/>
      <c r="N574" s="188"/>
      <c r="O574" s="188"/>
      <c r="P574" s="23"/>
      <c r="Q574" s="35"/>
      <c r="R574" s="35"/>
      <c r="S574" s="35"/>
    </row>
    <row r="575" spans="1:19" ht="29.25" customHeight="1" x14ac:dyDescent="0.2">
      <c r="A575" s="187">
        <v>0</v>
      </c>
      <c r="B575" s="35">
        <v>0</v>
      </c>
      <c r="C575" s="35">
        <v>0</v>
      </c>
      <c r="D575" s="35">
        <v>0</v>
      </c>
      <c r="E575" s="28">
        <v>0</v>
      </c>
      <c r="F575" s="35">
        <v>0</v>
      </c>
      <c r="G575" s="35"/>
      <c r="H575" s="35"/>
      <c r="I575" s="35"/>
      <c r="J575" s="35"/>
      <c r="K575" s="35"/>
      <c r="L575" s="35"/>
      <c r="M575" s="35"/>
      <c r="N575" s="188"/>
      <c r="O575" s="188"/>
      <c r="P575" s="23"/>
      <c r="Q575" s="35"/>
      <c r="R575" s="35"/>
      <c r="S575" s="35"/>
    </row>
    <row r="576" spans="1:19" ht="29.25" customHeight="1" x14ac:dyDescent="0.2">
      <c r="A576" s="187">
        <v>0</v>
      </c>
      <c r="B576" s="35">
        <v>0</v>
      </c>
      <c r="C576" s="35">
        <v>0</v>
      </c>
      <c r="D576" s="35">
        <v>0</v>
      </c>
      <c r="E576" s="28">
        <v>0</v>
      </c>
      <c r="F576" s="35">
        <v>0</v>
      </c>
      <c r="G576" s="35"/>
      <c r="H576" s="35"/>
      <c r="I576" s="35"/>
      <c r="J576" s="35"/>
      <c r="K576" s="35"/>
      <c r="L576" s="35"/>
      <c r="M576" s="35"/>
      <c r="N576" s="188"/>
      <c r="O576" s="188"/>
      <c r="P576" s="23"/>
      <c r="Q576" s="35"/>
      <c r="R576" s="35"/>
      <c r="S576" s="35"/>
    </row>
    <row r="577" spans="1:19" ht="29.25" customHeight="1" x14ac:dyDescent="0.2">
      <c r="A577" s="187">
        <v>0</v>
      </c>
      <c r="B577" s="35">
        <v>0</v>
      </c>
      <c r="C577" s="35">
        <v>0</v>
      </c>
      <c r="D577" s="35">
        <v>0</v>
      </c>
      <c r="E577" s="28">
        <v>0</v>
      </c>
      <c r="F577" s="35">
        <v>0</v>
      </c>
      <c r="G577" s="35"/>
      <c r="H577" s="35"/>
      <c r="I577" s="35"/>
      <c r="J577" s="35"/>
      <c r="K577" s="35"/>
      <c r="L577" s="35"/>
      <c r="M577" s="35"/>
      <c r="N577" s="188"/>
      <c r="O577" s="188"/>
      <c r="P577" s="23"/>
      <c r="Q577" s="35"/>
      <c r="R577" s="35"/>
      <c r="S577" s="35"/>
    </row>
    <row r="578" spans="1:19" ht="29.25" customHeight="1" x14ac:dyDescent="0.2">
      <c r="A578" s="187">
        <v>0</v>
      </c>
      <c r="B578" s="35">
        <v>0</v>
      </c>
      <c r="C578" s="35">
        <v>0</v>
      </c>
      <c r="D578" s="35">
        <v>0</v>
      </c>
      <c r="E578" s="28">
        <v>0</v>
      </c>
      <c r="F578" s="35">
        <v>0</v>
      </c>
      <c r="G578" s="35"/>
      <c r="H578" s="35"/>
      <c r="I578" s="35"/>
      <c r="J578" s="35"/>
      <c r="K578" s="35"/>
      <c r="L578" s="35"/>
      <c r="M578" s="35"/>
      <c r="N578" s="188"/>
      <c r="O578" s="188"/>
      <c r="P578" s="23"/>
      <c r="Q578" s="35"/>
      <c r="R578" s="35"/>
      <c r="S578" s="35"/>
    </row>
    <row r="579" spans="1:19" ht="29.25" customHeight="1" x14ac:dyDescent="0.2">
      <c r="A579" s="187">
        <v>0</v>
      </c>
      <c r="B579" s="35">
        <v>0</v>
      </c>
      <c r="C579" s="35">
        <v>0</v>
      </c>
      <c r="D579" s="35">
        <v>0</v>
      </c>
      <c r="E579" s="28">
        <v>0</v>
      </c>
      <c r="F579" s="35">
        <v>0</v>
      </c>
      <c r="G579" s="35"/>
      <c r="H579" s="35"/>
      <c r="I579" s="35"/>
      <c r="J579" s="35"/>
      <c r="K579" s="35"/>
      <c r="L579" s="35"/>
      <c r="M579" s="35"/>
      <c r="N579" s="188"/>
      <c r="O579" s="188"/>
      <c r="P579" s="23"/>
      <c r="Q579" s="35"/>
      <c r="R579" s="35"/>
      <c r="S579" s="35"/>
    </row>
    <row r="580" spans="1:19" ht="29.25" customHeight="1" x14ac:dyDescent="0.2">
      <c r="A580" s="187">
        <v>0</v>
      </c>
      <c r="B580" s="35">
        <v>0</v>
      </c>
      <c r="C580" s="35">
        <v>0</v>
      </c>
      <c r="D580" s="35">
        <v>0</v>
      </c>
      <c r="E580" s="28">
        <v>0</v>
      </c>
      <c r="F580" s="35">
        <v>0</v>
      </c>
      <c r="G580" s="35"/>
      <c r="H580" s="35"/>
      <c r="I580" s="35"/>
      <c r="J580" s="35"/>
      <c r="K580" s="35"/>
      <c r="L580" s="35"/>
      <c r="M580" s="35"/>
      <c r="N580" s="188"/>
      <c r="O580" s="188"/>
      <c r="P580" s="23"/>
      <c r="Q580" s="35"/>
      <c r="R580" s="35"/>
      <c r="S580" s="35"/>
    </row>
    <row r="581" spans="1:19" ht="29.25" customHeight="1" x14ac:dyDescent="0.2">
      <c r="A581" s="187">
        <v>0</v>
      </c>
      <c r="B581" s="35">
        <v>0</v>
      </c>
      <c r="C581" s="35">
        <v>0</v>
      </c>
      <c r="D581" s="35">
        <v>0</v>
      </c>
      <c r="E581" s="28">
        <v>0</v>
      </c>
      <c r="F581" s="35">
        <v>0</v>
      </c>
      <c r="G581" s="35"/>
      <c r="H581" s="35"/>
      <c r="I581" s="35"/>
      <c r="J581" s="35"/>
      <c r="K581" s="35"/>
      <c r="L581" s="35"/>
      <c r="M581" s="35"/>
      <c r="N581" s="188"/>
      <c r="O581" s="188"/>
      <c r="P581" s="23"/>
      <c r="Q581" s="35"/>
      <c r="R581" s="35"/>
      <c r="S581" s="35"/>
    </row>
    <row r="582" spans="1:19" ht="29.25" customHeight="1" x14ac:dyDescent="0.2">
      <c r="A582" s="187">
        <v>0</v>
      </c>
      <c r="B582" s="35">
        <v>0</v>
      </c>
      <c r="C582" s="35">
        <v>0</v>
      </c>
      <c r="D582" s="35">
        <v>0</v>
      </c>
      <c r="E582" s="28">
        <v>0</v>
      </c>
      <c r="F582" s="35">
        <v>0</v>
      </c>
      <c r="G582" s="35"/>
      <c r="H582" s="35"/>
      <c r="I582" s="35"/>
      <c r="J582" s="35"/>
      <c r="K582" s="35"/>
      <c r="L582" s="35"/>
      <c r="M582" s="35"/>
      <c r="N582" s="188"/>
      <c r="O582" s="188"/>
      <c r="P582" s="23"/>
      <c r="Q582" s="35"/>
      <c r="R582" s="35"/>
      <c r="S582" s="35"/>
    </row>
    <row r="583" spans="1:19" ht="29.25" customHeight="1" x14ac:dyDescent="0.2">
      <c r="A583" s="187">
        <v>0</v>
      </c>
      <c r="B583" s="35">
        <v>0</v>
      </c>
      <c r="C583" s="35">
        <v>0</v>
      </c>
      <c r="D583" s="35">
        <v>0</v>
      </c>
      <c r="E583" s="28">
        <v>0</v>
      </c>
      <c r="F583" s="35">
        <v>0</v>
      </c>
      <c r="G583" s="35"/>
      <c r="H583" s="35"/>
      <c r="I583" s="35"/>
      <c r="J583" s="35"/>
      <c r="K583" s="35"/>
      <c r="L583" s="35"/>
      <c r="M583" s="35"/>
      <c r="N583" s="188"/>
      <c r="O583" s="188"/>
      <c r="P583" s="23"/>
      <c r="Q583" s="35"/>
      <c r="R583" s="35"/>
      <c r="S583" s="35"/>
    </row>
    <row r="584" spans="1:19" ht="29.25" customHeight="1" x14ac:dyDescent="0.2">
      <c r="A584" s="187">
        <v>0</v>
      </c>
      <c r="B584" s="35">
        <v>0</v>
      </c>
      <c r="C584" s="35">
        <v>0</v>
      </c>
      <c r="D584" s="35">
        <v>0</v>
      </c>
      <c r="E584" s="28">
        <v>0</v>
      </c>
      <c r="F584" s="35">
        <v>0</v>
      </c>
      <c r="G584" s="35"/>
      <c r="H584" s="35"/>
      <c r="I584" s="35"/>
      <c r="J584" s="35"/>
      <c r="K584" s="35"/>
      <c r="L584" s="35"/>
      <c r="M584" s="35"/>
      <c r="N584" s="188"/>
      <c r="O584" s="188"/>
      <c r="P584" s="23"/>
      <c r="Q584" s="35"/>
      <c r="R584" s="35"/>
      <c r="S584" s="35"/>
    </row>
    <row r="585" spans="1:19" ht="29.25" customHeight="1" x14ac:dyDescent="0.2">
      <c r="A585" s="187">
        <v>0</v>
      </c>
      <c r="B585" s="35">
        <v>0</v>
      </c>
      <c r="C585" s="35">
        <v>0</v>
      </c>
      <c r="D585" s="35">
        <v>0</v>
      </c>
      <c r="E585" s="28">
        <v>0</v>
      </c>
      <c r="F585" s="35">
        <v>0</v>
      </c>
      <c r="G585" s="35"/>
      <c r="H585" s="35"/>
      <c r="I585" s="35"/>
      <c r="J585" s="35"/>
      <c r="K585" s="35"/>
      <c r="L585" s="35"/>
      <c r="M585" s="35"/>
      <c r="N585" s="188"/>
      <c r="O585" s="188"/>
      <c r="P585" s="23"/>
      <c r="Q585" s="35"/>
      <c r="R585" s="35"/>
      <c r="S585" s="35"/>
    </row>
    <row r="586" spans="1:19" ht="29.25" customHeight="1" x14ac:dyDescent="0.2">
      <c r="A586" s="187">
        <v>0</v>
      </c>
      <c r="B586" s="35">
        <v>0</v>
      </c>
      <c r="C586" s="35">
        <v>0</v>
      </c>
      <c r="D586" s="35">
        <v>0</v>
      </c>
      <c r="E586" s="28">
        <v>0</v>
      </c>
      <c r="F586" s="35">
        <v>0</v>
      </c>
      <c r="G586" s="35"/>
      <c r="H586" s="35"/>
      <c r="I586" s="35"/>
      <c r="J586" s="35"/>
      <c r="K586" s="35"/>
      <c r="L586" s="35"/>
      <c r="M586" s="35"/>
      <c r="N586" s="188"/>
      <c r="O586" s="188"/>
      <c r="P586" s="23"/>
      <c r="Q586" s="35"/>
      <c r="R586" s="35"/>
      <c r="S586" s="35"/>
    </row>
    <row r="587" spans="1:19" ht="29.25" customHeight="1" x14ac:dyDescent="0.2">
      <c r="A587" s="187">
        <v>0</v>
      </c>
      <c r="B587" s="35">
        <v>0</v>
      </c>
      <c r="C587" s="35">
        <v>0</v>
      </c>
      <c r="D587" s="35">
        <v>0</v>
      </c>
      <c r="E587" s="28">
        <v>0</v>
      </c>
      <c r="F587" s="35">
        <v>0</v>
      </c>
      <c r="G587" s="35"/>
      <c r="H587" s="35"/>
      <c r="I587" s="35"/>
      <c r="J587" s="35"/>
      <c r="K587" s="35"/>
      <c r="L587" s="35"/>
      <c r="M587" s="35"/>
      <c r="N587" s="188"/>
      <c r="O587" s="188"/>
      <c r="P587" s="23"/>
      <c r="Q587" s="35"/>
      <c r="R587" s="35"/>
      <c r="S587" s="35"/>
    </row>
    <row r="588" spans="1:19" ht="29.25" customHeight="1" x14ac:dyDescent="0.2">
      <c r="A588" s="187">
        <v>0</v>
      </c>
      <c r="B588" s="35">
        <v>0</v>
      </c>
      <c r="C588" s="35">
        <v>0</v>
      </c>
      <c r="D588" s="35">
        <v>0</v>
      </c>
      <c r="E588" s="28">
        <v>0</v>
      </c>
      <c r="F588" s="35">
        <v>0</v>
      </c>
      <c r="G588" s="35"/>
      <c r="H588" s="35"/>
      <c r="I588" s="35"/>
      <c r="J588" s="35"/>
      <c r="K588" s="35"/>
      <c r="L588" s="35"/>
      <c r="M588" s="35"/>
      <c r="N588" s="188"/>
      <c r="O588" s="188"/>
      <c r="P588" s="23"/>
      <c r="Q588" s="35"/>
      <c r="R588" s="35"/>
      <c r="S588" s="35"/>
    </row>
    <row r="589" spans="1:19" ht="29.25" customHeight="1" x14ac:dyDescent="0.2">
      <c r="A589" s="187">
        <v>0</v>
      </c>
      <c r="B589" s="35">
        <v>0</v>
      </c>
      <c r="C589" s="35">
        <v>0</v>
      </c>
      <c r="D589" s="35">
        <v>0</v>
      </c>
      <c r="E589" s="28">
        <v>0</v>
      </c>
      <c r="F589" s="35">
        <v>0</v>
      </c>
      <c r="G589" s="35"/>
      <c r="H589" s="35"/>
      <c r="I589" s="35"/>
      <c r="J589" s="35"/>
      <c r="K589" s="35"/>
      <c r="L589" s="35"/>
      <c r="M589" s="35"/>
      <c r="N589" s="188"/>
      <c r="O589" s="188"/>
      <c r="P589" s="23"/>
      <c r="Q589" s="35"/>
      <c r="R589" s="35"/>
      <c r="S589" s="35"/>
    </row>
    <row r="590" spans="1:19" ht="29.25" customHeight="1" x14ac:dyDescent="0.2">
      <c r="A590" s="187">
        <v>0</v>
      </c>
      <c r="B590" s="35">
        <v>0</v>
      </c>
      <c r="C590" s="35">
        <v>0</v>
      </c>
      <c r="D590" s="35">
        <v>0</v>
      </c>
      <c r="E590" s="28">
        <v>0</v>
      </c>
      <c r="F590" s="35">
        <v>0</v>
      </c>
      <c r="G590" s="35"/>
      <c r="H590" s="35"/>
      <c r="I590" s="35"/>
      <c r="J590" s="35"/>
      <c r="K590" s="35"/>
      <c r="L590" s="35"/>
      <c r="M590" s="35"/>
      <c r="N590" s="188"/>
      <c r="O590" s="188"/>
      <c r="P590" s="23"/>
      <c r="Q590" s="35"/>
      <c r="R590" s="35"/>
      <c r="S590" s="35"/>
    </row>
    <row r="591" spans="1:19" ht="29.25" customHeight="1" x14ac:dyDescent="0.2">
      <c r="A591" s="187">
        <v>0</v>
      </c>
      <c r="B591" s="35">
        <v>0</v>
      </c>
      <c r="C591" s="35">
        <v>0</v>
      </c>
      <c r="D591" s="35">
        <v>0</v>
      </c>
      <c r="E591" s="28">
        <v>0</v>
      </c>
      <c r="F591" s="35">
        <v>0</v>
      </c>
      <c r="G591" s="35"/>
      <c r="H591" s="35"/>
      <c r="I591" s="35"/>
      <c r="J591" s="35"/>
      <c r="K591" s="35"/>
      <c r="L591" s="35"/>
      <c r="M591" s="35"/>
      <c r="N591" s="188"/>
      <c r="O591" s="188"/>
      <c r="P591" s="23"/>
      <c r="Q591" s="35"/>
      <c r="R591" s="35"/>
      <c r="S591" s="35"/>
    </row>
    <row r="592" spans="1:19" ht="29.25" customHeight="1" x14ac:dyDescent="0.2">
      <c r="A592" s="187">
        <v>0</v>
      </c>
      <c r="B592" s="35">
        <v>0</v>
      </c>
      <c r="C592" s="35">
        <v>0</v>
      </c>
      <c r="D592" s="35">
        <v>0</v>
      </c>
      <c r="E592" s="28">
        <v>0</v>
      </c>
      <c r="F592" s="35">
        <v>0</v>
      </c>
      <c r="G592" s="35"/>
      <c r="H592" s="35"/>
      <c r="I592" s="35"/>
      <c r="J592" s="35"/>
      <c r="K592" s="35"/>
      <c r="L592" s="35"/>
      <c r="M592" s="35"/>
      <c r="N592" s="188"/>
      <c r="O592" s="188"/>
      <c r="P592" s="23"/>
      <c r="Q592" s="35"/>
      <c r="R592" s="35"/>
      <c r="S592" s="35"/>
    </row>
    <row r="593" spans="1:19" ht="29.25" customHeight="1" x14ac:dyDescent="0.2">
      <c r="A593" s="187">
        <v>0</v>
      </c>
      <c r="B593" s="35">
        <v>0</v>
      </c>
      <c r="C593" s="35">
        <v>0</v>
      </c>
      <c r="D593" s="35">
        <v>0</v>
      </c>
      <c r="E593" s="28">
        <v>0</v>
      </c>
      <c r="F593" s="35">
        <v>0</v>
      </c>
      <c r="G593" s="35"/>
      <c r="H593" s="35"/>
      <c r="I593" s="35"/>
      <c r="J593" s="35"/>
      <c r="K593" s="35"/>
      <c r="L593" s="35"/>
      <c r="M593" s="35"/>
      <c r="N593" s="188"/>
      <c r="O593" s="188"/>
      <c r="P593" s="23"/>
      <c r="Q593" s="35"/>
      <c r="R593" s="35"/>
      <c r="S593" s="35"/>
    </row>
    <row r="594" spans="1:19" ht="29.25" customHeight="1" x14ac:dyDescent="0.2">
      <c r="A594" s="187">
        <v>0</v>
      </c>
      <c r="B594" s="35">
        <v>0</v>
      </c>
      <c r="C594" s="35">
        <v>0</v>
      </c>
      <c r="D594" s="35">
        <v>0</v>
      </c>
      <c r="E594" s="28">
        <v>0</v>
      </c>
      <c r="F594" s="35">
        <v>0</v>
      </c>
      <c r="G594" s="35"/>
      <c r="H594" s="35"/>
      <c r="I594" s="35"/>
      <c r="J594" s="35"/>
      <c r="K594" s="35"/>
      <c r="L594" s="35"/>
      <c r="M594" s="35"/>
      <c r="N594" s="188"/>
      <c r="O594" s="188"/>
      <c r="P594" s="23"/>
      <c r="Q594" s="35"/>
      <c r="R594" s="35"/>
      <c r="S594" s="35"/>
    </row>
    <row r="595" spans="1:19" ht="29.25" customHeight="1" x14ac:dyDescent="0.2">
      <c r="A595" s="187">
        <v>0</v>
      </c>
      <c r="B595" s="35">
        <v>0</v>
      </c>
      <c r="C595" s="35">
        <v>0</v>
      </c>
      <c r="D595" s="35">
        <v>0</v>
      </c>
      <c r="E595" s="28">
        <v>0</v>
      </c>
      <c r="F595" s="35">
        <v>0</v>
      </c>
      <c r="G595" s="35"/>
      <c r="H595" s="35"/>
      <c r="I595" s="35"/>
      <c r="J595" s="35"/>
      <c r="K595" s="35"/>
      <c r="L595" s="35"/>
      <c r="M595" s="35"/>
      <c r="N595" s="188"/>
      <c r="O595" s="188"/>
      <c r="P595" s="23"/>
      <c r="Q595" s="35"/>
      <c r="R595" s="35"/>
      <c r="S595" s="35"/>
    </row>
    <row r="596" spans="1:19" ht="29.25" customHeight="1" x14ac:dyDescent="0.2">
      <c r="A596" s="187">
        <v>0</v>
      </c>
      <c r="B596" s="35">
        <v>0</v>
      </c>
      <c r="C596" s="35">
        <v>0</v>
      </c>
      <c r="D596" s="35">
        <v>0</v>
      </c>
      <c r="E596" s="28">
        <v>0</v>
      </c>
      <c r="F596" s="35">
        <v>0</v>
      </c>
      <c r="G596" s="35"/>
      <c r="H596" s="35"/>
      <c r="I596" s="35"/>
      <c r="J596" s="35"/>
      <c r="K596" s="35"/>
      <c r="L596" s="35"/>
      <c r="M596" s="35"/>
      <c r="N596" s="188"/>
      <c r="O596" s="188"/>
      <c r="P596" s="23"/>
      <c r="Q596" s="35"/>
      <c r="R596" s="35"/>
      <c r="S596" s="35"/>
    </row>
    <row r="597" spans="1:19" ht="29.25" customHeight="1" x14ac:dyDescent="0.2">
      <c r="A597" s="187">
        <v>0</v>
      </c>
      <c r="B597" s="35">
        <v>0</v>
      </c>
      <c r="C597" s="35">
        <v>0</v>
      </c>
      <c r="D597" s="35">
        <v>0</v>
      </c>
      <c r="E597" s="28">
        <v>0</v>
      </c>
      <c r="F597" s="35">
        <v>0</v>
      </c>
      <c r="G597" s="35"/>
      <c r="H597" s="35"/>
      <c r="I597" s="35"/>
      <c r="J597" s="35"/>
      <c r="K597" s="35"/>
      <c r="L597" s="35"/>
      <c r="M597" s="35"/>
      <c r="N597" s="188"/>
      <c r="O597" s="188"/>
      <c r="P597" s="23"/>
      <c r="Q597" s="35"/>
      <c r="R597" s="35"/>
      <c r="S597" s="35"/>
    </row>
    <row r="598" spans="1:19" ht="29.25" customHeight="1" x14ac:dyDescent="0.2">
      <c r="A598" s="187">
        <v>0</v>
      </c>
      <c r="B598" s="35">
        <v>0</v>
      </c>
      <c r="C598" s="35">
        <v>0</v>
      </c>
      <c r="D598" s="35">
        <v>0</v>
      </c>
      <c r="E598" s="28">
        <v>0</v>
      </c>
      <c r="F598" s="35">
        <v>0</v>
      </c>
      <c r="G598" s="35"/>
      <c r="H598" s="35"/>
      <c r="I598" s="35"/>
      <c r="J598" s="35"/>
      <c r="K598" s="35"/>
      <c r="L598" s="35"/>
      <c r="M598" s="35"/>
      <c r="N598" s="188"/>
      <c r="O598" s="188"/>
      <c r="P598" s="23"/>
      <c r="Q598" s="35"/>
      <c r="R598" s="35"/>
      <c r="S598" s="35"/>
    </row>
    <row r="599" spans="1:19" ht="29.25" customHeight="1" x14ac:dyDescent="0.2">
      <c r="A599" s="187">
        <v>0</v>
      </c>
      <c r="B599" s="35">
        <v>0</v>
      </c>
      <c r="C599" s="35">
        <v>0</v>
      </c>
      <c r="D599" s="35">
        <v>0</v>
      </c>
      <c r="E599" s="28">
        <v>0</v>
      </c>
      <c r="F599" s="35">
        <v>0</v>
      </c>
      <c r="G599" s="35"/>
      <c r="H599" s="35"/>
      <c r="I599" s="35"/>
      <c r="J599" s="35"/>
      <c r="K599" s="35"/>
      <c r="L599" s="35"/>
      <c r="M599" s="35"/>
      <c r="N599" s="188"/>
      <c r="O599" s="188"/>
      <c r="P599" s="23"/>
      <c r="Q599" s="35"/>
      <c r="R599" s="35"/>
      <c r="S599" s="35"/>
    </row>
    <row r="600" spans="1:19" ht="29.25" customHeight="1" x14ac:dyDescent="0.2">
      <c r="A600" s="187">
        <v>0</v>
      </c>
      <c r="B600" s="35">
        <v>0</v>
      </c>
      <c r="C600" s="35">
        <v>0</v>
      </c>
      <c r="D600" s="35">
        <v>0</v>
      </c>
      <c r="E600" s="28">
        <v>0</v>
      </c>
      <c r="F600" s="35">
        <v>0</v>
      </c>
      <c r="G600" s="35"/>
      <c r="H600" s="35"/>
      <c r="I600" s="35"/>
      <c r="J600" s="35"/>
      <c r="K600" s="35"/>
      <c r="L600" s="35"/>
      <c r="M600" s="35"/>
      <c r="N600" s="188"/>
      <c r="O600" s="188"/>
      <c r="P600" s="23"/>
      <c r="Q600" s="35"/>
      <c r="R600" s="35"/>
      <c r="S600" s="35"/>
    </row>
    <row r="601" spans="1:19" ht="29.25" customHeight="1" x14ac:dyDescent="0.2">
      <c r="A601" s="187">
        <v>0</v>
      </c>
      <c r="B601" s="35">
        <v>0</v>
      </c>
      <c r="C601" s="35">
        <v>0</v>
      </c>
      <c r="D601" s="35">
        <v>0</v>
      </c>
      <c r="E601" s="28">
        <v>0</v>
      </c>
      <c r="F601" s="35">
        <v>0</v>
      </c>
      <c r="G601" s="35"/>
      <c r="H601" s="35"/>
      <c r="I601" s="35"/>
      <c r="J601" s="35"/>
      <c r="K601" s="35"/>
      <c r="L601" s="35"/>
      <c r="M601" s="35"/>
      <c r="N601" s="188"/>
      <c r="O601" s="188"/>
      <c r="P601" s="23"/>
      <c r="Q601" s="35"/>
      <c r="R601" s="35"/>
      <c r="S601" s="35"/>
    </row>
    <row r="602" spans="1:19" ht="29.25" customHeight="1" x14ac:dyDescent="0.2">
      <c r="A602" s="187">
        <v>0</v>
      </c>
      <c r="B602" s="35">
        <v>0</v>
      </c>
      <c r="C602" s="35">
        <v>0</v>
      </c>
      <c r="D602" s="35">
        <v>0</v>
      </c>
      <c r="E602" s="28">
        <v>0</v>
      </c>
      <c r="F602" s="35">
        <v>0</v>
      </c>
      <c r="G602" s="35"/>
      <c r="H602" s="35"/>
      <c r="I602" s="35"/>
      <c r="J602" s="35"/>
      <c r="K602" s="35"/>
      <c r="L602" s="35"/>
      <c r="M602" s="35"/>
      <c r="N602" s="188"/>
      <c r="O602" s="188"/>
      <c r="P602" s="23"/>
      <c r="Q602" s="35"/>
      <c r="R602" s="35"/>
      <c r="S602" s="35"/>
    </row>
    <row r="603" spans="1:19" ht="29.25" customHeight="1" x14ac:dyDescent="0.2">
      <c r="A603" s="187">
        <v>0</v>
      </c>
      <c r="B603" s="35">
        <v>0</v>
      </c>
      <c r="C603" s="35">
        <v>0</v>
      </c>
      <c r="D603" s="35">
        <v>0</v>
      </c>
      <c r="E603" s="28">
        <v>0</v>
      </c>
      <c r="F603" s="35">
        <v>0</v>
      </c>
      <c r="G603" s="35"/>
      <c r="H603" s="35"/>
      <c r="I603" s="35"/>
      <c r="J603" s="35"/>
      <c r="K603" s="35"/>
      <c r="L603" s="35"/>
      <c r="M603" s="35"/>
      <c r="N603" s="188"/>
      <c r="O603" s="188"/>
      <c r="P603" s="23"/>
      <c r="Q603" s="35"/>
      <c r="R603" s="35"/>
      <c r="S603" s="35"/>
    </row>
    <row r="604" spans="1:19" ht="29.25" customHeight="1" x14ac:dyDescent="0.2">
      <c r="A604" s="187">
        <v>0</v>
      </c>
      <c r="B604" s="35">
        <v>0</v>
      </c>
      <c r="C604" s="35">
        <v>0</v>
      </c>
      <c r="D604" s="35">
        <v>0</v>
      </c>
      <c r="E604" s="28">
        <v>0</v>
      </c>
      <c r="F604" s="35">
        <v>0</v>
      </c>
      <c r="G604" s="35"/>
      <c r="H604" s="35"/>
      <c r="I604" s="35"/>
      <c r="J604" s="35"/>
      <c r="K604" s="35"/>
      <c r="L604" s="35"/>
      <c r="M604" s="35"/>
      <c r="N604" s="188"/>
      <c r="O604" s="188"/>
      <c r="P604" s="23"/>
      <c r="Q604" s="35"/>
      <c r="R604" s="35"/>
      <c r="S604" s="35"/>
    </row>
    <row r="605" spans="1:19" ht="29.25" customHeight="1" x14ac:dyDescent="0.2">
      <c r="A605" s="187">
        <v>0</v>
      </c>
      <c r="B605" s="35">
        <v>0</v>
      </c>
      <c r="C605" s="35">
        <v>0</v>
      </c>
      <c r="D605" s="35">
        <v>0</v>
      </c>
      <c r="E605" s="28">
        <v>0</v>
      </c>
      <c r="F605" s="35">
        <v>0</v>
      </c>
      <c r="G605" s="35"/>
      <c r="H605" s="35"/>
      <c r="I605" s="35"/>
      <c r="J605" s="35"/>
      <c r="K605" s="35"/>
      <c r="L605" s="35"/>
      <c r="M605" s="35"/>
      <c r="N605" s="188"/>
      <c r="O605" s="188"/>
      <c r="P605" s="23"/>
      <c r="Q605" s="35"/>
      <c r="R605" s="35"/>
      <c r="S605" s="35"/>
    </row>
    <row r="606" spans="1:19" ht="29.25" customHeight="1" x14ac:dyDescent="0.2">
      <c r="A606" s="187">
        <v>0</v>
      </c>
      <c r="B606" s="35">
        <v>0</v>
      </c>
      <c r="C606" s="35">
        <v>0</v>
      </c>
      <c r="D606" s="35">
        <v>0</v>
      </c>
      <c r="E606" s="28">
        <v>0</v>
      </c>
      <c r="F606" s="35">
        <v>0</v>
      </c>
      <c r="G606" s="35"/>
      <c r="H606" s="35"/>
      <c r="I606" s="35"/>
      <c r="J606" s="35"/>
      <c r="K606" s="35"/>
      <c r="L606" s="35"/>
      <c r="M606" s="35"/>
      <c r="N606" s="188"/>
      <c r="O606" s="188"/>
      <c r="P606" s="23"/>
      <c r="Q606" s="35"/>
      <c r="R606" s="35"/>
      <c r="S606" s="35"/>
    </row>
    <row r="607" spans="1:19" ht="29.25" customHeight="1" x14ac:dyDescent="0.2">
      <c r="A607" s="187">
        <v>0</v>
      </c>
      <c r="B607" s="35">
        <v>0</v>
      </c>
      <c r="C607" s="35">
        <v>0</v>
      </c>
      <c r="D607" s="35">
        <v>0</v>
      </c>
      <c r="E607" s="28">
        <v>0</v>
      </c>
      <c r="F607" s="35">
        <v>0</v>
      </c>
      <c r="G607" s="35"/>
      <c r="H607" s="35"/>
      <c r="I607" s="35"/>
      <c r="J607" s="35"/>
      <c r="K607" s="35"/>
      <c r="L607" s="35"/>
      <c r="M607" s="35"/>
      <c r="N607" s="188"/>
      <c r="O607" s="188"/>
      <c r="P607" s="23"/>
      <c r="Q607" s="35"/>
      <c r="R607" s="35"/>
      <c r="S607" s="35"/>
    </row>
    <row r="608" spans="1:19" ht="29.25" customHeight="1" x14ac:dyDescent="0.2">
      <c r="A608" s="187">
        <v>0</v>
      </c>
      <c r="B608" s="35">
        <v>0</v>
      </c>
      <c r="C608" s="35">
        <v>0</v>
      </c>
      <c r="D608" s="35">
        <v>0</v>
      </c>
      <c r="E608" s="28">
        <v>0</v>
      </c>
      <c r="F608" s="35">
        <v>0</v>
      </c>
      <c r="G608" s="35"/>
      <c r="H608" s="35"/>
      <c r="I608" s="35"/>
      <c r="J608" s="35"/>
      <c r="K608" s="35"/>
      <c r="L608" s="35"/>
      <c r="M608" s="35"/>
      <c r="N608" s="188"/>
      <c r="O608" s="188"/>
      <c r="P608" s="23"/>
      <c r="Q608" s="35"/>
      <c r="R608" s="35"/>
      <c r="S608" s="35"/>
    </row>
    <row r="609" spans="1:19" ht="29.25" customHeight="1" x14ac:dyDescent="0.2">
      <c r="A609" s="187">
        <v>0</v>
      </c>
      <c r="B609" s="35">
        <v>0</v>
      </c>
      <c r="C609" s="35">
        <v>0</v>
      </c>
      <c r="D609" s="35">
        <v>0</v>
      </c>
      <c r="E609" s="28">
        <v>0</v>
      </c>
      <c r="F609" s="35">
        <v>0</v>
      </c>
      <c r="G609" s="35"/>
      <c r="H609" s="35"/>
      <c r="I609" s="35"/>
      <c r="J609" s="35"/>
      <c r="K609" s="35"/>
      <c r="L609" s="35"/>
      <c r="M609" s="35"/>
      <c r="N609" s="188"/>
      <c r="O609" s="188"/>
      <c r="P609" s="23"/>
      <c r="Q609" s="35"/>
      <c r="R609" s="35"/>
      <c r="S609" s="35"/>
    </row>
    <row r="610" spans="1:19" ht="29.25" customHeight="1" x14ac:dyDescent="0.2">
      <c r="A610" s="187">
        <v>0</v>
      </c>
      <c r="B610" s="35">
        <v>0</v>
      </c>
      <c r="C610" s="35">
        <v>0</v>
      </c>
      <c r="D610" s="35">
        <v>0</v>
      </c>
      <c r="E610" s="28">
        <v>0</v>
      </c>
      <c r="F610" s="35">
        <v>0</v>
      </c>
      <c r="G610" s="35"/>
      <c r="H610" s="35"/>
      <c r="I610" s="35"/>
      <c r="J610" s="35"/>
      <c r="K610" s="35"/>
      <c r="L610" s="35"/>
      <c r="M610" s="35"/>
      <c r="N610" s="188"/>
      <c r="O610" s="188"/>
      <c r="P610" s="23"/>
      <c r="Q610" s="35"/>
      <c r="R610" s="35"/>
      <c r="S610" s="35"/>
    </row>
    <row r="611" spans="1:19" ht="29.25" customHeight="1" x14ac:dyDescent="0.2">
      <c r="A611" s="187">
        <v>0</v>
      </c>
      <c r="B611" s="35">
        <v>0</v>
      </c>
      <c r="C611" s="35">
        <v>0</v>
      </c>
      <c r="D611" s="35">
        <v>0</v>
      </c>
      <c r="E611" s="28">
        <v>0</v>
      </c>
      <c r="F611" s="35">
        <v>0</v>
      </c>
      <c r="G611" s="35"/>
      <c r="H611" s="35"/>
      <c r="I611" s="35"/>
      <c r="J611" s="35"/>
      <c r="K611" s="35"/>
      <c r="L611" s="35"/>
      <c r="M611" s="35"/>
      <c r="N611" s="188"/>
      <c r="O611" s="188"/>
      <c r="P611" s="23"/>
      <c r="Q611" s="35"/>
      <c r="R611" s="35"/>
      <c r="S611" s="35"/>
    </row>
    <row r="612" spans="1:19" ht="29.25" customHeight="1" x14ac:dyDescent="0.2">
      <c r="A612" s="187">
        <v>0</v>
      </c>
      <c r="B612" s="35">
        <v>0</v>
      </c>
      <c r="C612" s="35">
        <v>0</v>
      </c>
      <c r="D612" s="35">
        <v>0</v>
      </c>
      <c r="E612" s="28">
        <v>0</v>
      </c>
      <c r="F612" s="35">
        <v>0</v>
      </c>
      <c r="G612" s="35"/>
      <c r="H612" s="35"/>
      <c r="I612" s="35"/>
      <c r="J612" s="35"/>
      <c r="K612" s="35"/>
      <c r="L612" s="35"/>
      <c r="M612" s="35"/>
      <c r="N612" s="188"/>
      <c r="O612" s="188"/>
      <c r="P612" s="23"/>
      <c r="Q612" s="35"/>
      <c r="R612" s="35"/>
      <c r="S612" s="35"/>
    </row>
    <row r="613" spans="1:19" ht="29.25" customHeight="1" x14ac:dyDescent="0.2">
      <c r="A613" s="187">
        <v>0</v>
      </c>
      <c r="B613" s="35">
        <v>0</v>
      </c>
      <c r="C613" s="35">
        <v>0</v>
      </c>
      <c r="D613" s="35">
        <v>0</v>
      </c>
      <c r="E613" s="28">
        <v>0</v>
      </c>
      <c r="F613" s="35">
        <v>0</v>
      </c>
      <c r="G613" s="35"/>
      <c r="H613" s="35"/>
      <c r="I613" s="35"/>
      <c r="J613" s="35"/>
      <c r="K613" s="35"/>
      <c r="L613" s="35"/>
      <c r="M613" s="35"/>
      <c r="N613" s="188"/>
      <c r="O613" s="188"/>
      <c r="P613" s="23"/>
      <c r="Q613" s="35"/>
      <c r="R613" s="35"/>
      <c r="S613" s="35"/>
    </row>
    <row r="614" spans="1:19" ht="29.25" customHeight="1" x14ac:dyDescent="0.2">
      <c r="A614" s="187">
        <v>0</v>
      </c>
      <c r="B614" s="35">
        <v>0</v>
      </c>
      <c r="C614" s="35">
        <v>0</v>
      </c>
      <c r="D614" s="35">
        <v>0</v>
      </c>
      <c r="E614" s="28">
        <v>0</v>
      </c>
      <c r="F614" s="35">
        <v>0</v>
      </c>
      <c r="G614" s="35"/>
      <c r="H614" s="35"/>
      <c r="I614" s="35"/>
      <c r="J614" s="35"/>
      <c r="K614" s="35"/>
      <c r="L614" s="35"/>
      <c r="M614" s="35"/>
      <c r="N614" s="188"/>
      <c r="O614" s="188"/>
      <c r="P614" s="23"/>
      <c r="Q614" s="35"/>
      <c r="R614" s="35"/>
      <c r="S614" s="35"/>
    </row>
    <row r="615" spans="1:19" ht="29.25" customHeight="1" x14ac:dyDescent="0.2">
      <c r="A615" s="187">
        <v>0</v>
      </c>
      <c r="B615" s="35">
        <v>0</v>
      </c>
      <c r="C615" s="35">
        <v>0</v>
      </c>
      <c r="D615" s="35">
        <v>0</v>
      </c>
      <c r="E615" s="28">
        <v>0</v>
      </c>
      <c r="F615" s="35">
        <v>0</v>
      </c>
      <c r="G615" s="35"/>
      <c r="H615" s="35"/>
      <c r="I615" s="35"/>
      <c r="J615" s="35"/>
      <c r="K615" s="35"/>
      <c r="L615" s="35"/>
      <c r="M615" s="35"/>
      <c r="N615" s="188"/>
      <c r="O615" s="188"/>
      <c r="P615" s="23"/>
      <c r="Q615" s="35"/>
      <c r="R615" s="35"/>
      <c r="S615" s="35"/>
    </row>
    <row r="616" spans="1:19" ht="29.25" customHeight="1" x14ac:dyDescent="0.2">
      <c r="A616" s="187">
        <v>0</v>
      </c>
      <c r="B616" s="35">
        <v>0</v>
      </c>
      <c r="C616" s="35">
        <v>0</v>
      </c>
      <c r="D616" s="35">
        <v>0</v>
      </c>
      <c r="E616" s="28">
        <v>0</v>
      </c>
      <c r="F616" s="35">
        <v>0</v>
      </c>
      <c r="G616" s="35"/>
      <c r="H616" s="35"/>
      <c r="I616" s="35"/>
      <c r="J616" s="35"/>
      <c r="K616" s="35"/>
      <c r="L616" s="35"/>
      <c r="M616" s="35"/>
      <c r="N616" s="188"/>
      <c r="O616" s="188"/>
      <c r="P616" s="23"/>
      <c r="Q616" s="35"/>
      <c r="R616" s="35"/>
      <c r="S616" s="35"/>
    </row>
    <row r="617" spans="1:19" ht="29.25" customHeight="1" x14ac:dyDescent="0.2">
      <c r="A617" s="187">
        <v>0</v>
      </c>
      <c r="B617" s="35">
        <v>0</v>
      </c>
      <c r="C617" s="35">
        <v>0</v>
      </c>
      <c r="D617" s="35">
        <v>0</v>
      </c>
      <c r="E617" s="28">
        <v>0</v>
      </c>
      <c r="F617" s="35">
        <v>0</v>
      </c>
      <c r="G617" s="35"/>
      <c r="H617" s="35"/>
      <c r="I617" s="35"/>
      <c r="J617" s="35"/>
      <c r="K617" s="35"/>
      <c r="L617" s="35"/>
      <c r="M617" s="35"/>
      <c r="N617" s="188"/>
      <c r="O617" s="188"/>
      <c r="P617" s="23"/>
      <c r="Q617" s="35"/>
      <c r="R617" s="35"/>
      <c r="S617" s="35"/>
    </row>
    <row r="618" spans="1:19" ht="29.25" customHeight="1" x14ac:dyDescent="0.2">
      <c r="A618" s="187">
        <v>0</v>
      </c>
      <c r="B618" s="35">
        <v>0</v>
      </c>
      <c r="C618" s="35">
        <v>0</v>
      </c>
      <c r="D618" s="35">
        <v>0</v>
      </c>
      <c r="E618" s="28">
        <v>0</v>
      </c>
      <c r="F618" s="35">
        <v>0</v>
      </c>
      <c r="G618" s="35"/>
      <c r="H618" s="35"/>
      <c r="I618" s="35"/>
      <c r="J618" s="35"/>
      <c r="K618" s="35"/>
      <c r="L618" s="35"/>
      <c r="M618" s="35"/>
      <c r="N618" s="188"/>
      <c r="O618" s="188"/>
      <c r="P618" s="23"/>
      <c r="Q618" s="35"/>
      <c r="R618" s="35"/>
      <c r="S618" s="35"/>
    </row>
    <row r="619" spans="1:19" ht="29.25" customHeight="1" x14ac:dyDescent="0.2">
      <c r="A619" s="187">
        <v>0</v>
      </c>
      <c r="B619" s="35">
        <v>0</v>
      </c>
      <c r="C619" s="35">
        <v>0</v>
      </c>
      <c r="D619" s="35">
        <v>0</v>
      </c>
      <c r="E619" s="28">
        <v>0</v>
      </c>
      <c r="F619" s="35">
        <v>0</v>
      </c>
      <c r="G619" s="35"/>
      <c r="H619" s="35"/>
      <c r="I619" s="35"/>
      <c r="J619" s="35"/>
      <c r="K619" s="35"/>
      <c r="L619" s="35"/>
      <c r="M619" s="35"/>
      <c r="N619" s="188"/>
      <c r="O619" s="188"/>
      <c r="P619" s="23"/>
      <c r="Q619" s="35"/>
      <c r="R619" s="35"/>
      <c r="S619" s="35"/>
    </row>
    <row r="620" spans="1:19" ht="29.25" customHeight="1" x14ac:dyDescent="0.2">
      <c r="A620" s="187">
        <v>0</v>
      </c>
      <c r="B620" s="35">
        <v>0</v>
      </c>
      <c r="C620" s="35">
        <v>0</v>
      </c>
      <c r="D620" s="35">
        <v>0</v>
      </c>
      <c r="E620" s="28">
        <v>0</v>
      </c>
      <c r="F620" s="35">
        <v>0</v>
      </c>
      <c r="G620" s="35"/>
      <c r="H620" s="35"/>
      <c r="I620" s="35"/>
      <c r="J620" s="35"/>
      <c r="K620" s="35"/>
      <c r="L620" s="35"/>
      <c r="M620" s="35"/>
      <c r="N620" s="188"/>
      <c r="O620" s="188"/>
      <c r="P620" s="23"/>
      <c r="Q620" s="35"/>
      <c r="R620" s="35"/>
      <c r="S620" s="35"/>
    </row>
    <row r="621" spans="1:19" ht="29.25" customHeight="1" x14ac:dyDescent="0.2">
      <c r="A621" s="187">
        <v>0</v>
      </c>
      <c r="B621" s="35">
        <v>0</v>
      </c>
      <c r="C621" s="35">
        <v>0</v>
      </c>
      <c r="D621" s="35">
        <v>0</v>
      </c>
      <c r="E621" s="28">
        <v>0</v>
      </c>
      <c r="F621" s="35">
        <v>0</v>
      </c>
      <c r="G621" s="35"/>
      <c r="H621" s="35"/>
      <c r="I621" s="35"/>
      <c r="J621" s="35"/>
      <c r="K621" s="35"/>
      <c r="L621" s="35"/>
      <c r="M621" s="35"/>
      <c r="N621" s="188"/>
      <c r="O621" s="188"/>
      <c r="P621" s="23"/>
      <c r="Q621" s="35"/>
      <c r="R621" s="35"/>
      <c r="S621" s="35"/>
    </row>
    <row r="622" spans="1:19" ht="29.25" customHeight="1" x14ac:dyDescent="0.2">
      <c r="A622" s="187">
        <v>0</v>
      </c>
      <c r="B622" s="35">
        <v>0</v>
      </c>
      <c r="C622" s="35">
        <v>0</v>
      </c>
      <c r="D622" s="35">
        <v>0</v>
      </c>
      <c r="E622" s="28">
        <v>0</v>
      </c>
      <c r="F622" s="35">
        <v>0</v>
      </c>
      <c r="G622" s="35"/>
      <c r="H622" s="35"/>
      <c r="I622" s="35"/>
      <c r="J622" s="35"/>
      <c r="K622" s="35"/>
      <c r="L622" s="35"/>
      <c r="M622" s="35"/>
      <c r="N622" s="188"/>
      <c r="O622" s="188"/>
      <c r="P622" s="23"/>
      <c r="Q622" s="35"/>
      <c r="R622" s="35"/>
      <c r="S622" s="35"/>
    </row>
    <row r="623" spans="1:19" ht="29.25" customHeight="1" x14ac:dyDescent="0.2">
      <c r="A623" s="187">
        <v>0</v>
      </c>
      <c r="B623" s="35">
        <v>0</v>
      </c>
      <c r="C623" s="35">
        <v>0</v>
      </c>
      <c r="D623" s="35">
        <v>0</v>
      </c>
      <c r="E623" s="28">
        <v>0</v>
      </c>
      <c r="F623" s="35">
        <v>0</v>
      </c>
      <c r="G623" s="35"/>
      <c r="H623" s="35"/>
      <c r="I623" s="35"/>
      <c r="J623" s="35"/>
      <c r="K623" s="35"/>
      <c r="L623" s="35"/>
      <c r="M623" s="35"/>
      <c r="N623" s="188"/>
      <c r="O623" s="188"/>
      <c r="P623" s="23"/>
      <c r="Q623" s="35"/>
      <c r="R623" s="35"/>
      <c r="S623" s="35"/>
    </row>
    <row r="624" spans="1:19" ht="29.25" customHeight="1" x14ac:dyDescent="0.2">
      <c r="A624" s="187">
        <v>0</v>
      </c>
      <c r="B624" s="35">
        <v>0</v>
      </c>
      <c r="C624" s="35">
        <v>0</v>
      </c>
      <c r="D624" s="35">
        <v>0</v>
      </c>
      <c r="E624" s="28">
        <v>0</v>
      </c>
      <c r="F624" s="35">
        <v>0</v>
      </c>
      <c r="G624" s="35"/>
      <c r="H624" s="35"/>
      <c r="I624" s="35"/>
      <c r="J624" s="35"/>
      <c r="K624" s="35"/>
      <c r="L624" s="35"/>
      <c r="M624" s="35"/>
      <c r="N624" s="188"/>
      <c r="O624" s="188"/>
      <c r="P624" s="23"/>
      <c r="Q624" s="35"/>
      <c r="R624" s="35"/>
      <c r="S624" s="35"/>
    </row>
    <row r="625" spans="1:19" ht="29.25" customHeight="1" x14ac:dyDescent="0.2">
      <c r="A625" s="187">
        <v>0</v>
      </c>
      <c r="B625" s="35">
        <v>0</v>
      </c>
      <c r="C625" s="35">
        <v>0</v>
      </c>
      <c r="D625" s="35">
        <v>0</v>
      </c>
      <c r="E625" s="28">
        <v>0</v>
      </c>
      <c r="F625" s="35">
        <v>0</v>
      </c>
      <c r="G625" s="35"/>
      <c r="H625" s="35"/>
      <c r="I625" s="35"/>
      <c r="J625" s="35"/>
      <c r="K625" s="35"/>
      <c r="L625" s="35"/>
      <c r="M625" s="35"/>
      <c r="N625" s="188"/>
      <c r="O625" s="188"/>
      <c r="P625" s="23"/>
      <c r="Q625" s="35"/>
      <c r="R625" s="35"/>
      <c r="S625" s="35"/>
    </row>
    <row r="626" spans="1:19" ht="29.25" customHeight="1" x14ac:dyDescent="0.2">
      <c r="A626" s="187">
        <v>0</v>
      </c>
      <c r="B626" s="35">
        <v>0</v>
      </c>
      <c r="C626" s="35">
        <v>0</v>
      </c>
      <c r="D626" s="35">
        <v>0</v>
      </c>
      <c r="E626" s="28">
        <v>0</v>
      </c>
      <c r="F626" s="35">
        <v>0</v>
      </c>
      <c r="G626" s="35"/>
      <c r="H626" s="35"/>
      <c r="I626" s="35"/>
      <c r="J626" s="35"/>
      <c r="K626" s="35"/>
      <c r="L626" s="35"/>
      <c r="M626" s="35"/>
      <c r="N626" s="188"/>
      <c r="O626" s="188"/>
      <c r="P626" s="23"/>
      <c r="Q626" s="35"/>
      <c r="R626" s="35"/>
      <c r="S626" s="35"/>
    </row>
    <row r="627" spans="1:19" ht="29.25" customHeight="1" x14ac:dyDescent="0.2">
      <c r="A627" s="187">
        <v>0</v>
      </c>
      <c r="B627" s="35">
        <v>0</v>
      </c>
      <c r="C627" s="35">
        <v>0</v>
      </c>
      <c r="D627" s="35">
        <v>0</v>
      </c>
      <c r="E627" s="28">
        <v>0</v>
      </c>
      <c r="F627" s="35">
        <v>0</v>
      </c>
      <c r="G627" s="35"/>
      <c r="H627" s="35"/>
      <c r="I627" s="35"/>
      <c r="J627" s="35"/>
      <c r="K627" s="35"/>
      <c r="L627" s="35"/>
      <c r="M627" s="35"/>
      <c r="N627" s="188"/>
      <c r="O627" s="188"/>
      <c r="P627" s="23"/>
      <c r="Q627" s="35"/>
      <c r="R627" s="35"/>
      <c r="S627" s="35"/>
    </row>
    <row r="628" spans="1:19" ht="29.25" customHeight="1" x14ac:dyDescent="0.2">
      <c r="A628" s="187">
        <v>0</v>
      </c>
      <c r="B628" s="35">
        <v>0</v>
      </c>
      <c r="C628" s="35">
        <v>0</v>
      </c>
      <c r="D628" s="35">
        <v>0</v>
      </c>
      <c r="E628" s="28">
        <v>0</v>
      </c>
      <c r="F628" s="35">
        <v>0</v>
      </c>
      <c r="G628" s="35"/>
      <c r="H628" s="35"/>
      <c r="I628" s="35"/>
      <c r="J628" s="35"/>
      <c r="K628" s="35"/>
      <c r="L628" s="35"/>
      <c r="M628" s="35"/>
      <c r="N628" s="188"/>
      <c r="O628" s="188"/>
      <c r="P628" s="23"/>
      <c r="Q628" s="35"/>
      <c r="R628" s="35"/>
      <c r="S628" s="35"/>
    </row>
    <row r="629" spans="1:19" ht="29.25" customHeight="1" x14ac:dyDescent="0.2">
      <c r="A629" s="187">
        <v>0</v>
      </c>
      <c r="B629" s="35">
        <v>0</v>
      </c>
      <c r="C629" s="35">
        <v>0</v>
      </c>
      <c r="D629" s="35">
        <v>0</v>
      </c>
      <c r="E629" s="28">
        <v>0</v>
      </c>
      <c r="F629" s="35">
        <v>0</v>
      </c>
      <c r="G629" s="35"/>
      <c r="H629" s="35"/>
      <c r="I629" s="35"/>
      <c r="J629" s="35"/>
      <c r="K629" s="35"/>
      <c r="L629" s="35"/>
      <c r="M629" s="35"/>
      <c r="N629" s="188"/>
      <c r="O629" s="188"/>
      <c r="P629" s="23"/>
      <c r="Q629" s="35"/>
      <c r="R629" s="35"/>
      <c r="S629" s="35"/>
    </row>
    <row r="630" spans="1:19" ht="29.25" customHeight="1" x14ac:dyDescent="0.2">
      <c r="A630" s="187">
        <v>0</v>
      </c>
      <c r="B630" s="35">
        <v>0</v>
      </c>
      <c r="C630" s="35">
        <v>0</v>
      </c>
      <c r="D630" s="35">
        <v>0</v>
      </c>
      <c r="E630" s="28">
        <v>0</v>
      </c>
      <c r="F630" s="35">
        <v>0</v>
      </c>
      <c r="G630" s="35"/>
      <c r="H630" s="35"/>
      <c r="I630" s="35"/>
      <c r="J630" s="35"/>
      <c r="K630" s="35"/>
      <c r="L630" s="35"/>
      <c r="M630" s="35"/>
      <c r="N630" s="188"/>
      <c r="O630" s="188"/>
      <c r="P630" s="23"/>
      <c r="Q630" s="35"/>
      <c r="R630" s="35"/>
      <c r="S630" s="35"/>
    </row>
    <row r="631" spans="1:19" ht="29.25" customHeight="1" x14ac:dyDescent="0.2">
      <c r="A631" s="187">
        <v>0</v>
      </c>
      <c r="B631" s="35">
        <v>0</v>
      </c>
      <c r="C631" s="35">
        <v>0</v>
      </c>
      <c r="D631" s="35">
        <v>0</v>
      </c>
      <c r="E631" s="28">
        <v>0</v>
      </c>
      <c r="F631" s="35">
        <v>0</v>
      </c>
      <c r="G631" s="35"/>
      <c r="H631" s="35"/>
      <c r="I631" s="35"/>
      <c r="J631" s="35"/>
      <c r="K631" s="35"/>
      <c r="L631" s="35"/>
      <c r="M631" s="35"/>
      <c r="N631" s="188"/>
      <c r="O631" s="188"/>
      <c r="P631" s="23"/>
      <c r="Q631" s="35"/>
      <c r="R631" s="35"/>
      <c r="S631" s="35"/>
    </row>
    <row r="632" spans="1:19" ht="29.25" customHeight="1" x14ac:dyDescent="0.2">
      <c r="A632" s="187">
        <v>0</v>
      </c>
      <c r="B632" s="35">
        <v>0</v>
      </c>
      <c r="C632" s="35">
        <v>0</v>
      </c>
      <c r="D632" s="35">
        <v>0</v>
      </c>
      <c r="E632" s="28">
        <v>0</v>
      </c>
      <c r="F632" s="35">
        <v>0</v>
      </c>
      <c r="G632" s="35"/>
      <c r="H632" s="35"/>
      <c r="I632" s="35"/>
      <c r="J632" s="35"/>
      <c r="K632" s="35"/>
      <c r="L632" s="35"/>
      <c r="M632" s="35"/>
      <c r="N632" s="188"/>
      <c r="O632" s="188"/>
      <c r="P632" s="23"/>
      <c r="Q632" s="35"/>
      <c r="R632" s="35"/>
      <c r="S632" s="35"/>
    </row>
    <row r="633" spans="1:19" ht="29.25" customHeight="1" x14ac:dyDescent="0.2">
      <c r="A633" s="187">
        <v>0</v>
      </c>
      <c r="B633" s="35">
        <v>0</v>
      </c>
      <c r="C633" s="35">
        <v>0</v>
      </c>
      <c r="D633" s="35">
        <v>0</v>
      </c>
      <c r="E633" s="28">
        <v>0</v>
      </c>
      <c r="F633" s="35">
        <v>0</v>
      </c>
      <c r="G633" s="35"/>
      <c r="H633" s="35"/>
      <c r="I633" s="35"/>
      <c r="J633" s="35"/>
      <c r="K633" s="35"/>
      <c r="L633" s="35"/>
      <c r="M633" s="35"/>
      <c r="N633" s="188"/>
      <c r="O633" s="188"/>
      <c r="P633" s="23"/>
      <c r="Q633" s="35"/>
      <c r="R633" s="35"/>
      <c r="S633" s="35"/>
    </row>
    <row r="634" spans="1:19" ht="29.25" customHeight="1" x14ac:dyDescent="0.2">
      <c r="A634" s="187">
        <v>0</v>
      </c>
      <c r="B634" s="35">
        <v>0</v>
      </c>
      <c r="C634" s="35">
        <v>0</v>
      </c>
      <c r="D634" s="35">
        <v>0</v>
      </c>
      <c r="E634" s="28">
        <v>0</v>
      </c>
      <c r="F634" s="35">
        <v>0</v>
      </c>
      <c r="G634" s="35"/>
      <c r="H634" s="35"/>
      <c r="I634" s="35"/>
      <c r="J634" s="35"/>
      <c r="K634" s="35"/>
      <c r="L634" s="35"/>
      <c r="M634" s="35"/>
      <c r="N634" s="188"/>
      <c r="O634" s="188"/>
      <c r="P634" s="23"/>
      <c r="Q634" s="35"/>
      <c r="R634" s="35"/>
      <c r="S634" s="35"/>
    </row>
    <row r="635" spans="1:19" ht="29.25" customHeight="1" x14ac:dyDescent="0.2">
      <c r="A635" s="187">
        <v>0</v>
      </c>
      <c r="B635" s="35">
        <v>0</v>
      </c>
      <c r="C635" s="35">
        <v>0</v>
      </c>
      <c r="D635" s="35">
        <v>0</v>
      </c>
      <c r="E635" s="28">
        <v>0</v>
      </c>
      <c r="F635" s="35">
        <v>0</v>
      </c>
      <c r="G635" s="35"/>
      <c r="H635" s="35"/>
      <c r="I635" s="35"/>
      <c r="J635" s="35"/>
      <c r="K635" s="35"/>
      <c r="L635" s="35"/>
      <c r="M635" s="35"/>
      <c r="N635" s="188"/>
      <c r="O635" s="188"/>
      <c r="P635" s="23"/>
      <c r="Q635" s="35"/>
      <c r="R635" s="35"/>
      <c r="S635" s="35"/>
    </row>
    <row r="636" spans="1:19" ht="29.25" customHeight="1" x14ac:dyDescent="0.2">
      <c r="A636" s="187">
        <v>0</v>
      </c>
      <c r="B636" s="35">
        <v>0</v>
      </c>
      <c r="C636" s="35">
        <v>0</v>
      </c>
      <c r="D636" s="35">
        <v>0</v>
      </c>
      <c r="E636" s="28">
        <v>0</v>
      </c>
      <c r="F636" s="35">
        <v>0</v>
      </c>
      <c r="G636" s="35"/>
      <c r="H636" s="35"/>
      <c r="I636" s="35"/>
      <c r="J636" s="35"/>
      <c r="K636" s="35"/>
      <c r="L636" s="35"/>
      <c r="M636" s="35"/>
      <c r="N636" s="188"/>
      <c r="O636" s="188"/>
      <c r="P636" s="23"/>
      <c r="Q636" s="35"/>
      <c r="R636" s="35"/>
      <c r="S636" s="35"/>
    </row>
    <row r="637" spans="1:19" ht="29.25" customHeight="1" x14ac:dyDescent="0.2">
      <c r="A637" s="187">
        <v>0</v>
      </c>
      <c r="B637" s="35">
        <v>0</v>
      </c>
      <c r="C637" s="35">
        <v>0</v>
      </c>
      <c r="D637" s="35">
        <v>0</v>
      </c>
      <c r="E637" s="28">
        <v>0</v>
      </c>
      <c r="F637" s="35">
        <v>0</v>
      </c>
      <c r="G637" s="35"/>
      <c r="H637" s="35"/>
      <c r="I637" s="35"/>
      <c r="J637" s="35"/>
      <c r="K637" s="35"/>
      <c r="L637" s="35"/>
      <c r="M637" s="35"/>
      <c r="N637" s="188"/>
      <c r="O637" s="188"/>
      <c r="P637" s="23"/>
      <c r="Q637" s="35"/>
      <c r="R637" s="35"/>
      <c r="S637" s="35"/>
    </row>
    <row r="638" spans="1:19" ht="29.25" customHeight="1" x14ac:dyDescent="0.2">
      <c r="A638" s="187">
        <v>0</v>
      </c>
      <c r="B638" s="35">
        <v>0</v>
      </c>
      <c r="C638" s="35">
        <v>0</v>
      </c>
      <c r="D638" s="35">
        <v>0</v>
      </c>
      <c r="E638" s="28">
        <v>0</v>
      </c>
      <c r="F638" s="35">
        <v>0</v>
      </c>
      <c r="G638" s="35"/>
      <c r="H638" s="35"/>
      <c r="I638" s="35"/>
      <c r="J638" s="35"/>
      <c r="K638" s="35"/>
      <c r="L638" s="35"/>
      <c r="M638" s="35"/>
      <c r="N638" s="188"/>
      <c r="O638" s="188"/>
      <c r="P638" s="23"/>
      <c r="Q638" s="35"/>
      <c r="R638" s="35"/>
      <c r="S638" s="35"/>
    </row>
    <row r="639" spans="1:19" ht="29.25" customHeight="1" x14ac:dyDescent="0.2">
      <c r="A639" s="187">
        <v>0</v>
      </c>
      <c r="B639" s="35">
        <v>0</v>
      </c>
      <c r="C639" s="35">
        <v>0</v>
      </c>
      <c r="D639" s="35">
        <v>0</v>
      </c>
      <c r="E639" s="28">
        <v>0</v>
      </c>
      <c r="F639" s="35">
        <v>0</v>
      </c>
      <c r="G639" s="35"/>
      <c r="H639" s="35"/>
      <c r="I639" s="35"/>
      <c r="J639" s="35"/>
      <c r="K639" s="35"/>
      <c r="L639" s="35"/>
      <c r="M639" s="35"/>
      <c r="N639" s="188"/>
      <c r="O639" s="188"/>
      <c r="P639" s="23"/>
      <c r="Q639" s="35"/>
      <c r="R639" s="35"/>
      <c r="S639" s="35"/>
    </row>
    <row r="640" spans="1:19" ht="29.25" customHeight="1" x14ac:dyDescent="0.2">
      <c r="A640" s="187">
        <v>0</v>
      </c>
      <c r="B640" s="35">
        <v>0</v>
      </c>
      <c r="C640" s="35">
        <v>0</v>
      </c>
      <c r="D640" s="35">
        <v>0</v>
      </c>
      <c r="E640" s="28">
        <v>0</v>
      </c>
      <c r="F640" s="35">
        <v>0</v>
      </c>
      <c r="G640" s="35"/>
      <c r="H640" s="35"/>
      <c r="I640" s="35"/>
      <c r="J640" s="35"/>
      <c r="K640" s="35"/>
      <c r="L640" s="35"/>
      <c r="M640" s="35"/>
      <c r="N640" s="188"/>
      <c r="O640" s="188"/>
      <c r="P640" s="23"/>
      <c r="Q640" s="35"/>
      <c r="R640" s="35"/>
      <c r="S640" s="35"/>
    </row>
    <row r="641" spans="1:19" ht="29.25" customHeight="1" x14ac:dyDescent="0.2">
      <c r="A641" s="187">
        <v>0</v>
      </c>
      <c r="B641" s="35">
        <v>0</v>
      </c>
      <c r="C641" s="35">
        <v>0</v>
      </c>
      <c r="D641" s="35">
        <v>0</v>
      </c>
      <c r="E641" s="28">
        <v>0</v>
      </c>
      <c r="F641" s="35">
        <v>0</v>
      </c>
      <c r="G641" s="35"/>
      <c r="H641" s="35"/>
      <c r="I641" s="35"/>
      <c r="J641" s="35"/>
      <c r="K641" s="35"/>
      <c r="L641" s="35"/>
      <c r="M641" s="35"/>
      <c r="N641" s="188"/>
      <c r="O641" s="188"/>
      <c r="P641" s="23"/>
      <c r="Q641" s="35"/>
      <c r="R641" s="35"/>
      <c r="S641" s="35"/>
    </row>
    <row r="642" spans="1:19" ht="29.25" customHeight="1" x14ac:dyDescent="0.2">
      <c r="A642" s="187">
        <v>0</v>
      </c>
      <c r="B642" s="35">
        <v>0</v>
      </c>
      <c r="C642" s="35">
        <v>0</v>
      </c>
      <c r="D642" s="35">
        <v>0</v>
      </c>
      <c r="E642" s="28">
        <v>0</v>
      </c>
      <c r="F642" s="35">
        <v>0</v>
      </c>
      <c r="G642" s="35"/>
      <c r="H642" s="35"/>
      <c r="I642" s="35"/>
      <c r="J642" s="35"/>
      <c r="K642" s="35"/>
      <c r="L642" s="35"/>
      <c r="M642" s="35"/>
      <c r="N642" s="188"/>
      <c r="O642" s="188"/>
      <c r="P642" s="23"/>
      <c r="Q642" s="35"/>
      <c r="R642" s="35"/>
      <c r="S642" s="35"/>
    </row>
    <row r="643" spans="1:19" ht="29.25" customHeight="1" x14ac:dyDescent="0.2">
      <c r="A643" s="187">
        <v>0</v>
      </c>
      <c r="B643" s="35">
        <v>0</v>
      </c>
      <c r="C643" s="35">
        <v>0</v>
      </c>
      <c r="D643" s="35">
        <v>0</v>
      </c>
      <c r="E643" s="28">
        <v>0</v>
      </c>
      <c r="F643" s="35">
        <v>0</v>
      </c>
      <c r="G643" s="35"/>
      <c r="H643" s="35"/>
      <c r="I643" s="35"/>
      <c r="J643" s="35"/>
      <c r="K643" s="35"/>
      <c r="L643" s="35"/>
      <c r="M643" s="35"/>
      <c r="N643" s="188"/>
      <c r="O643" s="188"/>
      <c r="P643" s="23"/>
      <c r="Q643" s="35"/>
      <c r="R643" s="35"/>
      <c r="S643" s="35"/>
    </row>
    <row r="644" spans="1:19" ht="29.25" customHeight="1" x14ac:dyDescent="0.2">
      <c r="A644" s="187">
        <v>0</v>
      </c>
      <c r="B644" s="35">
        <v>0</v>
      </c>
      <c r="C644" s="35">
        <v>0</v>
      </c>
      <c r="D644" s="35">
        <v>0</v>
      </c>
      <c r="E644" s="28">
        <v>0</v>
      </c>
      <c r="F644" s="35">
        <v>0</v>
      </c>
      <c r="G644" s="35"/>
      <c r="H644" s="35"/>
      <c r="I644" s="35"/>
      <c r="J644" s="35"/>
      <c r="K644" s="35"/>
      <c r="L644" s="35"/>
      <c r="M644" s="35"/>
      <c r="N644" s="188"/>
      <c r="O644" s="188"/>
      <c r="P644" s="23"/>
      <c r="Q644" s="35"/>
      <c r="R644" s="35"/>
      <c r="S644" s="35"/>
    </row>
    <row r="645" spans="1:19" ht="29.25" customHeight="1" x14ac:dyDescent="0.2">
      <c r="A645" s="187">
        <v>0</v>
      </c>
      <c r="B645" s="35">
        <v>0</v>
      </c>
      <c r="C645" s="35">
        <v>0</v>
      </c>
      <c r="D645" s="35">
        <v>0</v>
      </c>
      <c r="E645" s="28">
        <v>0</v>
      </c>
      <c r="F645" s="35">
        <v>0</v>
      </c>
      <c r="G645" s="35"/>
      <c r="H645" s="35"/>
      <c r="I645" s="35"/>
      <c r="J645" s="35"/>
      <c r="K645" s="35"/>
      <c r="L645" s="35"/>
      <c r="M645" s="35"/>
      <c r="N645" s="188"/>
      <c r="O645" s="188"/>
      <c r="P645" s="23"/>
      <c r="Q645" s="35"/>
      <c r="R645" s="35"/>
      <c r="S645" s="35"/>
    </row>
    <row r="646" spans="1:19" ht="29.25" customHeight="1" x14ac:dyDescent="0.2">
      <c r="A646" s="187">
        <v>0</v>
      </c>
      <c r="B646" s="35">
        <v>0</v>
      </c>
      <c r="C646" s="35">
        <v>0</v>
      </c>
      <c r="D646" s="35">
        <v>0</v>
      </c>
      <c r="E646" s="28">
        <v>0</v>
      </c>
      <c r="F646" s="35">
        <v>0</v>
      </c>
      <c r="G646" s="35"/>
      <c r="H646" s="35"/>
      <c r="I646" s="35"/>
      <c r="J646" s="35"/>
      <c r="K646" s="35"/>
      <c r="L646" s="35"/>
      <c r="M646" s="35"/>
      <c r="N646" s="188"/>
      <c r="O646" s="188"/>
      <c r="P646" s="23"/>
      <c r="Q646" s="35"/>
      <c r="R646" s="35"/>
      <c r="S646" s="35"/>
    </row>
    <row r="647" spans="1:19" ht="29.25" customHeight="1" x14ac:dyDescent="0.2">
      <c r="A647" s="187">
        <v>0</v>
      </c>
      <c r="B647" s="35">
        <v>0</v>
      </c>
      <c r="C647" s="35">
        <v>0</v>
      </c>
      <c r="D647" s="35">
        <v>0</v>
      </c>
      <c r="E647" s="28">
        <v>0</v>
      </c>
      <c r="F647" s="35">
        <v>0</v>
      </c>
      <c r="G647" s="35"/>
      <c r="H647" s="35"/>
      <c r="I647" s="35"/>
      <c r="J647" s="35"/>
      <c r="K647" s="35"/>
      <c r="L647" s="35"/>
      <c r="M647" s="35"/>
      <c r="N647" s="188"/>
      <c r="O647" s="188"/>
      <c r="P647" s="23"/>
      <c r="Q647" s="35"/>
      <c r="R647" s="35"/>
      <c r="S647" s="35"/>
    </row>
    <row r="648" spans="1:19" ht="29.25" customHeight="1" x14ac:dyDescent="0.2">
      <c r="A648" s="187">
        <v>0</v>
      </c>
      <c r="B648" s="35">
        <v>0</v>
      </c>
      <c r="C648" s="35">
        <v>0</v>
      </c>
      <c r="D648" s="35">
        <v>0</v>
      </c>
      <c r="E648" s="28">
        <v>0</v>
      </c>
      <c r="F648" s="35">
        <v>0</v>
      </c>
      <c r="G648" s="35"/>
      <c r="H648" s="35"/>
      <c r="I648" s="35"/>
      <c r="J648" s="35"/>
      <c r="K648" s="35"/>
      <c r="L648" s="35"/>
      <c r="M648" s="35"/>
      <c r="N648" s="188"/>
      <c r="O648" s="188"/>
      <c r="P648" s="23"/>
      <c r="Q648" s="35"/>
      <c r="R648" s="35"/>
      <c r="S648" s="35"/>
    </row>
    <row r="649" spans="1:19" ht="29.25" customHeight="1" x14ac:dyDescent="0.2">
      <c r="A649" s="187">
        <v>0</v>
      </c>
      <c r="B649" s="35">
        <v>0</v>
      </c>
      <c r="C649" s="35">
        <v>0</v>
      </c>
      <c r="D649" s="35">
        <v>0</v>
      </c>
      <c r="E649" s="28">
        <v>0</v>
      </c>
      <c r="F649" s="35">
        <v>0</v>
      </c>
      <c r="G649" s="35"/>
      <c r="H649" s="35"/>
      <c r="I649" s="35"/>
      <c r="J649" s="35"/>
      <c r="K649" s="35"/>
      <c r="L649" s="35"/>
      <c r="M649" s="35"/>
      <c r="N649" s="188"/>
      <c r="O649" s="188"/>
      <c r="P649" s="23"/>
      <c r="Q649" s="35"/>
      <c r="R649" s="35"/>
      <c r="S649" s="35"/>
    </row>
    <row r="650" spans="1:19" ht="29.25" customHeight="1" x14ac:dyDescent="0.2">
      <c r="A650" s="187">
        <v>0</v>
      </c>
      <c r="B650" s="35">
        <v>0</v>
      </c>
      <c r="C650" s="35">
        <v>0</v>
      </c>
      <c r="D650" s="35">
        <v>0</v>
      </c>
      <c r="E650" s="28">
        <v>0</v>
      </c>
      <c r="F650" s="35">
        <v>0</v>
      </c>
      <c r="G650" s="35"/>
      <c r="H650" s="35"/>
      <c r="I650" s="35"/>
      <c r="J650" s="35"/>
      <c r="K650" s="35"/>
      <c r="L650" s="35"/>
      <c r="M650" s="35"/>
      <c r="N650" s="188"/>
      <c r="O650" s="188"/>
      <c r="P650" s="23"/>
      <c r="Q650" s="35"/>
      <c r="R650" s="35"/>
      <c r="S650" s="35"/>
    </row>
    <row r="651" spans="1:19" ht="29.25" customHeight="1" x14ac:dyDescent="0.2">
      <c r="A651" s="187">
        <v>0</v>
      </c>
      <c r="B651" s="35">
        <v>0</v>
      </c>
      <c r="C651" s="35">
        <v>0</v>
      </c>
      <c r="D651" s="35">
        <v>0</v>
      </c>
      <c r="E651" s="28">
        <v>0</v>
      </c>
      <c r="F651" s="35">
        <v>0</v>
      </c>
      <c r="G651" s="35"/>
      <c r="H651" s="35"/>
      <c r="I651" s="35"/>
      <c r="J651" s="35"/>
      <c r="K651" s="35"/>
      <c r="L651" s="35"/>
      <c r="M651" s="35"/>
      <c r="N651" s="188"/>
      <c r="O651" s="188"/>
      <c r="P651" s="23"/>
      <c r="Q651" s="35"/>
      <c r="R651" s="35"/>
      <c r="S651" s="35"/>
    </row>
    <row r="652" spans="1:19" ht="29.25" customHeight="1" x14ac:dyDescent="0.2">
      <c r="A652" s="187">
        <v>0</v>
      </c>
      <c r="B652" s="35">
        <v>0</v>
      </c>
      <c r="C652" s="35">
        <v>0</v>
      </c>
      <c r="D652" s="35">
        <v>0</v>
      </c>
      <c r="E652" s="28">
        <v>0</v>
      </c>
      <c r="F652" s="35">
        <v>0</v>
      </c>
      <c r="G652" s="35"/>
      <c r="H652" s="35"/>
      <c r="I652" s="35"/>
      <c r="J652" s="35"/>
      <c r="K652" s="35"/>
      <c r="L652" s="35"/>
      <c r="M652" s="35"/>
      <c r="N652" s="188"/>
      <c r="O652" s="188"/>
      <c r="P652" s="23"/>
      <c r="Q652" s="35"/>
      <c r="R652" s="35"/>
      <c r="S652" s="35"/>
    </row>
    <row r="653" spans="1:19" ht="29.25" customHeight="1" x14ac:dyDescent="0.2">
      <c r="A653" s="187">
        <v>0</v>
      </c>
      <c r="B653" s="35">
        <v>0</v>
      </c>
      <c r="C653" s="35">
        <v>0</v>
      </c>
      <c r="D653" s="35">
        <v>0</v>
      </c>
      <c r="E653" s="28">
        <v>0</v>
      </c>
      <c r="F653" s="35">
        <v>0</v>
      </c>
      <c r="G653" s="35"/>
      <c r="H653" s="35"/>
      <c r="I653" s="35"/>
      <c r="J653" s="35"/>
      <c r="K653" s="35"/>
      <c r="L653" s="35"/>
      <c r="M653" s="35"/>
      <c r="N653" s="188"/>
      <c r="O653" s="188"/>
      <c r="P653" s="23"/>
      <c r="Q653" s="35"/>
      <c r="R653" s="35"/>
      <c r="S653" s="35"/>
    </row>
    <row r="654" spans="1:19" ht="29.25" customHeight="1" x14ac:dyDescent="0.2">
      <c r="A654" s="187">
        <v>0</v>
      </c>
      <c r="B654" s="35">
        <v>0</v>
      </c>
      <c r="C654" s="35">
        <v>0</v>
      </c>
      <c r="D654" s="35">
        <v>0</v>
      </c>
      <c r="E654" s="28">
        <v>0</v>
      </c>
      <c r="F654" s="35">
        <v>0</v>
      </c>
      <c r="G654" s="35"/>
      <c r="H654" s="35"/>
      <c r="I654" s="35"/>
      <c r="J654" s="35"/>
      <c r="K654" s="35"/>
      <c r="L654" s="35"/>
      <c r="M654" s="35"/>
      <c r="N654" s="188"/>
      <c r="O654" s="188"/>
      <c r="P654" s="23"/>
      <c r="Q654" s="35"/>
      <c r="R654" s="35"/>
      <c r="S654" s="35"/>
    </row>
    <row r="655" spans="1:19" ht="29.25" customHeight="1" x14ac:dyDescent="0.2">
      <c r="A655" s="187">
        <v>0</v>
      </c>
      <c r="B655" s="35">
        <v>0</v>
      </c>
      <c r="C655" s="35">
        <v>0</v>
      </c>
      <c r="D655" s="35">
        <v>0</v>
      </c>
      <c r="E655" s="28">
        <v>0</v>
      </c>
      <c r="F655" s="35">
        <v>0</v>
      </c>
      <c r="G655" s="35"/>
      <c r="H655" s="35"/>
      <c r="I655" s="35"/>
      <c r="J655" s="35"/>
      <c r="K655" s="35"/>
      <c r="L655" s="35"/>
      <c r="M655" s="35"/>
      <c r="N655" s="188"/>
      <c r="O655" s="188"/>
      <c r="P655" s="23"/>
      <c r="Q655" s="35"/>
      <c r="R655" s="35"/>
      <c r="S655" s="35"/>
    </row>
    <row r="656" spans="1:19" ht="29.25" customHeight="1" x14ac:dyDescent="0.2">
      <c r="A656" s="187">
        <v>0</v>
      </c>
      <c r="B656" s="35">
        <v>0</v>
      </c>
      <c r="C656" s="35">
        <v>0</v>
      </c>
      <c r="D656" s="35">
        <v>0</v>
      </c>
      <c r="E656" s="28">
        <v>0</v>
      </c>
      <c r="F656" s="35">
        <v>0</v>
      </c>
      <c r="G656" s="35"/>
      <c r="H656" s="35"/>
      <c r="I656" s="35"/>
      <c r="J656" s="35"/>
      <c r="K656" s="35"/>
      <c r="L656" s="35"/>
      <c r="M656" s="35"/>
      <c r="N656" s="188"/>
      <c r="O656" s="188"/>
      <c r="P656" s="23"/>
      <c r="Q656" s="35"/>
      <c r="R656" s="35"/>
      <c r="S656" s="35"/>
    </row>
    <row r="657" spans="1:19" ht="29.25" customHeight="1" x14ac:dyDescent="0.2">
      <c r="A657" s="187">
        <v>0</v>
      </c>
      <c r="B657" s="35">
        <v>0</v>
      </c>
      <c r="C657" s="35">
        <v>0</v>
      </c>
      <c r="D657" s="35">
        <v>0</v>
      </c>
      <c r="E657" s="28">
        <v>0</v>
      </c>
      <c r="F657" s="35">
        <v>0</v>
      </c>
      <c r="G657" s="35"/>
      <c r="H657" s="35"/>
      <c r="I657" s="35"/>
      <c r="J657" s="35"/>
      <c r="K657" s="35"/>
      <c r="L657" s="35"/>
      <c r="M657" s="35"/>
      <c r="N657" s="188"/>
      <c r="O657" s="188"/>
      <c r="P657" s="23"/>
      <c r="Q657" s="35"/>
      <c r="R657" s="35"/>
      <c r="S657" s="35"/>
    </row>
    <row r="658" spans="1:19" ht="29.25" customHeight="1" x14ac:dyDescent="0.2">
      <c r="A658" s="187">
        <v>0</v>
      </c>
      <c r="B658" s="35">
        <v>0</v>
      </c>
      <c r="C658" s="35">
        <v>0</v>
      </c>
      <c r="D658" s="35">
        <v>0</v>
      </c>
      <c r="E658" s="28">
        <v>0</v>
      </c>
      <c r="F658" s="35">
        <v>0</v>
      </c>
      <c r="G658" s="35"/>
      <c r="H658" s="35"/>
      <c r="I658" s="35"/>
      <c r="J658" s="35"/>
      <c r="K658" s="35"/>
      <c r="L658" s="35"/>
      <c r="M658" s="35"/>
      <c r="N658" s="188"/>
      <c r="O658" s="188"/>
      <c r="P658" s="23"/>
      <c r="Q658" s="35"/>
      <c r="R658" s="35"/>
      <c r="S658" s="35"/>
    </row>
    <row r="659" spans="1:19" ht="29.25" customHeight="1" x14ac:dyDescent="0.2">
      <c r="A659" s="187">
        <v>0</v>
      </c>
      <c r="B659" s="35">
        <v>0</v>
      </c>
      <c r="C659" s="35">
        <v>0</v>
      </c>
      <c r="D659" s="35">
        <v>0</v>
      </c>
      <c r="E659" s="28">
        <v>0</v>
      </c>
      <c r="F659" s="35">
        <v>0</v>
      </c>
      <c r="G659" s="35"/>
      <c r="H659" s="35"/>
      <c r="I659" s="35"/>
      <c r="J659" s="35"/>
      <c r="K659" s="35"/>
      <c r="L659" s="35"/>
      <c r="M659" s="35"/>
      <c r="N659" s="188"/>
      <c r="O659" s="188"/>
      <c r="P659" s="23"/>
      <c r="Q659" s="35"/>
      <c r="R659" s="35"/>
      <c r="S659" s="35"/>
    </row>
    <row r="660" spans="1:19" ht="29.25" customHeight="1" x14ac:dyDescent="0.2">
      <c r="A660" s="187">
        <v>0</v>
      </c>
      <c r="B660" s="35">
        <v>0</v>
      </c>
      <c r="C660" s="35">
        <v>0</v>
      </c>
      <c r="D660" s="35">
        <v>0</v>
      </c>
      <c r="E660" s="28">
        <v>0</v>
      </c>
      <c r="F660" s="35">
        <v>0</v>
      </c>
      <c r="G660" s="35"/>
      <c r="H660" s="35"/>
      <c r="I660" s="35"/>
      <c r="J660" s="35"/>
      <c r="K660" s="35"/>
      <c r="L660" s="35"/>
      <c r="M660" s="35"/>
      <c r="N660" s="188"/>
      <c r="O660" s="188"/>
      <c r="P660" s="23"/>
      <c r="Q660" s="35"/>
      <c r="R660" s="35"/>
      <c r="S660" s="35"/>
    </row>
    <row r="661" spans="1:19" ht="29.25" customHeight="1" x14ac:dyDescent="0.2">
      <c r="A661" s="187">
        <v>0</v>
      </c>
      <c r="B661" s="35">
        <v>0</v>
      </c>
      <c r="C661" s="35">
        <v>0</v>
      </c>
      <c r="D661" s="35">
        <v>0</v>
      </c>
      <c r="E661" s="28">
        <v>0</v>
      </c>
      <c r="F661" s="35">
        <v>0</v>
      </c>
      <c r="G661" s="35"/>
      <c r="H661" s="35"/>
      <c r="I661" s="35"/>
      <c r="J661" s="35"/>
      <c r="K661" s="35"/>
      <c r="L661" s="35"/>
      <c r="M661" s="35"/>
      <c r="N661" s="188"/>
      <c r="O661" s="188"/>
      <c r="P661" s="23"/>
      <c r="Q661" s="35"/>
      <c r="R661" s="35"/>
      <c r="S661" s="35"/>
    </row>
    <row r="662" spans="1:19" ht="29.25" customHeight="1" x14ac:dyDescent="0.2">
      <c r="A662" s="187">
        <v>0</v>
      </c>
      <c r="B662" s="35">
        <v>0</v>
      </c>
      <c r="C662" s="35">
        <v>0</v>
      </c>
      <c r="D662" s="35">
        <v>0</v>
      </c>
      <c r="E662" s="28">
        <v>0</v>
      </c>
      <c r="F662" s="35">
        <v>0</v>
      </c>
      <c r="G662" s="35"/>
      <c r="H662" s="35"/>
      <c r="I662" s="35"/>
      <c r="J662" s="35"/>
      <c r="K662" s="35"/>
      <c r="L662" s="35"/>
      <c r="M662" s="35"/>
      <c r="N662" s="188"/>
      <c r="O662" s="188"/>
      <c r="P662" s="23"/>
      <c r="Q662" s="35"/>
      <c r="R662" s="35"/>
      <c r="S662" s="35"/>
    </row>
    <row r="663" spans="1:19" ht="29.25" customHeight="1" x14ac:dyDescent="0.2">
      <c r="A663" s="187">
        <v>0</v>
      </c>
      <c r="B663" s="35">
        <v>0</v>
      </c>
      <c r="C663" s="35">
        <v>0</v>
      </c>
      <c r="D663" s="35">
        <v>0</v>
      </c>
      <c r="E663" s="28">
        <v>0</v>
      </c>
      <c r="F663" s="35">
        <v>0</v>
      </c>
      <c r="G663" s="35"/>
      <c r="H663" s="35"/>
      <c r="I663" s="35"/>
      <c r="J663" s="35"/>
      <c r="K663" s="35"/>
      <c r="L663" s="35"/>
      <c r="M663" s="35"/>
      <c r="N663" s="188"/>
      <c r="O663" s="188"/>
      <c r="P663" s="23"/>
      <c r="Q663" s="35"/>
      <c r="R663" s="35"/>
      <c r="S663" s="35"/>
    </row>
    <row r="664" spans="1:19" ht="29.25" customHeight="1" x14ac:dyDescent="0.2">
      <c r="A664" s="187">
        <v>0</v>
      </c>
      <c r="B664" s="35">
        <v>0</v>
      </c>
      <c r="C664" s="35">
        <v>0</v>
      </c>
      <c r="D664" s="35">
        <v>0</v>
      </c>
      <c r="E664" s="28">
        <v>0</v>
      </c>
      <c r="F664" s="35">
        <v>0</v>
      </c>
      <c r="G664" s="35"/>
      <c r="H664" s="35"/>
      <c r="I664" s="35"/>
      <c r="J664" s="35"/>
      <c r="K664" s="35"/>
      <c r="L664" s="35"/>
      <c r="M664" s="35"/>
      <c r="N664" s="188"/>
      <c r="O664" s="188"/>
      <c r="P664" s="23"/>
      <c r="Q664" s="35"/>
      <c r="R664" s="35"/>
      <c r="S664" s="35"/>
    </row>
    <row r="665" spans="1:19" ht="29.25" customHeight="1" x14ac:dyDescent="0.2">
      <c r="A665" s="187">
        <v>0</v>
      </c>
      <c r="B665" s="35">
        <v>0</v>
      </c>
      <c r="C665" s="35">
        <v>0</v>
      </c>
      <c r="D665" s="35">
        <v>0</v>
      </c>
      <c r="E665" s="28">
        <v>0</v>
      </c>
      <c r="F665" s="35">
        <v>0</v>
      </c>
      <c r="G665" s="35"/>
      <c r="H665" s="35"/>
      <c r="I665" s="35"/>
      <c r="J665" s="35"/>
      <c r="K665" s="35"/>
      <c r="L665" s="35"/>
      <c r="M665" s="35"/>
      <c r="N665" s="188"/>
      <c r="O665" s="188"/>
      <c r="P665" s="23"/>
      <c r="Q665" s="35"/>
      <c r="R665" s="35"/>
      <c r="S665" s="35"/>
    </row>
    <row r="666" spans="1:19" ht="29.25" customHeight="1" x14ac:dyDescent="0.2">
      <c r="A666" s="187">
        <v>0</v>
      </c>
      <c r="B666" s="35">
        <v>0</v>
      </c>
      <c r="C666" s="35">
        <v>0</v>
      </c>
      <c r="D666" s="35">
        <v>0</v>
      </c>
      <c r="E666" s="28">
        <v>0</v>
      </c>
      <c r="F666" s="35">
        <v>0</v>
      </c>
      <c r="G666" s="35"/>
      <c r="H666" s="35"/>
      <c r="I666" s="35"/>
      <c r="J666" s="35"/>
      <c r="K666" s="35"/>
      <c r="L666" s="35"/>
      <c r="M666" s="35"/>
      <c r="N666" s="188"/>
      <c r="O666" s="188"/>
      <c r="P666" s="23"/>
      <c r="Q666" s="35"/>
      <c r="R666" s="35"/>
      <c r="S666" s="35"/>
    </row>
    <row r="667" spans="1:19" ht="29.25" customHeight="1" x14ac:dyDescent="0.2">
      <c r="A667" s="187">
        <v>0</v>
      </c>
      <c r="B667" s="35">
        <v>0</v>
      </c>
      <c r="C667" s="35">
        <v>0</v>
      </c>
      <c r="D667" s="35">
        <v>0</v>
      </c>
      <c r="E667" s="28">
        <v>0</v>
      </c>
      <c r="F667" s="35">
        <v>0</v>
      </c>
      <c r="G667" s="35"/>
      <c r="H667" s="35"/>
      <c r="I667" s="35"/>
      <c r="J667" s="35"/>
      <c r="K667" s="35"/>
      <c r="L667" s="35"/>
      <c r="M667" s="35"/>
      <c r="N667" s="188"/>
      <c r="O667" s="188"/>
      <c r="P667" s="23"/>
      <c r="Q667" s="35"/>
      <c r="R667" s="35"/>
      <c r="S667" s="35"/>
    </row>
    <row r="668" spans="1:19" ht="29.25" customHeight="1" x14ac:dyDescent="0.2">
      <c r="A668" s="187">
        <v>0</v>
      </c>
      <c r="B668" s="35">
        <v>0</v>
      </c>
      <c r="C668" s="35">
        <v>0</v>
      </c>
      <c r="D668" s="35">
        <v>0</v>
      </c>
      <c r="E668" s="28">
        <v>0</v>
      </c>
      <c r="F668" s="35">
        <v>0</v>
      </c>
      <c r="G668" s="35"/>
      <c r="H668" s="35"/>
      <c r="I668" s="35"/>
      <c r="J668" s="35"/>
      <c r="K668" s="35"/>
      <c r="L668" s="35"/>
      <c r="M668" s="35"/>
      <c r="N668" s="188"/>
      <c r="O668" s="188"/>
      <c r="P668" s="23"/>
      <c r="Q668" s="35"/>
      <c r="R668" s="35"/>
      <c r="S668" s="35"/>
    </row>
    <row r="669" spans="1:19" ht="29.25" customHeight="1" x14ac:dyDescent="0.2">
      <c r="A669" s="187">
        <v>0</v>
      </c>
      <c r="B669" s="35">
        <v>0</v>
      </c>
      <c r="C669" s="35">
        <v>0</v>
      </c>
      <c r="D669" s="35">
        <v>0</v>
      </c>
      <c r="E669" s="28">
        <v>0</v>
      </c>
      <c r="F669" s="35">
        <v>0</v>
      </c>
      <c r="G669" s="35"/>
      <c r="H669" s="35"/>
      <c r="I669" s="35"/>
      <c r="J669" s="35"/>
      <c r="K669" s="35"/>
      <c r="L669" s="35"/>
      <c r="M669" s="35"/>
      <c r="N669" s="188"/>
      <c r="O669" s="188"/>
      <c r="P669" s="23"/>
      <c r="Q669" s="35"/>
      <c r="R669" s="35"/>
      <c r="S669" s="35"/>
    </row>
    <row r="670" spans="1:19" ht="29.25" customHeight="1" x14ac:dyDescent="0.2">
      <c r="A670" s="187">
        <v>0</v>
      </c>
      <c r="B670" s="35">
        <v>0</v>
      </c>
      <c r="C670" s="35">
        <v>0</v>
      </c>
      <c r="D670" s="35">
        <v>0</v>
      </c>
      <c r="E670" s="28">
        <v>0</v>
      </c>
      <c r="F670" s="35">
        <v>0</v>
      </c>
      <c r="G670" s="35"/>
      <c r="H670" s="35"/>
      <c r="I670" s="35"/>
      <c r="J670" s="35"/>
      <c r="K670" s="35"/>
      <c r="L670" s="35"/>
      <c r="M670" s="35"/>
      <c r="N670" s="188"/>
      <c r="O670" s="188"/>
      <c r="P670" s="23"/>
      <c r="Q670" s="35"/>
      <c r="R670" s="35"/>
      <c r="S670" s="35"/>
    </row>
    <row r="671" spans="1:19" ht="29.25" customHeight="1" x14ac:dyDescent="0.2">
      <c r="A671" s="187">
        <v>0</v>
      </c>
      <c r="B671" s="35">
        <v>0</v>
      </c>
      <c r="C671" s="35">
        <v>0</v>
      </c>
      <c r="D671" s="35">
        <v>0</v>
      </c>
      <c r="E671" s="28">
        <v>0</v>
      </c>
      <c r="F671" s="35">
        <v>0</v>
      </c>
      <c r="G671" s="35"/>
      <c r="H671" s="35"/>
      <c r="I671" s="35"/>
      <c r="J671" s="35"/>
      <c r="K671" s="35"/>
      <c r="L671" s="35"/>
      <c r="M671" s="35"/>
      <c r="N671" s="188"/>
      <c r="O671" s="188"/>
      <c r="P671" s="23"/>
      <c r="Q671" s="35"/>
      <c r="R671" s="35"/>
      <c r="S671" s="35"/>
    </row>
    <row r="672" spans="1:19" ht="29.25" customHeight="1" x14ac:dyDescent="0.2">
      <c r="A672" s="187">
        <v>0</v>
      </c>
      <c r="B672" s="35">
        <v>0</v>
      </c>
      <c r="C672" s="35">
        <v>0</v>
      </c>
      <c r="D672" s="35">
        <v>0</v>
      </c>
      <c r="E672" s="28">
        <v>0</v>
      </c>
      <c r="F672" s="35">
        <v>0</v>
      </c>
      <c r="G672" s="35"/>
      <c r="H672" s="35"/>
      <c r="I672" s="35"/>
      <c r="J672" s="35"/>
      <c r="K672" s="35"/>
      <c r="L672" s="35"/>
      <c r="M672" s="35"/>
      <c r="N672" s="188"/>
      <c r="O672" s="188"/>
      <c r="P672" s="23"/>
      <c r="Q672" s="35"/>
      <c r="R672" s="35"/>
      <c r="S672" s="35"/>
    </row>
    <row r="673" spans="1:19" ht="29.25" customHeight="1" x14ac:dyDescent="0.2">
      <c r="A673" s="187">
        <v>0</v>
      </c>
      <c r="B673" s="35">
        <v>0</v>
      </c>
      <c r="C673" s="35">
        <v>0</v>
      </c>
      <c r="D673" s="35">
        <v>0</v>
      </c>
      <c r="E673" s="28">
        <v>0</v>
      </c>
      <c r="F673" s="35">
        <v>0</v>
      </c>
      <c r="G673" s="35"/>
      <c r="H673" s="35"/>
      <c r="I673" s="35"/>
      <c r="J673" s="35"/>
      <c r="K673" s="35"/>
      <c r="L673" s="35"/>
      <c r="M673" s="35"/>
      <c r="N673" s="188"/>
      <c r="O673" s="188"/>
      <c r="P673" s="23"/>
      <c r="Q673" s="35"/>
      <c r="R673" s="35"/>
      <c r="S673" s="35"/>
    </row>
    <row r="674" spans="1:19" ht="29.25" customHeight="1" x14ac:dyDescent="0.2">
      <c r="A674" s="187">
        <v>0</v>
      </c>
      <c r="B674" s="35">
        <v>0</v>
      </c>
      <c r="C674" s="35">
        <v>0</v>
      </c>
      <c r="D674" s="35">
        <v>0</v>
      </c>
      <c r="E674" s="28">
        <v>0</v>
      </c>
      <c r="F674" s="35">
        <v>0</v>
      </c>
      <c r="G674" s="35"/>
      <c r="H674" s="35"/>
      <c r="I674" s="35"/>
      <c r="J674" s="35"/>
      <c r="K674" s="35"/>
      <c r="L674" s="35"/>
      <c r="M674" s="35"/>
      <c r="N674" s="188"/>
      <c r="O674" s="188"/>
      <c r="P674" s="23"/>
      <c r="Q674" s="35"/>
      <c r="R674" s="35"/>
      <c r="S674" s="35"/>
    </row>
    <row r="675" spans="1:19" ht="29.25" customHeight="1" x14ac:dyDescent="0.2">
      <c r="A675" s="187">
        <v>0</v>
      </c>
      <c r="B675" s="35">
        <v>0</v>
      </c>
      <c r="C675" s="35">
        <v>0</v>
      </c>
      <c r="D675" s="35">
        <v>0</v>
      </c>
      <c r="E675" s="28">
        <v>0</v>
      </c>
      <c r="F675" s="35">
        <v>0</v>
      </c>
      <c r="G675" s="35"/>
      <c r="H675" s="35"/>
      <c r="I675" s="35"/>
      <c r="J675" s="35"/>
      <c r="K675" s="35"/>
      <c r="L675" s="35"/>
      <c r="M675" s="35"/>
      <c r="N675" s="188"/>
      <c r="O675" s="188"/>
      <c r="P675" s="23"/>
      <c r="Q675" s="35"/>
      <c r="R675" s="35"/>
      <c r="S675" s="35"/>
    </row>
    <row r="676" spans="1:19" ht="29.25" customHeight="1" x14ac:dyDescent="0.2">
      <c r="A676" s="187">
        <v>0</v>
      </c>
      <c r="B676" s="35">
        <v>0</v>
      </c>
      <c r="C676" s="35">
        <v>0</v>
      </c>
      <c r="D676" s="35">
        <v>0</v>
      </c>
      <c r="E676" s="28">
        <v>0</v>
      </c>
      <c r="F676" s="35">
        <v>0</v>
      </c>
      <c r="G676" s="35"/>
      <c r="H676" s="35"/>
      <c r="I676" s="35"/>
      <c r="J676" s="35"/>
      <c r="K676" s="35"/>
      <c r="L676" s="35"/>
      <c r="M676" s="35"/>
      <c r="N676" s="188"/>
      <c r="O676" s="188"/>
      <c r="P676" s="23"/>
      <c r="Q676" s="35"/>
      <c r="R676" s="35"/>
      <c r="S676" s="35"/>
    </row>
    <row r="677" spans="1:19" ht="29.25" customHeight="1" x14ac:dyDescent="0.2">
      <c r="A677" s="187">
        <v>0</v>
      </c>
      <c r="B677" s="35">
        <v>0</v>
      </c>
      <c r="C677" s="35">
        <v>0</v>
      </c>
      <c r="D677" s="35">
        <v>0</v>
      </c>
      <c r="E677" s="28">
        <v>0</v>
      </c>
      <c r="F677" s="35">
        <v>0</v>
      </c>
      <c r="G677" s="35"/>
      <c r="H677" s="35"/>
      <c r="I677" s="35"/>
      <c r="J677" s="35"/>
      <c r="K677" s="35"/>
      <c r="L677" s="35"/>
      <c r="M677" s="35"/>
      <c r="N677" s="188"/>
      <c r="O677" s="188"/>
      <c r="P677" s="23"/>
      <c r="Q677" s="35"/>
      <c r="R677" s="35"/>
      <c r="S677" s="35"/>
    </row>
    <row r="678" spans="1:19" ht="29.25" customHeight="1" x14ac:dyDescent="0.2">
      <c r="A678" s="187">
        <v>0</v>
      </c>
      <c r="B678" s="35">
        <v>0</v>
      </c>
      <c r="C678" s="35">
        <v>0</v>
      </c>
      <c r="D678" s="35">
        <v>0</v>
      </c>
      <c r="E678" s="28">
        <v>0</v>
      </c>
      <c r="F678" s="35">
        <v>0</v>
      </c>
      <c r="G678" s="35"/>
      <c r="H678" s="35"/>
      <c r="I678" s="35"/>
      <c r="J678" s="35"/>
      <c r="K678" s="35"/>
      <c r="L678" s="35"/>
      <c r="M678" s="35"/>
      <c r="N678" s="188"/>
      <c r="O678" s="188"/>
      <c r="P678" s="23"/>
      <c r="Q678" s="35"/>
      <c r="R678" s="35"/>
      <c r="S678" s="35"/>
    </row>
    <row r="679" spans="1:19" ht="29.25" customHeight="1" x14ac:dyDescent="0.2">
      <c r="A679" s="187">
        <v>0</v>
      </c>
      <c r="B679" s="35">
        <v>0</v>
      </c>
      <c r="C679" s="35">
        <v>0</v>
      </c>
      <c r="D679" s="35">
        <v>0</v>
      </c>
      <c r="E679" s="28">
        <v>0</v>
      </c>
      <c r="F679" s="35">
        <v>0</v>
      </c>
      <c r="G679" s="35"/>
      <c r="H679" s="35"/>
      <c r="I679" s="35"/>
      <c r="J679" s="35"/>
      <c r="K679" s="35"/>
      <c r="L679" s="35"/>
      <c r="M679" s="35"/>
      <c r="N679" s="188"/>
      <c r="O679" s="188"/>
      <c r="P679" s="23"/>
      <c r="Q679" s="35"/>
      <c r="R679" s="35"/>
      <c r="S679" s="35"/>
    </row>
    <row r="680" spans="1:19" ht="29.25" customHeight="1" x14ac:dyDescent="0.2">
      <c r="A680" s="187">
        <v>0</v>
      </c>
      <c r="B680" s="35">
        <v>0</v>
      </c>
      <c r="C680" s="35">
        <v>0</v>
      </c>
      <c r="D680" s="35">
        <v>0</v>
      </c>
      <c r="E680" s="28">
        <v>0</v>
      </c>
      <c r="F680" s="35">
        <v>0</v>
      </c>
      <c r="G680" s="35"/>
      <c r="H680" s="35"/>
      <c r="I680" s="35"/>
      <c r="J680" s="35"/>
      <c r="K680" s="35"/>
      <c r="L680" s="35"/>
      <c r="M680" s="35"/>
      <c r="N680" s="188"/>
      <c r="O680" s="188"/>
      <c r="P680" s="23"/>
      <c r="Q680" s="35"/>
      <c r="R680" s="35"/>
      <c r="S680" s="35"/>
    </row>
    <row r="681" spans="1:19" ht="29.25" customHeight="1" x14ac:dyDescent="0.2">
      <c r="A681" s="187">
        <v>0</v>
      </c>
      <c r="B681" s="35">
        <v>0</v>
      </c>
      <c r="C681" s="35">
        <v>0</v>
      </c>
      <c r="D681" s="35">
        <v>0</v>
      </c>
      <c r="E681" s="28">
        <v>0</v>
      </c>
      <c r="F681" s="35">
        <v>0</v>
      </c>
      <c r="G681" s="35"/>
      <c r="H681" s="35"/>
      <c r="I681" s="35"/>
      <c r="J681" s="35"/>
      <c r="K681" s="35"/>
      <c r="L681" s="35"/>
      <c r="M681" s="35"/>
      <c r="N681" s="188"/>
      <c r="O681" s="188"/>
      <c r="P681" s="23"/>
      <c r="Q681" s="35"/>
      <c r="R681" s="35"/>
      <c r="S681" s="35"/>
    </row>
    <row r="682" spans="1:19" ht="29.25" customHeight="1" x14ac:dyDescent="0.2">
      <c r="A682" s="187">
        <v>0</v>
      </c>
      <c r="B682" s="35">
        <v>0</v>
      </c>
      <c r="C682" s="35">
        <v>0</v>
      </c>
      <c r="D682" s="35">
        <v>0</v>
      </c>
      <c r="E682" s="28">
        <v>0</v>
      </c>
      <c r="F682" s="35">
        <v>0</v>
      </c>
      <c r="G682" s="35"/>
      <c r="H682" s="35"/>
      <c r="I682" s="35"/>
      <c r="J682" s="35"/>
      <c r="K682" s="35"/>
      <c r="L682" s="35"/>
      <c r="M682" s="35"/>
      <c r="N682" s="188"/>
      <c r="O682" s="188"/>
      <c r="P682" s="23"/>
      <c r="Q682" s="35"/>
      <c r="R682" s="35"/>
      <c r="S682" s="35"/>
    </row>
    <row r="683" spans="1:19" ht="29.25" customHeight="1" x14ac:dyDescent="0.2">
      <c r="A683" s="187">
        <v>0</v>
      </c>
      <c r="B683" s="35">
        <v>0</v>
      </c>
      <c r="C683" s="35">
        <v>0</v>
      </c>
      <c r="D683" s="35">
        <v>0</v>
      </c>
      <c r="E683" s="28">
        <v>0</v>
      </c>
      <c r="F683" s="35">
        <v>0</v>
      </c>
      <c r="G683" s="35"/>
      <c r="H683" s="35"/>
      <c r="I683" s="35"/>
      <c r="J683" s="35"/>
      <c r="K683" s="35"/>
      <c r="L683" s="35"/>
      <c r="M683" s="35"/>
      <c r="N683" s="188"/>
      <c r="O683" s="188"/>
      <c r="P683" s="23"/>
      <c r="Q683" s="35"/>
      <c r="R683" s="35"/>
      <c r="S683" s="35"/>
    </row>
    <row r="684" spans="1:19" ht="29.25" customHeight="1" x14ac:dyDescent="0.2">
      <c r="A684" s="187">
        <v>0</v>
      </c>
      <c r="B684" s="35">
        <v>0</v>
      </c>
      <c r="C684" s="35">
        <v>0</v>
      </c>
      <c r="D684" s="35">
        <v>0</v>
      </c>
      <c r="E684" s="28">
        <v>0</v>
      </c>
      <c r="F684" s="35">
        <v>0</v>
      </c>
      <c r="G684" s="35"/>
      <c r="H684" s="35"/>
      <c r="I684" s="35"/>
      <c r="J684" s="35"/>
      <c r="K684" s="35"/>
      <c r="L684" s="35"/>
      <c r="M684" s="35"/>
      <c r="N684" s="188"/>
      <c r="O684" s="188"/>
      <c r="P684" s="23"/>
      <c r="Q684" s="35"/>
      <c r="R684" s="35"/>
      <c r="S684" s="35"/>
    </row>
    <row r="685" spans="1:19" ht="29.25" customHeight="1" x14ac:dyDescent="0.2">
      <c r="A685" s="187">
        <v>0</v>
      </c>
      <c r="B685" s="35">
        <v>0</v>
      </c>
      <c r="C685" s="35">
        <v>0</v>
      </c>
      <c r="D685" s="35">
        <v>0</v>
      </c>
      <c r="E685" s="28">
        <v>0</v>
      </c>
      <c r="F685" s="35">
        <v>0</v>
      </c>
      <c r="G685" s="35"/>
      <c r="H685" s="35"/>
      <c r="I685" s="35"/>
      <c r="J685" s="35"/>
      <c r="K685" s="35"/>
      <c r="L685" s="35"/>
      <c r="M685" s="35"/>
      <c r="N685" s="188"/>
      <c r="O685" s="188"/>
      <c r="P685" s="23"/>
      <c r="Q685" s="35"/>
      <c r="R685" s="35"/>
      <c r="S685" s="35"/>
    </row>
    <row r="686" spans="1:19" ht="29.25" customHeight="1" x14ac:dyDescent="0.2">
      <c r="A686" s="187">
        <v>0</v>
      </c>
      <c r="B686" s="35">
        <v>0</v>
      </c>
      <c r="C686" s="35">
        <v>0</v>
      </c>
      <c r="D686" s="35">
        <v>0</v>
      </c>
      <c r="E686" s="28">
        <v>0</v>
      </c>
      <c r="F686" s="35">
        <v>0</v>
      </c>
      <c r="G686" s="35"/>
      <c r="H686" s="35"/>
      <c r="I686" s="35"/>
      <c r="J686" s="35"/>
      <c r="K686" s="35"/>
      <c r="L686" s="35"/>
      <c r="M686" s="35"/>
      <c r="N686" s="188"/>
      <c r="O686" s="188"/>
      <c r="P686" s="23"/>
      <c r="Q686" s="35"/>
      <c r="R686" s="35"/>
      <c r="S686" s="35"/>
    </row>
    <row r="687" spans="1:19" ht="29.25" customHeight="1" x14ac:dyDescent="0.2">
      <c r="A687" s="187">
        <v>0</v>
      </c>
      <c r="B687" s="35">
        <v>0</v>
      </c>
      <c r="C687" s="35">
        <v>0</v>
      </c>
      <c r="D687" s="35">
        <v>0</v>
      </c>
      <c r="E687" s="28">
        <v>0</v>
      </c>
      <c r="F687" s="35">
        <v>0</v>
      </c>
      <c r="G687" s="35"/>
      <c r="H687" s="35"/>
      <c r="I687" s="35"/>
      <c r="J687" s="35"/>
      <c r="K687" s="35"/>
      <c r="L687" s="35"/>
      <c r="M687" s="35"/>
      <c r="N687" s="188"/>
      <c r="O687" s="188"/>
      <c r="P687" s="23"/>
      <c r="Q687" s="35"/>
      <c r="R687" s="35"/>
      <c r="S687" s="35"/>
    </row>
    <row r="688" spans="1:19" ht="29.25" customHeight="1" x14ac:dyDescent="0.2">
      <c r="A688" s="187">
        <v>0</v>
      </c>
      <c r="B688" s="35">
        <v>0</v>
      </c>
      <c r="C688" s="35">
        <v>0</v>
      </c>
      <c r="D688" s="35">
        <v>0</v>
      </c>
      <c r="E688" s="28">
        <v>0</v>
      </c>
      <c r="F688" s="35">
        <v>0</v>
      </c>
      <c r="G688" s="35"/>
      <c r="H688" s="35"/>
      <c r="I688" s="35"/>
      <c r="J688" s="35"/>
      <c r="K688" s="35"/>
      <c r="L688" s="35"/>
      <c r="M688" s="35"/>
      <c r="N688" s="188"/>
      <c r="O688" s="188"/>
      <c r="P688" s="23"/>
      <c r="Q688" s="35"/>
      <c r="R688" s="35"/>
      <c r="S688" s="35"/>
    </row>
    <row r="689" spans="1:19" ht="29.25" customHeight="1" x14ac:dyDescent="0.2">
      <c r="A689" s="187">
        <v>0</v>
      </c>
      <c r="B689" s="35">
        <v>0</v>
      </c>
      <c r="C689" s="35">
        <v>0</v>
      </c>
      <c r="D689" s="35">
        <v>0</v>
      </c>
      <c r="E689" s="28">
        <v>0</v>
      </c>
      <c r="F689" s="35">
        <v>0</v>
      </c>
      <c r="G689" s="35"/>
      <c r="H689" s="35"/>
      <c r="I689" s="35"/>
      <c r="J689" s="35"/>
      <c r="K689" s="35"/>
      <c r="L689" s="35"/>
      <c r="M689" s="35"/>
      <c r="N689" s="188"/>
      <c r="O689" s="188"/>
      <c r="P689" s="23"/>
      <c r="Q689" s="35"/>
      <c r="R689" s="35"/>
      <c r="S689" s="35"/>
    </row>
    <row r="690" spans="1:19" ht="29.25" customHeight="1" x14ac:dyDescent="0.2">
      <c r="A690" s="187">
        <v>0</v>
      </c>
      <c r="B690" s="35">
        <v>0</v>
      </c>
      <c r="C690" s="35">
        <v>0</v>
      </c>
      <c r="D690" s="35">
        <v>0</v>
      </c>
      <c r="E690" s="28">
        <v>0</v>
      </c>
      <c r="F690" s="35">
        <v>0</v>
      </c>
      <c r="G690" s="35"/>
      <c r="H690" s="35"/>
      <c r="I690" s="35"/>
      <c r="J690" s="35"/>
      <c r="K690" s="35"/>
      <c r="L690" s="35"/>
      <c r="M690" s="35"/>
      <c r="N690" s="188"/>
      <c r="O690" s="188"/>
      <c r="P690" s="23"/>
      <c r="Q690" s="35"/>
      <c r="R690" s="35"/>
      <c r="S690" s="35"/>
    </row>
    <row r="691" spans="1:19" ht="29.25" customHeight="1" x14ac:dyDescent="0.2">
      <c r="A691" s="187">
        <v>0</v>
      </c>
      <c r="B691" s="35">
        <v>0</v>
      </c>
      <c r="C691" s="35">
        <v>0</v>
      </c>
      <c r="D691" s="35">
        <v>0</v>
      </c>
      <c r="E691" s="28">
        <v>0</v>
      </c>
      <c r="F691" s="35">
        <v>0</v>
      </c>
      <c r="G691" s="35"/>
      <c r="H691" s="35"/>
      <c r="I691" s="35"/>
      <c r="J691" s="35"/>
      <c r="K691" s="35"/>
      <c r="L691" s="35"/>
      <c r="M691" s="35"/>
      <c r="N691" s="188"/>
      <c r="O691" s="188"/>
      <c r="P691" s="23"/>
      <c r="Q691" s="35"/>
      <c r="R691" s="35"/>
      <c r="S691" s="35"/>
    </row>
    <row r="692" spans="1:19" ht="29.25" customHeight="1" x14ac:dyDescent="0.2">
      <c r="A692" s="187">
        <v>0</v>
      </c>
      <c r="B692" s="35">
        <v>0</v>
      </c>
      <c r="C692" s="35">
        <v>0</v>
      </c>
      <c r="D692" s="35">
        <v>0</v>
      </c>
      <c r="E692" s="28">
        <v>0</v>
      </c>
      <c r="F692" s="35">
        <v>0</v>
      </c>
      <c r="G692" s="35"/>
      <c r="H692" s="35"/>
      <c r="I692" s="35"/>
      <c r="J692" s="35"/>
      <c r="K692" s="35"/>
      <c r="L692" s="35"/>
      <c r="M692" s="35"/>
      <c r="N692" s="188"/>
      <c r="O692" s="188"/>
      <c r="P692" s="23"/>
      <c r="Q692" s="35"/>
      <c r="R692" s="35"/>
      <c r="S692" s="35"/>
    </row>
    <row r="693" spans="1:19" ht="29.25" customHeight="1" x14ac:dyDescent="0.2">
      <c r="A693" s="187">
        <v>0</v>
      </c>
      <c r="B693" s="35">
        <v>0</v>
      </c>
      <c r="C693" s="35">
        <v>0</v>
      </c>
      <c r="D693" s="35">
        <v>0</v>
      </c>
      <c r="E693" s="28">
        <v>0</v>
      </c>
      <c r="F693" s="35">
        <v>0</v>
      </c>
      <c r="G693" s="35"/>
      <c r="H693" s="35"/>
      <c r="I693" s="35"/>
      <c r="J693" s="35"/>
      <c r="K693" s="35"/>
      <c r="L693" s="35"/>
      <c r="M693" s="35"/>
      <c r="N693" s="188"/>
      <c r="O693" s="188"/>
      <c r="P693" s="23"/>
      <c r="Q693" s="35"/>
      <c r="R693" s="35"/>
      <c r="S693" s="35"/>
    </row>
    <row r="694" spans="1:19" ht="29.25" customHeight="1" x14ac:dyDescent="0.2">
      <c r="A694" s="187">
        <v>0</v>
      </c>
      <c r="B694" s="35">
        <v>0</v>
      </c>
      <c r="C694" s="35">
        <v>0</v>
      </c>
      <c r="D694" s="35">
        <v>0</v>
      </c>
      <c r="E694" s="28">
        <v>0</v>
      </c>
      <c r="F694" s="35">
        <v>0</v>
      </c>
      <c r="G694" s="35"/>
      <c r="H694" s="35"/>
      <c r="I694" s="35"/>
      <c r="J694" s="35"/>
      <c r="K694" s="35"/>
      <c r="L694" s="35"/>
      <c r="M694" s="35"/>
      <c r="N694" s="188"/>
      <c r="O694" s="188"/>
      <c r="P694" s="23"/>
      <c r="Q694" s="35"/>
      <c r="R694" s="35"/>
      <c r="S694" s="35"/>
    </row>
    <row r="695" spans="1:19" ht="29.25" customHeight="1" x14ac:dyDescent="0.2">
      <c r="A695" s="187">
        <v>0</v>
      </c>
      <c r="B695" s="35">
        <v>0</v>
      </c>
      <c r="C695" s="35">
        <v>0</v>
      </c>
      <c r="D695" s="35">
        <v>0</v>
      </c>
      <c r="E695" s="28">
        <v>0</v>
      </c>
      <c r="F695" s="35">
        <v>0</v>
      </c>
      <c r="G695" s="35"/>
      <c r="H695" s="35"/>
      <c r="I695" s="35"/>
      <c r="J695" s="35"/>
      <c r="K695" s="35"/>
      <c r="L695" s="35"/>
      <c r="M695" s="35"/>
      <c r="N695" s="188"/>
      <c r="O695" s="188"/>
      <c r="P695" s="23"/>
      <c r="Q695" s="35"/>
      <c r="R695" s="35"/>
      <c r="S695" s="35"/>
    </row>
    <row r="696" spans="1:19" ht="29.25" customHeight="1" x14ac:dyDescent="0.2">
      <c r="A696" s="187">
        <v>0</v>
      </c>
      <c r="B696" s="35">
        <v>0</v>
      </c>
      <c r="C696" s="35">
        <v>0</v>
      </c>
      <c r="D696" s="35">
        <v>0</v>
      </c>
      <c r="E696" s="28">
        <v>0</v>
      </c>
      <c r="F696" s="35">
        <v>0</v>
      </c>
      <c r="G696" s="35"/>
      <c r="H696" s="35"/>
      <c r="I696" s="35"/>
      <c r="J696" s="35"/>
      <c r="K696" s="35"/>
      <c r="L696" s="35"/>
      <c r="M696" s="35"/>
      <c r="N696" s="188"/>
      <c r="O696" s="188"/>
      <c r="P696" s="23"/>
      <c r="Q696" s="35"/>
      <c r="R696" s="35"/>
      <c r="S696" s="35"/>
    </row>
    <row r="697" spans="1:19" ht="29.25" customHeight="1" x14ac:dyDescent="0.2">
      <c r="A697" s="187">
        <v>0</v>
      </c>
      <c r="B697" s="35">
        <v>0</v>
      </c>
      <c r="C697" s="35">
        <v>0</v>
      </c>
      <c r="D697" s="35">
        <v>0</v>
      </c>
      <c r="E697" s="28">
        <v>0</v>
      </c>
      <c r="F697" s="35">
        <v>0</v>
      </c>
      <c r="G697" s="35"/>
      <c r="H697" s="35"/>
      <c r="I697" s="35"/>
      <c r="J697" s="35"/>
      <c r="K697" s="35"/>
      <c r="L697" s="35"/>
      <c r="M697" s="35"/>
      <c r="N697" s="188"/>
      <c r="O697" s="188"/>
      <c r="P697" s="23"/>
      <c r="Q697" s="35"/>
      <c r="R697" s="35"/>
      <c r="S697" s="35"/>
    </row>
    <row r="698" spans="1:19" ht="29.25" customHeight="1" x14ac:dyDescent="0.2">
      <c r="A698" s="187">
        <v>0</v>
      </c>
      <c r="B698" s="35">
        <v>0</v>
      </c>
      <c r="C698" s="35">
        <v>0</v>
      </c>
      <c r="D698" s="35">
        <v>0</v>
      </c>
      <c r="E698" s="28">
        <v>0</v>
      </c>
      <c r="F698" s="35">
        <v>0</v>
      </c>
      <c r="G698" s="35"/>
      <c r="H698" s="35"/>
      <c r="I698" s="35"/>
      <c r="J698" s="35"/>
      <c r="K698" s="35"/>
      <c r="L698" s="35"/>
      <c r="M698" s="35"/>
      <c r="N698" s="188"/>
      <c r="O698" s="188"/>
      <c r="P698" s="23"/>
      <c r="Q698" s="35"/>
      <c r="R698" s="35"/>
      <c r="S698" s="35"/>
    </row>
    <row r="699" spans="1:19" ht="29.25" customHeight="1" x14ac:dyDescent="0.2">
      <c r="A699" s="187">
        <v>0</v>
      </c>
      <c r="B699" s="35">
        <v>0</v>
      </c>
      <c r="C699" s="35">
        <v>0</v>
      </c>
      <c r="D699" s="35">
        <v>0</v>
      </c>
      <c r="E699" s="28">
        <v>0</v>
      </c>
      <c r="F699" s="35">
        <v>0</v>
      </c>
      <c r="G699" s="35"/>
      <c r="H699" s="35"/>
      <c r="I699" s="35"/>
      <c r="J699" s="35"/>
      <c r="K699" s="35"/>
      <c r="L699" s="35"/>
      <c r="M699" s="35"/>
      <c r="N699" s="188"/>
      <c r="O699" s="188"/>
      <c r="P699" s="23"/>
      <c r="Q699" s="35"/>
      <c r="R699" s="35"/>
      <c r="S699" s="35"/>
    </row>
    <row r="700" spans="1:19" ht="29.25" customHeight="1" x14ac:dyDescent="0.2">
      <c r="A700" s="187">
        <v>0</v>
      </c>
      <c r="B700" s="35">
        <v>0</v>
      </c>
      <c r="C700" s="35">
        <v>0</v>
      </c>
      <c r="D700" s="35">
        <v>0</v>
      </c>
      <c r="E700" s="28">
        <v>0</v>
      </c>
      <c r="F700" s="35">
        <v>0</v>
      </c>
      <c r="G700" s="35"/>
      <c r="H700" s="35"/>
      <c r="I700" s="35"/>
      <c r="J700" s="35"/>
      <c r="K700" s="35"/>
      <c r="L700" s="35"/>
      <c r="M700" s="35"/>
      <c r="N700" s="188"/>
      <c r="O700" s="188"/>
      <c r="P700" s="23"/>
      <c r="Q700" s="35"/>
      <c r="R700" s="35"/>
      <c r="S700" s="35"/>
    </row>
    <row r="701" spans="1:19" ht="29.25" customHeight="1" x14ac:dyDescent="0.2">
      <c r="A701" s="187">
        <v>0</v>
      </c>
      <c r="B701" s="35">
        <v>0</v>
      </c>
      <c r="C701" s="35">
        <v>0</v>
      </c>
      <c r="D701" s="35">
        <v>0</v>
      </c>
      <c r="E701" s="28">
        <v>0</v>
      </c>
      <c r="F701" s="35">
        <v>0</v>
      </c>
      <c r="G701" s="35"/>
      <c r="H701" s="35"/>
      <c r="I701" s="35"/>
      <c r="J701" s="35"/>
      <c r="K701" s="35"/>
      <c r="L701" s="35"/>
      <c r="M701" s="35"/>
      <c r="N701" s="188"/>
      <c r="O701" s="188"/>
      <c r="P701" s="23"/>
      <c r="Q701" s="35"/>
      <c r="R701" s="35"/>
      <c r="S701" s="35"/>
    </row>
    <row r="702" spans="1:19" ht="29.25" customHeight="1" x14ac:dyDescent="0.2">
      <c r="A702" s="187">
        <v>0</v>
      </c>
      <c r="B702" s="35">
        <v>0</v>
      </c>
      <c r="C702" s="35">
        <v>0</v>
      </c>
      <c r="D702" s="35">
        <v>0</v>
      </c>
      <c r="E702" s="28">
        <v>0</v>
      </c>
      <c r="F702" s="35">
        <v>0</v>
      </c>
      <c r="G702" s="35"/>
      <c r="H702" s="35"/>
      <c r="I702" s="35"/>
      <c r="J702" s="35"/>
      <c r="K702" s="35"/>
      <c r="L702" s="35"/>
      <c r="M702" s="35"/>
      <c r="N702" s="188"/>
      <c r="O702" s="188"/>
      <c r="P702" s="23"/>
      <c r="Q702" s="35"/>
      <c r="R702" s="35"/>
      <c r="S702" s="35"/>
    </row>
    <row r="703" spans="1:19" ht="29.25" customHeight="1" x14ac:dyDescent="0.2">
      <c r="A703" s="187">
        <v>0</v>
      </c>
      <c r="B703" s="35">
        <v>0</v>
      </c>
      <c r="C703" s="35">
        <v>0</v>
      </c>
      <c r="D703" s="35">
        <v>0</v>
      </c>
      <c r="E703" s="28">
        <v>0</v>
      </c>
      <c r="F703" s="35">
        <v>0</v>
      </c>
      <c r="G703" s="35"/>
      <c r="H703" s="35"/>
      <c r="I703" s="35"/>
      <c r="J703" s="35"/>
      <c r="K703" s="35"/>
      <c r="L703" s="35"/>
      <c r="M703" s="35"/>
      <c r="N703" s="188"/>
      <c r="O703" s="188"/>
      <c r="P703" s="23"/>
      <c r="Q703" s="35"/>
      <c r="R703" s="35"/>
      <c r="S703" s="35"/>
    </row>
    <row r="704" spans="1:19" ht="29.25" customHeight="1" x14ac:dyDescent="0.2">
      <c r="A704" s="187">
        <v>0</v>
      </c>
      <c r="B704" s="35">
        <v>0</v>
      </c>
      <c r="C704" s="35">
        <v>0</v>
      </c>
      <c r="D704" s="35">
        <v>0</v>
      </c>
      <c r="E704" s="28">
        <v>0</v>
      </c>
      <c r="F704" s="35">
        <v>0</v>
      </c>
      <c r="G704" s="35"/>
      <c r="H704" s="35"/>
      <c r="I704" s="35"/>
      <c r="J704" s="35"/>
      <c r="K704" s="35"/>
      <c r="L704" s="35"/>
      <c r="M704" s="35"/>
      <c r="N704" s="188"/>
      <c r="O704" s="188"/>
      <c r="P704" s="23"/>
      <c r="Q704" s="35"/>
      <c r="R704" s="35"/>
      <c r="S704" s="35"/>
    </row>
    <row r="705" spans="1:19" ht="29.25" customHeight="1" x14ac:dyDescent="0.2">
      <c r="A705" s="187">
        <v>0</v>
      </c>
      <c r="B705" s="35">
        <v>0</v>
      </c>
      <c r="C705" s="35">
        <v>0</v>
      </c>
      <c r="D705" s="35">
        <v>0</v>
      </c>
      <c r="E705" s="28">
        <v>0</v>
      </c>
      <c r="F705" s="35">
        <v>0</v>
      </c>
      <c r="G705" s="35"/>
      <c r="H705" s="35"/>
      <c r="I705" s="35"/>
      <c r="J705" s="35"/>
      <c r="K705" s="35"/>
      <c r="L705" s="35"/>
      <c r="M705" s="35"/>
      <c r="N705" s="188"/>
      <c r="O705" s="188"/>
      <c r="P705" s="23"/>
      <c r="Q705" s="35"/>
      <c r="R705" s="35"/>
      <c r="S705" s="35"/>
    </row>
    <row r="706" spans="1:19" ht="29.25" customHeight="1" x14ac:dyDescent="0.2">
      <c r="A706" s="187">
        <v>0</v>
      </c>
      <c r="B706" s="35">
        <v>0</v>
      </c>
      <c r="C706" s="35">
        <v>0</v>
      </c>
      <c r="D706" s="35">
        <v>0</v>
      </c>
      <c r="E706" s="28">
        <v>0</v>
      </c>
      <c r="F706" s="35">
        <v>0</v>
      </c>
      <c r="G706" s="35"/>
      <c r="H706" s="35"/>
      <c r="I706" s="35"/>
      <c r="J706" s="35"/>
      <c r="K706" s="35"/>
      <c r="L706" s="35"/>
      <c r="M706" s="35"/>
      <c r="N706" s="188"/>
      <c r="O706" s="188"/>
      <c r="P706" s="23"/>
      <c r="Q706" s="35"/>
      <c r="R706" s="35"/>
      <c r="S706" s="35"/>
    </row>
    <row r="707" spans="1:19" ht="29.25" customHeight="1" x14ac:dyDescent="0.2">
      <c r="A707" s="187">
        <v>0</v>
      </c>
      <c r="B707" s="35">
        <v>0</v>
      </c>
      <c r="C707" s="35">
        <v>0</v>
      </c>
      <c r="D707" s="35">
        <v>0</v>
      </c>
      <c r="E707" s="28">
        <v>0</v>
      </c>
      <c r="F707" s="35">
        <v>0</v>
      </c>
      <c r="G707" s="35"/>
      <c r="H707" s="35"/>
      <c r="I707" s="35"/>
      <c r="J707" s="35"/>
      <c r="K707" s="35"/>
      <c r="L707" s="35"/>
      <c r="M707" s="35"/>
      <c r="N707" s="188"/>
      <c r="O707" s="188"/>
      <c r="P707" s="23"/>
      <c r="Q707" s="35"/>
      <c r="R707" s="35"/>
      <c r="S707" s="35"/>
    </row>
    <row r="708" spans="1:19" ht="29.25" customHeight="1" x14ac:dyDescent="0.2">
      <c r="A708" s="187">
        <v>0</v>
      </c>
      <c r="B708" s="35">
        <v>0</v>
      </c>
      <c r="C708" s="35">
        <v>0</v>
      </c>
      <c r="D708" s="35">
        <v>0</v>
      </c>
      <c r="E708" s="28">
        <v>0</v>
      </c>
      <c r="F708" s="35">
        <v>0</v>
      </c>
      <c r="G708" s="35"/>
      <c r="H708" s="35"/>
      <c r="I708" s="35"/>
      <c r="J708" s="35"/>
      <c r="K708" s="35"/>
      <c r="L708" s="35"/>
      <c r="M708" s="35"/>
      <c r="N708" s="188"/>
      <c r="O708" s="188"/>
      <c r="P708" s="23"/>
      <c r="Q708" s="35"/>
      <c r="R708" s="35"/>
      <c r="S708" s="35"/>
    </row>
    <row r="709" spans="1:19" ht="29.25" customHeight="1" x14ac:dyDescent="0.2">
      <c r="A709" s="187">
        <v>0</v>
      </c>
      <c r="B709" s="35">
        <v>0</v>
      </c>
      <c r="C709" s="35">
        <v>0</v>
      </c>
      <c r="D709" s="35">
        <v>0</v>
      </c>
      <c r="E709" s="28">
        <v>0</v>
      </c>
      <c r="F709" s="35">
        <v>0</v>
      </c>
      <c r="G709" s="35"/>
      <c r="H709" s="35"/>
      <c r="I709" s="35"/>
      <c r="J709" s="35"/>
      <c r="K709" s="35"/>
      <c r="L709" s="35"/>
      <c r="M709" s="35"/>
      <c r="N709" s="188"/>
      <c r="O709" s="188"/>
      <c r="P709" s="23"/>
      <c r="Q709" s="35"/>
      <c r="R709" s="35"/>
      <c r="S709" s="35"/>
    </row>
    <row r="710" spans="1:19" ht="29.25" customHeight="1" x14ac:dyDescent="0.2">
      <c r="A710" s="187">
        <v>0</v>
      </c>
      <c r="B710" s="35">
        <v>0</v>
      </c>
      <c r="C710" s="35">
        <v>0</v>
      </c>
      <c r="D710" s="35">
        <v>0</v>
      </c>
      <c r="E710" s="28">
        <v>0</v>
      </c>
      <c r="F710" s="35">
        <v>0</v>
      </c>
      <c r="G710" s="35"/>
      <c r="H710" s="35"/>
      <c r="I710" s="35"/>
      <c r="J710" s="35"/>
      <c r="K710" s="35"/>
      <c r="L710" s="35"/>
      <c r="M710" s="35"/>
      <c r="N710" s="188"/>
      <c r="O710" s="188"/>
      <c r="P710" s="23"/>
      <c r="Q710" s="35"/>
      <c r="R710" s="35"/>
      <c r="S710" s="35"/>
    </row>
    <row r="711" spans="1:19" ht="29.25" customHeight="1" x14ac:dyDescent="0.2">
      <c r="A711" s="187">
        <v>0</v>
      </c>
      <c r="B711" s="35">
        <v>0</v>
      </c>
      <c r="C711" s="35">
        <v>0</v>
      </c>
      <c r="D711" s="35">
        <v>0</v>
      </c>
      <c r="E711" s="28">
        <v>0</v>
      </c>
      <c r="F711" s="35">
        <v>0</v>
      </c>
      <c r="G711" s="35"/>
      <c r="H711" s="35"/>
      <c r="I711" s="35"/>
      <c r="J711" s="35"/>
      <c r="K711" s="35"/>
      <c r="L711" s="35"/>
      <c r="M711" s="35"/>
      <c r="N711" s="188"/>
      <c r="O711" s="188"/>
      <c r="P711" s="23"/>
      <c r="Q711" s="35"/>
      <c r="R711" s="35"/>
      <c r="S711" s="35"/>
    </row>
    <row r="712" spans="1:19" ht="29.25" customHeight="1" x14ac:dyDescent="0.2">
      <c r="A712" s="187">
        <v>0</v>
      </c>
      <c r="B712" s="35">
        <v>0</v>
      </c>
      <c r="C712" s="35">
        <v>0</v>
      </c>
      <c r="D712" s="35">
        <v>0</v>
      </c>
      <c r="E712" s="28">
        <v>0</v>
      </c>
      <c r="F712" s="35">
        <v>0</v>
      </c>
      <c r="G712" s="35"/>
      <c r="H712" s="35"/>
      <c r="I712" s="35"/>
      <c r="J712" s="35"/>
      <c r="K712" s="35"/>
      <c r="L712" s="35"/>
      <c r="M712" s="35"/>
      <c r="N712" s="188"/>
      <c r="O712" s="188"/>
      <c r="P712" s="23"/>
      <c r="Q712" s="35"/>
      <c r="R712" s="35"/>
      <c r="S712" s="35"/>
    </row>
    <row r="713" spans="1:19" ht="29.25" customHeight="1" x14ac:dyDescent="0.2">
      <c r="A713" s="187">
        <v>0</v>
      </c>
      <c r="B713" s="35">
        <v>0</v>
      </c>
      <c r="C713" s="35">
        <v>0</v>
      </c>
      <c r="D713" s="35">
        <v>0</v>
      </c>
      <c r="E713" s="28">
        <v>0</v>
      </c>
      <c r="F713" s="35">
        <v>0</v>
      </c>
      <c r="G713" s="35"/>
      <c r="H713" s="35"/>
      <c r="I713" s="35"/>
      <c r="J713" s="35"/>
      <c r="K713" s="35"/>
      <c r="L713" s="35"/>
      <c r="M713" s="35"/>
      <c r="N713" s="188"/>
      <c r="O713" s="188"/>
      <c r="P713" s="23"/>
      <c r="Q713" s="35"/>
      <c r="R713" s="35"/>
      <c r="S713" s="35"/>
    </row>
    <row r="714" spans="1:19" ht="29.25" customHeight="1" x14ac:dyDescent="0.2">
      <c r="A714" s="187">
        <v>0</v>
      </c>
      <c r="B714" s="35">
        <v>0</v>
      </c>
      <c r="C714" s="35">
        <v>0</v>
      </c>
      <c r="D714" s="35">
        <v>0</v>
      </c>
      <c r="E714" s="28">
        <v>0</v>
      </c>
      <c r="F714" s="35">
        <v>0</v>
      </c>
      <c r="G714" s="35"/>
      <c r="H714" s="35"/>
      <c r="I714" s="35"/>
      <c r="J714" s="35"/>
      <c r="K714" s="35"/>
      <c r="L714" s="35"/>
      <c r="M714" s="35"/>
      <c r="N714" s="188"/>
      <c r="O714" s="188"/>
      <c r="P714" s="23"/>
      <c r="Q714" s="35"/>
      <c r="R714" s="35"/>
      <c r="S714" s="35"/>
    </row>
    <row r="715" spans="1:19" ht="29.25" customHeight="1" x14ac:dyDescent="0.2">
      <c r="A715" s="187">
        <v>0</v>
      </c>
      <c r="B715" s="35">
        <v>0</v>
      </c>
      <c r="C715" s="35">
        <v>0</v>
      </c>
      <c r="D715" s="35">
        <v>0</v>
      </c>
      <c r="E715" s="28">
        <v>0</v>
      </c>
      <c r="F715" s="35">
        <v>0</v>
      </c>
      <c r="G715" s="35"/>
      <c r="H715" s="35"/>
      <c r="I715" s="35"/>
      <c r="J715" s="35"/>
      <c r="K715" s="35"/>
      <c r="L715" s="35"/>
      <c r="M715" s="35"/>
      <c r="N715" s="188"/>
      <c r="O715" s="188"/>
      <c r="P715" s="23"/>
      <c r="Q715" s="35"/>
      <c r="R715" s="35"/>
      <c r="S715" s="35"/>
    </row>
    <row r="716" spans="1:19" ht="29.25" customHeight="1" x14ac:dyDescent="0.2">
      <c r="A716" s="187">
        <v>0</v>
      </c>
      <c r="B716" s="35">
        <v>0</v>
      </c>
      <c r="C716" s="35">
        <v>0</v>
      </c>
      <c r="D716" s="35">
        <v>0</v>
      </c>
      <c r="E716" s="28">
        <v>0</v>
      </c>
      <c r="F716" s="35">
        <v>0</v>
      </c>
      <c r="G716" s="35"/>
      <c r="H716" s="35"/>
      <c r="I716" s="35"/>
      <c r="J716" s="35"/>
      <c r="K716" s="35"/>
      <c r="L716" s="35"/>
      <c r="M716" s="35"/>
      <c r="N716" s="188"/>
      <c r="O716" s="188"/>
      <c r="P716" s="23"/>
      <c r="Q716" s="35"/>
      <c r="R716" s="35"/>
      <c r="S716" s="35"/>
    </row>
    <row r="717" spans="1:19" ht="29.25" customHeight="1" x14ac:dyDescent="0.2">
      <c r="A717" s="187">
        <v>0</v>
      </c>
      <c r="B717" s="35">
        <v>0</v>
      </c>
      <c r="C717" s="35">
        <v>0</v>
      </c>
      <c r="D717" s="35">
        <v>0</v>
      </c>
      <c r="E717" s="28">
        <v>0</v>
      </c>
      <c r="F717" s="35">
        <v>0</v>
      </c>
      <c r="G717" s="35"/>
      <c r="H717" s="35"/>
      <c r="I717" s="35"/>
      <c r="J717" s="35"/>
      <c r="K717" s="35"/>
      <c r="L717" s="35"/>
      <c r="M717" s="35"/>
      <c r="N717" s="188"/>
      <c r="O717" s="188"/>
      <c r="P717" s="23"/>
      <c r="Q717" s="35"/>
      <c r="R717" s="35"/>
      <c r="S717" s="35"/>
    </row>
    <row r="718" spans="1:19" ht="29.25" customHeight="1" x14ac:dyDescent="0.2">
      <c r="A718" s="187">
        <v>0</v>
      </c>
      <c r="B718" s="35">
        <v>0</v>
      </c>
      <c r="C718" s="35">
        <v>0</v>
      </c>
      <c r="D718" s="35">
        <v>0</v>
      </c>
      <c r="E718" s="28">
        <v>0</v>
      </c>
      <c r="F718" s="35">
        <v>0</v>
      </c>
      <c r="G718" s="35"/>
      <c r="H718" s="35"/>
      <c r="I718" s="35"/>
      <c r="J718" s="35"/>
      <c r="K718" s="35"/>
      <c r="L718" s="35"/>
      <c r="M718" s="35"/>
      <c r="N718" s="188"/>
      <c r="O718" s="188"/>
      <c r="P718" s="23"/>
      <c r="Q718" s="35"/>
      <c r="R718" s="35"/>
      <c r="S718" s="35"/>
    </row>
    <row r="719" spans="1:19" ht="29.25" customHeight="1" x14ac:dyDescent="0.2">
      <c r="A719" s="187">
        <v>0</v>
      </c>
      <c r="B719" s="35">
        <v>0</v>
      </c>
      <c r="C719" s="35">
        <v>0</v>
      </c>
      <c r="D719" s="35">
        <v>0</v>
      </c>
      <c r="E719" s="28">
        <v>0</v>
      </c>
      <c r="F719" s="35">
        <v>0</v>
      </c>
      <c r="G719" s="35"/>
      <c r="H719" s="35"/>
      <c r="I719" s="35"/>
      <c r="J719" s="35"/>
      <c r="K719" s="35"/>
      <c r="L719" s="35"/>
      <c r="M719" s="35"/>
      <c r="N719" s="188"/>
      <c r="O719" s="188"/>
      <c r="P719" s="23"/>
      <c r="Q719" s="35"/>
      <c r="R719" s="35"/>
      <c r="S719" s="35"/>
    </row>
    <row r="720" spans="1:19" ht="29.25" customHeight="1" x14ac:dyDescent="0.2">
      <c r="A720" s="187">
        <v>0</v>
      </c>
      <c r="B720" s="35">
        <v>0</v>
      </c>
      <c r="C720" s="35">
        <v>0</v>
      </c>
      <c r="D720" s="35">
        <v>0</v>
      </c>
      <c r="E720" s="28">
        <v>0</v>
      </c>
      <c r="F720" s="35">
        <v>0</v>
      </c>
      <c r="G720" s="35"/>
      <c r="H720" s="35"/>
      <c r="I720" s="35"/>
      <c r="J720" s="35"/>
      <c r="K720" s="35"/>
      <c r="L720" s="35"/>
      <c r="M720" s="35"/>
      <c r="N720" s="188"/>
      <c r="O720" s="188"/>
      <c r="P720" s="23"/>
      <c r="Q720" s="35"/>
      <c r="R720" s="35"/>
      <c r="S720" s="35"/>
    </row>
    <row r="721" spans="1:19" ht="29.25" customHeight="1" x14ac:dyDescent="0.2">
      <c r="A721" s="187">
        <v>0</v>
      </c>
      <c r="B721" s="35">
        <v>0</v>
      </c>
      <c r="C721" s="35">
        <v>0</v>
      </c>
      <c r="D721" s="35">
        <v>0</v>
      </c>
      <c r="E721" s="28">
        <v>0</v>
      </c>
      <c r="F721" s="35">
        <v>0</v>
      </c>
      <c r="G721" s="35"/>
      <c r="H721" s="35"/>
      <c r="I721" s="35"/>
      <c r="J721" s="35"/>
      <c r="K721" s="35"/>
      <c r="L721" s="35"/>
      <c r="M721" s="35"/>
      <c r="N721" s="188"/>
      <c r="O721" s="188"/>
      <c r="P721" s="23"/>
      <c r="Q721" s="35"/>
      <c r="R721" s="35"/>
      <c r="S721" s="35"/>
    </row>
    <row r="722" spans="1:19" ht="29.25" customHeight="1" x14ac:dyDescent="0.2">
      <c r="A722" s="187">
        <v>0</v>
      </c>
      <c r="B722" s="35">
        <v>0</v>
      </c>
      <c r="C722" s="35">
        <v>0</v>
      </c>
      <c r="D722" s="35">
        <v>0</v>
      </c>
      <c r="E722" s="28">
        <v>0</v>
      </c>
      <c r="F722" s="35">
        <v>0</v>
      </c>
      <c r="G722" s="35"/>
      <c r="H722" s="35"/>
      <c r="I722" s="35"/>
      <c r="J722" s="35"/>
      <c r="K722" s="35"/>
      <c r="L722" s="35"/>
      <c r="M722" s="35"/>
      <c r="N722" s="188"/>
      <c r="O722" s="188"/>
      <c r="P722" s="23"/>
      <c r="Q722" s="35"/>
      <c r="R722" s="35"/>
      <c r="S722" s="35"/>
    </row>
    <row r="723" spans="1:19" ht="29.25" customHeight="1" x14ac:dyDescent="0.2">
      <c r="A723" s="187">
        <v>0</v>
      </c>
      <c r="B723" s="35">
        <v>0</v>
      </c>
      <c r="C723" s="35">
        <v>0</v>
      </c>
      <c r="D723" s="35">
        <v>0</v>
      </c>
      <c r="E723" s="28">
        <v>0</v>
      </c>
      <c r="F723" s="35">
        <v>0</v>
      </c>
      <c r="G723" s="35"/>
      <c r="H723" s="35"/>
      <c r="I723" s="35"/>
      <c r="J723" s="35"/>
      <c r="K723" s="35"/>
      <c r="L723" s="35"/>
      <c r="M723" s="35"/>
      <c r="N723" s="188"/>
      <c r="O723" s="188"/>
      <c r="P723" s="23"/>
      <c r="Q723" s="35"/>
      <c r="R723" s="35"/>
      <c r="S723" s="35"/>
    </row>
    <row r="724" spans="1:19" ht="29.25" customHeight="1" x14ac:dyDescent="0.2">
      <c r="A724" s="187">
        <v>0</v>
      </c>
      <c r="B724" s="35">
        <v>0</v>
      </c>
      <c r="C724" s="35">
        <v>0</v>
      </c>
      <c r="D724" s="35">
        <v>0</v>
      </c>
      <c r="E724" s="28">
        <v>0</v>
      </c>
      <c r="F724" s="35">
        <v>0</v>
      </c>
      <c r="G724" s="35"/>
      <c r="H724" s="35"/>
      <c r="I724" s="35"/>
      <c r="J724" s="35"/>
      <c r="K724" s="35"/>
      <c r="L724" s="35"/>
      <c r="M724" s="35"/>
      <c r="N724" s="188"/>
      <c r="O724" s="188"/>
      <c r="P724" s="23"/>
      <c r="Q724" s="35"/>
      <c r="R724" s="35"/>
      <c r="S724" s="35"/>
    </row>
    <row r="725" spans="1:19" ht="29.25" customHeight="1" x14ac:dyDescent="0.2">
      <c r="A725" s="187">
        <v>0</v>
      </c>
      <c r="B725" s="35">
        <v>0</v>
      </c>
      <c r="C725" s="35">
        <v>0</v>
      </c>
      <c r="D725" s="35">
        <v>0</v>
      </c>
      <c r="E725" s="28">
        <v>0</v>
      </c>
      <c r="F725" s="35">
        <v>0</v>
      </c>
      <c r="G725" s="35"/>
      <c r="H725" s="35"/>
      <c r="I725" s="35"/>
      <c r="J725" s="35"/>
      <c r="K725" s="35"/>
      <c r="L725" s="35"/>
      <c r="M725" s="35"/>
      <c r="N725" s="188"/>
      <c r="O725" s="188"/>
      <c r="P725" s="23"/>
      <c r="Q725" s="35"/>
      <c r="R725" s="35"/>
      <c r="S725" s="35"/>
    </row>
    <row r="726" spans="1:19" ht="29.25" customHeight="1" x14ac:dyDescent="0.2">
      <c r="A726" s="187">
        <v>0</v>
      </c>
      <c r="B726" s="35">
        <v>0</v>
      </c>
      <c r="C726" s="35">
        <v>0</v>
      </c>
      <c r="D726" s="35">
        <v>0</v>
      </c>
      <c r="E726" s="28">
        <v>0</v>
      </c>
      <c r="F726" s="35">
        <v>0</v>
      </c>
      <c r="G726" s="35"/>
      <c r="H726" s="35"/>
      <c r="I726" s="35"/>
      <c r="J726" s="35"/>
      <c r="K726" s="35"/>
      <c r="L726" s="35"/>
      <c r="M726" s="35"/>
      <c r="N726" s="188"/>
      <c r="O726" s="188"/>
      <c r="P726" s="23"/>
      <c r="Q726" s="35"/>
      <c r="R726" s="35"/>
      <c r="S726" s="35"/>
    </row>
    <row r="727" spans="1:19" ht="29.25" customHeight="1" x14ac:dyDescent="0.2">
      <c r="A727" s="187">
        <v>0</v>
      </c>
      <c r="B727" s="35">
        <v>0</v>
      </c>
      <c r="C727" s="35">
        <v>0</v>
      </c>
      <c r="D727" s="35">
        <v>0</v>
      </c>
      <c r="E727" s="28">
        <v>0</v>
      </c>
      <c r="F727" s="35">
        <v>0</v>
      </c>
      <c r="G727" s="35"/>
      <c r="H727" s="35"/>
      <c r="I727" s="35"/>
      <c r="J727" s="35"/>
      <c r="K727" s="35"/>
      <c r="L727" s="35"/>
      <c r="M727" s="35"/>
      <c r="N727" s="188"/>
      <c r="O727" s="188"/>
      <c r="P727" s="23"/>
      <c r="Q727" s="35"/>
      <c r="R727" s="35"/>
      <c r="S727" s="35"/>
    </row>
    <row r="728" spans="1:19" ht="29.25" customHeight="1" x14ac:dyDescent="0.2">
      <c r="A728" s="187">
        <v>0</v>
      </c>
      <c r="B728" s="35">
        <v>0</v>
      </c>
      <c r="C728" s="35">
        <v>0</v>
      </c>
      <c r="D728" s="35">
        <v>0</v>
      </c>
      <c r="E728" s="28">
        <v>0</v>
      </c>
      <c r="F728" s="35">
        <v>0</v>
      </c>
      <c r="G728" s="35"/>
      <c r="H728" s="35"/>
      <c r="I728" s="35"/>
      <c r="J728" s="35"/>
      <c r="K728" s="35"/>
      <c r="L728" s="35"/>
      <c r="M728" s="35"/>
      <c r="N728" s="188"/>
      <c r="O728" s="188"/>
      <c r="P728" s="23"/>
      <c r="Q728" s="35"/>
      <c r="R728" s="35"/>
      <c r="S728" s="35"/>
    </row>
    <row r="729" spans="1:19" ht="29.25" customHeight="1" x14ac:dyDescent="0.2">
      <c r="A729" s="187">
        <v>0</v>
      </c>
      <c r="B729" s="35">
        <v>0</v>
      </c>
      <c r="C729" s="35">
        <v>0</v>
      </c>
      <c r="D729" s="35">
        <v>0</v>
      </c>
      <c r="E729" s="28">
        <v>0</v>
      </c>
      <c r="F729" s="35">
        <v>0</v>
      </c>
      <c r="G729" s="35"/>
      <c r="H729" s="35"/>
      <c r="I729" s="35"/>
      <c r="J729" s="35"/>
      <c r="K729" s="35"/>
      <c r="L729" s="35"/>
      <c r="M729" s="35"/>
      <c r="N729" s="188"/>
      <c r="O729" s="188"/>
      <c r="P729" s="23"/>
      <c r="Q729" s="35"/>
      <c r="R729" s="35"/>
      <c r="S729" s="35"/>
    </row>
    <row r="730" spans="1:19" ht="29.25" customHeight="1" x14ac:dyDescent="0.2">
      <c r="A730" s="187">
        <v>0</v>
      </c>
      <c r="B730" s="35">
        <v>0</v>
      </c>
      <c r="C730" s="35">
        <v>0</v>
      </c>
      <c r="D730" s="35">
        <v>0</v>
      </c>
      <c r="E730" s="28">
        <v>0</v>
      </c>
      <c r="F730" s="35">
        <v>0</v>
      </c>
      <c r="G730" s="35"/>
      <c r="H730" s="35"/>
      <c r="I730" s="35"/>
      <c r="J730" s="35"/>
      <c r="K730" s="35"/>
      <c r="L730" s="35"/>
      <c r="M730" s="35"/>
      <c r="N730" s="188"/>
      <c r="O730" s="188"/>
      <c r="P730" s="23"/>
      <c r="Q730" s="35"/>
      <c r="R730" s="35"/>
      <c r="S730" s="35"/>
    </row>
    <row r="731" spans="1:19" ht="29.25" customHeight="1" x14ac:dyDescent="0.2">
      <c r="A731" s="187">
        <v>0</v>
      </c>
      <c r="B731" s="35">
        <v>0</v>
      </c>
      <c r="C731" s="35">
        <v>0</v>
      </c>
      <c r="D731" s="35">
        <v>0</v>
      </c>
      <c r="E731" s="28">
        <v>0</v>
      </c>
      <c r="F731" s="35">
        <v>0</v>
      </c>
      <c r="G731" s="35"/>
      <c r="H731" s="35"/>
      <c r="I731" s="35"/>
      <c r="J731" s="35"/>
      <c r="K731" s="35"/>
      <c r="L731" s="35"/>
      <c r="M731" s="35"/>
      <c r="N731" s="188"/>
      <c r="O731" s="188"/>
      <c r="P731" s="23"/>
      <c r="Q731" s="35"/>
      <c r="R731" s="35"/>
      <c r="S731" s="35"/>
    </row>
    <row r="732" spans="1:19" ht="29.25" customHeight="1" x14ac:dyDescent="0.2">
      <c r="A732" s="187">
        <v>0</v>
      </c>
      <c r="B732" s="35">
        <v>0</v>
      </c>
      <c r="C732" s="35">
        <v>0</v>
      </c>
      <c r="D732" s="35">
        <v>0</v>
      </c>
      <c r="E732" s="28">
        <v>0</v>
      </c>
      <c r="F732" s="35">
        <v>0</v>
      </c>
      <c r="G732" s="35"/>
      <c r="H732" s="35"/>
      <c r="I732" s="35"/>
      <c r="J732" s="35"/>
      <c r="K732" s="35"/>
      <c r="L732" s="35"/>
      <c r="M732" s="35"/>
      <c r="N732" s="188"/>
      <c r="O732" s="188"/>
      <c r="P732" s="23"/>
      <c r="Q732" s="35"/>
      <c r="R732" s="35"/>
      <c r="S732" s="35"/>
    </row>
    <row r="733" spans="1:19" ht="29.25" customHeight="1" x14ac:dyDescent="0.2">
      <c r="A733" s="187">
        <v>0</v>
      </c>
      <c r="B733" s="35">
        <v>0</v>
      </c>
      <c r="C733" s="35">
        <v>0</v>
      </c>
      <c r="D733" s="35">
        <v>0</v>
      </c>
      <c r="E733" s="28">
        <v>0</v>
      </c>
      <c r="F733" s="35">
        <v>0</v>
      </c>
      <c r="G733" s="35"/>
      <c r="H733" s="35"/>
      <c r="I733" s="35"/>
      <c r="J733" s="35"/>
      <c r="K733" s="35"/>
      <c r="L733" s="35"/>
      <c r="M733" s="35"/>
      <c r="N733" s="188"/>
      <c r="O733" s="188"/>
      <c r="P733" s="23"/>
      <c r="Q733" s="35"/>
      <c r="R733" s="35"/>
      <c r="S733" s="35"/>
    </row>
    <row r="734" spans="1:19" ht="29.25" customHeight="1" x14ac:dyDescent="0.2">
      <c r="A734" s="187">
        <v>0</v>
      </c>
      <c r="B734" s="35">
        <v>0</v>
      </c>
      <c r="C734" s="35">
        <v>0</v>
      </c>
      <c r="D734" s="35">
        <v>0</v>
      </c>
      <c r="E734" s="28">
        <v>0</v>
      </c>
      <c r="F734" s="35">
        <v>0</v>
      </c>
      <c r="G734" s="35"/>
      <c r="H734" s="35"/>
      <c r="I734" s="35"/>
      <c r="J734" s="35"/>
      <c r="K734" s="35"/>
      <c r="L734" s="35"/>
      <c r="M734" s="35"/>
      <c r="N734" s="188"/>
      <c r="O734" s="188"/>
      <c r="P734" s="23"/>
      <c r="Q734" s="35"/>
      <c r="R734" s="35"/>
      <c r="S734" s="35"/>
    </row>
    <row r="735" spans="1:19" ht="29.25" customHeight="1" x14ac:dyDescent="0.2">
      <c r="A735" s="187">
        <v>0</v>
      </c>
      <c r="B735" s="35">
        <v>0</v>
      </c>
      <c r="C735" s="35">
        <v>0</v>
      </c>
      <c r="D735" s="35">
        <v>0</v>
      </c>
      <c r="E735" s="28">
        <v>0</v>
      </c>
      <c r="F735" s="35">
        <v>0</v>
      </c>
      <c r="G735" s="35"/>
      <c r="H735" s="35"/>
      <c r="I735" s="35"/>
      <c r="J735" s="35"/>
      <c r="K735" s="35"/>
      <c r="L735" s="35"/>
      <c r="M735" s="35"/>
      <c r="N735" s="188"/>
      <c r="O735" s="188"/>
      <c r="P735" s="23"/>
      <c r="Q735" s="35"/>
      <c r="R735" s="35"/>
      <c r="S735" s="35"/>
    </row>
    <row r="736" spans="1:19" ht="29.25" customHeight="1" x14ac:dyDescent="0.2">
      <c r="A736" s="187">
        <v>0</v>
      </c>
      <c r="B736" s="35">
        <v>0</v>
      </c>
      <c r="C736" s="35">
        <v>0</v>
      </c>
      <c r="D736" s="35">
        <v>0</v>
      </c>
      <c r="E736" s="28">
        <v>0</v>
      </c>
      <c r="F736" s="35">
        <v>0</v>
      </c>
      <c r="G736" s="35"/>
      <c r="H736" s="35"/>
      <c r="I736" s="35"/>
      <c r="J736" s="35"/>
      <c r="K736" s="35"/>
      <c r="L736" s="35"/>
      <c r="M736" s="35"/>
      <c r="N736" s="188"/>
      <c r="O736" s="188"/>
      <c r="P736" s="23"/>
      <c r="Q736" s="35"/>
      <c r="R736" s="35"/>
      <c r="S736" s="35"/>
    </row>
    <row r="737" spans="1:19" ht="29.25" customHeight="1" x14ac:dyDescent="0.2">
      <c r="A737" s="187">
        <v>0</v>
      </c>
      <c r="B737" s="35">
        <v>0</v>
      </c>
      <c r="C737" s="35">
        <v>0</v>
      </c>
      <c r="D737" s="35">
        <v>0</v>
      </c>
      <c r="E737" s="28">
        <v>0</v>
      </c>
      <c r="F737" s="35">
        <v>0</v>
      </c>
      <c r="G737" s="35"/>
      <c r="H737" s="35"/>
      <c r="I737" s="35"/>
      <c r="J737" s="35"/>
      <c r="K737" s="35"/>
      <c r="L737" s="35"/>
      <c r="M737" s="35"/>
      <c r="N737" s="188"/>
      <c r="O737" s="188"/>
      <c r="P737" s="23"/>
      <c r="Q737" s="35"/>
      <c r="R737" s="35"/>
      <c r="S737" s="35"/>
    </row>
    <row r="738" spans="1:19" ht="29.25" customHeight="1" x14ac:dyDescent="0.2">
      <c r="A738" s="187">
        <v>0</v>
      </c>
      <c r="B738" s="35">
        <v>0</v>
      </c>
      <c r="C738" s="35">
        <v>0</v>
      </c>
      <c r="D738" s="35">
        <v>0</v>
      </c>
      <c r="E738" s="28">
        <v>0</v>
      </c>
      <c r="F738" s="35">
        <v>0</v>
      </c>
      <c r="G738" s="35"/>
      <c r="H738" s="35"/>
      <c r="I738" s="35"/>
      <c r="J738" s="35"/>
      <c r="K738" s="35"/>
      <c r="L738" s="35"/>
      <c r="M738" s="35"/>
      <c r="N738" s="188"/>
      <c r="O738" s="188"/>
      <c r="P738" s="23"/>
      <c r="Q738" s="35"/>
      <c r="R738" s="35"/>
      <c r="S738" s="35"/>
    </row>
    <row r="739" spans="1:19" ht="29.25" customHeight="1" x14ac:dyDescent="0.2">
      <c r="A739" s="187">
        <v>0</v>
      </c>
      <c r="B739" s="35">
        <v>0</v>
      </c>
      <c r="C739" s="35">
        <v>0</v>
      </c>
      <c r="D739" s="35">
        <v>0</v>
      </c>
      <c r="E739" s="28">
        <v>0</v>
      </c>
      <c r="F739" s="35">
        <v>0</v>
      </c>
      <c r="G739" s="35"/>
      <c r="H739" s="35"/>
      <c r="I739" s="35"/>
      <c r="J739" s="35"/>
      <c r="K739" s="35"/>
      <c r="L739" s="35"/>
      <c r="M739" s="35"/>
      <c r="N739" s="188"/>
      <c r="O739" s="188"/>
      <c r="P739" s="23"/>
      <c r="Q739" s="35"/>
      <c r="R739" s="35"/>
      <c r="S739" s="35"/>
    </row>
    <row r="740" spans="1:19" ht="29.25" customHeight="1" x14ac:dyDescent="0.2">
      <c r="A740" s="187">
        <v>0</v>
      </c>
      <c r="B740" s="35">
        <v>0</v>
      </c>
      <c r="C740" s="35">
        <v>0</v>
      </c>
      <c r="D740" s="35">
        <v>0</v>
      </c>
      <c r="E740" s="28">
        <v>0</v>
      </c>
      <c r="F740" s="35">
        <v>0</v>
      </c>
      <c r="G740" s="35"/>
      <c r="H740" s="35"/>
      <c r="I740" s="35"/>
      <c r="J740" s="35"/>
      <c r="K740" s="35"/>
      <c r="L740" s="35"/>
      <c r="M740" s="35"/>
      <c r="N740" s="188"/>
      <c r="O740" s="188"/>
      <c r="P740" s="23"/>
      <c r="Q740" s="35"/>
      <c r="R740" s="35"/>
      <c r="S740" s="35"/>
    </row>
    <row r="741" spans="1:19" ht="29.25" customHeight="1" x14ac:dyDescent="0.2">
      <c r="A741" s="187">
        <v>0</v>
      </c>
      <c r="B741" s="35">
        <v>0</v>
      </c>
      <c r="C741" s="35">
        <v>0</v>
      </c>
      <c r="D741" s="35">
        <v>0</v>
      </c>
      <c r="E741" s="28">
        <v>0</v>
      </c>
      <c r="F741" s="35">
        <v>0</v>
      </c>
      <c r="G741" s="35"/>
      <c r="H741" s="35"/>
      <c r="I741" s="35"/>
      <c r="J741" s="35"/>
      <c r="K741" s="35"/>
      <c r="L741" s="35"/>
      <c r="M741" s="35"/>
      <c r="N741" s="188"/>
      <c r="O741" s="188"/>
      <c r="P741" s="23"/>
      <c r="Q741" s="35"/>
      <c r="R741" s="35"/>
      <c r="S741" s="35"/>
    </row>
    <row r="742" spans="1:19" ht="29.25" customHeight="1" x14ac:dyDescent="0.2">
      <c r="A742" s="187">
        <v>0</v>
      </c>
      <c r="B742" s="35">
        <v>0</v>
      </c>
      <c r="C742" s="35">
        <v>0</v>
      </c>
      <c r="D742" s="35">
        <v>0</v>
      </c>
      <c r="E742" s="28">
        <v>0</v>
      </c>
      <c r="F742" s="35">
        <v>0</v>
      </c>
      <c r="G742" s="35"/>
      <c r="H742" s="35"/>
      <c r="I742" s="35"/>
      <c r="J742" s="35"/>
      <c r="K742" s="35"/>
      <c r="L742" s="35"/>
      <c r="M742" s="35"/>
      <c r="N742" s="188"/>
      <c r="O742" s="188"/>
      <c r="P742" s="23"/>
      <c r="Q742" s="35"/>
      <c r="R742" s="35"/>
      <c r="S742" s="35"/>
    </row>
    <row r="743" spans="1:19" ht="29.25" customHeight="1" x14ac:dyDescent="0.2">
      <c r="A743" s="187">
        <v>0</v>
      </c>
      <c r="B743" s="35">
        <v>0</v>
      </c>
      <c r="C743" s="35">
        <v>0</v>
      </c>
      <c r="D743" s="35">
        <v>0</v>
      </c>
      <c r="E743" s="28">
        <v>0</v>
      </c>
      <c r="F743" s="35">
        <v>0</v>
      </c>
      <c r="G743" s="35"/>
      <c r="H743" s="35"/>
      <c r="I743" s="35"/>
      <c r="J743" s="35"/>
      <c r="K743" s="35"/>
      <c r="L743" s="35"/>
      <c r="M743" s="35"/>
      <c r="N743" s="188"/>
      <c r="O743" s="188"/>
      <c r="P743" s="23"/>
      <c r="Q743" s="35"/>
      <c r="R743" s="35"/>
      <c r="S743" s="35"/>
    </row>
    <row r="744" spans="1:19" ht="29.25" customHeight="1" x14ac:dyDescent="0.2">
      <c r="A744" s="187">
        <v>0</v>
      </c>
      <c r="B744" s="35">
        <v>0</v>
      </c>
      <c r="C744" s="35">
        <v>0</v>
      </c>
      <c r="D744" s="35">
        <v>0</v>
      </c>
      <c r="E744" s="28">
        <v>0</v>
      </c>
      <c r="F744" s="35">
        <v>0</v>
      </c>
      <c r="G744" s="35"/>
      <c r="H744" s="35"/>
      <c r="I744" s="35"/>
      <c r="J744" s="35"/>
      <c r="K744" s="35"/>
      <c r="L744" s="35"/>
      <c r="M744" s="35"/>
      <c r="N744" s="188"/>
      <c r="O744" s="188"/>
      <c r="P744" s="23"/>
      <c r="Q744" s="35"/>
      <c r="R744" s="35"/>
      <c r="S744" s="35"/>
    </row>
    <row r="745" spans="1:19" ht="29.25" customHeight="1" x14ac:dyDescent="0.2">
      <c r="A745" s="187">
        <v>0</v>
      </c>
      <c r="B745" s="35">
        <v>0</v>
      </c>
      <c r="C745" s="35">
        <v>0</v>
      </c>
      <c r="D745" s="35">
        <v>0</v>
      </c>
      <c r="E745" s="28">
        <v>0</v>
      </c>
      <c r="F745" s="35">
        <v>0</v>
      </c>
      <c r="G745" s="35"/>
      <c r="H745" s="35"/>
      <c r="I745" s="35"/>
      <c r="J745" s="35"/>
      <c r="K745" s="35"/>
      <c r="L745" s="35"/>
      <c r="M745" s="35"/>
      <c r="N745" s="188"/>
      <c r="O745" s="188"/>
      <c r="P745" s="23"/>
      <c r="Q745" s="35"/>
      <c r="R745" s="35"/>
      <c r="S745" s="35"/>
    </row>
    <row r="746" spans="1:19" ht="29.25" customHeight="1" x14ac:dyDescent="0.2">
      <c r="A746" s="187">
        <v>0</v>
      </c>
      <c r="B746" s="35">
        <v>0</v>
      </c>
      <c r="C746" s="35">
        <v>0</v>
      </c>
      <c r="D746" s="35">
        <v>0</v>
      </c>
      <c r="E746" s="28">
        <v>0</v>
      </c>
      <c r="F746" s="35">
        <v>0</v>
      </c>
      <c r="G746" s="35"/>
      <c r="H746" s="35"/>
      <c r="I746" s="35"/>
      <c r="J746" s="35"/>
      <c r="K746" s="35"/>
      <c r="L746" s="35"/>
      <c r="M746" s="35"/>
      <c r="N746" s="188"/>
      <c r="O746" s="188"/>
      <c r="P746" s="23"/>
      <c r="Q746" s="35"/>
      <c r="R746" s="35"/>
      <c r="S746" s="35"/>
    </row>
    <row r="747" spans="1:19" ht="29.25" customHeight="1" x14ac:dyDescent="0.2">
      <c r="A747" s="187">
        <v>0</v>
      </c>
      <c r="B747" s="35">
        <v>0</v>
      </c>
      <c r="C747" s="35">
        <v>0</v>
      </c>
      <c r="D747" s="35">
        <v>0</v>
      </c>
      <c r="E747" s="28">
        <v>0</v>
      </c>
      <c r="F747" s="35">
        <v>0</v>
      </c>
      <c r="G747" s="35"/>
      <c r="H747" s="35"/>
      <c r="I747" s="35"/>
      <c r="J747" s="35"/>
      <c r="K747" s="35"/>
      <c r="L747" s="35"/>
      <c r="M747" s="35"/>
      <c r="N747" s="188"/>
      <c r="O747" s="188"/>
      <c r="P747" s="23"/>
      <c r="Q747" s="35"/>
      <c r="R747" s="35"/>
      <c r="S747" s="35"/>
    </row>
    <row r="748" spans="1:19" ht="29.25" customHeight="1" x14ac:dyDescent="0.2">
      <c r="A748" s="187">
        <v>0</v>
      </c>
      <c r="B748" s="35">
        <v>0</v>
      </c>
      <c r="C748" s="35">
        <v>0</v>
      </c>
      <c r="D748" s="35">
        <v>0</v>
      </c>
      <c r="E748" s="28">
        <v>0</v>
      </c>
      <c r="F748" s="35">
        <v>0</v>
      </c>
      <c r="G748" s="35"/>
      <c r="H748" s="35"/>
      <c r="I748" s="35"/>
      <c r="J748" s="35"/>
      <c r="K748" s="35"/>
      <c r="L748" s="35"/>
      <c r="M748" s="35"/>
      <c r="N748" s="188"/>
      <c r="O748" s="188"/>
      <c r="P748" s="23"/>
      <c r="Q748" s="35"/>
      <c r="R748" s="35"/>
      <c r="S748" s="35"/>
    </row>
    <row r="749" spans="1:19" ht="29.25" customHeight="1" x14ac:dyDescent="0.2">
      <c r="A749" s="187">
        <v>0</v>
      </c>
      <c r="B749" s="35">
        <v>0</v>
      </c>
      <c r="C749" s="35">
        <v>0</v>
      </c>
      <c r="D749" s="35">
        <v>0</v>
      </c>
      <c r="E749" s="28">
        <v>0</v>
      </c>
      <c r="F749" s="35">
        <v>0</v>
      </c>
      <c r="G749" s="35"/>
      <c r="H749" s="35"/>
      <c r="I749" s="35"/>
      <c r="J749" s="35"/>
      <c r="K749" s="35"/>
      <c r="L749" s="35"/>
      <c r="M749" s="35"/>
      <c r="N749" s="188"/>
      <c r="O749" s="188"/>
      <c r="P749" s="23"/>
      <c r="Q749" s="35"/>
      <c r="R749" s="35"/>
      <c r="S749" s="35"/>
    </row>
    <row r="750" spans="1:19" ht="29.25" customHeight="1" x14ac:dyDescent="0.2">
      <c r="A750" s="187">
        <v>0</v>
      </c>
      <c r="B750" s="35">
        <v>0</v>
      </c>
      <c r="C750" s="35">
        <v>0</v>
      </c>
      <c r="D750" s="35">
        <v>0</v>
      </c>
      <c r="E750" s="28">
        <v>0</v>
      </c>
      <c r="F750" s="35">
        <v>0</v>
      </c>
      <c r="G750" s="35"/>
      <c r="H750" s="35"/>
      <c r="I750" s="35"/>
      <c r="J750" s="35"/>
      <c r="K750" s="35"/>
      <c r="L750" s="35"/>
      <c r="M750" s="35"/>
      <c r="N750" s="188"/>
      <c r="O750" s="188"/>
      <c r="P750" s="23"/>
      <c r="Q750" s="35"/>
      <c r="R750" s="35"/>
      <c r="S750" s="35"/>
    </row>
    <row r="751" spans="1:19" ht="29.25" customHeight="1" x14ac:dyDescent="0.2">
      <c r="A751" s="187">
        <v>0</v>
      </c>
      <c r="B751" s="35">
        <v>0</v>
      </c>
      <c r="C751" s="35">
        <v>0</v>
      </c>
      <c r="D751" s="35">
        <v>0</v>
      </c>
      <c r="E751" s="28">
        <v>0</v>
      </c>
      <c r="F751" s="35">
        <v>0</v>
      </c>
      <c r="G751" s="35"/>
      <c r="H751" s="35"/>
      <c r="I751" s="35"/>
      <c r="J751" s="35"/>
      <c r="K751" s="35"/>
      <c r="L751" s="35"/>
      <c r="M751" s="35"/>
      <c r="N751" s="188"/>
      <c r="O751" s="188"/>
      <c r="P751" s="23"/>
      <c r="Q751" s="35"/>
      <c r="R751" s="35"/>
      <c r="S751" s="35"/>
    </row>
    <row r="752" spans="1:19" ht="29.25" customHeight="1" x14ac:dyDescent="0.2">
      <c r="A752" s="187">
        <v>0</v>
      </c>
      <c r="B752" s="35">
        <v>0</v>
      </c>
      <c r="C752" s="35">
        <v>0</v>
      </c>
      <c r="D752" s="35">
        <v>0</v>
      </c>
      <c r="E752" s="28">
        <v>0</v>
      </c>
      <c r="F752" s="35">
        <v>0</v>
      </c>
      <c r="G752" s="35"/>
      <c r="H752" s="35"/>
      <c r="I752" s="35"/>
      <c r="J752" s="35"/>
      <c r="K752" s="35"/>
      <c r="L752" s="35"/>
      <c r="M752" s="35"/>
      <c r="N752" s="188"/>
      <c r="O752" s="188"/>
      <c r="P752" s="23"/>
      <c r="Q752" s="35"/>
      <c r="R752" s="35"/>
      <c r="S752" s="35"/>
    </row>
    <row r="753" spans="1:19" ht="29.25" customHeight="1" x14ac:dyDescent="0.2">
      <c r="A753" s="187">
        <v>0</v>
      </c>
      <c r="B753" s="35">
        <v>0</v>
      </c>
      <c r="C753" s="35">
        <v>0</v>
      </c>
      <c r="D753" s="35">
        <v>0</v>
      </c>
      <c r="E753" s="28">
        <v>0</v>
      </c>
      <c r="F753" s="35">
        <v>0</v>
      </c>
      <c r="G753" s="35"/>
      <c r="H753" s="35"/>
      <c r="I753" s="35"/>
      <c r="J753" s="35"/>
      <c r="K753" s="35"/>
      <c r="L753" s="35"/>
      <c r="M753" s="35"/>
      <c r="N753" s="188"/>
      <c r="O753" s="188"/>
      <c r="P753" s="23"/>
      <c r="Q753" s="35"/>
      <c r="R753" s="35"/>
      <c r="S753" s="35"/>
    </row>
    <row r="754" spans="1:19" ht="29.25" customHeight="1" x14ac:dyDescent="0.2">
      <c r="A754" s="187">
        <v>0</v>
      </c>
      <c r="B754" s="35">
        <v>0</v>
      </c>
      <c r="C754" s="35">
        <v>0</v>
      </c>
      <c r="D754" s="35">
        <v>0</v>
      </c>
      <c r="E754" s="28">
        <v>0</v>
      </c>
      <c r="F754" s="35">
        <v>0</v>
      </c>
      <c r="G754" s="35"/>
      <c r="H754" s="35"/>
      <c r="I754" s="35"/>
      <c r="J754" s="35"/>
      <c r="K754" s="35"/>
      <c r="L754" s="35"/>
      <c r="M754" s="35"/>
      <c r="N754" s="188"/>
      <c r="O754" s="188"/>
      <c r="P754" s="23"/>
      <c r="Q754" s="35"/>
      <c r="R754" s="35"/>
      <c r="S754" s="35"/>
    </row>
    <row r="755" spans="1:19" ht="29.25" customHeight="1" x14ac:dyDescent="0.2">
      <c r="A755" s="187">
        <v>0</v>
      </c>
      <c r="B755" s="35">
        <v>0</v>
      </c>
      <c r="C755" s="35">
        <v>0</v>
      </c>
      <c r="D755" s="35">
        <v>0</v>
      </c>
      <c r="E755" s="28">
        <v>0</v>
      </c>
      <c r="F755" s="35">
        <v>0</v>
      </c>
      <c r="G755" s="35"/>
      <c r="H755" s="35"/>
      <c r="I755" s="35"/>
      <c r="J755" s="35"/>
      <c r="K755" s="35"/>
      <c r="L755" s="35"/>
      <c r="M755" s="35"/>
      <c r="N755" s="188"/>
      <c r="O755" s="188"/>
      <c r="P755" s="23"/>
      <c r="Q755" s="35"/>
      <c r="R755" s="35"/>
      <c r="S755" s="35"/>
    </row>
    <row r="756" spans="1:19" ht="29.25" customHeight="1" x14ac:dyDescent="0.2">
      <c r="A756" s="187">
        <v>0</v>
      </c>
      <c r="B756" s="35">
        <v>0</v>
      </c>
      <c r="C756" s="35">
        <v>0</v>
      </c>
      <c r="D756" s="35">
        <v>0</v>
      </c>
      <c r="E756" s="28">
        <v>0</v>
      </c>
      <c r="F756" s="35">
        <v>0</v>
      </c>
      <c r="G756" s="35"/>
      <c r="H756" s="35"/>
      <c r="I756" s="35"/>
      <c r="J756" s="35"/>
      <c r="K756" s="35"/>
      <c r="L756" s="35"/>
      <c r="M756" s="35"/>
      <c r="N756" s="188"/>
      <c r="O756" s="188"/>
      <c r="P756" s="23"/>
      <c r="Q756" s="35"/>
      <c r="R756" s="35"/>
      <c r="S756" s="35"/>
    </row>
    <row r="757" spans="1:19" ht="29.25" customHeight="1" x14ac:dyDescent="0.2">
      <c r="A757" s="187">
        <v>0</v>
      </c>
      <c r="B757" s="35">
        <v>0</v>
      </c>
      <c r="C757" s="35">
        <v>0</v>
      </c>
      <c r="D757" s="35">
        <v>0</v>
      </c>
      <c r="E757" s="28">
        <v>0</v>
      </c>
      <c r="F757" s="35">
        <v>0</v>
      </c>
      <c r="G757" s="35"/>
      <c r="H757" s="35"/>
      <c r="I757" s="35"/>
      <c r="J757" s="35"/>
      <c r="K757" s="35"/>
      <c r="L757" s="35"/>
      <c r="M757" s="35"/>
      <c r="N757" s="188"/>
      <c r="O757" s="188"/>
      <c r="P757" s="23"/>
      <c r="Q757" s="35"/>
      <c r="R757" s="35"/>
      <c r="S757" s="35"/>
    </row>
    <row r="758" spans="1:19" ht="29.25" customHeight="1" x14ac:dyDescent="0.2">
      <c r="A758" s="187">
        <v>0</v>
      </c>
      <c r="B758" s="35">
        <v>0</v>
      </c>
      <c r="C758" s="35">
        <v>0</v>
      </c>
      <c r="D758" s="35">
        <v>0</v>
      </c>
      <c r="E758" s="28">
        <v>0</v>
      </c>
      <c r="F758" s="35">
        <v>0</v>
      </c>
      <c r="G758" s="35"/>
      <c r="H758" s="35"/>
      <c r="I758" s="35"/>
      <c r="J758" s="35"/>
      <c r="K758" s="35"/>
      <c r="L758" s="35"/>
      <c r="M758" s="35"/>
      <c r="N758" s="188"/>
      <c r="O758" s="188"/>
      <c r="P758" s="23"/>
      <c r="Q758" s="35"/>
      <c r="R758" s="35"/>
      <c r="S758" s="35"/>
    </row>
    <row r="759" spans="1:19" ht="29.25" customHeight="1" x14ac:dyDescent="0.2">
      <c r="A759" s="187">
        <v>0</v>
      </c>
      <c r="B759" s="35">
        <v>0</v>
      </c>
      <c r="C759" s="35">
        <v>0</v>
      </c>
      <c r="D759" s="35">
        <v>0</v>
      </c>
      <c r="E759" s="28">
        <v>0</v>
      </c>
      <c r="F759" s="35">
        <v>0</v>
      </c>
      <c r="G759" s="35"/>
      <c r="H759" s="35"/>
      <c r="I759" s="35"/>
      <c r="J759" s="35"/>
      <c r="K759" s="35"/>
      <c r="L759" s="35"/>
      <c r="M759" s="35"/>
      <c r="N759" s="188"/>
      <c r="O759" s="188"/>
      <c r="P759" s="23"/>
      <c r="Q759" s="35"/>
      <c r="R759" s="35"/>
      <c r="S759" s="35"/>
    </row>
    <row r="760" spans="1:19" ht="29.25" customHeight="1" x14ac:dyDescent="0.2">
      <c r="A760" s="187">
        <v>0</v>
      </c>
      <c r="B760" s="35">
        <v>0</v>
      </c>
      <c r="C760" s="35">
        <v>0</v>
      </c>
      <c r="D760" s="35">
        <v>0</v>
      </c>
      <c r="E760" s="28">
        <v>0</v>
      </c>
      <c r="F760" s="35">
        <v>0</v>
      </c>
      <c r="G760" s="35"/>
      <c r="H760" s="35"/>
      <c r="I760" s="35"/>
      <c r="J760" s="35"/>
      <c r="K760" s="35"/>
      <c r="L760" s="35"/>
      <c r="M760" s="35"/>
      <c r="N760" s="188"/>
      <c r="O760" s="188"/>
      <c r="P760" s="23"/>
      <c r="Q760" s="35"/>
      <c r="R760" s="35"/>
      <c r="S760" s="35"/>
    </row>
    <row r="761" spans="1:19" ht="29.25" customHeight="1" x14ac:dyDescent="0.2">
      <c r="A761" s="187">
        <v>0</v>
      </c>
      <c r="B761" s="35">
        <v>0</v>
      </c>
      <c r="C761" s="35">
        <v>0</v>
      </c>
      <c r="D761" s="35">
        <v>0</v>
      </c>
      <c r="E761" s="28">
        <v>0</v>
      </c>
      <c r="F761" s="35">
        <v>0</v>
      </c>
      <c r="G761" s="35"/>
      <c r="H761" s="35"/>
      <c r="I761" s="35"/>
      <c r="J761" s="35"/>
      <c r="K761" s="35"/>
      <c r="L761" s="35"/>
      <c r="M761" s="35"/>
      <c r="N761" s="188"/>
      <c r="O761" s="188"/>
      <c r="P761" s="23"/>
      <c r="Q761" s="35"/>
      <c r="R761" s="35"/>
      <c r="S761" s="35"/>
    </row>
    <row r="762" spans="1:19" ht="29.25" customHeight="1" x14ac:dyDescent="0.2">
      <c r="A762" s="187">
        <v>0</v>
      </c>
      <c r="B762" s="35">
        <v>0</v>
      </c>
      <c r="C762" s="35">
        <v>0</v>
      </c>
      <c r="D762" s="35">
        <v>0</v>
      </c>
      <c r="E762" s="28">
        <v>0</v>
      </c>
      <c r="F762" s="35">
        <v>0</v>
      </c>
      <c r="G762" s="35"/>
      <c r="H762" s="35"/>
      <c r="I762" s="35"/>
      <c r="J762" s="35"/>
      <c r="K762" s="35"/>
      <c r="L762" s="35"/>
      <c r="M762" s="35"/>
      <c r="N762" s="188"/>
      <c r="O762" s="188"/>
      <c r="P762" s="23"/>
      <c r="Q762" s="35"/>
      <c r="R762" s="35"/>
      <c r="S762" s="35"/>
    </row>
    <row r="763" spans="1:19" ht="29.25" customHeight="1" x14ac:dyDescent="0.2">
      <c r="A763" s="187">
        <v>0</v>
      </c>
      <c r="B763" s="35">
        <v>0</v>
      </c>
      <c r="C763" s="35">
        <v>0</v>
      </c>
      <c r="D763" s="35">
        <v>0</v>
      </c>
      <c r="E763" s="28">
        <v>0</v>
      </c>
      <c r="F763" s="35">
        <v>0</v>
      </c>
      <c r="G763" s="35"/>
      <c r="H763" s="35"/>
      <c r="I763" s="35"/>
      <c r="J763" s="35"/>
      <c r="K763" s="35"/>
      <c r="L763" s="35"/>
      <c r="M763" s="35"/>
      <c r="N763" s="188"/>
      <c r="O763" s="188"/>
      <c r="P763" s="23"/>
      <c r="Q763" s="35"/>
      <c r="R763" s="35"/>
      <c r="S763" s="35"/>
    </row>
    <row r="764" spans="1:19" ht="29.25" customHeight="1" x14ac:dyDescent="0.2">
      <c r="A764" s="187">
        <v>0</v>
      </c>
      <c r="B764" s="35">
        <v>0</v>
      </c>
      <c r="C764" s="35">
        <v>0</v>
      </c>
      <c r="D764" s="35">
        <v>0</v>
      </c>
      <c r="E764" s="28">
        <v>0</v>
      </c>
      <c r="F764" s="35">
        <v>0</v>
      </c>
      <c r="G764" s="35"/>
      <c r="H764" s="35"/>
      <c r="I764" s="35"/>
      <c r="J764" s="35"/>
      <c r="K764" s="35"/>
      <c r="L764" s="35"/>
      <c r="M764" s="35"/>
      <c r="N764" s="188"/>
      <c r="O764" s="188"/>
      <c r="P764" s="23"/>
      <c r="Q764" s="35"/>
      <c r="R764" s="35"/>
      <c r="S764" s="35"/>
    </row>
    <row r="765" spans="1:19" ht="29.25" customHeight="1" x14ac:dyDescent="0.2">
      <c r="A765" s="187">
        <v>0</v>
      </c>
      <c r="B765" s="35">
        <v>0</v>
      </c>
      <c r="C765" s="35">
        <v>0</v>
      </c>
      <c r="D765" s="35">
        <v>0</v>
      </c>
      <c r="E765" s="28">
        <v>0</v>
      </c>
      <c r="F765" s="35">
        <v>0</v>
      </c>
      <c r="G765" s="35"/>
      <c r="H765" s="35"/>
      <c r="I765" s="35"/>
      <c r="J765" s="35"/>
      <c r="K765" s="35"/>
      <c r="L765" s="35"/>
      <c r="M765" s="35"/>
      <c r="N765" s="188"/>
      <c r="O765" s="188"/>
      <c r="P765" s="23"/>
      <c r="Q765" s="35"/>
      <c r="R765" s="35"/>
      <c r="S765" s="35"/>
    </row>
    <row r="766" spans="1:19" ht="29.25" customHeight="1" x14ac:dyDescent="0.2">
      <c r="A766" s="187">
        <v>0</v>
      </c>
      <c r="B766" s="35">
        <v>0</v>
      </c>
      <c r="C766" s="35">
        <v>0</v>
      </c>
      <c r="D766" s="35">
        <v>0</v>
      </c>
      <c r="E766" s="28">
        <v>0</v>
      </c>
      <c r="F766" s="35">
        <v>0</v>
      </c>
      <c r="G766" s="35"/>
      <c r="H766" s="35"/>
      <c r="I766" s="35"/>
      <c r="J766" s="35"/>
      <c r="K766" s="35"/>
      <c r="L766" s="35"/>
      <c r="M766" s="35"/>
      <c r="N766" s="188"/>
      <c r="O766" s="188"/>
      <c r="P766" s="23"/>
      <c r="Q766" s="35"/>
      <c r="R766" s="35"/>
      <c r="S766" s="35"/>
    </row>
    <row r="767" spans="1:19" ht="29.25" customHeight="1" x14ac:dyDescent="0.2">
      <c r="A767" s="187">
        <v>0</v>
      </c>
      <c r="B767" s="35">
        <v>0</v>
      </c>
      <c r="C767" s="35">
        <v>0</v>
      </c>
      <c r="D767" s="35">
        <v>0</v>
      </c>
      <c r="E767" s="28">
        <v>0</v>
      </c>
      <c r="F767" s="35">
        <v>0</v>
      </c>
      <c r="G767" s="35"/>
      <c r="H767" s="35"/>
      <c r="I767" s="35"/>
      <c r="J767" s="35"/>
      <c r="K767" s="35"/>
      <c r="L767" s="35"/>
      <c r="M767" s="35"/>
      <c r="N767" s="188"/>
      <c r="O767" s="188"/>
      <c r="P767" s="23"/>
      <c r="Q767" s="35"/>
      <c r="R767" s="35"/>
      <c r="S767" s="35"/>
    </row>
    <row r="768" spans="1:19" ht="29.25" customHeight="1" x14ac:dyDescent="0.2">
      <c r="A768" s="187">
        <v>0</v>
      </c>
      <c r="B768" s="35">
        <v>0</v>
      </c>
      <c r="C768" s="35">
        <v>0</v>
      </c>
      <c r="D768" s="35">
        <v>0</v>
      </c>
      <c r="E768" s="28">
        <v>0</v>
      </c>
      <c r="F768" s="35">
        <v>0</v>
      </c>
      <c r="G768" s="35"/>
      <c r="H768" s="35"/>
      <c r="I768" s="35"/>
      <c r="J768" s="35"/>
      <c r="K768" s="35"/>
      <c r="L768" s="35"/>
      <c r="M768" s="35"/>
      <c r="N768" s="188"/>
      <c r="O768" s="188"/>
      <c r="P768" s="23"/>
      <c r="Q768" s="35"/>
      <c r="R768" s="35"/>
      <c r="S768" s="35"/>
    </row>
    <row r="769" spans="1:19" ht="29.25" customHeight="1" x14ac:dyDescent="0.2">
      <c r="A769" s="187">
        <v>0</v>
      </c>
      <c r="B769" s="35">
        <v>0</v>
      </c>
      <c r="C769" s="35">
        <v>0</v>
      </c>
      <c r="D769" s="35">
        <v>0</v>
      </c>
      <c r="E769" s="28">
        <v>0</v>
      </c>
      <c r="F769" s="35">
        <v>0</v>
      </c>
      <c r="G769" s="35"/>
      <c r="H769" s="35"/>
      <c r="I769" s="35"/>
      <c r="J769" s="35"/>
      <c r="K769" s="35"/>
      <c r="L769" s="35"/>
      <c r="M769" s="35"/>
      <c r="N769" s="188"/>
      <c r="O769" s="188"/>
      <c r="P769" s="23"/>
      <c r="Q769" s="35"/>
      <c r="R769" s="35"/>
      <c r="S769" s="35"/>
    </row>
    <row r="770" spans="1:19" ht="29.25" customHeight="1" x14ac:dyDescent="0.2">
      <c r="A770" s="187">
        <v>0</v>
      </c>
      <c r="B770" s="35">
        <v>0</v>
      </c>
      <c r="C770" s="35">
        <v>0</v>
      </c>
      <c r="D770" s="35">
        <v>0</v>
      </c>
      <c r="E770" s="28">
        <v>0</v>
      </c>
      <c r="F770" s="35">
        <v>0</v>
      </c>
      <c r="G770" s="35"/>
      <c r="H770" s="35"/>
      <c r="I770" s="35"/>
      <c r="J770" s="35"/>
      <c r="K770" s="35"/>
      <c r="L770" s="35"/>
      <c r="M770" s="35"/>
      <c r="N770" s="188"/>
      <c r="O770" s="188"/>
      <c r="P770" s="23"/>
      <c r="Q770" s="35"/>
      <c r="R770" s="35"/>
      <c r="S770" s="35"/>
    </row>
    <row r="771" spans="1:19" ht="29.25" customHeight="1" x14ac:dyDescent="0.2">
      <c r="A771" s="187">
        <v>0</v>
      </c>
      <c r="B771" s="35">
        <v>0</v>
      </c>
      <c r="C771" s="35">
        <v>0</v>
      </c>
      <c r="D771" s="35">
        <v>0</v>
      </c>
      <c r="E771" s="28">
        <v>0</v>
      </c>
      <c r="F771" s="35">
        <v>0</v>
      </c>
      <c r="G771" s="35"/>
      <c r="H771" s="35"/>
      <c r="I771" s="35"/>
      <c r="J771" s="35"/>
      <c r="K771" s="35"/>
      <c r="L771" s="35"/>
      <c r="M771" s="35"/>
      <c r="N771" s="188"/>
      <c r="O771" s="188"/>
      <c r="P771" s="23"/>
      <c r="Q771" s="35"/>
      <c r="R771" s="35"/>
      <c r="S771" s="35"/>
    </row>
    <row r="772" spans="1:19" ht="29.25" customHeight="1" x14ac:dyDescent="0.2">
      <c r="A772" s="187">
        <v>0</v>
      </c>
      <c r="B772" s="35">
        <v>0</v>
      </c>
      <c r="C772" s="35">
        <v>0</v>
      </c>
      <c r="D772" s="35">
        <v>0</v>
      </c>
      <c r="E772" s="28">
        <v>0</v>
      </c>
      <c r="F772" s="35">
        <v>0</v>
      </c>
      <c r="G772" s="35"/>
      <c r="H772" s="35"/>
      <c r="I772" s="35"/>
      <c r="J772" s="35"/>
      <c r="K772" s="35"/>
      <c r="L772" s="35"/>
      <c r="M772" s="35"/>
      <c r="N772" s="188"/>
      <c r="O772" s="188"/>
      <c r="P772" s="23"/>
      <c r="Q772" s="35"/>
      <c r="R772" s="35"/>
      <c r="S772" s="35"/>
    </row>
    <row r="773" spans="1:19" ht="29.25" customHeight="1" x14ac:dyDescent="0.2">
      <c r="A773" s="187">
        <v>0</v>
      </c>
      <c r="B773" s="35">
        <v>0</v>
      </c>
      <c r="C773" s="35">
        <v>0</v>
      </c>
      <c r="D773" s="35">
        <v>0</v>
      </c>
      <c r="E773" s="28">
        <v>0</v>
      </c>
      <c r="F773" s="35">
        <v>0</v>
      </c>
      <c r="G773" s="35"/>
      <c r="H773" s="35"/>
      <c r="I773" s="35"/>
      <c r="J773" s="35"/>
      <c r="K773" s="35"/>
      <c r="L773" s="35"/>
      <c r="M773" s="35"/>
      <c r="N773" s="188"/>
      <c r="O773" s="188"/>
      <c r="P773" s="23"/>
      <c r="Q773" s="35"/>
      <c r="R773" s="35"/>
      <c r="S773" s="35"/>
    </row>
    <row r="774" spans="1:19" ht="29.25" customHeight="1" x14ac:dyDescent="0.2">
      <c r="A774" s="187">
        <v>0</v>
      </c>
      <c r="B774" s="35">
        <v>0</v>
      </c>
      <c r="C774" s="35">
        <v>0</v>
      </c>
      <c r="D774" s="35">
        <v>0</v>
      </c>
      <c r="E774" s="28">
        <v>0</v>
      </c>
      <c r="F774" s="35">
        <v>0</v>
      </c>
      <c r="G774" s="35"/>
      <c r="H774" s="35"/>
      <c r="I774" s="35"/>
      <c r="J774" s="35"/>
      <c r="K774" s="35"/>
      <c r="L774" s="35"/>
      <c r="M774" s="35"/>
      <c r="N774" s="188"/>
      <c r="O774" s="188"/>
      <c r="P774" s="23"/>
      <c r="Q774" s="35"/>
      <c r="R774" s="35"/>
      <c r="S774" s="35"/>
    </row>
    <row r="775" spans="1:19" ht="29.25" customHeight="1" x14ac:dyDescent="0.2">
      <c r="A775" s="187">
        <v>0</v>
      </c>
      <c r="B775" s="35">
        <v>0</v>
      </c>
      <c r="C775" s="35">
        <v>0</v>
      </c>
      <c r="D775" s="35">
        <v>0</v>
      </c>
      <c r="E775" s="28">
        <v>0</v>
      </c>
      <c r="F775" s="35">
        <v>0</v>
      </c>
      <c r="G775" s="35"/>
      <c r="H775" s="35"/>
      <c r="I775" s="35"/>
      <c r="J775" s="35"/>
      <c r="K775" s="35"/>
      <c r="L775" s="35"/>
      <c r="M775" s="35"/>
      <c r="N775" s="188"/>
      <c r="O775" s="188"/>
      <c r="P775" s="23"/>
      <c r="Q775" s="35"/>
      <c r="R775" s="35"/>
      <c r="S775" s="35"/>
    </row>
    <row r="776" spans="1:19" ht="29.25" customHeight="1" x14ac:dyDescent="0.2">
      <c r="A776" s="187">
        <v>0</v>
      </c>
      <c r="B776" s="35">
        <v>0</v>
      </c>
      <c r="C776" s="35">
        <v>0</v>
      </c>
      <c r="D776" s="35">
        <v>0</v>
      </c>
      <c r="E776" s="28">
        <v>0</v>
      </c>
      <c r="F776" s="35">
        <v>0</v>
      </c>
      <c r="G776" s="35"/>
      <c r="H776" s="35"/>
      <c r="I776" s="35"/>
      <c r="J776" s="35"/>
      <c r="K776" s="35"/>
      <c r="L776" s="35"/>
      <c r="M776" s="35"/>
      <c r="N776" s="188"/>
      <c r="O776" s="188"/>
      <c r="P776" s="23"/>
      <c r="Q776" s="35"/>
      <c r="R776" s="35"/>
      <c r="S776" s="35"/>
    </row>
    <row r="777" spans="1:19" ht="29.25" customHeight="1" x14ac:dyDescent="0.2">
      <c r="A777" s="187">
        <v>0</v>
      </c>
      <c r="B777" s="35">
        <v>0</v>
      </c>
      <c r="C777" s="35">
        <v>0</v>
      </c>
      <c r="D777" s="35">
        <v>0</v>
      </c>
      <c r="E777" s="28">
        <v>0</v>
      </c>
      <c r="F777" s="35">
        <v>0</v>
      </c>
      <c r="G777" s="35"/>
      <c r="H777" s="35"/>
      <c r="I777" s="35"/>
      <c r="J777" s="35"/>
      <c r="K777" s="35"/>
      <c r="L777" s="35"/>
      <c r="M777" s="35"/>
      <c r="N777" s="188"/>
      <c r="O777" s="188"/>
      <c r="P777" s="23"/>
      <c r="Q777" s="35"/>
      <c r="R777" s="35"/>
      <c r="S777" s="35"/>
    </row>
    <row r="778" spans="1:19" ht="29.25" customHeight="1" x14ac:dyDescent="0.2">
      <c r="A778" s="187">
        <v>0</v>
      </c>
      <c r="B778" s="35">
        <v>0</v>
      </c>
      <c r="C778" s="35">
        <v>0</v>
      </c>
      <c r="D778" s="35">
        <v>0</v>
      </c>
      <c r="E778" s="28">
        <v>0</v>
      </c>
      <c r="F778" s="35">
        <v>0</v>
      </c>
      <c r="G778" s="35"/>
      <c r="H778" s="35"/>
      <c r="I778" s="35"/>
      <c r="J778" s="35"/>
      <c r="K778" s="35"/>
      <c r="L778" s="35"/>
      <c r="M778" s="35"/>
      <c r="N778" s="188"/>
      <c r="O778" s="188"/>
      <c r="P778" s="23"/>
      <c r="Q778" s="35"/>
      <c r="R778" s="35"/>
      <c r="S778" s="35"/>
    </row>
    <row r="779" spans="1:19" ht="29.25" customHeight="1" x14ac:dyDescent="0.2">
      <c r="A779" s="187">
        <v>0</v>
      </c>
      <c r="B779" s="35">
        <v>0</v>
      </c>
      <c r="C779" s="35">
        <v>0</v>
      </c>
      <c r="D779" s="35">
        <v>0</v>
      </c>
      <c r="E779" s="28">
        <v>0</v>
      </c>
      <c r="F779" s="35">
        <v>0</v>
      </c>
      <c r="G779" s="35"/>
      <c r="H779" s="35"/>
      <c r="I779" s="35"/>
      <c r="J779" s="35"/>
      <c r="K779" s="35"/>
      <c r="L779" s="35"/>
      <c r="M779" s="35"/>
      <c r="N779" s="188"/>
      <c r="O779" s="188"/>
      <c r="P779" s="23"/>
      <c r="Q779" s="35"/>
      <c r="R779" s="35"/>
      <c r="S779" s="35"/>
    </row>
    <row r="780" spans="1:19" ht="29.25" customHeight="1" x14ac:dyDescent="0.2">
      <c r="A780" s="187">
        <v>0</v>
      </c>
      <c r="B780" s="35">
        <v>0</v>
      </c>
      <c r="C780" s="35">
        <v>0</v>
      </c>
      <c r="D780" s="35">
        <v>0</v>
      </c>
      <c r="E780" s="28">
        <v>0</v>
      </c>
      <c r="F780" s="35">
        <v>0</v>
      </c>
      <c r="G780" s="35"/>
      <c r="H780" s="35"/>
      <c r="I780" s="35"/>
      <c r="J780" s="35"/>
      <c r="K780" s="35"/>
      <c r="L780" s="35"/>
      <c r="M780" s="35"/>
      <c r="N780" s="188"/>
      <c r="O780" s="188"/>
      <c r="P780" s="23"/>
      <c r="Q780" s="35"/>
      <c r="R780" s="35"/>
      <c r="S780" s="35"/>
    </row>
    <row r="781" spans="1:19" ht="29.25" customHeight="1" x14ac:dyDescent="0.2">
      <c r="A781" s="187">
        <v>0</v>
      </c>
      <c r="B781" s="35">
        <v>0</v>
      </c>
      <c r="C781" s="35">
        <v>0</v>
      </c>
      <c r="D781" s="35">
        <v>0</v>
      </c>
      <c r="E781" s="28">
        <v>0</v>
      </c>
      <c r="F781" s="35">
        <v>0</v>
      </c>
      <c r="G781" s="35"/>
      <c r="H781" s="35"/>
      <c r="I781" s="35"/>
      <c r="J781" s="35"/>
      <c r="K781" s="35"/>
      <c r="L781" s="35"/>
      <c r="M781" s="35"/>
      <c r="N781" s="188"/>
      <c r="O781" s="188"/>
      <c r="P781" s="23"/>
      <c r="Q781" s="35"/>
      <c r="R781" s="35"/>
      <c r="S781" s="35"/>
    </row>
    <row r="782" spans="1:19" ht="29.25" customHeight="1" x14ac:dyDescent="0.2">
      <c r="A782" s="187">
        <v>0</v>
      </c>
      <c r="B782" s="35">
        <v>0</v>
      </c>
      <c r="C782" s="35">
        <v>0</v>
      </c>
      <c r="D782" s="35">
        <v>0</v>
      </c>
      <c r="E782" s="28">
        <v>0</v>
      </c>
      <c r="F782" s="35">
        <v>0</v>
      </c>
      <c r="G782" s="35"/>
      <c r="H782" s="35"/>
      <c r="I782" s="35"/>
      <c r="J782" s="35"/>
      <c r="K782" s="35"/>
      <c r="L782" s="35"/>
      <c r="M782" s="35"/>
      <c r="N782" s="188"/>
      <c r="O782" s="188"/>
      <c r="P782" s="23"/>
      <c r="Q782" s="35"/>
      <c r="R782" s="35"/>
      <c r="S782" s="35"/>
    </row>
    <row r="783" spans="1:19" ht="29.25" customHeight="1" x14ac:dyDescent="0.2">
      <c r="A783" s="187">
        <v>0</v>
      </c>
      <c r="B783" s="35">
        <v>0</v>
      </c>
      <c r="C783" s="35">
        <v>0</v>
      </c>
      <c r="D783" s="35">
        <v>0</v>
      </c>
      <c r="E783" s="28">
        <v>0</v>
      </c>
      <c r="F783" s="35">
        <v>0</v>
      </c>
      <c r="G783" s="35"/>
      <c r="H783" s="35"/>
      <c r="I783" s="35"/>
      <c r="J783" s="35"/>
      <c r="K783" s="35"/>
      <c r="L783" s="35"/>
      <c r="M783" s="35"/>
      <c r="N783" s="188"/>
      <c r="O783" s="188"/>
      <c r="P783" s="23"/>
      <c r="Q783" s="35"/>
      <c r="R783" s="35"/>
      <c r="S783" s="35"/>
    </row>
    <row r="784" spans="1:19" ht="29.25" customHeight="1" x14ac:dyDescent="0.2">
      <c r="A784" s="187">
        <v>0</v>
      </c>
      <c r="B784" s="35">
        <v>0</v>
      </c>
      <c r="C784" s="35">
        <v>0</v>
      </c>
      <c r="D784" s="35">
        <v>0</v>
      </c>
      <c r="E784" s="28">
        <v>0</v>
      </c>
      <c r="F784" s="35">
        <v>0</v>
      </c>
      <c r="G784" s="35"/>
      <c r="H784" s="35"/>
      <c r="I784" s="35"/>
      <c r="J784" s="35"/>
      <c r="K784" s="35"/>
      <c r="L784" s="35"/>
      <c r="M784" s="35"/>
      <c r="N784" s="188"/>
      <c r="O784" s="188"/>
      <c r="P784" s="23"/>
      <c r="Q784" s="35"/>
      <c r="R784" s="35"/>
      <c r="S784" s="35"/>
    </row>
    <row r="785" spans="1:19" ht="29.25" customHeight="1" x14ac:dyDescent="0.2">
      <c r="A785" s="187">
        <v>0</v>
      </c>
      <c r="B785" s="35">
        <v>0</v>
      </c>
      <c r="C785" s="35">
        <v>0</v>
      </c>
      <c r="D785" s="35">
        <v>0</v>
      </c>
      <c r="E785" s="28">
        <v>0</v>
      </c>
      <c r="F785" s="35">
        <v>0</v>
      </c>
      <c r="G785" s="35"/>
      <c r="H785" s="35"/>
      <c r="I785" s="35"/>
      <c r="J785" s="35"/>
      <c r="K785" s="35"/>
      <c r="L785" s="35"/>
      <c r="M785" s="35"/>
      <c r="N785" s="188"/>
      <c r="O785" s="188"/>
      <c r="P785" s="23"/>
      <c r="Q785" s="35"/>
      <c r="R785" s="35"/>
      <c r="S785" s="35"/>
    </row>
    <row r="786" spans="1:19" ht="29.25" customHeight="1" x14ac:dyDescent="0.2">
      <c r="A786" s="187">
        <v>0</v>
      </c>
      <c r="B786" s="35">
        <v>0</v>
      </c>
      <c r="C786" s="35">
        <v>0</v>
      </c>
      <c r="D786" s="35">
        <v>0</v>
      </c>
      <c r="E786" s="28">
        <v>0</v>
      </c>
      <c r="F786" s="35">
        <v>0</v>
      </c>
      <c r="G786" s="35"/>
      <c r="H786" s="35"/>
      <c r="I786" s="35"/>
      <c r="J786" s="35"/>
      <c r="K786" s="35"/>
      <c r="L786" s="35"/>
      <c r="M786" s="35"/>
      <c r="N786" s="188"/>
      <c r="O786" s="188"/>
      <c r="P786" s="23"/>
      <c r="Q786" s="35"/>
      <c r="R786" s="35"/>
      <c r="S786" s="35"/>
    </row>
    <row r="787" spans="1:19" ht="29.25" customHeight="1" x14ac:dyDescent="0.2">
      <c r="A787" s="187">
        <v>0</v>
      </c>
      <c r="B787" s="35">
        <v>0</v>
      </c>
      <c r="C787" s="35">
        <v>0</v>
      </c>
      <c r="D787" s="35">
        <v>0</v>
      </c>
      <c r="E787" s="28">
        <v>0</v>
      </c>
      <c r="F787" s="35">
        <v>0</v>
      </c>
      <c r="G787" s="35"/>
      <c r="H787" s="35"/>
      <c r="I787" s="35"/>
      <c r="J787" s="35"/>
      <c r="K787" s="35"/>
      <c r="L787" s="35"/>
      <c r="M787" s="35"/>
      <c r="N787" s="188"/>
      <c r="O787" s="188"/>
      <c r="P787" s="23"/>
      <c r="Q787" s="35"/>
      <c r="R787" s="35"/>
      <c r="S787" s="35"/>
    </row>
    <row r="788" spans="1:19" ht="29.25" customHeight="1" x14ac:dyDescent="0.2">
      <c r="A788" s="187">
        <v>0</v>
      </c>
      <c r="B788" s="35">
        <v>0</v>
      </c>
      <c r="C788" s="35">
        <v>0</v>
      </c>
      <c r="D788" s="35">
        <v>0</v>
      </c>
      <c r="E788" s="28">
        <v>0</v>
      </c>
      <c r="F788" s="35">
        <v>0</v>
      </c>
      <c r="G788" s="35"/>
      <c r="H788" s="35"/>
      <c r="I788" s="35"/>
      <c r="J788" s="35"/>
      <c r="K788" s="35"/>
      <c r="L788" s="35"/>
      <c r="M788" s="35"/>
      <c r="N788" s="188"/>
      <c r="O788" s="188"/>
      <c r="P788" s="23"/>
      <c r="Q788" s="35"/>
      <c r="R788" s="35"/>
      <c r="S788" s="35"/>
    </row>
    <row r="789" spans="1:19" ht="29.25" customHeight="1" x14ac:dyDescent="0.2">
      <c r="A789" s="187">
        <v>0</v>
      </c>
      <c r="B789" s="35">
        <v>0</v>
      </c>
      <c r="C789" s="35">
        <v>0</v>
      </c>
      <c r="D789" s="35">
        <v>0</v>
      </c>
      <c r="E789" s="28">
        <v>0</v>
      </c>
      <c r="F789" s="35">
        <v>0</v>
      </c>
      <c r="G789" s="35"/>
      <c r="H789" s="35"/>
      <c r="I789" s="35"/>
      <c r="J789" s="35"/>
      <c r="K789" s="35"/>
      <c r="L789" s="35"/>
      <c r="M789" s="35"/>
      <c r="N789" s="188"/>
      <c r="O789" s="188"/>
      <c r="P789" s="23"/>
      <c r="Q789" s="35"/>
      <c r="R789" s="35"/>
      <c r="S789" s="35"/>
    </row>
    <row r="790" spans="1:19" ht="29.25" customHeight="1" x14ac:dyDescent="0.2">
      <c r="A790" s="187">
        <v>0</v>
      </c>
      <c r="B790" s="35">
        <v>0</v>
      </c>
      <c r="C790" s="35">
        <v>0</v>
      </c>
      <c r="D790" s="35">
        <v>0</v>
      </c>
      <c r="E790" s="28">
        <v>0</v>
      </c>
      <c r="F790" s="35">
        <v>0</v>
      </c>
      <c r="G790" s="35"/>
      <c r="H790" s="35"/>
      <c r="I790" s="35"/>
      <c r="J790" s="35"/>
      <c r="K790" s="35"/>
      <c r="L790" s="35"/>
      <c r="M790" s="35"/>
      <c r="N790" s="188"/>
      <c r="O790" s="188"/>
      <c r="P790" s="23"/>
      <c r="Q790" s="35"/>
      <c r="R790" s="35"/>
      <c r="S790" s="35"/>
    </row>
    <row r="791" spans="1:19" ht="29.25" customHeight="1" x14ac:dyDescent="0.2">
      <c r="A791" s="187">
        <v>0</v>
      </c>
      <c r="B791" s="35">
        <v>0</v>
      </c>
      <c r="C791" s="35">
        <v>0</v>
      </c>
      <c r="D791" s="35">
        <v>0</v>
      </c>
      <c r="E791" s="28">
        <v>0</v>
      </c>
      <c r="F791" s="35">
        <v>0</v>
      </c>
      <c r="G791" s="35"/>
      <c r="H791" s="35"/>
      <c r="I791" s="35"/>
      <c r="J791" s="35"/>
      <c r="K791" s="35"/>
      <c r="L791" s="35"/>
      <c r="M791" s="35"/>
      <c r="N791" s="188"/>
      <c r="O791" s="188"/>
      <c r="P791" s="23"/>
      <c r="Q791" s="35"/>
      <c r="R791" s="35"/>
      <c r="S791" s="35"/>
    </row>
    <row r="792" spans="1:19" ht="29.25" customHeight="1" x14ac:dyDescent="0.2">
      <c r="A792" s="187">
        <v>0</v>
      </c>
      <c r="B792" s="35">
        <v>0</v>
      </c>
      <c r="C792" s="35">
        <v>0</v>
      </c>
      <c r="D792" s="35">
        <v>0</v>
      </c>
      <c r="E792" s="28">
        <v>0</v>
      </c>
      <c r="F792" s="35">
        <v>0</v>
      </c>
      <c r="G792" s="35"/>
      <c r="H792" s="35"/>
      <c r="I792" s="35"/>
      <c r="J792" s="35"/>
      <c r="K792" s="35"/>
      <c r="L792" s="35"/>
      <c r="M792" s="35"/>
      <c r="N792" s="188"/>
      <c r="O792" s="188"/>
      <c r="P792" s="23"/>
      <c r="Q792" s="35"/>
      <c r="R792" s="35"/>
      <c r="S792" s="35"/>
    </row>
    <row r="793" spans="1:19" ht="29.25" customHeight="1" x14ac:dyDescent="0.2">
      <c r="A793" s="187">
        <v>0</v>
      </c>
      <c r="B793" s="35">
        <v>0</v>
      </c>
      <c r="C793" s="35">
        <v>0</v>
      </c>
      <c r="D793" s="35">
        <v>0</v>
      </c>
      <c r="E793" s="28">
        <v>0</v>
      </c>
      <c r="F793" s="35">
        <v>0</v>
      </c>
      <c r="G793" s="35"/>
      <c r="H793" s="35"/>
      <c r="I793" s="35"/>
      <c r="J793" s="35"/>
      <c r="K793" s="35"/>
      <c r="L793" s="35"/>
      <c r="M793" s="35"/>
      <c r="N793" s="188"/>
      <c r="O793" s="188"/>
      <c r="P793" s="23"/>
      <c r="Q793" s="35"/>
      <c r="R793" s="35"/>
      <c r="S793" s="35"/>
    </row>
    <row r="794" spans="1:19" ht="29.25" customHeight="1" x14ac:dyDescent="0.2">
      <c r="A794" s="187">
        <v>0</v>
      </c>
      <c r="B794" s="35">
        <v>0</v>
      </c>
      <c r="C794" s="35">
        <v>0</v>
      </c>
      <c r="D794" s="35">
        <v>0</v>
      </c>
      <c r="E794" s="28">
        <v>0</v>
      </c>
      <c r="F794" s="35">
        <v>0</v>
      </c>
      <c r="G794" s="35"/>
      <c r="H794" s="35"/>
      <c r="I794" s="35"/>
      <c r="J794" s="35"/>
      <c r="K794" s="35"/>
      <c r="L794" s="35"/>
      <c r="M794" s="35"/>
      <c r="N794" s="188"/>
      <c r="O794" s="188"/>
      <c r="P794" s="23"/>
      <c r="Q794" s="35"/>
      <c r="R794" s="35"/>
      <c r="S794" s="35"/>
    </row>
    <row r="795" spans="1:19" ht="29.25" customHeight="1" x14ac:dyDescent="0.2">
      <c r="A795" s="187">
        <v>0</v>
      </c>
      <c r="B795" s="35">
        <v>0</v>
      </c>
      <c r="C795" s="35">
        <v>0</v>
      </c>
      <c r="D795" s="35">
        <v>0</v>
      </c>
      <c r="E795" s="28">
        <v>0</v>
      </c>
      <c r="F795" s="35">
        <v>0</v>
      </c>
      <c r="G795" s="35"/>
      <c r="H795" s="35"/>
      <c r="I795" s="35"/>
      <c r="J795" s="35"/>
      <c r="K795" s="35"/>
      <c r="L795" s="35"/>
      <c r="M795" s="35"/>
      <c r="N795" s="188"/>
      <c r="O795" s="188"/>
      <c r="P795" s="23"/>
      <c r="Q795" s="35"/>
      <c r="R795" s="35"/>
      <c r="S795" s="35"/>
    </row>
    <row r="796" spans="1:19" ht="29.25" customHeight="1" x14ac:dyDescent="0.2">
      <c r="A796" s="187">
        <v>0</v>
      </c>
      <c r="B796" s="35">
        <v>0</v>
      </c>
      <c r="C796" s="35">
        <v>0</v>
      </c>
      <c r="D796" s="35">
        <v>0</v>
      </c>
      <c r="E796" s="28">
        <v>0</v>
      </c>
      <c r="F796" s="35">
        <v>0</v>
      </c>
      <c r="G796" s="35"/>
      <c r="H796" s="35"/>
      <c r="I796" s="35"/>
      <c r="J796" s="35"/>
      <c r="K796" s="35"/>
      <c r="L796" s="35"/>
      <c r="M796" s="35"/>
      <c r="N796" s="188"/>
      <c r="O796" s="188"/>
      <c r="P796" s="23"/>
      <c r="Q796" s="35"/>
      <c r="R796" s="35"/>
      <c r="S796" s="35"/>
    </row>
    <row r="797" spans="1:19" ht="29.25" customHeight="1" x14ac:dyDescent="0.2">
      <c r="A797" s="187">
        <v>0</v>
      </c>
      <c r="B797" s="35">
        <v>0</v>
      </c>
      <c r="C797" s="35">
        <v>0</v>
      </c>
      <c r="D797" s="35">
        <v>0</v>
      </c>
      <c r="E797" s="28">
        <v>0</v>
      </c>
      <c r="F797" s="35">
        <v>0</v>
      </c>
      <c r="G797" s="35"/>
      <c r="H797" s="35"/>
      <c r="I797" s="35"/>
      <c r="J797" s="35"/>
      <c r="K797" s="35"/>
      <c r="L797" s="35"/>
      <c r="M797" s="35"/>
      <c r="N797" s="188"/>
      <c r="O797" s="188"/>
      <c r="P797" s="23"/>
      <c r="Q797" s="35"/>
      <c r="R797" s="35"/>
      <c r="S797" s="35"/>
    </row>
    <row r="798" spans="1:19" ht="29.25" customHeight="1" x14ac:dyDescent="0.2">
      <c r="A798" s="187">
        <v>0</v>
      </c>
      <c r="B798" s="35">
        <v>0</v>
      </c>
      <c r="C798" s="35">
        <v>0</v>
      </c>
      <c r="D798" s="35">
        <v>0</v>
      </c>
      <c r="E798" s="28">
        <v>0</v>
      </c>
      <c r="F798" s="35">
        <v>0</v>
      </c>
      <c r="G798" s="35"/>
      <c r="H798" s="35"/>
      <c r="I798" s="35"/>
      <c r="J798" s="35"/>
      <c r="K798" s="35"/>
      <c r="L798" s="35"/>
      <c r="M798" s="35"/>
      <c r="N798" s="188"/>
      <c r="O798" s="188"/>
      <c r="P798" s="23"/>
      <c r="Q798" s="35"/>
      <c r="R798" s="35"/>
      <c r="S798" s="35"/>
    </row>
    <row r="799" spans="1:19" ht="29.25" customHeight="1" x14ac:dyDescent="0.2">
      <c r="A799" s="187">
        <v>0</v>
      </c>
      <c r="B799" s="35">
        <v>0</v>
      </c>
      <c r="C799" s="35">
        <v>0</v>
      </c>
      <c r="D799" s="35">
        <v>0</v>
      </c>
      <c r="E799" s="28">
        <v>0</v>
      </c>
      <c r="F799" s="35">
        <v>0</v>
      </c>
      <c r="G799" s="35"/>
      <c r="H799" s="35"/>
      <c r="I799" s="35"/>
      <c r="J799" s="35"/>
      <c r="K799" s="35"/>
      <c r="L799" s="35"/>
      <c r="M799" s="35"/>
      <c r="N799" s="188"/>
      <c r="O799" s="188"/>
      <c r="P799" s="23"/>
      <c r="Q799" s="35"/>
      <c r="R799" s="35"/>
      <c r="S799" s="35"/>
    </row>
    <row r="800" spans="1:19" ht="29.25" customHeight="1" x14ac:dyDescent="0.2">
      <c r="A800" s="187">
        <v>0</v>
      </c>
      <c r="B800" s="35">
        <v>0</v>
      </c>
      <c r="C800" s="35">
        <v>0</v>
      </c>
      <c r="D800" s="35">
        <v>0</v>
      </c>
      <c r="E800" s="28">
        <v>0</v>
      </c>
      <c r="F800" s="35">
        <v>0</v>
      </c>
      <c r="G800" s="35"/>
      <c r="H800" s="35"/>
      <c r="I800" s="35"/>
      <c r="J800" s="35"/>
      <c r="K800" s="35"/>
      <c r="L800" s="35"/>
      <c r="M800" s="35"/>
      <c r="N800" s="188"/>
      <c r="O800" s="188"/>
      <c r="P800" s="23"/>
      <c r="Q800" s="35"/>
      <c r="R800" s="35"/>
      <c r="S800" s="35"/>
    </row>
    <row r="801" spans="1:19" ht="29.25" customHeight="1" x14ac:dyDescent="0.2">
      <c r="A801" s="187">
        <v>0</v>
      </c>
      <c r="B801" s="35">
        <v>0</v>
      </c>
      <c r="C801" s="35">
        <v>0</v>
      </c>
      <c r="D801" s="35">
        <v>0</v>
      </c>
      <c r="E801" s="28">
        <v>0</v>
      </c>
      <c r="F801" s="35">
        <v>0</v>
      </c>
      <c r="G801" s="35"/>
      <c r="H801" s="35"/>
      <c r="I801" s="35"/>
      <c r="J801" s="35"/>
      <c r="K801" s="35"/>
      <c r="L801" s="35"/>
      <c r="M801" s="35"/>
      <c r="N801" s="188"/>
      <c r="O801" s="188"/>
      <c r="P801" s="23"/>
      <c r="Q801" s="35"/>
      <c r="R801" s="35"/>
      <c r="S801" s="35"/>
    </row>
    <row r="802" spans="1:19" ht="29.25" customHeight="1" x14ac:dyDescent="0.2">
      <c r="A802" s="187">
        <v>0</v>
      </c>
      <c r="B802" s="35">
        <v>0</v>
      </c>
      <c r="C802" s="35">
        <v>0</v>
      </c>
      <c r="D802" s="35">
        <v>0</v>
      </c>
      <c r="E802" s="28">
        <v>0</v>
      </c>
      <c r="F802" s="35">
        <v>0</v>
      </c>
      <c r="G802" s="35"/>
      <c r="H802" s="35"/>
      <c r="I802" s="35"/>
      <c r="J802" s="35"/>
      <c r="K802" s="35"/>
      <c r="L802" s="35"/>
      <c r="M802" s="35"/>
      <c r="N802" s="188"/>
      <c r="O802" s="188"/>
      <c r="P802" s="23"/>
      <c r="Q802" s="35"/>
      <c r="R802" s="35"/>
      <c r="S802" s="35"/>
    </row>
    <row r="803" spans="1:19" ht="29.25" customHeight="1" x14ac:dyDescent="0.2">
      <c r="A803" s="187">
        <v>0</v>
      </c>
      <c r="B803" s="35">
        <v>0</v>
      </c>
      <c r="C803" s="35">
        <v>0</v>
      </c>
      <c r="D803" s="35">
        <v>0</v>
      </c>
      <c r="E803" s="28">
        <v>0</v>
      </c>
      <c r="F803" s="35">
        <v>0</v>
      </c>
      <c r="G803" s="35"/>
      <c r="H803" s="35"/>
      <c r="I803" s="35"/>
      <c r="J803" s="35"/>
      <c r="K803" s="35"/>
      <c r="L803" s="35"/>
      <c r="M803" s="35"/>
      <c r="N803" s="188"/>
      <c r="O803" s="188"/>
      <c r="P803" s="23"/>
      <c r="Q803" s="35"/>
      <c r="R803" s="35"/>
      <c r="S803" s="35"/>
    </row>
    <row r="804" spans="1:19" ht="29.25" customHeight="1" x14ac:dyDescent="0.2">
      <c r="A804" s="187">
        <v>0</v>
      </c>
      <c r="B804" s="35">
        <v>0</v>
      </c>
      <c r="C804" s="35">
        <v>0</v>
      </c>
      <c r="D804" s="35">
        <v>0</v>
      </c>
      <c r="E804" s="28">
        <v>0</v>
      </c>
      <c r="F804" s="35">
        <v>0</v>
      </c>
      <c r="G804" s="35"/>
      <c r="H804" s="35"/>
      <c r="I804" s="35"/>
      <c r="J804" s="35"/>
      <c r="K804" s="35"/>
      <c r="L804" s="35"/>
      <c r="M804" s="35"/>
      <c r="N804" s="188"/>
      <c r="O804" s="188"/>
      <c r="P804" s="23"/>
      <c r="Q804" s="35"/>
      <c r="R804" s="35"/>
      <c r="S804" s="35"/>
    </row>
    <row r="805" spans="1:19" ht="29.25" customHeight="1" x14ac:dyDescent="0.2">
      <c r="A805" s="187">
        <v>0</v>
      </c>
      <c r="B805" s="35">
        <v>0</v>
      </c>
      <c r="C805" s="35">
        <v>0</v>
      </c>
      <c r="D805" s="35">
        <v>0</v>
      </c>
      <c r="E805" s="28">
        <v>0</v>
      </c>
      <c r="F805" s="35">
        <v>0</v>
      </c>
      <c r="G805" s="35"/>
      <c r="H805" s="35"/>
      <c r="I805" s="35"/>
      <c r="J805" s="35"/>
      <c r="K805" s="35"/>
      <c r="L805" s="35"/>
      <c r="M805" s="35"/>
      <c r="N805" s="188"/>
      <c r="O805" s="188"/>
      <c r="P805" s="23"/>
      <c r="Q805" s="35"/>
      <c r="R805" s="35"/>
      <c r="S805" s="35"/>
    </row>
    <row r="806" spans="1:19" ht="29.25" customHeight="1" x14ac:dyDescent="0.2">
      <c r="A806" s="187">
        <v>0</v>
      </c>
      <c r="B806" s="35">
        <v>0</v>
      </c>
      <c r="C806" s="35">
        <v>0</v>
      </c>
      <c r="D806" s="35">
        <v>0</v>
      </c>
      <c r="E806" s="28">
        <v>0</v>
      </c>
      <c r="F806" s="35">
        <v>0</v>
      </c>
      <c r="G806" s="35"/>
      <c r="H806" s="35"/>
      <c r="I806" s="35"/>
      <c r="J806" s="35"/>
      <c r="K806" s="35"/>
      <c r="L806" s="35"/>
      <c r="M806" s="35"/>
      <c r="N806" s="188"/>
      <c r="O806" s="188"/>
      <c r="P806" s="23"/>
      <c r="Q806" s="35"/>
      <c r="R806" s="35"/>
      <c r="S806" s="35"/>
    </row>
    <row r="807" spans="1:19" ht="29.25" customHeight="1" x14ac:dyDescent="0.2">
      <c r="A807" s="187">
        <v>0</v>
      </c>
      <c r="B807" s="35">
        <v>0</v>
      </c>
      <c r="C807" s="35">
        <v>0</v>
      </c>
      <c r="D807" s="35">
        <v>0</v>
      </c>
      <c r="E807" s="28">
        <v>0</v>
      </c>
      <c r="F807" s="35">
        <v>0</v>
      </c>
      <c r="G807" s="35"/>
      <c r="H807" s="35"/>
      <c r="I807" s="35"/>
      <c r="J807" s="35"/>
      <c r="K807" s="35"/>
      <c r="L807" s="35"/>
      <c r="M807" s="35"/>
      <c r="N807" s="188"/>
      <c r="O807" s="188"/>
      <c r="P807" s="23"/>
      <c r="Q807" s="35"/>
      <c r="R807" s="35"/>
      <c r="S807" s="35"/>
    </row>
    <row r="808" spans="1:19" ht="29.25" customHeight="1" x14ac:dyDescent="0.2">
      <c r="A808" s="187">
        <v>0</v>
      </c>
      <c r="B808" s="35">
        <v>0</v>
      </c>
      <c r="C808" s="35">
        <v>0</v>
      </c>
      <c r="D808" s="35">
        <v>0</v>
      </c>
      <c r="E808" s="28">
        <v>0</v>
      </c>
      <c r="F808" s="35">
        <v>0</v>
      </c>
      <c r="G808" s="35"/>
      <c r="H808" s="35"/>
      <c r="I808" s="35"/>
      <c r="J808" s="35"/>
      <c r="K808" s="35"/>
      <c r="L808" s="35"/>
      <c r="M808" s="35"/>
      <c r="N808" s="188"/>
      <c r="O808" s="188"/>
      <c r="P808" s="23"/>
      <c r="Q808" s="35"/>
      <c r="R808" s="35"/>
      <c r="S808" s="35"/>
    </row>
    <row r="809" spans="1:19" ht="29.25" customHeight="1" x14ac:dyDescent="0.2">
      <c r="A809" s="187">
        <v>0</v>
      </c>
      <c r="B809" s="35">
        <v>0</v>
      </c>
      <c r="C809" s="35">
        <v>0</v>
      </c>
      <c r="D809" s="35">
        <v>0</v>
      </c>
      <c r="E809" s="28">
        <v>0</v>
      </c>
      <c r="F809" s="35">
        <v>0</v>
      </c>
      <c r="G809" s="35"/>
      <c r="H809" s="35"/>
      <c r="I809" s="35"/>
      <c r="J809" s="35"/>
      <c r="K809" s="35"/>
      <c r="L809" s="35"/>
      <c r="M809" s="35"/>
      <c r="N809" s="188"/>
      <c r="O809" s="188"/>
      <c r="P809" s="23"/>
      <c r="Q809" s="35"/>
      <c r="R809" s="35"/>
      <c r="S809" s="35"/>
    </row>
    <row r="810" spans="1:19" ht="29.25" customHeight="1" x14ac:dyDescent="0.2">
      <c r="A810" s="187">
        <v>0</v>
      </c>
      <c r="B810" s="35">
        <v>0</v>
      </c>
      <c r="C810" s="35">
        <v>0</v>
      </c>
      <c r="D810" s="35">
        <v>0</v>
      </c>
      <c r="E810" s="28">
        <v>0</v>
      </c>
      <c r="F810" s="35">
        <v>0</v>
      </c>
      <c r="G810" s="35"/>
      <c r="H810" s="35"/>
      <c r="I810" s="35"/>
      <c r="J810" s="35"/>
      <c r="K810" s="35"/>
      <c r="L810" s="35"/>
      <c r="M810" s="35"/>
      <c r="N810" s="188"/>
      <c r="O810" s="188"/>
      <c r="P810" s="23"/>
      <c r="Q810" s="35"/>
      <c r="R810" s="35"/>
      <c r="S810" s="35"/>
    </row>
    <row r="811" spans="1:19" ht="29.25" customHeight="1" x14ac:dyDescent="0.2">
      <c r="A811" s="187">
        <v>0</v>
      </c>
      <c r="B811" s="35">
        <v>0</v>
      </c>
      <c r="C811" s="35">
        <v>0</v>
      </c>
      <c r="D811" s="35">
        <v>0</v>
      </c>
      <c r="E811" s="28">
        <v>0</v>
      </c>
      <c r="F811" s="35">
        <v>0</v>
      </c>
      <c r="G811" s="35"/>
      <c r="H811" s="35"/>
      <c r="I811" s="35"/>
      <c r="J811" s="35"/>
      <c r="K811" s="35"/>
      <c r="L811" s="35"/>
      <c r="M811" s="35"/>
      <c r="N811" s="188"/>
      <c r="O811" s="188"/>
      <c r="P811" s="23"/>
      <c r="Q811" s="35"/>
      <c r="R811" s="35"/>
      <c r="S811" s="35"/>
    </row>
    <row r="812" spans="1:19" ht="29.25" customHeight="1" x14ac:dyDescent="0.2">
      <c r="A812" s="187">
        <v>0</v>
      </c>
      <c r="B812" s="35">
        <v>0</v>
      </c>
      <c r="C812" s="35">
        <v>0</v>
      </c>
      <c r="D812" s="35">
        <v>0</v>
      </c>
      <c r="E812" s="28">
        <v>0</v>
      </c>
      <c r="F812" s="35">
        <v>0</v>
      </c>
      <c r="G812" s="35"/>
      <c r="H812" s="35"/>
      <c r="I812" s="35"/>
      <c r="J812" s="35"/>
      <c r="K812" s="35"/>
      <c r="L812" s="35"/>
      <c r="M812" s="35"/>
      <c r="N812" s="188"/>
      <c r="O812" s="188"/>
      <c r="P812" s="23"/>
      <c r="Q812" s="35"/>
      <c r="R812" s="35"/>
      <c r="S812" s="35"/>
    </row>
    <row r="813" spans="1:19" ht="29.25" customHeight="1" x14ac:dyDescent="0.2">
      <c r="A813" s="187">
        <v>0</v>
      </c>
      <c r="B813" s="35">
        <v>0</v>
      </c>
      <c r="C813" s="35">
        <v>0</v>
      </c>
      <c r="D813" s="35">
        <v>0</v>
      </c>
      <c r="E813" s="28">
        <v>0</v>
      </c>
      <c r="F813" s="35">
        <v>0</v>
      </c>
      <c r="G813" s="35"/>
      <c r="H813" s="35"/>
      <c r="I813" s="35"/>
      <c r="J813" s="35"/>
      <c r="K813" s="35"/>
      <c r="L813" s="35"/>
      <c r="M813" s="35"/>
      <c r="N813" s="188"/>
      <c r="O813" s="188"/>
      <c r="P813" s="23"/>
      <c r="Q813" s="35"/>
      <c r="R813" s="35"/>
      <c r="S813" s="35"/>
    </row>
    <row r="814" spans="1:19" ht="29.25" customHeight="1" x14ac:dyDescent="0.2">
      <c r="A814" s="187">
        <v>0</v>
      </c>
      <c r="B814" s="35">
        <v>0</v>
      </c>
      <c r="C814" s="35">
        <v>0</v>
      </c>
      <c r="D814" s="35">
        <v>0</v>
      </c>
      <c r="E814" s="28">
        <v>0</v>
      </c>
      <c r="F814" s="35">
        <v>0</v>
      </c>
      <c r="G814" s="35"/>
      <c r="H814" s="35"/>
      <c r="I814" s="35"/>
      <c r="J814" s="35"/>
      <c r="K814" s="35"/>
      <c r="L814" s="35"/>
      <c r="M814" s="35"/>
      <c r="N814" s="188"/>
      <c r="O814" s="188"/>
      <c r="P814" s="23"/>
      <c r="Q814" s="35"/>
      <c r="R814" s="35"/>
      <c r="S814" s="35"/>
    </row>
    <row r="815" spans="1:19" ht="29.25" customHeight="1" x14ac:dyDescent="0.2">
      <c r="A815" s="187">
        <v>0</v>
      </c>
      <c r="B815" s="35">
        <v>0</v>
      </c>
      <c r="C815" s="35">
        <v>0</v>
      </c>
      <c r="D815" s="35">
        <v>0</v>
      </c>
      <c r="E815" s="28">
        <v>0</v>
      </c>
      <c r="F815" s="35">
        <v>0</v>
      </c>
      <c r="G815" s="35"/>
      <c r="H815" s="35"/>
      <c r="I815" s="35"/>
      <c r="J815" s="35"/>
      <c r="K815" s="35"/>
      <c r="L815" s="35"/>
      <c r="M815" s="35"/>
      <c r="N815" s="188"/>
      <c r="O815" s="188"/>
      <c r="P815" s="23"/>
      <c r="Q815" s="35"/>
      <c r="R815" s="35"/>
      <c r="S815" s="35"/>
    </row>
    <row r="816" spans="1:19" ht="29.25" customHeight="1" x14ac:dyDescent="0.2">
      <c r="A816" s="187">
        <v>0</v>
      </c>
      <c r="B816" s="35">
        <v>0</v>
      </c>
      <c r="C816" s="35">
        <v>0</v>
      </c>
      <c r="D816" s="35">
        <v>0</v>
      </c>
      <c r="E816" s="28">
        <v>0</v>
      </c>
      <c r="F816" s="35">
        <v>0</v>
      </c>
      <c r="G816" s="35"/>
      <c r="H816" s="35"/>
      <c r="I816" s="35"/>
      <c r="J816" s="35"/>
      <c r="K816" s="35"/>
      <c r="L816" s="35"/>
      <c r="M816" s="35"/>
      <c r="N816" s="188"/>
      <c r="O816" s="188"/>
      <c r="P816" s="23"/>
      <c r="Q816" s="35"/>
      <c r="R816" s="35"/>
      <c r="S816" s="35"/>
    </row>
    <row r="817" spans="1:19" ht="29.25" customHeight="1" x14ac:dyDescent="0.2">
      <c r="A817" s="187">
        <v>0</v>
      </c>
      <c r="B817" s="35">
        <v>0</v>
      </c>
      <c r="C817" s="35">
        <v>0</v>
      </c>
      <c r="D817" s="35">
        <v>0</v>
      </c>
      <c r="E817" s="28">
        <v>0</v>
      </c>
      <c r="F817" s="35">
        <v>0</v>
      </c>
      <c r="G817" s="35"/>
      <c r="H817" s="35"/>
      <c r="I817" s="35"/>
      <c r="J817" s="35"/>
      <c r="K817" s="35"/>
      <c r="L817" s="35"/>
      <c r="M817" s="35"/>
      <c r="N817" s="188"/>
      <c r="O817" s="188"/>
      <c r="P817" s="23"/>
      <c r="Q817" s="35"/>
      <c r="R817" s="35"/>
      <c r="S817" s="35"/>
    </row>
    <row r="818" spans="1:19" ht="29.25" customHeight="1" x14ac:dyDescent="0.2">
      <c r="A818" s="187">
        <v>0</v>
      </c>
      <c r="B818" s="35">
        <v>0</v>
      </c>
      <c r="C818" s="35">
        <v>0</v>
      </c>
      <c r="D818" s="35">
        <v>0</v>
      </c>
      <c r="E818" s="28">
        <v>0</v>
      </c>
      <c r="F818" s="35">
        <v>0</v>
      </c>
      <c r="G818" s="35"/>
      <c r="H818" s="35"/>
      <c r="I818" s="35"/>
      <c r="J818" s="35"/>
      <c r="K818" s="35"/>
      <c r="L818" s="35"/>
      <c r="M818" s="35"/>
      <c r="N818" s="188"/>
      <c r="O818" s="188"/>
      <c r="P818" s="23"/>
      <c r="Q818" s="35"/>
      <c r="R818" s="35"/>
      <c r="S818" s="35"/>
    </row>
    <row r="819" spans="1:19" ht="29.25" customHeight="1" x14ac:dyDescent="0.2">
      <c r="A819" s="187">
        <v>0</v>
      </c>
      <c r="B819" s="35">
        <v>0</v>
      </c>
      <c r="C819" s="35">
        <v>0</v>
      </c>
      <c r="D819" s="35">
        <v>0</v>
      </c>
      <c r="E819" s="28">
        <v>0</v>
      </c>
      <c r="F819" s="35">
        <v>0</v>
      </c>
      <c r="G819" s="35"/>
      <c r="H819" s="35"/>
      <c r="I819" s="35"/>
      <c r="J819" s="35"/>
      <c r="K819" s="35"/>
      <c r="L819" s="35"/>
      <c r="M819" s="35"/>
      <c r="N819" s="188"/>
      <c r="O819" s="188"/>
      <c r="P819" s="23"/>
      <c r="Q819" s="35"/>
      <c r="R819" s="35"/>
      <c r="S819" s="35"/>
    </row>
    <row r="820" spans="1:19" ht="29.25" customHeight="1" x14ac:dyDescent="0.2">
      <c r="A820" s="187">
        <v>0</v>
      </c>
      <c r="B820" s="35">
        <v>0</v>
      </c>
      <c r="C820" s="35">
        <v>0</v>
      </c>
      <c r="D820" s="35">
        <v>0</v>
      </c>
      <c r="E820" s="28">
        <v>0</v>
      </c>
      <c r="F820" s="35">
        <v>0</v>
      </c>
      <c r="G820" s="35"/>
      <c r="H820" s="35"/>
      <c r="I820" s="35"/>
      <c r="J820" s="35"/>
      <c r="K820" s="35"/>
      <c r="L820" s="35"/>
      <c r="M820" s="35"/>
      <c r="N820" s="188"/>
      <c r="O820" s="188"/>
      <c r="P820" s="23"/>
      <c r="Q820" s="35"/>
      <c r="R820" s="35"/>
      <c r="S820" s="35"/>
    </row>
    <row r="821" spans="1:19" ht="29.25" customHeight="1" x14ac:dyDescent="0.2">
      <c r="A821" s="187">
        <v>0</v>
      </c>
      <c r="B821" s="35">
        <v>0</v>
      </c>
      <c r="C821" s="35">
        <v>0</v>
      </c>
      <c r="D821" s="35">
        <v>0</v>
      </c>
      <c r="E821" s="28">
        <v>0</v>
      </c>
      <c r="F821" s="35">
        <v>0</v>
      </c>
      <c r="G821" s="35"/>
      <c r="H821" s="35"/>
      <c r="I821" s="35"/>
      <c r="J821" s="35"/>
      <c r="K821" s="35"/>
      <c r="L821" s="35"/>
      <c r="M821" s="35"/>
      <c r="N821" s="188"/>
      <c r="O821" s="188"/>
      <c r="P821" s="23"/>
      <c r="Q821" s="35"/>
      <c r="R821" s="35"/>
      <c r="S821" s="35"/>
    </row>
    <row r="822" spans="1:19" ht="29.25" customHeight="1" x14ac:dyDescent="0.2">
      <c r="A822" s="187">
        <v>0</v>
      </c>
      <c r="B822" s="35">
        <v>0</v>
      </c>
      <c r="C822" s="35">
        <v>0</v>
      </c>
      <c r="D822" s="35">
        <v>0</v>
      </c>
      <c r="E822" s="28">
        <v>0</v>
      </c>
      <c r="F822" s="35">
        <v>0</v>
      </c>
      <c r="G822" s="35"/>
      <c r="H822" s="35"/>
      <c r="I822" s="35"/>
      <c r="J822" s="35"/>
      <c r="K822" s="35"/>
      <c r="L822" s="35"/>
      <c r="M822" s="35"/>
      <c r="N822" s="188"/>
      <c r="O822" s="188"/>
      <c r="P822" s="23"/>
      <c r="Q822" s="35"/>
      <c r="R822" s="35"/>
      <c r="S822" s="35"/>
    </row>
    <row r="823" spans="1:19" ht="29.25" customHeight="1" x14ac:dyDescent="0.2">
      <c r="A823" s="187">
        <v>0</v>
      </c>
      <c r="B823" s="35">
        <v>0</v>
      </c>
      <c r="C823" s="35">
        <v>0</v>
      </c>
      <c r="D823" s="35">
        <v>0</v>
      </c>
      <c r="E823" s="28">
        <v>0</v>
      </c>
      <c r="F823" s="35">
        <v>0</v>
      </c>
      <c r="G823" s="35"/>
      <c r="H823" s="35"/>
      <c r="I823" s="35"/>
      <c r="J823" s="35"/>
      <c r="K823" s="35"/>
      <c r="L823" s="35"/>
      <c r="M823" s="35"/>
      <c r="N823" s="188"/>
      <c r="O823" s="188"/>
      <c r="P823" s="23"/>
      <c r="Q823" s="35"/>
      <c r="R823" s="35"/>
      <c r="S823" s="35"/>
    </row>
    <row r="824" spans="1:19" ht="29.25" customHeight="1" x14ac:dyDescent="0.2">
      <c r="A824" s="187">
        <v>0</v>
      </c>
      <c r="B824" s="35">
        <v>0</v>
      </c>
      <c r="C824" s="35">
        <v>0</v>
      </c>
      <c r="D824" s="35">
        <v>0</v>
      </c>
      <c r="E824" s="28">
        <v>0</v>
      </c>
      <c r="F824" s="35">
        <v>0</v>
      </c>
      <c r="G824" s="35"/>
      <c r="H824" s="35"/>
      <c r="I824" s="35"/>
      <c r="J824" s="35"/>
      <c r="K824" s="35"/>
      <c r="L824" s="35"/>
      <c r="M824" s="35"/>
      <c r="N824" s="188"/>
      <c r="O824" s="188"/>
      <c r="P824" s="23"/>
      <c r="Q824" s="35"/>
      <c r="R824" s="35"/>
      <c r="S824" s="35"/>
    </row>
    <row r="825" spans="1:19" ht="29.25" customHeight="1" x14ac:dyDescent="0.2">
      <c r="A825" s="187">
        <v>0</v>
      </c>
      <c r="B825" s="35">
        <v>0</v>
      </c>
      <c r="C825" s="35">
        <v>0</v>
      </c>
      <c r="D825" s="35">
        <v>0</v>
      </c>
      <c r="E825" s="28">
        <v>0</v>
      </c>
      <c r="F825" s="35">
        <v>0</v>
      </c>
      <c r="G825" s="35"/>
      <c r="H825" s="35"/>
      <c r="I825" s="35"/>
      <c r="J825" s="35"/>
      <c r="K825" s="35"/>
      <c r="L825" s="35"/>
      <c r="M825" s="35"/>
      <c r="N825" s="188"/>
      <c r="O825" s="188"/>
      <c r="P825" s="23"/>
      <c r="Q825" s="35"/>
      <c r="R825" s="35"/>
      <c r="S825" s="35"/>
    </row>
    <row r="826" spans="1:19" ht="29.25" customHeight="1" x14ac:dyDescent="0.2">
      <c r="A826" s="187">
        <v>0</v>
      </c>
      <c r="B826" s="35">
        <v>0</v>
      </c>
      <c r="C826" s="35">
        <v>0</v>
      </c>
      <c r="D826" s="35">
        <v>0</v>
      </c>
      <c r="E826" s="28">
        <v>0</v>
      </c>
      <c r="F826" s="35">
        <v>0</v>
      </c>
      <c r="G826" s="35"/>
      <c r="H826" s="35"/>
      <c r="I826" s="35"/>
      <c r="J826" s="35"/>
      <c r="K826" s="35"/>
      <c r="L826" s="35"/>
      <c r="M826" s="35"/>
      <c r="N826" s="188"/>
      <c r="O826" s="188"/>
      <c r="P826" s="23"/>
      <c r="Q826" s="35"/>
      <c r="R826" s="35"/>
      <c r="S826" s="35"/>
    </row>
    <row r="827" spans="1:19" ht="29.25" customHeight="1" x14ac:dyDescent="0.2">
      <c r="A827" s="187">
        <v>0</v>
      </c>
      <c r="B827" s="35">
        <v>0</v>
      </c>
      <c r="C827" s="35">
        <v>0</v>
      </c>
      <c r="D827" s="35">
        <v>0</v>
      </c>
      <c r="E827" s="28">
        <v>0</v>
      </c>
      <c r="F827" s="35">
        <v>0</v>
      </c>
      <c r="G827" s="35"/>
      <c r="H827" s="35"/>
      <c r="I827" s="35"/>
      <c r="J827" s="35"/>
      <c r="K827" s="35"/>
      <c r="L827" s="35"/>
      <c r="M827" s="35"/>
      <c r="N827" s="188"/>
      <c r="O827" s="188"/>
      <c r="P827" s="23"/>
      <c r="Q827" s="35"/>
      <c r="R827" s="35"/>
      <c r="S827" s="35"/>
    </row>
    <row r="828" spans="1:19" ht="29.25" customHeight="1" x14ac:dyDescent="0.2">
      <c r="A828" s="187">
        <v>0</v>
      </c>
      <c r="B828" s="35">
        <v>0</v>
      </c>
      <c r="C828" s="35">
        <v>0</v>
      </c>
      <c r="D828" s="35">
        <v>0</v>
      </c>
      <c r="E828" s="28">
        <v>0</v>
      </c>
      <c r="F828" s="35">
        <v>0</v>
      </c>
      <c r="G828" s="35"/>
      <c r="H828" s="35"/>
      <c r="I828" s="35"/>
      <c r="J828" s="35"/>
      <c r="K828" s="35"/>
      <c r="L828" s="35"/>
      <c r="M828" s="35"/>
      <c r="N828" s="188"/>
      <c r="O828" s="188"/>
      <c r="P828" s="23"/>
      <c r="Q828" s="35"/>
      <c r="R828" s="35"/>
      <c r="S828" s="35"/>
    </row>
    <row r="829" spans="1:19" ht="29.25" customHeight="1" x14ac:dyDescent="0.2">
      <c r="A829" s="187">
        <v>0</v>
      </c>
      <c r="B829" s="35">
        <v>0</v>
      </c>
      <c r="C829" s="35">
        <v>0</v>
      </c>
      <c r="D829" s="35">
        <v>0</v>
      </c>
      <c r="E829" s="28">
        <v>0</v>
      </c>
      <c r="F829" s="35">
        <v>0</v>
      </c>
      <c r="G829" s="35"/>
      <c r="H829" s="35"/>
      <c r="I829" s="35"/>
      <c r="J829" s="35"/>
      <c r="K829" s="35"/>
      <c r="L829" s="35"/>
      <c r="M829" s="35"/>
      <c r="N829" s="188"/>
      <c r="O829" s="188"/>
      <c r="P829" s="23"/>
      <c r="Q829" s="35"/>
      <c r="R829" s="35"/>
      <c r="S829" s="35"/>
    </row>
    <row r="830" spans="1:19" ht="29.25" customHeight="1" x14ac:dyDescent="0.2">
      <c r="A830" s="187">
        <v>0</v>
      </c>
      <c r="B830" s="35">
        <v>0</v>
      </c>
      <c r="C830" s="35">
        <v>0</v>
      </c>
      <c r="D830" s="35">
        <v>0</v>
      </c>
      <c r="E830" s="28">
        <v>0</v>
      </c>
      <c r="F830" s="35">
        <v>0</v>
      </c>
      <c r="G830" s="35"/>
      <c r="H830" s="35"/>
      <c r="I830" s="35"/>
      <c r="J830" s="35"/>
      <c r="K830" s="35"/>
      <c r="L830" s="35"/>
      <c r="M830" s="35"/>
      <c r="N830" s="188"/>
      <c r="O830" s="188"/>
      <c r="P830" s="23"/>
      <c r="Q830" s="35"/>
      <c r="R830" s="35"/>
      <c r="S830" s="35"/>
    </row>
    <row r="831" spans="1:19" ht="29.25" customHeight="1" x14ac:dyDescent="0.2">
      <c r="A831" s="187">
        <v>0</v>
      </c>
      <c r="B831" s="35">
        <v>0</v>
      </c>
      <c r="C831" s="35">
        <v>0</v>
      </c>
      <c r="D831" s="35">
        <v>0</v>
      </c>
      <c r="E831" s="28">
        <v>0</v>
      </c>
      <c r="F831" s="35">
        <v>0</v>
      </c>
      <c r="G831" s="35"/>
      <c r="H831" s="35"/>
      <c r="I831" s="35"/>
      <c r="J831" s="35"/>
      <c r="K831" s="35"/>
      <c r="L831" s="35"/>
      <c r="M831" s="35"/>
      <c r="N831" s="188"/>
      <c r="O831" s="188"/>
      <c r="P831" s="23"/>
      <c r="Q831" s="35"/>
      <c r="R831" s="35"/>
      <c r="S831" s="35"/>
    </row>
    <row r="832" spans="1:19" ht="29.25" customHeight="1" x14ac:dyDescent="0.2">
      <c r="A832" s="187">
        <v>0</v>
      </c>
      <c r="B832" s="35">
        <v>0</v>
      </c>
      <c r="C832" s="35">
        <v>0</v>
      </c>
      <c r="D832" s="35">
        <v>0</v>
      </c>
      <c r="E832" s="28">
        <v>0</v>
      </c>
      <c r="F832" s="35">
        <v>0</v>
      </c>
      <c r="G832" s="35"/>
      <c r="H832" s="35"/>
      <c r="I832" s="35"/>
      <c r="J832" s="35"/>
      <c r="K832" s="35"/>
      <c r="L832" s="35"/>
      <c r="M832" s="35"/>
      <c r="N832" s="188"/>
      <c r="O832" s="188"/>
      <c r="P832" s="23"/>
      <c r="Q832" s="35"/>
      <c r="R832" s="35"/>
      <c r="S832" s="35"/>
    </row>
    <row r="833" spans="1:19" ht="29.25" customHeight="1" x14ac:dyDescent="0.2">
      <c r="A833" s="187">
        <v>0</v>
      </c>
      <c r="B833" s="35">
        <v>0</v>
      </c>
      <c r="C833" s="35">
        <v>0</v>
      </c>
      <c r="D833" s="35">
        <v>0</v>
      </c>
      <c r="E833" s="28">
        <v>0</v>
      </c>
      <c r="F833" s="35">
        <v>0</v>
      </c>
      <c r="G833" s="35"/>
      <c r="H833" s="35"/>
      <c r="I833" s="35"/>
      <c r="J833" s="35"/>
      <c r="K833" s="35"/>
      <c r="L833" s="35"/>
      <c r="M833" s="35"/>
      <c r="N833" s="188"/>
      <c r="O833" s="188"/>
      <c r="P833" s="23"/>
      <c r="Q833" s="35"/>
      <c r="R833" s="35"/>
      <c r="S833" s="35"/>
    </row>
    <row r="834" spans="1:19" ht="29.25" customHeight="1" x14ac:dyDescent="0.2">
      <c r="A834" s="187">
        <v>0</v>
      </c>
      <c r="B834" s="35">
        <v>0</v>
      </c>
      <c r="C834" s="35">
        <v>0</v>
      </c>
      <c r="D834" s="35">
        <v>0</v>
      </c>
      <c r="E834" s="28">
        <v>0</v>
      </c>
      <c r="F834" s="35">
        <v>0</v>
      </c>
      <c r="G834" s="35"/>
      <c r="H834" s="35"/>
      <c r="I834" s="35"/>
      <c r="J834" s="35"/>
      <c r="K834" s="35"/>
      <c r="L834" s="35"/>
      <c r="M834" s="35"/>
      <c r="N834" s="188"/>
      <c r="O834" s="188"/>
      <c r="P834" s="23"/>
      <c r="Q834" s="35"/>
      <c r="R834" s="35"/>
      <c r="S834" s="35"/>
    </row>
    <row r="835" spans="1:19" ht="29.25" customHeight="1" x14ac:dyDescent="0.2">
      <c r="A835" s="187">
        <v>0</v>
      </c>
      <c r="B835" s="35">
        <v>0</v>
      </c>
      <c r="C835" s="35">
        <v>0</v>
      </c>
      <c r="D835" s="35">
        <v>0</v>
      </c>
      <c r="E835" s="28">
        <v>0</v>
      </c>
      <c r="F835" s="35">
        <v>0</v>
      </c>
      <c r="G835" s="35"/>
      <c r="H835" s="35"/>
      <c r="I835" s="35"/>
      <c r="J835" s="35"/>
      <c r="K835" s="35"/>
      <c r="L835" s="35"/>
      <c r="M835" s="35"/>
      <c r="N835" s="188"/>
      <c r="O835" s="188"/>
      <c r="P835" s="23"/>
      <c r="Q835" s="35"/>
      <c r="R835" s="35"/>
      <c r="S835" s="35"/>
    </row>
    <row r="836" spans="1:19" ht="29.25" customHeight="1" x14ac:dyDescent="0.2">
      <c r="A836" s="187">
        <v>0</v>
      </c>
      <c r="B836" s="35">
        <v>0</v>
      </c>
      <c r="C836" s="35">
        <v>0</v>
      </c>
      <c r="D836" s="35">
        <v>0</v>
      </c>
      <c r="E836" s="28">
        <v>0</v>
      </c>
      <c r="F836" s="35">
        <v>0</v>
      </c>
      <c r="G836" s="35"/>
      <c r="H836" s="35"/>
      <c r="I836" s="35"/>
      <c r="J836" s="35"/>
      <c r="K836" s="35"/>
      <c r="L836" s="35"/>
      <c r="M836" s="35"/>
      <c r="N836" s="188"/>
      <c r="O836" s="188"/>
      <c r="P836" s="23"/>
      <c r="Q836" s="35"/>
      <c r="R836" s="35"/>
      <c r="S836" s="35"/>
    </row>
    <row r="837" spans="1:19" ht="29.25" customHeight="1" x14ac:dyDescent="0.2">
      <c r="A837" s="187">
        <v>0</v>
      </c>
      <c r="B837" s="35">
        <v>0</v>
      </c>
      <c r="C837" s="35">
        <v>0</v>
      </c>
      <c r="D837" s="35">
        <v>0</v>
      </c>
      <c r="E837" s="28">
        <v>0</v>
      </c>
      <c r="F837" s="35">
        <v>0</v>
      </c>
      <c r="G837" s="35"/>
      <c r="H837" s="35"/>
      <c r="I837" s="35"/>
      <c r="J837" s="35"/>
      <c r="K837" s="35"/>
      <c r="L837" s="35"/>
      <c r="M837" s="35"/>
      <c r="N837" s="188"/>
      <c r="O837" s="188"/>
      <c r="P837" s="23"/>
      <c r="Q837" s="35"/>
      <c r="R837" s="35"/>
      <c r="S837" s="35"/>
    </row>
    <row r="838" spans="1:19" ht="29.25" customHeight="1" x14ac:dyDescent="0.2">
      <c r="A838" s="187">
        <v>0</v>
      </c>
      <c r="B838" s="35">
        <v>0</v>
      </c>
      <c r="C838" s="35">
        <v>0</v>
      </c>
      <c r="D838" s="35">
        <v>0</v>
      </c>
      <c r="E838" s="28">
        <v>0</v>
      </c>
      <c r="F838" s="35">
        <v>0</v>
      </c>
      <c r="G838" s="35"/>
      <c r="H838" s="35"/>
      <c r="I838" s="35"/>
      <c r="J838" s="35"/>
      <c r="K838" s="35"/>
      <c r="L838" s="35"/>
      <c r="M838" s="35"/>
      <c r="N838" s="188"/>
      <c r="O838" s="188"/>
      <c r="P838" s="23"/>
      <c r="Q838" s="35"/>
      <c r="R838" s="35"/>
      <c r="S838" s="35"/>
    </row>
    <row r="839" spans="1:19" ht="29.25" customHeight="1" x14ac:dyDescent="0.2">
      <c r="A839" s="187">
        <v>0</v>
      </c>
      <c r="B839" s="35">
        <v>0</v>
      </c>
      <c r="C839" s="35">
        <v>0</v>
      </c>
      <c r="D839" s="35">
        <v>0</v>
      </c>
      <c r="E839" s="28">
        <v>0</v>
      </c>
      <c r="F839" s="35">
        <v>0</v>
      </c>
      <c r="G839" s="35"/>
      <c r="H839" s="35"/>
      <c r="I839" s="35"/>
      <c r="J839" s="35"/>
      <c r="K839" s="35"/>
      <c r="L839" s="35"/>
      <c r="M839" s="35"/>
      <c r="N839" s="188"/>
      <c r="O839" s="188"/>
      <c r="P839" s="23"/>
      <c r="Q839" s="35"/>
      <c r="R839" s="35"/>
      <c r="S839" s="35"/>
    </row>
    <row r="840" spans="1:19" ht="29.25" customHeight="1" x14ac:dyDescent="0.2">
      <c r="A840" s="187">
        <v>0</v>
      </c>
      <c r="B840" s="35">
        <v>0</v>
      </c>
      <c r="C840" s="35">
        <v>0</v>
      </c>
      <c r="D840" s="35">
        <v>0</v>
      </c>
      <c r="E840" s="28">
        <v>0</v>
      </c>
      <c r="F840" s="35">
        <v>0</v>
      </c>
      <c r="G840" s="35"/>
      <c r="H840" s="35"/>
      <c r="I840" s="35"/>
      <c r="J840" s="35"/>
      <c r="K840" s="35"/>
      <c r="L840" s="35"/>
      <c r="M840" s="35"/>
      <c r="N840" s="188"/>
      <c r="O840" s="188"/>
      <c r="P840" s="23"/>
      <c r="Q840" s="35"/>
      <c r="R840" s="35"/>
      <c r="S840" s="35"/>
    </row>
    <row r="841" spans="1:19" ht="29.25" customHeight="1" x14ac:dyDescent="0.2">
      <c r="A841" s="187">
        <v>0</v>
      </c>
      <c r="B841" s="35">
        <v>0</v>
      </c>
      <c r="C841" s="35">
        <v>0</v>
      </c>
      <c r="D841" s="35">
        <v>0</v>
      </c>
      <c r="E841" s="28">
        <v>0</v>
      </c>
      <c r="F841" s="35">
        <v>0</v>
      </c>
      <c r="G841" s="35"/>
      <c r="H841" s="35"/>
      <c r="I841" s="35"/>
      <c r="J841" s="35"/>
      <c r="K841" s="35"/>
      <c r="L841" s="35"/>
      <c r="M841" s="35"/>
      <c r="N841" s="188"/>
      <c r="O841" s="188"/>
      <c r="P841" s="23"/>
      <c r="Q841" s="35"/>
      <c r="R841" s="35"/>
      <c r="S841" s="35"/>
    </row>
    <row r="842" spans="1:19" ht="29.25" customHeight="1" x14ac:dyDescent="0.2">
      <c r="A842" s="187">
        <v>0</v>
      </c>
      <c r="B842" s="35">
        <v>0</v>
      </c>
      <c r="C842" s="35">
        <v>0</v>
      </c>
      <c r="D842" s="35">
        <v>0</v>
      </c>
      <c r="E842" s="28">
        <v>0</v>
      </c>
      <c r="F842" s="35">
        <v>0</v>
      </c>
      <c r="G842" s="35"/>
      <c r="H842" s="35"/>
      <c r="I842" s="35"/>
      <c r="J842" s="35"/>
      <c r="K842" s="35"/>
      <c r="L842" s="35"/>
      <c r="M842" s="35"/>
      <c r="N842" s="188"/>
      <c r="O842" s="188"/>
      <c r="P842" s="23"/>
      <c r="Q842" s="35"/>
      <c r="R842" s="35"/>
      <c r="S842" s="35"/>
    </row>
    <row r="843" spans="1:19" ht="29.25" customHeight="1" x14ac:dyDescent="0.2">
      <c r="A843" s="187">
        <v>0</v>
      </c>
      <c r="B843" s="35">
        <v>0</v>
      </c>
      <c r="C843" s="35">
        <v>0</v>
      </c>
      <c r="D843" s="35">
        <v>0</v>
      </c>
      <c r="E843" s="28">
        <v>0</v>
      </c>
      <c r="F843" s="35">
        <v>0</v>
      </c>
      <c r="G843" s="35"/>
      <c r="H843" s="35"/>
      <c r="I843" s="35"/>
      <c r="J843" s="35"/>
      <c r="K843" s="35"/>
      <c r="L843" s="35"/>
      <c r="M843" s="35"/>
      <c r="N843" s="188"/>
      <c r="O843" s="188"/>
      <c r="P843" s="23"/>
      <c r="Q843" s="35"/>
      <c r="R843" s="35"/>
      <c r="S843" s="35"/>
    </row>
    <row r="844" spans="1:19" ht="29.25" customHeight="1" x14ac:dyDescent="0.2">
      <c r="A844" s="187">
        <v>0</v>
      </c>
      <c r="B844" s="35">
        <v>0</v>
      </c>
      <c r="C844" s="35">
        <v>0</v>
      </c>
      <c r="D844" s="35">
        <v>0</v>
      </c>
      <c r="E844" s="28">
        <v>0</v>
      </c>
      <c r="F844" s="35">
        <v>0</v>
      </c>
      <c r="G844" s="35"/>
      <c r="H844" s="35"/>
      <c r="I844" s="35"/>
      <c r="J844" s="35"/>
      <c r="K844" s="35"/>
      <c r="L844" s="35"/>
      <c r="M844" s="35"/>
      <c r="N844" s="188"/>
      <c r="O844" s="188"/>
      <c r="P844" s="23"/>
      <c r="Q844" s="35"/>
      <c r="R844" s="35"/>
      <c r="S844" s="35"/>
    </row>
    <row r="845" spans="1:19" ht="29.25" customHeight="1" x14ac:dyDescent="0.2">
      <c r="A845" s="187">
        <v>0</v>
      </c>
      <c r="B845" s="35">
        <v>0</v>
      </c>
      <c r="C845" s="35">
        <v>0</v>
      </c>
      <c r="D845" s="35">
        <v>0</v>
      </c>
      <c r="E845" s="28">
        <v>0</v>
      </c>
      <c r="F845" s="35">
        <v>0</v>
      </c>
      <c r="G845" s="35"/>
      <c r="H845" s="35"/>
      <c r="I845" s="35"/>
      <c r="J845" s="35"/>
      <c r="K845" s="35"/>
      <c r="L845" s="35"/>
      <c r="M845" s="35"/>
      <c r="N845" s="188"/>
      <c r="O845" s="188"/>
      <c r="P845" s="23"/>
      <c r="Q845" s="35"/>
      <c r="R845" s="35"/>
      <c r="S845" s="35"/>
    </row>
    <row r="846" spans="1:19" ht="29.25" customHeight="1" x14ac:dyDescent="0.2">
      <c r="A846" s="187">
        <v>0</v>
      </c>
      <c r="B846" s="35">
        <v>0</v>
      </c>
      <c r="C846" s="35">
        <v>0</v>
      </c>
      <c r="D846" s="35">
        <v>0</v>
      </c>
      <c r="E846" s="28">
        <v>0</v>
      </c>
      <c r="F846" s="35">
        <v>0</v>
      </c>
      <c r="G846" s="35"/>
      <c r="H846" s="35"/>
      <c r="I846" s="35"/>
      <c r="J846" s="35"/>
      <c r="K846" s="35"/>
      <c r="L846" s="35"/>
      <c r="M846" s="35"/>
      <c r="N846" s="188"/>
      <c r="O846" s="188"/>
      <c r="P846" s="23"/>
      <c r="Q846" s="35"/>
      <c r="R846" s="35"/>
      <c r="S846" s="35"/>
    </row>
    <row r="847" spans="1:19" ht="29.25" customHeight="1" x14ac:dyDescent="0.2">
      <c r="A847" s="187">
        <v>0</v>
      </c>
      <c r="B847" s="35">
        <v>0</v>
      </c>
      <c r="C847" s="35">
        <v>0</v>
      </c>
      <c r="D847" s="35">
        <v>0</v>
      </c>
      <c r="E847" s="28">
        <v>0</v>
      </c>
      <c r="F847" s="35">
        <v>0</v>
      </c>
      <c r="G847" s="35"/>
      <c r="H847" s="35"/>
      <c r="I847" s="35"/>
      <c r="J847" s="35"/>
      <c r="K847" s="35"/>
      <c r="L847" s="35"/>
      <c r="M847" s="35"/>
      <c r="N847" s="188"/>
      <c r="O847" s="188"/>
      <c r="P847" s="23"/>
      <c r="Q847" s="35"/>
      <c r="R847" s="35"/>
      <c r="S847" s="35"/>
    </row>
    <row r="848" spans="1:19" ht="29.25" customHeight="1" x14ac:dyDescent="0.2">
      <c r="A848" s="187">
        <v>0</v>
      </c>
      <c r="B848" s="35">
        <v>0</v>
      </c>
      <c r="C848" s="35">
        <v>0</v>
      </c>
      <c r="D848" s="35">
        <v>0</v>
      </c>
      <c r="E848" s="28">
        <v>0</v>
      </c>
      <c r="F848" s="35">
        <v>0</v>
      </c>
      <c r="G848" s="35"/>
      <c r="H848" s="35"/>
      <c r="I848" s="35"/>
      <c r="J848" s="35"/>
      <c r="K848" s="35"/>
      <c r="L848" s="35"/>
      <c r="M848" s="35"/>
      <c r="N848" s="188"/>
      <c r="O848" s="188"/>
      <c r="P848" s="23"/>
      <c r="Q848" s="35"/>
      <c r="R848" s="35"/>
      <c r="S848" s="35"/>
    </row>
    <row r="849" spans="1:19" ht="29.25" customHeight="1" x14ac:dyDescent="0.2">
      <c r="A849" s="187">
        <v>0</v>
      </c>
      <c r="B849" s="35">
        <v>0</v>
      </c>
      <c r="C849" s="35">
        <v>0</v>
      </c>
      <c r="D849" s="35">
        <v>0</v>
      </c>
      <c r="E849" s="28">
        <v>0</v>
      </c>
      <c r="F849" s="35">
        <v>0</v>
      </c>
      <c r="G849" s="35"/>
      <c r="H849" s="35"/>
      <c r="I849" s="35"/>
      <c r="J849" s="35"/>
      <c r="K849" s="35"/>
      <c r="L849" s="35"/>
      <c r="M849" s="35"/>
      <c r="N849" s="188"/>
      <c r="O849" s="188"/>
      <c r="P849" s="23"/>
      <c r="Q849" s="35"/>
      <c r="R849" s="35"/>
      <c r="S849" s="35"/>
    </row>
    <row r="850" spans="1:19" ht="29.25" customHeight="1" x14ac:dyDescent="0.2">
      <c r="A850" s="187">
        <v>0</v>
      </c>
      <c r="B850" s="35">
        <v>0</v>
      </c>
      <c r="C850" s="35">
        <v>0</v>
      </c>
      <c r="D850" s="35">
        <v>0</v>
      </c>
      <c r="E850" s="28">
        <v>0</v>
      </c>
      <c r="F850" s="35">
        <v>0</v>
      </c>
      <c r="G850" s="35"/>
      <c r="H850" s="35"/>
      <c r="I850" s="35"/>
      <c r="J850" s="35"/>
      <c r="K850" s="35"/>
      <c r="L850" s="35"/>
      <c r="M850" s="35"/>
      <c r="N850" s="188"/>
      <c r="O850" s="188"/>
      <c r="P850" s="23"/>
      <c r="Q850" s="35"/>
      <c r="R850" s="35"/>
      <c r="S850" s="35"/>
    </row>
    <row r="851" spans="1:19" ht="29.25" customHeight="1" x14ac:dyDescent="0.2">
      <c r="A851" s="187">
        <v>0</v>
      </c>
      <c r="B851" s="35">
        <v>0</v>
      </c>
      <c r="C851" s="35">
        <v>0</v>
      </c>
      <c r="D851" s="35">
        <v>0</v>
      </c>
      <c r="E851" s="28">
        <v>0</v>
      </c>
      <c r="F851" s="35">
        <v>0</v>
      </c>
      <c r="G851" s="35"/>
      <c r="H851" s="35"/>
      <c r="I851" s="35"/>
      <c r="J851" s="35"/>
      <c r="K851" s="35"/>
      <c r="L851" s="35"/>
      <c r="M851" s="35"/>
      <c r="N851" s="188"/>
      <c r="O851" s="188"/>
      <c r="P851" s="23"/>
      <c r="Q851" s="35"/>
      <c r="R851" s="35"/>
      <c r="S851" s="35"/>
    </row>
    <row r="852" spans="1:19" ht="29.25" customHeight="1" x14ac:dyDescent="0.2">
      <c r="A852" s="187">
        <v>0</v>
      </c>
      <c r="B852" s="35">
        <v>0</v>
      </c>
      <c r="C852" s="35">
        <v>0</v>
      </c>
      <c r="D852" s="35">
        <v>0</v>
      </c>
      <c r="E852" s="28">
        <v>0</v>
      </c>
      <c r="F852" s="35">
        <v>0</v>
      </c>
      <c r="G852" s="35"/>
      <c r="H852" s="35"/>
      <c r="I852" s="35"/>
      <c r="J852" s="35"/>
      <c r="K852" s="35"/>
      <c r="L852" s="35"/>
      <c r="M852" s="35"/>
      <c r="N852" s="188"/>
      <c r="O852" s="188"/>
      <c r="P852" s="23"/>
      <c r="Q852" s="35"/>
      <c r="R852" s="35"/>
      <c r="S852" s="35"/>
    </row>
    <row r="853" spans="1:19" ht="29.25" customHeight="1" x14ac:dyDescent="0.2">
      <c r="A853" s="187">
        <v>0</v>
      </c>
      <c r="B853" s="35">
        <v>0</v>
      </c>
      <c r="C853" s="35">
        <v>0</v>
      </c>
      <c r="D853" s="35">
        <v>0</v>
      </c>
      <c r="E853" s="28">
        <v>0</v>
      </c>
      <c r="F853" s="35">
        <v>0</v>
      </c>
      <c r="G853" s="35"/>
      <c r="H853" s="35"/>
      <c r="I853" s="35"/>
      <c r="J853" s="35"/>
      <c r="K853" s="35"/>
      <c r="L853" s="35"/>
      <c r="M853" s="35"/>
      <c r="N853" s="188"/>
      <c r="O853" s="188"/>
      <c r="P853" s="23"/>
      <c r="Q853" s="35"/>
      <c r="R853" s="35"/>
      <c r="S853" s="35"/>
    </row>
    <row r="854" spans="1:19" ht="29.25" customHeight="1" x14ac:dyDescent="0.2">
      <c r="A854" s="187">
        <v>0</v>
      </c>
      <c r="B854" s="35">
        <v>0</v>
      </c>
      <c r="C854" s="35">
        <v>0</v>
      </c>
      <c r="D854" s="35">
        <v>0</v>
      </c>
      <c r="E854" s="28">
        <v>0</v>
      </c>
      <c r="F854" s="35">
        <v>0</v>
      </c>
      <c r="G854" s="35"/>
      <c r="H854" s="35"/>
      <c r="I854" s="35"/>
      <c r="J854" s="35"/>
      <c r="K854" s="35"/>
      <c r="L854" s="35"/>
      <c r="M854" s="35"/>
      <c r="N854" s="188"/>
      <c r="O854" s="188"/>
      <c r="P854" s="23"/>
      <c r="Q854" s="35"/>
      <c r="R854" s="35"/>
      <c r="S854" s="35"/>
    </row>
    <row r="855" spans="1:19" ht="29.25" customHeight="1" x14ac:dyDescent="0.2">
      <c r="A855" s="187">
        <v>0</v>
      </c>
      <c r="B855" s="35">
        <v>0</v>
      </c>
      <c r="C855" s="35">
        <v>0</v>
      </c>
      <c r="D855" s="35">
        <v>0</v>
      </c>
      <c r="E855" s="28">
        <v>0</v>
      </c>
      <c r="F855" s="35">
        <v>0</v>
      </c>
      <c r="G855" s="35"/>
      <c r="H855" s="35"/>
      <c r="I855" s="35"/>
      <c r="J855" s="35"/>
      <c r="K855" s="35"/>
      <c r="L855" s="35"/>
      <c r="M855" s="35"/>
      <c r="N855" s="188"/>
      <c r="O855" s="188"/>
      <c r="P855" s="23"/>
      <c r="Q855" s="35"/>
      <c r="R855" s="35"/>
      <c r="S855" s="35"/>
    </row>
    <row r="856" spans="1:19" ht="29.25" customHeight="1" x14ac:dyDescent="0.2">
      <c r="A856" s="187">
        <v>0</v>
      </c>
      <c r="B856" s="35">
        <v>0</v>
      </c>
      <c r="C856" s="35">
        <v>0</v>
      </c>
      <c r="D856" s="35">
        <v>0</v>
      </c>
      <c r="E856" s="28">
        <v>0</v>
      </c>
      <c r="F856" s="35">
        <v>0</v>
      </c>
      <c r="G856" s="35"/>
      <c r="H856" s="35"/>
      <c r="I856" s="35"/>
      <c r="J856" s="35"/>
      <c r="K856" s="35"/>
      <c r="L856" s="35"/>
      <c r="M856" s="35"/>
      <c r="N856" s="188"/>
      <c r="O856" s="188"/>
      <c r="P856" s="23"/>
      <c r="Q856" s="35"/>
      <c r="R856" s="35"/>
      <c r="S856" s="35"/>
    </row>
    <row r="857" spans="1:19" ht="29.25" customHeight="1" x14ac:dyDescent="0.2">
      <c r="A857" s="187">
        <v>0</v>
      </c>
      <c r="B857" s="35">
        <v>0</v>
      </c>
      <c r="C857" s="35">
        <v>0</v>
      </c>
      <c r="D857" s="35">
        <v>0</v>
      </c>
      <c r="E857" s="28">
        <v>0</v>
      </c>
      <c r="F857" s="35">
        <v>0</v>
      </c>
      <c r="G857" s="35"/>
      <c r="H857" s="35"/>
      <c r="I857" s="35"/>
      <c r="J857" s="35"/>
      <c r="K857" s="35"/>
      <c r="L857" s="35"/>
      <c r="M857" s="35"/>
      <c r="N857" s="188"/>
      <c r="O857" s="188"/>
      <c r="P857" s="23"/>
      <c r="Q857" s="35"/>
      <c r="R857" s="35"/>
      <c r="S857" s="35"/>
    </row>
    <row r="858" spans="1:19" ht="29.25" customHeight="1" x14ac:dyDescent="0.2">
      <c r="A858" s="187">
        <v>0</v>
      </c>
      <c r="B858" s="35">
        <v>0</v>
      </c>
      <c r="C858" s="35">
        <v>0</v>
      </c>
      <c r="D858" s="35">
        <v>0</v>
      </c>
      <c r="E858" s="28">
        <v>0</v>
      </c>
      <c r="F858" s="35">
        <v>0</v>
      </c>
      <c r="G858" s="35"/>
      <c r="H858" s="35"/>
      <c r="I858" s="35"/>
      <c r="J858" s="35"/>
      <c r="K858" s="35"/>
      <c r="L858" s="35"/>
      <c r="M858" s="35"/>
      <c r="N858" s="188"/>
      <c r="O858" s="188"/>
      <c r="P858" s="23"/>
      <c r="Q858" s="35"/>
      <c r="R858" s="35"/>
      <c r="S858" s="35"/>
    </row>
    <row r="859" spans="1:19" ht="29.25" customHeight="1" x14ac:dyDescent="0.2">
      <c r="A859" s="187">
        <v>0</v>
      </c>
      <c r="B859" s="35">
        <v>0</v>
      </c>
      <c r="C859" s="35">
        <v>0</v>
      </c>
      <c r="D859" s="35">
        <v>0</v>
      </c>
      <c r="E859" s="28">
        <v>0</v>
      </c>
      <c r="F859" s="35">
        <v>0</v>
      </c>
      <c r="G859" s="35"/>
      <c r="H859" s="35"/>
      <c r="I859" s="35"/>
      <c r="J859" s="35"/>
      <c r="K859" s="35"/>
      <c r="L859" s="35"/>
      <c r="M859" s="35"/>
      <c r="N859" s="188"/>
      <c r="O859" s="188"/>
      <c r="P859" s="23"/>
      <c r="Q859" s="35"/>
      <c r="R859" s="35"/>
      <c r="S859" s="35"/>
    </row>
    <row r="860" spans="1:19" ht="29.25" customHeight="1" x14ac:dyDescent="0.2">
      <c r="A860" s="187">
        <v>0</v>
      </c>
      <c r="B860" s="35">
        <v>0</v>
      </c>
      <c r="C860" s="35">
        <v>0</v>
      </c>
      <c r="D860" s="35">
        <v>0</v>
      </c>
      <c r="E860" s="28">
        <v>0</v>
      </c>
      <c r="F860" s="35">
        <v>0</v>
      </c>
      <c r="G860" s="35"/>
      <c r="H860" s="35"/>
      <c r="I860" s="35"/>
      <c r="J860" s="35"/>
      <c r="K860" s="35"/>
      <c r="L860" s="35"/>
      <c r="M860" s="35"/>
      <c r="N860" s="188"/>
      <c r="O860" s="188"/>
      <c r="P860" s="23"/>
      <c r="Q860" s="35"/>
      <c r="R860" s="35"/>
      <c r="S860" s="35"/>
    </row>
    <row r="861" spans="1:19" ht="29.25" customHeight="1" x14ac:dyDescent="0.2">
      <c r="A861" s="187">
        <v>0</v>
      </c>
      <c r="B861" s="35">
        <v>0</v>
      </c>
      <c r="C861" s="35">
        <v>0</v>
      </c>
      <c r="D861" s="35">
        <v>0</v>
      </c>
      <c r="E861" s="28">
        <v>0</v>
      </c>
      <c r="F861" s="35">
        <v>0</v>
      </c>
      <c r="G861" s="35"/>
      <c r="H861" s="35"/>
      <c r="I861" s="35"/>
      <c r="J861" s="35"/>
      <c r="K861" s="35"/>
      <c r="L861" s="35"/>
      <c r="M861" s="35"/>
      <c r="N861" s="188"/>
      <c r="O861" s="188"/>
      <c r="P861" s="23"/>
      <c r="Q861" s="35"/>
      <c r="R861" s="35"/>
      <c r="S861" s="35"/>
    </row>
    <row r="862" spans="1:19" ht="29.25" customHeight="1" x14ac:dyDescent="0.2">
      <c r="A862" s="187">
        <v>0</v>
      </c>
      <c r="B862" s="35">
        <v>0</v>
      </c>
      <c r="C862" s="35">
        <v>0</v>
      </c>
      <c r="D862" s="35">
        <v>0</v>
      </c>
      <c r="E862" s="28">
        <v>0</v>
      </c>
      <c r="F862" s="35">
        <v>0</v>
      </c>
      <c r="G862" s="35"/>
      <c r="H862" s="35"/>
      <c r="I862" s="35"/>
      <c r="J862" s="35"/>
      <c r="K862" s="35"/>
      <c r="L862" s="35"/>
      <c r="M862" s="35"/>
      <c r="N862" s="188"/>
      <c r="O862" s="188"/>
      <c r="P862" s="23"/>
      <c r="Q862" s="35"/>
      <c r="R862" s="35"/>
      <c r="S862" s="35"/>
    </row>
    <row r="863" spans="1:19" ht="29.25" customHeight="1" x14ac:dyDescent="0.2">
      <c r="A863" s="187">
        <v>0</v>
      </c>
      <c r="B863" s="35">
        <v>0</v>
      </c>
      <c r="C863" s="35">
        <v>0</v>
      </c>
      <c r="D863" s="35">
        <v>0</v>
      </c>
      <c r="E863" s="28">
        <v>0</v>
      </c>
      <c r="F863" s="35">
        <v>0</v>
      </c>
      <c r="G863" s="35"/>
      <c r="H863" s="35"/>
      <c r="I863" s="35"/>
      <c r="J863" s="35"/>
      <c r="K863" s="35"/>
      <c r="L863" s="35"/>
      <c r="M863" s="35"/>
      <c r="N863" s="188"/>
      <c r="O863" s="188"/>
      <c r="P863" s="23"/>
      <c r="Q863" s="35"/>
      <c r="R863" s="35"/>
      <c r="S863" s="35"/>
    </row>
    <row r="864" spans="1:19" ht="29.25" customHeight="1" x14ac:dyDescent="0.2">
      <c r="A864" s="187">
        <v>0</v>
      </c>
      <c r="B864" s="35">
        <v>0</v>
      </c>
      <c r="C864" s="35">
        <v>0</v>
      </c>
      <c r="D864" s="35">
        <v>0</v>
      </c>
      <c r="E864" s="28">
        <v>0</v>
      </c>
      <c r="F864" s="35">
        <v>0</v>
      </c>
      <c r="G864" s="35"/>
      <c r="H864" s="35"/>
      <c r="I864" s="35"/>
      <c r="J864" s="35"/>
      <c r="K864" s="35"/>
      <c r="L864" s="35"/>
      <c r="M864" s="35"/>
      <c r="N864" s="188"/>
      <c r="O864" s="188"/>
      <c r="P864" s="23"/>
      <c r="Q864" s="35"/>
      <c r="R864" s="35"/>
      <c r="S864" s="35"/>
    </row>
    <row r="865" spans="1:19" ht="29.25" customHeight="1" x14ac:dyDescent="0.2">
      <c r="A865" s="187">
        <v>0</v>
      </c>
      <c r="B865" s="35">
        <v>0</v>
      </c>
      <c r="C865" s="35">
        <v>0</v>
      </c>
      <c r="D865" s="35">
        <v>0</v>
      </c>
      <c r="E865" s="28">
        <v>0</v>
      </c>
      <c r="F865" s="35">
        <v>0</v>
      </c>
      <c r="G865" s="35"/>
      <c r="H865" s="35"/>
      <c r="I865" s="35"/>
      <c r="J865" s="35"/>
      <c r="K865" s="35"/>
      <c r="L865" s="35"/>
      <c r="M865" s="35"/>
      <c r="N865" s="188"/>
      <c r="O865" s="188"/>
      <c r="P865" s="23"/>
      <c r="Q865" s="35"/>
      <c r="R865" s="35"/>
      <c r="S865" s="35"/>
    </row>
    <row r="866" spans="1:19" ht="29.25" customHeight="1" x14ac:dyDescent="0.2">
      <c r="A866" s="187">
        <v>0</v>
      </c>
      <c r="B866" s="35">
        <v>0</v>
      </c>
      <c r="C866" s="35">
        <v>0</v>
      </c>
      <c r="D866" s="35">
        <v>0</v>
      </c>
      <c r="E866" s="28">
        <v>0</v>
      </c>
      <c r="F866" s="35">
        <v>0</v>
      </c>
      <c r="G866" s="35"/>
      <c r="H866" s="35"/>
      <c r="I866" s="35"/>
      <c r="J866" s="35"/>
      <c r="K866" s="35"/>
      <c r="L866" s="35"/>
      <c r="M866" s="35"/>
      <c r="N866" s="188"/>
      <c r="O866" s="188"/>
      <c r="P866" s="23"/>
      <c r="Q866" s="35"/>
      <c r="R866" s="35"/>
      <c r="S866" s="35"/>
    </row>
    <row r="867" spans="1:19" ht="29.25" customHeight="1" x14ac:dyDescent="0.2">
      <c r="A867" s="187">
        <v>0</v>
      </c>
      <c r="B867" s="35">
        <v>0</v>
      </c>
      <c r="C867" s="35">
        <v>0</v>
      </c>
      <c r="D867" s="35">
        <v>0</v>
      </c>
      <c r="E867" s="28">
        <v>0</v>
      </c>
      <c r="F867" s="35">
        <v>0</v>
      </c>
      <c r="G867" s="35"/>
      <c r="H867" s="35"/>
      <c r="I867" s="35"/>
      <c r="J867" s="35"/>
      <c r="K867" s="35"/>
      <c r="L867" s="35"/>
      <c r="M867" s="35"/>
      <c r="N867" s="188"/>
      <c r="O867" s="188"/>
      <c r="P867" s="23"/>
      <c r="Q867" s="35"/>
      <c r="R867" s="35"/>
      <c r="S867" s="35"/>
    </row>
    <row r="868" spans="1:19" ht="29.25" customHeight="1" x14ac:dyDescent="0.2">
      <c r="A868" s="187">
        <v>0</v>
      </c>
      <c r="B868" s="35">
        <v>0</v>
      </c>
      <c r="C868" s="35">
        <v>0</v>
      </c>
      <c r="D868" s="35">
        <v>0</v>
      </c>
      <c r="E868" s="28">
        <v>0</v>
      </c>
      <c r="F868" s="35">
        <v>0</v>
      </c>
      <c r="G868" s="35"/>
      <c r="H868" s="35"/>
      <c r="I868" s="35"/>
      <c r="J868" s="35"/>
      <c r="K868" s="35"/>
      <c r="L868" s="35"/>
      <c r="M868" s="35"/>
      <c r="N868" s="188"/>
      <c r="O868" s="188"/>
      <c r="P868" s="23"/>
      <c r="Q868" s="35"/>
      <c r="R868" s="35"/>
      <c r="S868" s="35"/>
    </row>
    <row r="869" spans="1:19" ht="29.25" customHeight="1" x14ac:dyDescent="0.2">
      <c r="A869" s="187">
        <v>0</v>
      </c>
      <c r="B869" s="35">
        <v>0</v>
      </c>
      <c r="C869" s="35">
        <v>0</v>
      </c>
      <c r="D869" s="35">
        <v>0</v>
      </c>
      <c r="E869" s="28">
        <v>0</v>
      </c>
      <c r="F869" s="35">
        <v>0</v>
      </c>
      <c r="G869" s="35"/>
      <c r="H869" s="35"/>
      <c r="I869" s="35"/>
      <c r="J869" s="35"/>
      <c r="K869" s="35"/>
      <c r="L869" s="35"/>
      <c r="M869" s="35"/>
      <c r="N869" s="188"/>
      <c r="O869" s="188"/>
      <c r="P869" s="23"/>
      <c r="Q869" s="35"/>
      <c r="R869" s="35"/>
      <c r="S869" s="35"/>
    </row>
    <row r="870" spans="1:19" ht="29.25" customHeight="1" x14ac:dyDescent="0.2">
      <c r="A870" s="187">
        <v>0</v>
      </c>
      <c r="B870" s="35">
        <v>0</v>
      </c>
      <c r="C870" s="35">
        <v>0</v>
      </c>
      <c r="D870" s="35">
        <v>0</v>
      </c>
      <c r="E870" s="28">
        <v>0</v>
      </c>
      <c r="F870" s="35">
        <v>0</v>
      </c>
      <c r="G870" s="35"/>
      <c r="H870" s="35"/>
      <c r="I870" s="35"/>
      <c r="J870" s="35"/>
      <c r="K870" s="35"/>
      <c r="L870" s="35"/>
      <c r="M870" s="35"/>
      <c r="N870" s="188"/>
      <c r="O870" s="188"/>
      <c r="P870" s="23"/>
      <c r="Q870" s="35"/>
      <c r="R870" s="35"/>
      <c r="S870" s="35"/>
    </row>
    <row r="871" spans="1:19" ht="29.25" customHeight="1" x14ac:dyDescent="0.2">
      <c r="A871" s="187">
        <v>0</v>
      </c>
      <c r="B871" s="35">
        <v>0</v>
      </c>
      <c r="C871" s="35">
        <v>0</v>
      </c>
      <c r="D871" s="35">
        <v>0</v>
      </c>
      <c r="E871" s="28">
        <v>0</v>
      </c>
      <c r="F871" s="35">
        <v>0</v>
      </c>
      <c r="G871" s="35"/>
      <c r="H871" s="35"/>
      <c r="I871" s="35"/>
      <c r="J871" s="35"/>
      <c r="K871" s="35"/>
      <c r="L871" s="35"/>
      <c r="M871" s="35"/>
      <c r="N871" s="188"/>
      <c r="O871" s="188"/>
      <c r="P871" s="23"/>
      <c r="Q871" s="35"/>
      <c r="R871" s="35"/>
      <c r="S871" s="35"/>
    </row>
    <row r="872" spans="1:19" ht="29.25" customHeight="1" x14ac:dyDescent="0.2">
      <c r="A872" s="187">
        <v>0</v>
      </c>
      <c r="B872" s="35">
        <v>0</v>
      </c>
      <c r="C872" s="35">
        <v>0</v>
      </c>
      <c r="D872" s="35">
        <v>0</v>
      </c>
      <c r="E872" s="28">
        <v>0</v>
      </c>
      <c r="F872" s="35">
        <v>0</v>
      </c>
      <c r="G872" s="35"/>
      <c r="H872" s="35"/>
      <c r="I872" s="35"/>
      <c r="J872" s="35"/>
      <c r="K872" s="35"/>
      <c r="L872" s="35"/>
      <c r="M872" s="35"/>
      <c r="N872" s="188"/>
      <c r="O872" s="188"/>
      <c r="P872" s="23"/>
      <c r="Q872" s="35"/>
      <c r="R872" s="35"/>
      <c r="S872" s="35"/>
    </row>
    <row r="873" spans="1:19" ht="29.25" customHeight="1" x14ac:dyDescent="0.2">
      <c r="A873" s="187">
        <v>0</v>
      </c>
      <c r="B873" s="35">
        <v>0</v>
      </c>
      <c r="C873" s="35">
        <v>0</v>
      </c>
      <c r="D873" s="35">
        <v>0</v>
      </c>
      <c r="E873" s="28">
        <v>0</v>
      </c>
      <c r="F873" s="35">
        <v>0</v>
      </c>
      <c r="G873" s="35"/>
      <c r="H873" s="35"/>
      <c r="I873" s="35"/>
      <c r="J873" s="35"/>
      <c r="K873" s="35"/>
      <c r="L873" s="35"/>
      <c r="M873" s="35"/>
      <c r="N873" s="188"/>
      <c r="O873" s="188"/>
      <c r="P873" s="23"/>
      <c r="Q873" s="35"/>
      <c r="R873" s="35"/>
      <c r="S873" s="35"/>
    </row>
    <row r="874" spans="1:19" ht="29.25" customHeight="1" x14ac:dyDescent="0.2">
      <c r="A874" s="187">
        <v>0</v>
      </c>
      <c r="B874" s="35">
        <v>0</v>
      </c>
      <c r="C874" s="35">
        <v>0</v>
      </c>
      <c r="D874" s="35">
        <v>0</v>
      </c>
      <c r="E874" s="28">
        <v>0</v>
      </c>
      <c r="F874" s="35">
        <v>0</v>
      </c>
      <c r="G874" s="35"/>
      <c r="H874" s="35"/>
      <c r="I874" s="35"/>
      <c r="J874" s="35"/>
      <c r="K874" s="35"/>
      <c r="L874" s="35"/>
      <c r="M874" s="35"/>
      <c r="N874" s="188"/>
      <c r="O874" s="188"/>
      <c r="P874" s="23"/>
      <c r="Q874" s="35"/>
      <c r="R874" s="35"/>
      <c r="S874" s="35"/>
    </row>
    <row r="875" spans="1:19" ht="29.25" customHeight="1" x14ac:dyDescent="0.2">
      <c r="A875" s="187">
        <v>0</v>
      </c>
      <c r="B875" s="35">
        <v>0</v>
      </c>
      <c r="C875" s="35">
        <v>0</v>
      </c>
      <c r="D875" s="35">
        <v>0</v>
      </c>
      <c r="E875" s="28">
        <v>0</v>
      </c>
      <c r="F875" s="35">
        <v>0</v>
      </c>
      <c r="G875" s="35"/>
      <c r="H875" s="35"/>
      <c r="I875" s="35"/>
      <c r="J875" s="35"/>
      <c r="K875" s="35"/>
      <c r="L875" s="35"/>
      <c r="M875" s="35"/>
      <c r="N875" s="188"/>
      <c r="O875" s="188"/>
      <c r="P875" s="23"/>
      <c r="Q875" s="35"/>
      <c r="R875" s="35"/>
      <c r="S875" s="35"/>
    </row>
    <row r="876" spans="1:19" ht="29.25" customHeight="1" x14ac:dyDescent="0.2">
      <c r="A876" s="187">
        <v>0</v>
      </c>
      <c r="B876" s="35">
        <v>0</v>
      </c>
      <c r="C876" s="35">
        <v>0</v>
      </c>
      <c r="D876" s="35">
        <v>0</v>
      </c>
      <c r="E876" s="28">
        <v>0</v>
      </c>
      <c r="F876" s="35">
        <v>0</v>
      </c>
      <c r="G876" s="35"/>
      <c r="H876" s="35"/>
      <c r="I876" s="35"/>
      <c r="J876" s="35"/>
      <c r="K876" s="35"/>
      <c r="L876" s="35"/>
      <c r="M876" s="35"/>
      <c r="N876" s="188"/>
      <c r="O876" s="188"/>
      <c r="P876" s="23"/>
      <c r="Q876" s="35"/>
      <c r="R876" s="35"/>
      <c r="S876" s="35"/>
    </row>
    <row r="877" spans="1:19" ht="29.25" customHeight="1" x14ac:dyDescent="0.2">
      <c r="A877" s="187">
        <v>0</v>
      </c>
      <c r="B877" s="35">
        <v>0</v>
      </c>
      <c r="C877" s="35">
        <v>0</v>
      </c>
      <c r="D877" s="35">
        <v>0</v>
      </c>
      <c r="E877" s="28">
        <v>0</v>
      </c>
      <c r="F877" s="35">
        <v>0</v>
      </c>
      <c r="G877" s="35"/>
      <c r="H877" s="35"/>
      <c r="I877" s="35"/>
      <c r="J877" s="35"/>
      <c r="K877" s="35"/>
      <c r="L877" s="35"/>
      <c r="M877" s="35"/>
      <c r="N877" s="188"/>
      <c r="O877" s="188"/>
      <c r="P877" s="23"/>
      <c r="Q877" s="35"/>
      <c r="R877" s="35"/>
      <c r="S877" s="35"/>
    </row>
    <row r="878" spans="1:19" ht="29.25" customHeight="1" x14ac:dyDescent="0.2">
      <c r="A878" s="187">
        <v>0</v>
      </c>
      <c r="B878" s="35">
        <v>0</v>
      </c>
      <c r="C878" s="35">
        <v>0</v>
      </c>
      <c r="D878" s="35">
        <v>0</v>
      </c>
      <c r="E878" s="28">
        <v>0</v>
      </c>
      <c r="F878" s="35">
        <v>0</v>
      </c>
      <c r="G878" s="35"/>
      <c r="H878" s="35"/>
      <c r="I878" s="35"/>
      <c r="J878" s="35"/>
      <c r="K878" s="35"/>
      <c r="L878" s="35"/>
      <c r="M878" s="35"/>
      <c r="N878" s="188"/>
      <c r="O878" s="188"/>
      <c r="P878" s="23"/>
      <c r="Q878" s="35"/>
      <c r="R878" s="35"/>
      <c r="S878" s="35"/>
    </row>
    <row r="879" spans="1:19" ht="29.25" customHeight="1" x14ac:dyDescent="0.2">
      <c r="A879" s="187">
        <v>0</v>
      </c>
      <c r="B879" s="35">
        <v>0</v>
      </c>
      <c r="C879" s="35">
        <v>0</v>
      </c>
      <c r="D879" s="35">
        <v>0</v>
      </c>
      <c r="E879" s="28">
        <v>0</v>
      </c>
      <c r="F879" s="35">
        <v>0</v>
      </c>
      <c r="G879" s="35"/>
      <c r="H879" s="35"/>
      <c r="I879" s="35"/>
      <c r="J879" s="35"/>
      <c r="K879" s="35"/>
      <c r="L879" s="35"/>
      <c r="M879" s="35"/>
      <c r="N879" s="188"/>
      <c r="O879" s="188"/>
      <c r="P879" s="23"/>
      <c r="Q879" s="35"/>
      <c r="R879" s="35"/>
      <c r="S879" s="35"/>
    </row>
    <row r="880" spans="1:19" ht="29.25" customHeight="1" x14ac:dyDescent="0.2">
      <c r="A880" s="187">
        <v>0</v>
      </c>
      <c r="B880" s="35">
        <v>0</v>
      </c>
      <c r="C880" s="35">
        <v>0</v>
      </c>
      <c r="D880" s="35">
        <v>0</v>
      </c>
      <c r="E880" s="28">
        <v>0</v>
      </c>
      <c r="F880" s="35">
        <v>0</v>
      </c>
      <c r="G880" s="35"/>
      <c r="H880" s="35"/>
      <c r="I880" s="35"/>
      <c r="J880" s="35"/>
      <c r="K880" s="35"/>
      <c r="L880" s="35"/>
      <c r="M880" s="35"/>
      <c r="N880" s="188"/>
      <c r="O880" s="188"/>
      <c r="P880" s="23"/>
      <c r="Q880" s="35"/>
      <c r="R880" s="35"/>
      <c r="S880" s="35"/>
    </row>
    <row r="881" spans="1:19" ht="29.25" customHeight="1" x14ac:dyDescent="0.2">
      <c r="A881" s="187">
        <v>0</v>
      </c>
      <c r="B881" s="35">
        <v>0</v>
      </c>
      <c r="C881" s="35">
        <v>0</v>
      </c>
      <c r="D881" s="35">
        <v>0</v>
      </c>
      <c r="E881" s="28">
        <v>0</v>
      </c>
      <c r="F881" s="35">
        <v>0</v>
      </c>
      <c r="G881" s="35"/>
      <c r="H881" s="35"/>
      <c r="I881" s="35"/>
      <c r="J881" s="35"/>
      <c r="K881" s="35"/>
      <c r="L881" s="35"/>
      <c r="M881" s="35"/>
      <c r="N881" s="188"/>
      <c r="O881" s="188"/>
      <c r="P881" s="23"/>
      <c r="Q881" s="35"/>
      <c r="R881" s="35"/>
      <c r="S881" s="35"/>
    </row>
    <row r="882" spans="1:19" ht="29.25" customHeight="1" x14ac:dyDescent="0.2">
      <c r="A882" s="187">
        <v>0</v>
      </c>
      <c r="B882" s="35">
        <v>0</v>
      </c>
      <c r="C882" s="35">
        <v>0</v>
      </c>
      <c r="D882" s="35">
        <v>0</v>
      </c>
      <c r="E882" s="28">
        <v>0</v>
      </c>
      <c r="F882" s="35">
        <v>0</v>
      </c>
      <c r="G882" s="35"/>
      <c r="H882" s="35"/>
      <c r="I882" s="35"/>
      <c r="J882" s="35"/>
      <c r="K882" s="35"/>
      <c r="L882" s="35"/>
      <c r="M882" s="35"/>
      <c r="N882" s="188"/>
      <c r="O882" s="188"/>
      <c r="P882" s="23"/>
      <c r="Q882" s="35"/>
      <c r="R882" s="35"/>
      <c r="S882" s="35"/>
    </row>
    <row r="883" spans="1:19" ht="29.25" customHeight="1" x14ac:dyDescent="0.2">
      <c r="A883" s="187">
        <v>0</v>
      </c>
      <c r="B883" s="35">
        <v>0</v>
      </c>
      <c r="C883" s="35">
        <v>0</v>
      </c>
      <c r="D883" s="35">
        <v>0</v>
      </c>
      <c r="E883" s="28">
        <v>0</v>
      </c>
      <c r="F883" s="35">
        <v>0</v>
      </c>
      <c r="G883" s="35"/>
      <c r="H883" s="35"/>
      <c r="I883" s="35"/>
      <c r="J883" s="35"/>
      <c r="K883" s="35"/>
      <c r="L883" s="35"/>
      <c r="M883" s="35"/>
      <c r="N883" s="188"/>
      <c r="O883" s="188"/>
      <c r="P883" s="23"/>
      <c r="Q883" s="35"/>
      <c r="R883" s="35"/>
      <c r="S883" s="35"/>
    </row>
    <row r="884" spans="1:19" ht="29.25" customHeight="1" x14ac:dyDescent="0.2">
      <c r="A884" s="187">
        <v>0</v>
      </c>
      <c r="B884" s="35">
        <v>0</v>
      </c>
      <c r="C884" s="35">
        <v>0</v>
      </c>
      <c r="D884" s="35">
        <v>0</v>
      </c>
      <c r="E884" s="28">
        <v>0</v>
      </c>
      <c r="F884" s="35">
        <v>0</v>
      </c>
      <c r="G884" s="35"/>
      <c r="H884" s="35"/>
      <c r="I884" s="35"/>
      <c r="J884" s="35"/>
      <c r="K884" s="35"/>
      <c r="L884" s="35"/>
      <c r="M884" s="35"/>
      <c r="N884" s="188"/>
      <c r="O884" s="188"/>
      <c r="P884" s="23"/>
      <c r="Q884" s="35"/>
      <c r="R884" s="35"/>
      <c r="S884" s="35"/>
    </row>
    <row r="885" spans="1:19" ht="29.25" customHeight="1" x14ac:dyDescent="0.2">
      <c r="A885" s="187">
        <v>0</v>
      </c>
      <c r="B885" s="35">
        <v>0</v>
      </c>
      <c r="C885" s="35">
        <v>0</v>
      </c>
      <c r="D885" s="35">
        <v>0</v>
      </c>
      <c r="E885" s="28">
        <v>0</v>
      </c>
      <c r="F885" s="35">
        <v>0</v>
      </c>
      <c r="G885" s="35"/>
      <c r="H885" s="35"/>
      <c r="I885" s="35"/>
      <c r="J885" s="35"/>
      <c r="K885" s="35"/>
      <c r="L885" s="35"/>
      <c r="M885" s="35"/>
      <c r="N885" s="188"/>
      <c r="O885" s="188"/>
      <c r="P885" s="23"/>
      <c r="Q885" s="35"/>
      <c r="R885" s="35"/>
      <c r="S885" s="35"/>
    </row>
    <row r="886" spans="1:19" ht="29.25" customHeight="1" x14ac:dyDescent="0.2">
      <c r="A886" s="187">
        <v>0</v>
      </c>
      <c r="B886" s="35">
        <v>0</v>
      </c>
      <c r="C886" s="35">
        <v>0</v>
      </c>
      <c r="D886" s="35">
        <v>0</v>
      </c>
      <c r="E886" s="28">
        <v>0</v>
      </c>
      <c r="F886" s="35">
        <v>0</v>
      </c>
      <c r="G886" s="35"/>
      <c r="H886" s="35"/>
      <c r="I886" s="35"/>
      <c r="J886" s="35"/>
      <c r="K886" s="35"/>
      <c r="L886" s="35"/>
      <c r="M886" s="35"/>
      <c r="N886" s="188"/>
      <c r="O886" s="188"/>
      <c r="P886" s="23"/>
      <c r="Q886" s="35"/>
      <c r="R886" s="35"/>
      <c r="S886" s="35"/>
    </row>
    <row r="887" spans="1:19" ht="29.25" customHeight="1" x14ac:dyDescent="0.2">
      <c r="A887" s="187">
        <v>0</v>
      </c>
      <c r="B887" s="35">
        <v>0</v>
      </c>
      <c r="C887" s="35">
        <v>0</v>
      </c>
      <c r="D887" s="35">
        <v>0</v>
      </c>
      <c r="E887" s="28">
        <v>0</v>
      </c>
      <c r="F887" s="35">
        <v>0</v>
      </c>
      <c r="G887" s="35"/>
      <c r="H887" s="35"/>
      <c r="I887" s="35"/>
      <c r="J887" s="35"/>
      <c r="K887" s="35"/>
      <c r="L887" s="35"/>
      <c r="M887" s="35"/>
      <c r="N887" s="188"/>
      <c r="O887" s="188"/>
      <c r="P887" s="23"/>
      <c r="Q887" s="35"/>
      <c r="R887" s="35"/>
      <c r="S887" s="35"/>
    </row>
    <row r="888" spans="1:19" ht="29.25" customHeight="1" x14ac:dyDescent="0.2">
      <c r="A888" s="187">
        <v>0</v>
      </c>
      <c r="B888" s="35">
        <v>0</v>
      </c>
      <c r="C888" s="35">
        <v>0</v>
      </c>
      <c r="D888" s="35">
        <v>0</v>
      </c>
      <c r="E888" s="28">
        <v>0</v>
      </c>
      <c r="F888" s="35">
        <v>0</v>
      </c>
      <c r="G888" s="35"/>
      <c r="H888" s="35"/>
      <c r="I888" s="35"/>
      <c r="J888" s="35"/>
      <c r="K888" s="35"/>
      <c r="L888" s="35"/>
      <c r="M888" s="35"/>
      <c r="N888" s="188"/>
      <c r="O888" s="188"/>
      <c r="P888" s="23"/>
      <c r="Q888" s="35"/>
      <c r="R888" s="35"/>
      <c r="S888" s="35"/>
    </row>
    <row r="889" spans="1:19" ht="29.25" customHeight="1" x14ac:dyDescent="0.2">
      <c r="A889" s="187">
        <v>0</v>
      </c>
      <c r="B889" s="35">
        <v>0</v>
      </c>
      <c r="C889" s="35">
        <v>0</v>
      </c>
      <c r="D889" s="35">
        <v>0</v>
      </c>
      <c r="E889" s="28">
        <v>0</v>
      </c>
      <c r="F889" s="35">
        <v>0</v>
      </c>
      <c r="G889" s="35"/>
      <c r="H889" s="35"/>
      <c r="I889" s="35"/>
      <c r="J889" s="35"/>
      <c r="K889" s="35"/>
      <c r="L889" s="35"/>
      <c r="M889" s="35"/>
      <c r="N889" s="188"/>
      <c r="O889" s="188"/>
      <c r="P889" s="23"/>
      <c r="Q889" s="35"/>
      <c r="R889" s="35"/>
      <c r="S889" s="35"/>
    </row>
    <row r="890" spans="1:19" ht="29.25" customHeight="1" x14ac:dyDescent="0.2">
      <c r="A890" s="187">
        <v>0</v>
      </c>
      <c r="B890" s="35">
        <v>0</v>
      </c>
      <c r="C890" s="35">
        <v>0</v>
      </c>
      <c r="D890" s="35">
        <v>0</v>
      </c>
      <c r="E890" s="28">
        <v>0</v>
      </c>
      <c r="F890" s="35">
        <v>0</v>
      </c>
      <c r="G890" s="35"/>
      <c r="H890" s="35"/>
      <c r="I890" s="35"/>
      <c r="J890" s="35"/>
      <c r="K890" s="35"/>
      <c r="L890" s="35"/>
      <c r="M890" s="35"/>
      <c r="N890" s="188"/>
      <c r="O890" s="188"/>
      <c r="P890" s="23"/>
      <c r="Q890" s="35"/>
      <c r="R890" s="35"/>
      <c r="S890" s="35"/>
    </row>
    <row r="891" spans="1:19" ht="29.25" customHeight="1" x14ac:dyDescent="0.2">
      <c r="A891" s="187">
        <v>0</v>
      </c>
      <c r="B891" s="35">
        <v>0</v>
      </c>
      <c r="C891" s="35">
        <v>0</v>
      </c>
      <c r="D891" s="35">
        <v>0</v>
      </c>
      <c r="E891" s="28">
        <v>0</v>
      </c>
      <c r="F891" s="35">
        <v>0</v>
      </c>
      <c r="G891" s="35"/>
      <c r="H891" s="35"/>
      <c r="I891" s="35"/>
      <c r="J891" s="35"/>
      <c r="K891" s="35"/>
      <c r="L891" s="35"/>
      <c r="M891" s="35"/>
      <c r="N891" s="188"/>
      <c r="O891" s="188"/>
      <c r="P891" s="23"/>
      <c r="Q891" s="35"/>
      <c r="R891" s="35"/>
      <c r="S891" s="35"/>
    </row>
    <row r="892" spans="1:19" ht="29.25" customHeight="1" x14ac:dyDescent="0.2">
      <c r="A892" s="187">
        <v>0</v>
      </c>
      <c r="B892" s="35">
        <v>0</v>
      </c>
      <c r="C892" s="35">
        <v>0</v>
      </c>
      <c r="D892" s="35">
        <v>0</v>
      </c>
      <c r="E892" s="28">
        <v>0</v>
      </c>
      <c r="F892" s="35">
        <v>0</v>
      </c>
      <c r="G892" s="35"/>
      <c r="H892" s="35"/>
      <c r="I892" s="35"/>
      <c r="J892" s="35"/>
      <c r="K892" s="35"/>
      <c r="L892" s="35"/>
      <c r="M892" s="35"/>
      <c r="N892" s="188"/>
      <c r="O892" s="188"/>
      <c r="P892" s="23"/>
      <c r="Q892" s="35"/>
      <c r="R892" s="35"/>
      <c r="S892" s="35"/>
    </row>
    <row r="893" spans="1:19" ht="29.25" customHeight="1" x14ac:dyDescent="0.2">
      <c r="A893" s="187">
        <v>0</v>
      </c>
      <c r="B893" s="35">
        <v>0</v>
      </c>
      <c r="C893" s="35">
        <v>0</v>
      </c>
      <c r="D893" s="35">
        <v>0</v>
      </c>
      <c r="E893" s="28">
        <v>0</v>
      </c>
      <c r="F893" s="35">
        <v>0</v>
      </c>
      <c r="G893" s="35"/>
      <c r="H893" s="35"/>
      <c r="I893" s="35"/>
      <c r="J893" s="35"/>
      <c r="K893" s="35"/>
      <c r="L893" s="35"/>
      <c r="M893" s="35"/>
      <c r="N893" s="188"/>
      <c r="O893" s="188"/>
      <c r="P893" s="23"/>
      <c r="Q893" s="35"/>
      <c r="R893" s="35"/>
      <c r="S893" s="35"/>
    </row>
    <row r="894" spans="1:19" ht="29.25" customHeight="1" x14ac:dyDescent="0.2">
      <c r="A894" s="187">
        <v>0</v>
      </c>
      <c r="B894" s="35">
        <v>0</v>
      </c>
      <c r="C894" s="35">
        <v>0</v>
      </c>
      <c r="D894" s="35">
        <v>0</v>
      </c>
      <c r="E894" s="28">
        <v>0</v>
      </c>
      <c r="F894" s="35">
        <v>0</v>
      </c>
      <c r="G894" s="35"/>
      <c r="H894" s="35"/>
      <c r="I894" s="35"/>
      <c r="J894" s="35"/>
      <c r="K894" s="35"/>
      <c r="L894" s="35"/>
      <c r="M894" s="35"/>
      <c r="N894" s="188"/>
      <c r="O894" s="188"/>
      <c r="P894" s="23"/>
      <c r="Q894" s="35"/>
      <c r="R894" s="35"/>
      <c r="S894" s="35"/>
    </row>
    <row r="895" spans="1:19" ht="29.25" customHeight="1" x14ac:dyDescent="0.2">
      <c r="A895" s="187">
        <v>0</v>
      </c>
      <c r="B895" s="35">
        <v>0</v>
      </c>
      <c r="C895" s="35">
        <v>0</v>
      </c>
      <c r="D895" s="35">
        <v>0</v>
      </c>
      <c r="E895" s="28">
        <v>0</v>
      </c>
      <c r="F895" s="35">
        <v>0</v>
      </c>
      <c r="G895" s="35"/>
      <c r="H895" s="35"/>
      <c r="I895" s="35"/>
      <c r="J895" s="35"/>
      <c r="K895" s="35"/>
      <c r="L895" s="35"/>
      <c r="M895" s="35"/>
      <c r="N895" s="188"/>
      <c r="O895" s="188"/>
      <c r="P895" s="23"/>
      <c r="Q895" s="35"/>
      <c r="R895" s="35"/>
      <c r="S895" s="35"/>
    </row>
    <row r="896" spans="1:19" ht="29.25" customHeight="1" x14ac:dyDescent="0.2">
      <c r="A896" s="187">
        <v>0</v>
      </c>
      <c r="B896" s="35">
        <v>0</v>
      </c>
      <c r="C896" s="35">
        <v>0</v>
      </c>
      <c r="D896" s="35">
        <v>0</v>
      </c>
      <c r="E896" s="28">
        <v>0</v>
      </c>
      <c r="F896" s="35">
        <v>0</v>
      </c>
      <c r="G896" s="35"/>
      <c r="H896" s="35"/>
      <c r="I896" s="35"/>
      <c r="J896" s="35"/>
      <c r="K896" s="35"/>
      <c r="L896" s="35"/>
      <c r="M896" s="35"/>
      <c r="N896" s="188"/>
      <c r="O896" s="188"/>
      <c r="P896" s="23"/>
      <c r="Q896" s="35"/>
      <c r="R896" s="35"/>
      <c r="S896" s="35"/>
    </row>
    <row r="897" spans="1:19" ht="29.25" customHeight="1" x14ac:dyDescent="0.2">
      <c r="A897" s="187">
        <v>0</v>
      </c>
      <c r="B897" s="35">
        <v>0</v>
      </c>
      <c r="C897" s="35">
        <v>0</v>
      </c>
      <c r="D897" s="35">
        <v>0</v>
      </c>
      <c r="E897" s="28">
        <v>0</v>
      </c>
      <c r="F897" s="35">
        <v>0</v>
      </c>
      <c r="G897" s="35"/>
      <c r="H897" s="35"/>
      <c r="I897" s="35"/>
      <c r="J897" s="35"/>
      <c r="K897" s="35"/>
      <c r="L897" s="35"/>
      <c r="M897" s="35"/>
      <c r="N897" s="188"/>
      <c r="O897" s="188"/>
      <c r="P897" s="23"/>
      <c r="Q897" s="35"/>
      <c r="R897" s="35"/>
      <c r="S897" s="35"/>
    </row>
    <row r="898" spans="1:19" ht="29.25" customHeight="1" x14ac:dyDescent="0.2">
      <c r="A898" s="187">
        <v>0</v>
      </c>
      <c r="B898" s="35">
        <v>0</v>
      </c>
      <c r="C898" s="35">
        <v>0</v>
      </c>
      <c r="D898" s="35">
        <v>0</v>
      </c>
      <c r="E898" s="28">
        <v>0</v>
      </c>
      <c r="F898" s="35">
        <v>0</v>
      </c>
      <c r="G898" s="35"/>
      <c r="H898" s="35"/>
      <c r="I898" s="35"/>
      <c r="J898" s="35"/>
      <c r="K898" s="35"/>
      <c r="L898" s="35"/>
      <c r="M898" s="35"/>
      <c r="N898" s="188"/>
      <c r="O898" s="188"/>
      <c r="P898" s="23"/>
      <c r="Q898" s="35"/>
      <c r="R898" s="35"/>
      <c r="S898" s="35"/>
    </row>
    <row r="899" spans="1:19" ht="29.25" customHeight="1" x14ac:dyDescent="0.2">
      <c r="A899" s="187">
        <v>0</v>
      </c>
      <c r="B899" s="35">
        <v>0</v>
      </c>
      <c r="C899" s="35">
        <v>0</v>
      </c>
      <c r="D899" s="35">
        <v>0</v>
      </c>
      <c r="E899" s="28">
        <v>0</v>
      </c>
      <c r="F899" s="35">
        <v>0</v>
      </c>
      <c r="G899" s="35"/>
      <c r="H899" s="35"/>
      <c r="I899" s="35"/>
      <c r="J899" s="35"/>
      <c r="K899" s="35"/>
      <c r="L899" s="35"/>
      <c r="M899" s="35"/>
      <c r="N899" s="188"/>
      <c r="O899" s="188"/>
      <c r="P899" s="23"/>
      <c r="Q899" s="35"/>
      <c r="R899" s="35"/>
      <c r="S899" s="35"/>
    </row>
    <row r="900" spans="1:19" ht="29.25" customHeight="1" x14ac:dyDescent="0.2">
      <c r="A900" s="187">
        <v>0</v>
      </c>
      <c r="B900" s="35">
        <v>0</v>
      </c>
      <c r="C900" s="35">
        <v>0</v>
      </c>
      <c r="D900" s="35">
        <v>0</v>
      </c>
      <c r="E900" s="28">
        <v>0</v>
      </c>
      <c r="F900" s="35">
        <v>0</v>
      </c>
      <c r="G900" s="35"/>
      <c r="H900" s="35"/>
      <c r="I900" s="35"/>
      <c r="J900" s="35"/>
      <c r="K900" s="35"/>
      <c r="L900" s="35"/>
      <c r="M900" s="35"/>
      <c r="N900" s="188"/>
      <c r="O900" s="188"/>
      <c r="P900" s="23"/>
      <c r="Q900" s="35"/>
      <c r="R900" s="35"/>
      <c r="S900" s="35"/>
    </row>
    <row r="901" spans="1:19" ht="29.25" customHeight="1" x14ac:dyDescent="0.2">
      <c r="A901" s="187">
        <v>0</v>
      </c>
      <c r="B901" s="35">
        <v>0</v>
      </c>
      <c r="C901" s="35">
        <v>0</v>
      </c>
      <c r="D901" s="35">
        <v>0</v>
      </c>
      <c r="E901" s="28">
        <v>0</v>
      </c>
      <c r="F901" s="35">
        <v>0</v>
      </c>
      <c r="G901" s="35"/>
      <c r="H901" s="35"/>
      <c r="I901" s="35"/>
      <c r="J901" s="35"/>
      <c r="K901" s="35"/>
      <c r="L901" s="35"/>
      <c r="M901" s="35"/>
      <c r="N901" s="188"/>
      <c r="O901" s="188"/>
      <c r="P901" s="23"/>
      <c r="Q901" s="35"/>
      <c r="R901" s="35"/>
      <c r="S901" s="35"/>
    </row>
    <row r="902" spans="1:19" ht="29.25" customHeight="1" x14ac:dyDescent="0.2">
      <c r="A902" s="187">
        <v>0</v>
      </c>
      <c r="B902" s="35">
        <v>0</v>
      </c>
      <c r="C902" s="35">
        <v>0</v>
      </c>
      <c r="D902" s="35">
        <v>0</v>
      </c>
      <c r="E902" s="28">
        <v>0</v>
      </c>
      <c r="F902" s="35">
        <v>0</v>
      </c>
      <c r="G902" s="35"/>
      <c r="H902" s="35"/>
      <c r="I902" s="35"/>
      <c r="J902" s="35"/>
      <c r="K902" s="35"/>
      <c r="L902" s="35"/>
      <c r="M902" s="35"/>
      <c r="N902" s="188"/>
      <c r="O902" s="188"/>
      <c r="P902" s="23"/>
      <c r="Q902" s="35"/>
      <c r="R902" s="35"/>
      <c r="S902" s="35"/>
    </row>
    <row r="903" spans="1:19" ht="29.25" customHeight="1" x14ac:dyDescent="0.2">
      <c r="A903" s="187">
        <v>0</v>
      </c>
      <c r="B903" s="35">
        <v>0</v>
      </c>
      <c r="C903" s="35">
        <v>0</v>
      </c>
      <c r="D903" s="35">
        <v>0</v>
      </c>
      <c r="E903" s="28">
        <v>0</v>
      </c>
      <c r="F903" s="35">
        <v>0</v>
      </c>
      <c r="G903" s="35"/>
      <c r="H903" s="35"/>
      <c r="I903" s="35"/>
      <c r="J903" s="35"/>
      <c r="K903" s="35"/>
      <c r="L903" s="35"/>
      <c r="M903" s="35"/>
      <c r="N903" s="188"/>
      <c r="O903" s="188"/>
      <c r="P903" s="23"/>
      <c r="Q903" s="35"/>
      <c r="R903" s="35"/>
      <c r="S903" s="35"/>
    </row>
    <row r="904" spans="1:19" ht="29.25" customHeight="1" x14ac:dyDescent="0.2">
      <c r="A904" s="187">
        <v>0</v>
      </c>
      <c r="B904" s="35">
        <v>0</v>
      </c>
      <c r="C904" s="35">
        <v>0</v>
      </c>
      <c r="D904" s="35">
        <v>0</v>
      </c>
      <c r="E904" s="28">
        <v>0</v>
      </c>
      <c r="F904" s="35">
        <v>0</v>
      </c>
      <c r="G904" s="35"/>
      <c r="H904" s="35"/>
      <c r="I904" s="35"/>
      <c r="J904" s="35"/>
      <c r="K904" s="35"/>
      <c r="L904" s="35"/>
      <c r="M904" s="35"/>
      <c r="N904" s="188"/>
      <c r="O904" s="188"/>
      <c r="P904" s="23"/>
      <c r="Q904" s="35"/>
      <c r="R904" s="35"/>
      <c r="S904" s="35"/>
    </row>
    <row r="905" spans="1:19" ht="29.25" customHeight="1" x14ac:dyDescent="0.2">
      <c r="A905" s="187">
        <v>0</v>
      </c>
      <c r="B905" s="35">
        <v>0</v>
      </c>
      <c r="C905" s="35">
        <v>0</v>
      </c>
      <c r="D905" s="35">
        <v>0</v>
      </c>
      <c r="E905" s="28">
        <v>0</v>
      </c>
      <c r="F905" s="35">
        <v>0</v>
      </c>
      <c r="G905" s="35"/>
      <c r="H905" s="35"/>
      <c r="I905" s="35"/>
      <c r="J905" s="35"/>
      <c r="K905" s="35"/>
      <c r="L905" s="35"/>
      <c r="M905" s="35"/>
      <c r="N905" s="188"/>
      <c r="O905" s="188"/>
      <c r="P905" s="23"/>
      <c r="Q905" s="35"/>
      <c r="R905" s="35"/>
      <c r="S905" s="35"/>
    </row>
    <row r="906" spans="1:19" ht="29.25" customHeight="1" x14ac:dyDescent="0.2">
      <c r="A906" s="187">
        <v>0</v>
      </c>
      <c r="B906" s="35">
        <v>0</v>
      </c>
      <c r="C906" s="35">
        <v>0</v>
      </c>
      <c r="D906" s="35">
        <v>0</v>
      </c>
      <c r="E906" s="28">
        <v>0</v>
      </c>
      <c r="F906" s="35">
        <v>0</v>
      </c>
      <c r="G906" s="35"/>
      <c r="H906" s="35"/>
      <c r="I906" s="35"/>
      <c r="J906" s="35"/>
      <c r="K906" s="35"/>
      <c r="L906" s="35"/>
      <c r="M906" s="35"/>
      <c r="N906" s="188"/>
      <c r="O906" s="188"/>
      <c r="P906" s="23"/>
      <c r="Q906" s="35"/>
      <c r="R906" s="35"/>
      <c r="S906" s="35"/>
    </row>
    <row r="907" spans="1:19" ht="29.25" customHeight="1" x14ac:dyDescent="0.2">
      <c r="A907" s="187">
        <v>0</v>
      </c>
      <c r="B907" s="35">
        <v>0</v>
      </c>
      <c r="C907" s="35">
        <v>0</v>
      </c>
      <c r="D907" s="35">
        <v>0</v>
      </c>
      <c r="E907" s="28">
        <v>0</v>
      </c>
      <c r="F907" s="35">
        <v>0</v>
      </c>
      <c r="G907" s="35"/>
      <c r="H907" s="35"/>
      <c r="I907" s="35"/>
      <c r="J907" s="35"/>
      <c r="K907" s="35"/>
      <c r="L907" s="35"/>
      <c r="M907" s="35"/>
      <c r="N907" s="188"/>
      <c r="O907" s="188"/>
      <c r="P907" s="23"/>
      <c r="Q907" s="35"/>
      <c r="R907" s="35"/>
      <c r="S907" s="35"/>
    </row>
    <row r="908" spans="1:19" ht="29.25" customHeight="1" x14ac:dyDescent="0.2">
      <c r="A908" s="187">
        <v>0</v>
      </c>
      <c r="B908" s="35">
        <v>0</v>
      </c>
      <c r="C908" s="35">
        <v>0</v>
      </c>
      <c r="D908" s="35">
        <v>0</v>
      </c>
      <c r="E908" s="28">
        <v>0</v>
      </c>
      <c r="F908" s="35">
        <v>0</v>
      </c>
      <c r="G908" s="35"/>
      <c r="H908" s="35"/>
      <c r="I908" s="35"/>
      <c r="J908" s="35"/>
      <c r="K908" s="35"/>
      <c r="L908" s="35"/>
      <c r="M908" s="35"/>
      <c r="N908" s="188"/>
      <c r="O908" s="188"/>
      <c r="P908" s="23"/>
      <c r="Q908" s="35"/>
      <c r="R908" s="35"/>
      <c r="S908" s="35"/>
    </row>
    <row r="909" spans="1:19" ht="29.25" customHeight="1" x14ac:dyDescent="0.2">
      <c r="A909" s="187">
        <v>0</v>
      </c>
      <c r="B909" s="35">
        <v>0</v>
      </c>
      <c r="C909" s="35">
        <v>0</v>
      </c>
      <c r="D909" s="35">
        <v>0</v>
      </c>
      <c r="E909" s="28">
        <v>0</v>
      </c>
      <c r="F909" s="35">
        <v>0</v>
      </c>
      <c r="G909" s="35"/>
      <c r="H909" s="35"/>
      <c r="I909" s="35"/>
      <c r="J909" s="35"/>
      <c r="K909" s="35"/>
      <c r="L909" s="35"/>
      <c r="M909" s="35"/>
      <c r="N909" s="188"/>
      <c r="O909" s="188"/>
      <c r="P909" s="23"/>
      <c r="Q909" s="35"/>
      <c r="R909" s="35"/>
      <c r="S909" s="35"/>
    </row>
    <row r="910" spans="1:19" ht="29.25" customHeight="1" x14ac:dyDescent="0.2">
      <c r="A910" s="187">
        <v>0</v>
      </c>
      <c r="B910" s="35">
        <v>0</v>
      </c>
      <c r="C910" s="35">
        <v>0</v>
      </c>
      <c r="D910" s="35">
        <v>0</v>
      </c>
      <c r="E910" s="28">
        <v>0</v>
      </c>
      <c r="F910" s="35">
        <v>0</v>
      </c>
      <c r="G910" s="35"/>
      <c r="H910" s="35"/>
      <c r="I910" s="35"/>
      <c r="J910" s="35"/>
      <c r="K910" s="35"/>
      <c r="L910" s="35"/>
      <c r="M910" s="35"/>
      <c r="N910" s="188"/>
      <c r="O910" s="188"/>
      <c r="P910" s="23"/>
      <c r="Q910" s="35"/>
      <c r="R910" s="35"/>
      <c r="S910" s="35"/>
    </row>
    <row r="911" spans="1:19" ht="29.25" customHeight="1" x14ac:dyDescent="0.2">
      <c r="A911" s="187">
        <v>0</v>
      </c>
      <c r="B911" s="35">
        <v>0</v>
      </c>
      <c r="C911" s="35">
        <v>0</v>
      </c>
      <c r="D911" s="35">
        <v>0</v>
      </c>
      <c r="E911" s="28">
        <v>0</v>
      </c>
      <c r="F911" s="35">
        <v>0</v>
      </c>
      <c r="G911" s="35"/>
      <c r="H911" s="35"/>
      <c r="I911" s="35"/>
      <c r="J911" s="35"/>
      <c r="K911" s="35"/>
      <c r="L911" s="35"/>
      <c r="M911" s="35"/>
      <c r="N911" s="188"/>
      <c r="O911" s="188"/>
      <c r="P911" s="23"/>
      <c r="Q911" s="35"/>
      <c r="R911" s="35"/>
      <c r="S911" s="35"/>
    </row>
    <row r="912" spans="1:19" ht="29.25" customHeight="1" x14ac:dyDescent="0.2">
      <c r="A912" s="187">
        <v>0</v>
      </c>
      <c r="B912" s="35">
        <v>0</v>
      </c>
      <c r="C912" s="35">
        <v>0</v>
      </c>
      <c r="D912" s="35">
        <v>0</v>
      </c>
      <c r="E912" s="28">
        <v>0</v>
      </c>
      <c r="F912" s="35">
        <v>0</v>
      </c>
      <c r="G912" s="35"/>
      <c r="H912" s="35"/>
      <c r="I912" s="35"/>
      <c r="J912" s="35"/>
      <c r="K912" s="35"/>
      <c r="L912" s="35"/>
      <c r="M912" s="35"/>
      <c r="N912" s="188"/>
      <c r="O912" s="188"/>
      <c r="P912" s="23"/>
      <c r="Q912" s="35"/>
      <c r="R912" s="35"/>
      <c r="S912" s="35"/>
    </row>
    <row r="913" spans="1:19" ht="29.25" customHeight="1" x14ac:dyDescent="0.2">
      <c r="A913" s="187">
        <v>0</v>
      </c>
      <c r="B913" s="35">
        <v>0</v>
      </c>
      <c r="C913" s="35">
        <v>0</v>
      </c>
      <c r="D913" s="35">
        <v>0</v>
      </c>
      <c r="E913" s="28">
        <v>0</v>
      </c>
      <c r="F913" s="35">
        <v>0</v>
      </c>
      <c r="G913" s="35"/>
      <c r="H913" s="35"/>
      <c r="I913" s="35"/>
      <c r="J913" s="35"/>
      <c r="K913" s="35"/>
      <c r="L913" s="35"/>
      <c r="M913" s="35"/>
      <c r="N913" s="188"/>
      <c r="O913" s="188"/>
      <c r="P913" s="23"/>
      <c r="Q913" s="35"/>
      <c r="R913" s="35"/>
      <c r="S913" s="35"/>
    </row>
    <row r="914" spans="1:19" ht="29.25" customHeight="1" x14ac:dyDescent="0.2">
      <c r="A914" s="187">
        <v>0</v>
      </c>
      <c r="B914" s="35">
        <v>0</v>
      </c>
      <c r="C914" s="35">
        <v>0</v>
      </c>
      <c r="D914" s="35">
        <v>0</v>
      </c>
      <c r="E914" s="28">
        <v>0</v>
      </c>
      <c r="F914" s="35">
        <v>0</v>
      </c>
      <c r="G914" s="35"/>
      <c r="H914" s="35"/>
      <c r="I914" s="35"/>
      <c r="J914" s="35"/>
      <c r="K914" s="35"/>
      <c r="L914" s="35"/>
      <c r="M914" s="35"/>
      <c r="N914" s="188"/>
      <c r="O914" s="188"/>
      <c r="P914" s="23"/>
      <c r="Q914" s="35"/>
      <c r="R914" s="35"/>
      <c r="S914" s="35"/>
    </row>
    <row r="915" spans="1:19" ht="29.25" customHeight="1" x14ac:dyDescent="0.2">
      <c r="A915" s="187">
        <v>0</v>
      </c>
      <c r="B915" s="35">
        <v>0</v>
      </c>
      <c r="C915" s="35">
        <v>0</v>
      </c>
      <c r="D915" s="35">
        <v>0</v>
      </c>
      <c r="E915" s="28">
        <v>0</v>
      </c>
      <c r="F915" s="35">
        <v>0</v>
      </c>
      <c r="G915" s="35"/>
      <c r="H915" s="35"/>
      <c r="I915" s="35"/>
      <c r="J915" s="35"/>
      <c r="K915" s="35"/>
      <c r="L915" s="35"/>
      <c r="M915" s="35"/>
      <c r="N915" s="188"/>
      <c r="O915" s="188"/>
      <c r="P915" s="23"/>
      <c r="Q915" s="35"/>
      <c r="R915" s="35"/>
      <c r="S915" s="35"/>
    </row>
    <row r="916" spans="1:19" ht="29.25" customHeight="1" x14ac:dyDescent="0.2">
      <c r="A916" s="187">
        <v>0</v>
      </c>
      <c r="B916" s="35">
        <v>0</v>
      </c>
      <c r="C916" s="35">
        <v>0</v>
      </c>
      <c r="D916" s="35">
        <v>0</v>
      </c>
      <c r="E916" s="28">
        <v>0</v>
      </c>
      <c r="F916" s="35">
        <v>0</v>
      </c>
      <c r="G916" s="35"/>
      <c r="H916" s="35"/>
      <c r="I916" s="35"/>
      <c r="J916" s="35"/>
      <c r="K916" s="35"/>
      <c r="L916" s="35"/>
      <c r="M916" s="35"/>
      <c r="N916" s="188"/>
      <c r="O916" s="188"/>
      <c r="P916" s="23"/>
      <c r="Q916" s="35"/>
      <c r="R916" s="35"/>
      <c r="S916" s="35"/>
    </row>
    <row r="917" spans="1:19" ht="29.25" customHeight="1" x14ac:dyDescent="0.2">
      <c r="A917" s="187">
        <v>0</v>
      </c>
      <c r="B917" s="35">
        <v>0</v>
      </c>
      <c r="C917" s="35">
        <v>0</v>
      </c>
      <c r="D917" s="35">
        <v>0</v>
      </c>
      <c r="E917" s="28">
        <v>0</v>
      </c>
      <c r="F917" s="35">
        <v>0</v>
      </c>
      <c r="G917" s="35"/>
      <c r="H917" s="35"/>
      <c r="I917" s="35"/>
      <c r="J917" s="35"/>
      <c r="K917" s="35"/>
      <c r="L917" s="35"/>
      <c r="M917" s="35"/>
      <c r="N917" s="188"/>
      <c r="O917" s="188"/>
      <c r="P917" s="23"/>
      <c r="Q917" s="35"/>
      <c r="R917" s="35"/>
      <c r="S917" s="35"/>
    </row>
    <row r="918" spans="1:19" ht="29.25" customHeight="1" x14ac:dyDescent="0.2">
      <c r="A918" s="187">
        <v>0</v>
      </c>
      <c r="B918" s="35">
        <v>0</v>
      </c>
      <c r="C918" s="35">
        <v>0</v>
      </c>
      <c r="D918" s="35">
        <v>0</v>
      </c>
      <c r="E918" s="28">
        <v>0</v>
      </c>
      <c r="F918" s="35">
        <v>0</v>
      </c>
      <c r="G918" s="35"/>
      <c r="H918" s="35"/>
      <c r="I918" s="35"/>
      <c r="J918" s="35"/>
      <c r="K918" s="35"/>
      <c r="L918" s="35"/>
      <c r="M918" s="35"/>
      <c r="N918" s="188"/>
      <c r="O918" s="188"/>
      <c r="P918" s="23"/>
      <c r="Q918" s="35"/>
      <c r="R918" s="35"/>
      <c r="S918" s="35"/>
    </row>
    <row r="919" spans="1:19" ht="29.25" customHeight="1" x14ac:dyDescent="0.2">
      <c r="A919" s="187">
        <v>0</v>
      </c>
      <c r="B919" s="35">
        <v>0</v>
      </c>
      <c r="C919" s="35">
        <v>0</v>
      </c>
      <c r="D919" s="35">
        <v>0</v>
      </c>
      <c r="E919" s="28">
        <v>0</v>
      </c>
      <c r="F919" s="35">
        <v>0</v>
      </c>
      <c r="G919" s="35"/>
      <c r="H919" s="35"/>
      <c r="I919" s="35"/>
      <c r="J919" s="35"/>
      <c r="K919" s="35"/>
      <c r="L919" s="35"/>
      <c r="M919" s="35"/>
      <c r="N919" s="188"/>
      <c r="O919" s="188"/>
      <c r="P919" s="23"/>
      <c r="Q919" s="35"/>
      <c r="R919" s="35"/>
      <c r="S919" s="35"/>
    </row>
    <row r="920" spans="1:19" ht="29.25" customHeight="1" x14ac:dyDescent="0.2">
      <c r="A920" s="187">
        <v>0</v>
      </c>
      <c r="B920" s="35">
        <v>0</v>
      </c>
      <c r="C920" s="35">
        <v>0</v>
      </c>
      <c r="D920" s="35">
        <v>0</v>
      </c>
      <c r="E920" s="28">
        <v>0</v>
      </c>
      <c r="F920" s="35">
        <v>0</v>
      </c>
      <c r="G920" s="35"/>
      <c r="H920" s="35"/>
      <c r="I920" s="35"/>
      <c r="J920" s="35"/>
      <c r="K920" s="35"/>
      <c r="L920" s="35"/>
      <c r="M920" s="35"/>
      <c r="N920" s="188"/>
      <c r="O920" s="188"/>
      <c r="P920" s="23"/>
      <c r="Q920" s="35"/>
      <c r="R920" s="35"/>
      <c r="S920" s="35"/>
    </row>
    <row r="921" spans="1:19" ht="29.25" customHeight="1" x14ac:dyDescent="0.2">
      <c r="A921" s="187">
        <v>0</v>
      </c>
      <c r="B921" s="35">
        <v>0</v>
      </c>
      <c r="C921" s="35">
        <v>0</v>
      </c>
      <c r="D921" s="35">
        <v>0</v>
      </c>
      <c r="E921" s="28">
        <v>0</v>
      </c>
      <c r="F921" s="35">
        <v>0</v>
      </c>
      <c r="G921" s="35"/>
      <c r="H921" s="35"/>
      <c r="I921" s="35"/>
      <c r="J921" s="35"/>
      <c r="K921" s="35"/>
      <c r="L921" s="35"/>
      <c r="M921" s="35"/>
      <c r="N921" s="188"/>
      <c r="O921" s="188"/>
      <c r="P921" s="23"/>
      <c r="Q921" s="35"/>
      <c r="R921" s="35"/>
      <c r="S921" s="35"/>
    </row>
    <row r="922" spans="1:19" ht="29.25" customHeight="1" x14ac:dyDescent="0.2">
      <c r="A922" s="187">
        <v>0</v>
      </c>
      <c r="B922" s="35">
        <v>0</v>
      </c>
      <c r="C922" s="35">
        <v>0</v>
      </c>
      <c r="D922" s="35">
        <v>0</v>
      </c>
      <c r="E922" s="28">
        <v>0</v>
      </c>
      <c r="F922" s="35">
        <v>0</v>
      </c>
      <c r="G922" s="35"/>
      <c r="H922" s="35"/>
      <c r="I922" s="35"/>
      <c r="J922" s="35"/>
      <c r="K922" s="35"/>
      <c r="L922" s="35"/>
      <c r="M922" s="35"/>
      <c r="N922" s="188"/>
      <c r="O922" s="188"/>
      <c r="P922" s="23"/>
      <c r="Q922" s="35"/>
      <c r="R922" s="35"/>
      <c r="S922" s="35"/>
    </row>
    <row r="923" spans="1:19" ht="29.25" customHeight="1" x14ac:dyDescent="0.2">
      <c r="A923" s="187">
        <v>0</v>
      </c>
      <c r="B923" s="35">
        <v>0</v>
      </c>
      <c r="C923" s="35">
        <v>0</v>
      </c>
      <c r="D923" s="35">
        <v>0</v>
      </c>
      <c r="E923" s="28">
        <v>0</v>
      </c>
      <c r="F923" s="35">
        <v>0</v>
      </c>
      <c r="G923" s="35"/>
      <c r="H923" s="35"/>
      <c r="I923" s="35"/>
      <c r="J923" s="35"/>
      <c r="K923" s="35"/>
      <c r="L923" s="35"/>
      <c r="M923" s="35"/>
      <c r="N923" s="188"/>
      <c r="O923" s="188"/>
      <c r="P923" s="23"/>
      <c r="Q923" s="35"/>
      <c r="R923" s="35"/>
      <c r="S923" s="35"/>
    </row>
    <row r="924" spans="1:19" ht="29.25" customHeight="1" x14ac:dyDescent="0.2">
      <c r="A924" s="187">
        <v>0</v>
      </c>
      <c r="B924" s="35">
        <v>0</v>
      </c>
      <c r="C924" s="35">
        <v>0</v>
      </c>
      <c r="D924" s="35">
        <v>0</v>
      </c>
      <c r="E924" s="28">
        <v>0</v>
      </c>
      <c r="F924" s="35">
        <v>0</v>
      </c>
      <c r="G924" s="35"/>
      <c r="H924" s="35"/>
      <c r="I924" s="35"/>
      <c r="J924" s="35"/>
      <c r="K924" s="35"/>
      <c r="L924" s="35"/>
      <c r="M924" s="35"/>
      <c r="N924" s="188"/>
      <c r="O924" s="188"/>
      <c r="P924" s="23"/>
      <c r="Q924" s="35"/>
      <c r="R924" s="35"/>
      <c r="S924" s="35"/>
    </row>
    <row r="925" spans="1:19" ht="29.25" customHeight="1" x14ac:dyDescent="0.2">
      <c r="A925" s="187">
        <v>0</v>
      </c>
      <c r="B925" s="35">
        <v>0</v>
      </c>
      <c r="C925" s="35">
        <v>0</v>
      </c>
      <c r="D925" s="35">
        <v>0</v>
      </c>
      <c r="E925" s="28">
        <v>0</v>
      </c>
      <c r="F925" s="35">
        <v>0</v>
      </c>
      <c r="G925" s="35"/>
      <c r="H925" s="35"/>
      <c r="I925" s="35"/>
      <c r="J925" s="35"/>
      <c r="K925" s="35"/>
      <c r="L925" s="35"/>
      <c r="M925" s="35"/>
      <c r="N925" s="188"/>
      <c r="O925" s="188"/>
      <c r="P925" s="23"/>
      <c r="Q925" s="35"/>
      <c r="R925" s="35"/>
      <c r="S925" s="35"/>
    </row>
    <row r="926" spans="1:19" ht="29.25" customHeight="1" x14ac:dyDescent="0.2">
      <c r="A926" s="187">
        <v>0</v>
      </c>
      <c r="B926" s="35">
        <v>0</v>
      </c>
      <c r="C926" s="35">
        <v>0</v>
      </c>
      <c r="D926" s="35">
        <v>0</v>
      </c>
      <c r="E926" s="28">
        <v>0</v>
      </c>
      <c r="F926" s="35">
        <v>0</v>
      </c>
      <c r="G926" s="35"/>
      <c r="H926" s="35"/>
      <c r="I926" s="35"/>
      <c r="J926" s="35"/>
      <c r="K926" s="35"/>
      <c r="L926" s="35"/>
      <c r="M926" s="35"/>
      <c r="N926" s="188"/>
      <c r="O926" s="188"/>
      <c r="P926" s="23"/>
      <c r="Q926" s="35"/>
      <c r="R926" s="35"/>
      <c r="S926" s="35"/>
    </row>
    <row r="927" spans="1:19" ht="29.25" customHeight="1" x14ac:dyDescent="0.2">
      <c r="A927" s="187">
        <v>0</v>
      </c>
      <c r="B927" s="35">
        <v>0</v>
      </c>
      <c r="C927" s="35">
        <v>0</v>
      </c>
      <c r="D927" s="35">
        <v>0</v>
      </c>
      <c r="E927" s="28">
        <v>0</v>
      </c>
      <c r="F927" s="35">
        <v>0</v>
      </c>
      <c r="G927" s="35"/>
      <c r="H927" s="35"/>
      <c r="I927" s="35"/>
      <c r="J927" s="35"/>
      <c r="K927" s="35"/>
      <c r="L927" s="35"/>
      <c r="M927" s="35"/>
      <c r="N927" s="188"/>
      <c r="O927" s="188"/>
      <c r="P927" s="23"/>
      <c r="Q927" s="35"/>
      <c r="R927" s="35"/>
      <c r="S927" s="35"/>
    </row>
    <row r="928" spans="1:19" ht="29.25" customHeight="1" x14ac:dyDescent="0.2">
      <c r="A928" s="187">
        <v>0</v>
      </c>
      <c r="B928" s="35">
        <v>0</v>
      </c>
      <c r="C928" s="35">
        <v>0</v>
      </c>
      <c r="D928" s="35">
        <v>0</v>
      </c>
      <c r="E928" s="28">
        <v>0</v>
      </c>
      <c r="F928" s="35">
        <v>0</v>
      </c>
      <c r="G928" s="35"/>
      <c r="H928" s="35"/>
      <c r="I928" s="35"/>
      <c r="J928" s="35"/>
      <c r="K928" s="35"/>
      <c r="L928" s="35"/>
      <c r="M928" s="35"/>
      <c r="N928" s="188"/>
      <c r="O928" s="188"/>
      <c r="P928" s="23"/>
      <c r="Q928" s="35"/>
      <c r="R928" s="35"/>
      <c r="S928" s="35"/>
    </row>
    <row r="929" spans="1:19" ht="29.25" customHeight="1" x14ac:dyDescent="0.2">
      <c r="A929" s="187">
        <v>0</v>
      </c>
      <c r="B929" s="35">
        <v>0</v>
      </c>
      <c r="C929" s="35">
        <v>0</v>
      </c>
      <c r="D929" s="35">
        <v>0</v>
      </c>
      <c r="E929" s="28">
        <v>0</v>
      </c>
      <c r="F929" s="35">
        <v>0</v>
      </c>
      <c r="G929" s="35"/>
      <c r="H929" s="35"/>
      <c r="I929" s="35"/>
      <c r="J929" s="35"/>
      <c r="K929" s="35"/>
      <c r="L929" s="35"/>
      <c r="M929" s="35"/>
      <c r="N929" s="188"/>
      <c r="O929" s="188"/>
      <c r="P929" s="23"/>
      <c r="Q929" s="35"/>
      <c r="R929" s="35"/>
      <c r="S929" s="35"/>
    </row>
    <row r="930" spans="1:19" ht="29.25" customHeight="1" x14ac:dyDescent="0.2">
      <c r="A930" s="187">
        <v>0</v>
      </c>
      <c r="B930" s="35">
        <v>0</v>
      </c>
      <c r="C930" s="35">
        <v>0</v>
      </c>
      <c r="D930" s="35">
        <v>0</v>
      </c>
      <c r="E930" s="28">
        <v>0</v>
      </c>
      <c r="F930" s="35">
        <v>0</v>
      </c>
      <c r="G930" s="35"/>
      <c r="H930" s="35"/>
      <c r="I930" s="35"/>
      <c r="J930" s="35"/>
      <c r="K930" s="35"/>
      <c r="L930" s="35"/>
      <c r="M930" s="35"/>
      <c r="N930" s="188"/>
      <c r="O930" s="188"/>
      <c r="P930" s="23"/>
      <c r="Q930" s="35"/>
      <c r="R930" s="35"/>
      <c r="S930" s="35"/>
    </row>
    <row r="931" spans="1:19" ht="29.25" customHeight="1" x14ac:dyDescent="0.2">
      <c r="A931" s="187">
        <v>0</v>
      </c>
      <c r="B931" s="35">
        <v>0</v>
      </c>
      <c r="C931" s="35">
        <v>0</v>
      </c>
      <c r="D931" s="35">
        <v>0</v>
      </c>
      <c r="E931" s="28">
        <v>0</v>
      </c>
      <c r="F931" s="35">
        <v>0</v>
      </c>
      <c r="G931" s="35"/>
      <c r="H931" s="35"/>
      <c r="I931" s="35"/>
      <c r="J931" s="35"/>
      <c r="K931" s="35"/>
      <c r="L931" s="35"/>
      <c r="M931" s="35"/>
      <c r="N931" s="188"/>
      <c r="O931" s="188"/>
      <c r="P931" s="23"/>
      <c r="Q931" s="35"/>
      <c r="R931" s="35"/>
      <c r="S931" s="35"/>
    </row>
    <row r="932" spans="1:19" ht="29.25" customHeight="1" x14ac:dyDescent="0.2">
      <c r="A932" s="187">
        <v>0</v>
      </c>
      <c r="B932" s="35">
        <v>0</v>
      </c>
      <c r="C932" s="35">
        <v>0</v>
      </c>
      <c r="D932" s="35">
        <v>0</v>
      </c>
      <c r="E932" s="28">
        <v>0</v>
      </c>
      <c r="F932" s="35">
        <v>0</v>
      </c>
      <c r="G932" s="35"/>
      <c r="H932" s="35"/>
      <c r="I932" s="35"/>
      <c r="J932" s="35"/>
      <c r="K932" s="35"/>
      <c r="L932" s="35"/>
      <c r="M932" s="35"/>
      <c r="N932" s="188"/>
      <c r="O932" s="188"/>
      <c r="P932" s="23"/>
      <c r="Q932" s="35"/>
      <c r="R932" s="35"/>
      <c r="S932" s="35"/>
    </row>
    <row r="933" spans="1:19" ht="29.25" customHeight="1" x14ac:dyDescent="0.2">
      <c r="A933" s="187">
        <v>0</v>
      </c>
      <c r="B933" s="35">
        <v>0</v>
      </c>
      <c r="C933" s="35">
        <v>0</v>
      </c>
      <c r="D933" s="35">
        <v>0</v>
      </c>
      <c r="E933" s="28">
        <v>0</v>
      </c>
      <c r="F933" s="35">
        <v>0</v>
      </c>
      <c r="G933" s="35"/>
      <c r="H933" s="35"/>
      <c r="I933" s="35"/>
      <c r="J933" s="35"/>
      <c r="K933" s="35"/>
      <c r="L933" s="35"/>
      <c r="M933" s="35"/>
      <c r="N933" s="188"/>
      <c r="O933" s="188"/>
      <c r="P933" s="23"/>
      <c r="Q933" s="35"/>
      <c r="R933" s="35"/>
      <c r="S933" s="35"/>
    </row>
    <row r="934" spans="1:19" ht="29.25" customHeight="1" x14ac:dyDescent="0.2">
      <c r="A934" s="187">
        <v>0</v>
      </c>
      <c r="B934" s="35">
        <v>0</v>
      </c>
      <c r="C934" s="35">
        <v>0</v>
      </c>
      <c r="D934" s="35">
        <v>0</v>
      </c>
      <c r="E934" s="28">
        <v>0</v>
      </c>
      <c r="F934" s="35">
        <v>0</v>
      </c>
      <c r="G934" s="35"/>
      <c r="H934" s="35"/>
      <c r="I934" s="35"/>
      <c r="J934" s="35"/>
      <c r="K934" s="35"/>
      <c r="L934" s="35"/>
      <c r="M934" s="35"/>
      <c r="N934" s="188"/>
      <c r="O934" s="188"/>
      <c r="P934" s="23"/>
      <c r="Q934" s="35"/>
      <c r="R934" s="35"/>
      <c r="S934" s="35"/>
    </row>
    <row r="935" spans="1:19" ht="29.25" customHeight="1" x14ac:dyDescent="0.2">
      <c r="A935" s="187">
        <v>0</v>
      </c>
      <c r="B935" s="35">
        <v>0</v>
      </c>
      <c r="C935" s="35">
        <v>0</v>
      </c>
      <c r="D935" s="35">
        <v>0</v>
      </c>
      <c r="E935" s="28">
        <v>0</v>
      </c>
      <c r="F935" s="35">
        <v>0</v>
      </c>
      <c r="G935" s="35"/>
      <c r="H935" s="35"/>
      <c r="I935" s="35"/>
      <c r="J935" s="35"/>
      <c r="K935" s="35"/>
      <c r="L935" s="35"/>
      <c r="M935" s="35"/>
      <c r="N935" s="188"/>
      <c r="O935" s="188"/>
      <c r="P935" s="23"/>
      <c r="Q935" s="35"/>
      <c r="R935" s="35"/>
      <c r="S935" s="35"/>
    </row>
    <row r="936" spans="1:19" ht="29.25" customHeight="1" x14ac:dyDescent="0.2">
      <c r="A936" s="187">
        <v>0</v>
      </c>
      <c r="B936" s="35">
        <v>0</v>
      </c>
      <c r="C936" s="35">
        <v>0</v>
      </c>
      <c r="D936" s="35">
        <v>0</v>
      </c>
      <c r="E936" s="28">
        <v>0</v>
      </c>
      <c r="F936" s="35">
        <v>0</v>
      </c>
      <c r="G936" s="35"/>
      <c r="H936" s="35"/>
      <c r="I936" s="35"/>
      <c r="J936" s="35"/>
      <c r="K936" s="35"/>
      <c r="L936" s="35"/>
      <c r="M936" s="35"/>
      <c r="N936" s="188"/>
      <c r="O936" s="188"/>
      <c r="P936" s="23"/>
      <c r="Q936" s="35"/>
      <c r="R936" s="35"/>
      <c r="S936" s="35"/>
    </row>
    <row r="937" spans="1:19" ht="29.25" customHeight="1" x14ac:dyDescent="0.2">
      <c r="A937" s="187">
        <v>0</v>
      </c>
      <c r="B937" s="35">
        <v>0</v>
      </c>
      <c r="C937" s="35">
        <v>0</v>
      </c>
      <c r="D937" s="35">
        <v>0</v>
      </c>
      <c r="E937" s="28">
        <v>0</v>
      </c>
      <c r="F937" s="35">
        <v>0</v>
      </c>
      <c r="G937" s="35"/>
      <c r="H937" s="35"/>
      <c r="I937" s="35"/>
      <c r="J937" s="35"/>
      <c r="K937" s="35"/>
      <c r="L937" s="35"/>
      <c r="M937" s="35"/>
      <c r="N937" s="188"/>
      <c r="O937" s="188"/>
      <c r="P937" s="23"/>
      <c r="Q937" s="35"/>
      <c r="R937" s="35"/>
      <c r="S937" s="35"/>
    </row>
    <row r="938" spans="1:19" ht="29.25" customHeight="1" x14ac:dyDescent="0.2">
      <c r="A938" s="187">
        <v>0</v>
      </c>
      <c r="B938" s="35">
        <v>0</v>
      </c>
      <c r="C938" s="35">
        <v>0</v>
      </c>
      <c r="D938" s="35">
        <v>0</v>
      </c>
      <c r="E938" s="28">
        <v>0</v>
      </c>
      <c r="F938" s="35">
        <v>0</v>
      </c>
      <c r="G938" s="35"/>
      <c r="H938" s="35"/>
      <c r="I938" s="35"/>
      <c r="J938" s="35"/>
      <c r="K938" s="35"/>
      <c r="L938" s="35"/>
      <c r="M938" s="35"/>
      <c r="N938" s="188"/>
      <c r="O938" s="188"/>
      <c r="P938" s="23"/>
      <c r="Q938" s="35"/>
      <c r="R938" s="35"/>
      <c r="S938" s="35"/>
    </row>
    <row r="939" spans="1:19" ht="29.25" customHeight="1" x14ac:dyDescent="0.2">
      <c r="A939" s="187">
        <v>0</v>
      </c>
      <c r="B939" s="35">
        <v>0</v>
      </c>
      <c r="C939" s="35">
        <v>0</v>
      </c>
      <c r="D939" s="35">
        <v>0</v>
      </c>
      <c r="E939" s="28">
        <v>0</v>
      </c>
      <c r="F939" s="35">
        <v>0</v>
      </c>
      <c r="G939" s="35"/>
      <c r="H939" s="35"/>
      <c r="I939" s="35"/>
      <c r="J939" s="35"/>
      <c r="K939" s="35"/>
      <c r="L939" s="35"/>
      <c r="M939" s="35"/>
      <c r="N939" s="188"/>
      <c r="O939" s="188"/>
      <c r="P939" s="23"/>
      <c r="Q939" s="35"/>
      <c r="R939" s="35"/>
      <c r="S939" s="35"/>
    </row>
    <row r="940" spans="1:19" ht="29.25" customHeight="1" x14ac:dyDescent="0.2">
      <c r="A940" s="187">
        <v>0</v>
      </c>
      <c r="B940" s="35">
        <v>0</v>
      </c>
      <c r="C940" s="35">
        <v>0</v>
      </c>
      <c r="D940" s="35">
        <v>0</v>
      </c>
      <c r="E940" s="28">
        <v>0</v>
      </c>
      <c r="F940" s="35">
        <v>0</v>
      </c>
      <c r="G940" s="35"/>
      <c r="H940" s="35"/>
      <c r="I940" s="35"/>
      <c r="J940" s="35"/>
      <c r="K940" s="35"/>
      <c r="L940" s="35"/>
      <c r="M940" s="35"/>
      <c r="N940" s="188"/>
      <c r="O940" s="188"/>
      <c r="P940" s="23"/>
      <c r="Q940" s="35"/>
      <c r="R940" s="35"/>
      <c r="S940" s="35"/>
    </row>
    <row r="941" spans="1:19" ht="29.25" customHeight="1" x14ac:dyDescent="0.2">
      <c r="A941" s="187">
        <v>0</v>
      </c>
      <c r="B941" s="35">
        <v>0</v>
      </c>
      <c r="C941" s="35">
        <v>0</v>
      </c>
      <c r="D941" s="35">
        <v>0</v>
      </c>
      <c r="E941" s="28">
        <v>0</v>
      </c>
      <c r="F941" s="35">
        <v>0</v>
      </c>
      <c r="G941" s="35"/>
      <c r="H941" s="35"/>
      <c r="I941" s="35"/>
      <c r="J941" s="35"/>
      <c r="K941" s="35"/>
      <c r="L941" s="35"/>
      <c r="M941" s="35"/>
      <c r="N941" s="188"/>
      <c r="O941" s="188"/>
      <c r="P941" s="23"/>
      <c r="Q941" s="35"/>
      <c r="R941" s="35"/>
      <c r="S941" s="35"/>
    </row>
    <row r="942" spans="1:19" ht="29.25" customHeight="1" x14ac:dyDescent="0.2">
      <c r="A942" s="187">
        <v>0</v>
      </c>
      <c r="B942" s="35">
        <v>0</v>
      </c>
      <c r="C942" s="35">
        <v>0</v>
      </c>
      <c r="D942" s="35">
        <v>0</v>
      </c>
      <c r="E942" s="28">
        <v>0</v>
      </c>
      <c r="F942" s="35">
        <v>0</v>
      </c>
      <c r="G942" s="35"/>
      <c r="H942" s="35"/>
      <c r="I942" s="35"/>
      <c r="J942" s="35"/>
      <c r="K942" s="35"/>
      <c r="L942" s="35"/>
      <c r="M942" s="35"/>
      <c r="N942" s="188"/>
      <c r="O942" s="188"/>
      <c r="P942" s="23"/>
      <c r="Q942" s="35"/>
      <c r="R942" s="35"/>
      <c r="S942" s="35"/>
    </row>
    <row r="943" spans="1:19" ht="29.25" customHeight="1" x14ac:dyDescent="0.2">
      <c r="A943" s="187">
        <v>0</v>
      </c>
      <c r="B943" s="35">
        <v>0</v>
      </c>
      <c r="C943" s="35">
        <v>0</v>
      </c>
      <c r="D943" s="35">
        <v>0</v>
      </c>
      <c r="E943" s="28">
        <v>0</v>
      </c>
      <c r="F943" s="35">
        <v>0</v>
      </c>
      <c r="G943" s="35"/>
      <c r="H943" s="35"/>
      <c r="I943" s="35"/>
      <c r="J943" s="35"/>
      <c r="K943" s="35"/>
      <c r="L943" s="35"/>
      <c r="M943" s="35"/>
      <c r="N943" s="188"/>
      <c r="O943" s="188"/>
      <c r="P943" s="23"/>
      <c r="Q943" s="35"/>
      <c r="R943" s="35"/>
      <c r="S943" s="35"/>
    </row>
    <row r="944" spans="1:19" ht="29.25" customHeight="1" x14ac:dyDescent="0.2">
      <c r="A944" s="187">
        <v>0</v>
      </c>
      <c r="B944" s="35">
        <v>0</v>
      </c>
      <c r="C944" s="35">
        <v>0</v>
      </c>
      <c r="D944" s="35">
        <v>0</v>
      </c>
      <c r="E944" s="28">
        <v>0</v>
      </c>
      <c r="F944" s="35">
        <v>0</v>
      </c>
      <c r="G944" s="35"/>
      <c r="H944" s="35"/>
      <c r="I944" s="35"/>
      <c r="J944" s="35"/>
      <c r="K944" s="35"/>
      <c r="L944" s="35"/>
      <c r="M944" s="35"/>
      <c r="N944" s="188"/>
      <c r="O944" s="188"/>
      <c r="P944" s="23"/>
      <c r="Q944" s="35"/>
      <c r="R944" s="35"/>
      <c r="S944" s="35"/>
    </row>
    <row r="945" spans="1:19" ht="29.25" customHeight="1" x14ac:dyDescent="0.2">
      <c r="A945" s="187">
        <v>0</v>
      </c>
      <c r="B945" s="35">
        <v>0</v>
      </c>
      <c r="C945" s="35">
        <v>0</v>
      </c>
      <c r="D945" s="35">
        <v>0</v>
      </c>
      <c r="E945" s="28">
        <v>0</v>
      </c>
      <c r="F945" s="35">
        <v>0</v>
      </c>
      <c r="G945" s="35"/>
      <c r="H945" s="35"/>
      <c r="I945" s="35"/>
      <c r="J945" s="35"/>
      <c r="K945" s="35"/>
      <c r="L945" s="35"/>
      <c r="M945" s="35"/>
      <c r="N945" s="188"/>
      <c r="O945" s="188"/>
      <c r="P945" s="23"/>
      <c r="Q945" s="35"/>
      <c r="R945" s="35"/>
      <c r="S945" s="35"/>
    </row>
    <row r="946" spans="1:19" ht="29.25" customHeight="1" x14ac:dyDescent="0.2">
      <c r="A946" s="187">
        <v>0</v>
      </c>
      <c r="B946" s="35">
        <v>0</v>
      </c>
      <c r="C946" s="35">
        <v>0</v>
      </c>
      <c r="D946" s="35">
        <v>0</v>
      </c>
      <c r="E946" s="28">
        <v>0</v>
      </c>
      <c r="F946" s="35">
        <v>0</v>
      </c>
      <c r="G946" s="35"/>
      <c r="H946" s="35"/>
      <c r="I946" s="35"/>
      <c r="J946" s="35"/>
      <c r="K946" s="35"/>
      <c r="L946" s="35"/>
      <c r="M946" s="35"/>
      <c r="N946" s="188"/>
      <c r="O946" s="188"/>
      <c r="P946" s="23"/>
      <c r="Q946" s="35"/>
      <c r="R946" s="35"/>
      <c r="S946" s="35"/>
    </row>
    <row r="947" spans="1:19" ht="29.25" customHeight="1" x14ac:dyDescent="0.2">
      <c r="A947" s="187">
        <v>0</v>
      </c>
      <c r="B947" s="35">
        <v>0</v>
      </c>
      <c r="C947" s="35">
        <v>0</v>
      </c>
      <c r="D947" s="35">
        <v>0</v>
      </c>
      <c r="E947" s="28">
        <v>0</v>
      </c>
      <c r="F947" s="35">
        <v>0</v>
      </c>
      <c r="G947" s="35"/>
      <c r="H947" s="35"/>
      <c r="I947" s="35"/>
      <c r="J947" s="35"/>
      <c r="K947" s="35"/>
      <c r="L947" s="35"/>
      <c r="M947" s="35"/>
      <c r="N947" s="188"/>
      <c r="O947" s="188"/>
      <c r="P947" s="23"/>
      <c r="Q947" s="35"/>
      <c r="R947" s="35"/>
      <c r="S947" s="35"/>
    </row>
    <row r="948" spans="1:19" ht="29.25" customHeight="1" x14ac:dyDescent="0.2">
      <c r="A948" s="187">
        <v>0</v>
      </c>
      <c r="B948" s="35">
        <v>0</v>
      </c>
      <c r="C948" s="35">
        <v>0</v>
      </c>
      <c r="D948" s="35">
        <v>0</v>
      </c>
      <c r="E948" s="28">
        <v>0</v>
      </c>
      <c r="F948" s="35">
        <v>0</v>
      </c>
      <c r="G948" s="35"/>
      <c r="H948" s="35"/>
      <c r="I948" s="35"/>
      <c r="J948" s="35"/>
      <c r="K948" s="35"/>
      <c r="L948" s="35"/>
      <c r="M948" s="35"/>
      <c r="N948" s="188"/>
      <c r="O948" s="188"/>
      <c r="P948" s="23"/>
      <c r="Q948" s="35"/>
      <c r="R948" s="35"/>
      <c r="S948" s="35"/>
    </row>
    <row r="949" spans="1:19" ht="29.25" customHeight="1" x14ac:dyDescent="0.2">
      <c r="A949" s="187">
        <v>0</v>
      </c>
      <c r="B949" s="35">
        <v>0</v>
      </c>
      <c r="C949" s="35">
        <v>0</v>
      </c>
      <c r="D949" s="35">
        <v>0</v>
      </c>
      <c r="E949" s="28">
        <v>0</v>
      </c>
      <c r="F949" s="35">
        <v>0</v>
      </c>
      <c r="G949" s="35"/>
      <c r="H949" s="35"/>
      <c r="I949" s="35"/>
      <c r="J949" s="35"/>
      <c r="K949" s="35"/>
      <c r="L949" s="35"/>
      <c r="M949" s="35"/>
      <c r="N949" s="188"/>
      <c r="O949" s="188"/>
      <c r="P949" s="23"/>
      <c r="Q949" s="35"/>
      <c r="R949" s="35"/>
      <c r="S949" s="35"/>
    </row>
    <row r="950" spans="1:19" ht="29.25" customHeight="1" x14ac:dyDescent="0.2">
      <c r="A950" s="187">
        <v>0</v>
      </c>
      <c r="B950" s="35">
        <v>0</v>
      </c>
      <c r="C950" s="35">
        <v>0</v>
      </c>
      <c r="D950" s="35">
        <v>0</v>
      </c>
      <c r="E950" s="28">
        <v>0</v>
      </c>
      <c r="F950" s="35">
        <v>0</v>
      </c>
      <c r="G950" s="35"/>
      <c r="H950" s="35"/>
      <c r="I950" s="35"/>
      <c r="J950" s="35"/>
      <c r="K950" s="35"/>
      <c r="L950" s="35"/>
      <c r="M950" s="35"/>
      <c r="N950" s="188"/>
      <c r="O950" s="188"/>
      <c r="P950" s="23"/>
      <c r="Q950" s="35"/>
      <c r="R950" s="35"/>
      <c r="S950" s="35"/>
    </row>
    <row r="951" spans="1:19" ht="29.25" customHeight="1" x14ac:dyDescent="0.2">
      <c r="A951" s="187">
        <v>0</v>
      </c>
      <c r="B951" s="35">
        <v>0</v>
      </c>
      <c r="C951" s="35">
        <v>0</v>
      </c>
      <c r="D951" s="35">
        <v>0</v>
      </c>
      <c r="E951" s="28">
        <v>0</v>
      </c>
      <c r="F951" s="35">
        <v>0</v>
      </c>
      <c r="G951" s="35"/>
      <c r="H951" s="35"/>
      <c r="I951" s="35"/>
      <c r="J951" s="35"/>
      <c r="K951" s="35"/>
      <c r="L951" s="35"/>
      <c r="M951" s="35"/>
      <c r="N951" s="188"/>
      <c r="O951" s="188"/>
      <c r="P951" s="23"/>
      <c r="Q951" s="35"/>
      <c r="R951" s="35"/>
      <c r="S951" s="35"/>
    </row>
    <row r="952" spans="1:19" ht="29.25" customHeight="1" x14ac:dyDescent="0.2">
      <c r="A952" s="187">
        <v>0</v>
      </c>
      <c r="B952" s="35">
        <v>0</v>
      </c>
      <c r="C952" s="35">
        <v>0</v>
      </c>
      <c r="D952" s="35">
        <v>0</v>
      </c>
      <c r="E952" s="28">
        <v>0</v>
      </c>
      <c r="F952" s="35">
        <v>0</v>
      </c>
      <c r="G952" s="35"/>
      <c r="H952" s="35"/>
      <c r="I952" s="35"/>
      <c r="J952" s="35"/>
      <c r="K952" s="35"/>
      <c r="L952" s="35"/>
      <c r="M952" s="35"/>
      <c r="N952" s="188"/>
      <c r="O952" s="188"/>
      <c r="P952" s="23"/>
      <c r="Q952" s="35"/>
      <c r="R952" s="35"/>
      <c r="S952" s="35"/>
    </row>
    <row r="953" spans="1:19" ht="29.25" customHeight="1" x14ac:dyDescent="0.2">
      <c r="A953" s="187">
        <v>0</v>
      </c>
      <c r="B953" s="35">
        <v>0</v>
      </c>
      <c r="C953" s="35">
        <v>0</v>
      </c>
      <c r="D953" s="35">
        <v>0</v>
      </c>
      <c r="E953" s="28">
        <v>0</v>
      </c>
      <c r="F953" s="35">
        <v>0</v>
      </c>
      <c r="G953" s="35"/>
      <c r="H953" s="35"/>
      <c r="I953" s="35"/>
      <c r="J953" s="35"/>
      <c r="K953" s="35"/>
      <c r="L953" s="35"/>
      <c r="M953" s="35"/>
      <c r="N953" s="188"/>
      <c r="O953" s="188"/>
      <c r="P953" s="23"/>
      <c r="Q953" s="35"/>
      <c r="R953" s="35"/>
      <c r="S953" s="35"/>
    </row>
    <row r="954" spans="1:19" ht="29.25" customHeight="1" x14ac:dyDescent="0.2">
      <c r="A954" s="187">
        <v>0</v>
      </c>
      <c r="B954" s="35">
        <v>0</v>
      </c>
      <c r="C954" s="35">
        <v>0</v>
      </c>
      <c r="D954" s="35">
        <v>0</v>
      </c>
      <c r="E954" s="28">
        <v>0</v>
      </c>
      <c r="F954" s="35">
        <v>0</v>
      </c>
      <c r="G954" s="35"/>
      <c r="H954" s="35"/>
      <c r="I954" s="35"/>
      <c r="J954" s="35"/>
      <c r="K954" s="35"/>
      <c r="L954" s="35"/>
      <c r="M954" s="35"/>
      <c r="N954" s="188"/>
      <c r="O954" s="188"/>
      <c r="P954" s="23"/>
      <c r="Q954" s="35"/>
      <c r="R954" s="35"/>
      <c r="S954" s="35"/>
    </row>
    <row r="955" spans="1:19" ht="29.25" customHeight="1" x14ac:dyDescent="0.2">
      <c r="A955" s="187">
        <v>0</v>
      </c>
      <c r="B955" s="35">
        <v>0</v>
      </c>
      <c r="C955" s="35">
        <v>0</v>
      </c>
      <c r="D955" s="35">
        <v>0</v>
      </c>
      <c r="E955" s="28">
        <v>0</v>
      </c>
      <c r="F955" s="35">
        <v>0</v>
      </c>
      <c r="G955" s="35"/>
      <c r="H955" s="35"/>
      <c r="I955" s="35"/>
      <c r="J955" s="35"/>
      <c r="K955" s="35"/>
      <c r="L955" s="35"/>
      <c r="M955" s="35"/>
      <c r="N955" s="188"/>
      <c r="O955" s="188"/>
      <c r="P955" s="23"/>
      <c r="Q955" s="35"/>
      <c r="R955" s="35"/>
      <c r="S955" s="35"/>
    </row>
    <row r="956" spans="1:19" ht="29.25" customHeight="1" x14ac:dyDescent="0.2">
      <c r="A956" s="187">
        <v>0</v>
      </c>
      <c r="B956" s="35">
        <v>0</v>
      </c>
      <c r="C956" s="35">
        <v>0</v>
      </c>
      <c r="D956" s="35">
        <v>0</v>
      </c>
      <c r="E956" s="28">
        <v>0</v>
      </c>
      <c r="F956" s="35">
        <v>0</v>
      </c>
      <c r="G956" s="35"/>
      <c r="H956" s="35"/>
      <c r="I956" s="35"/>
      <c r="J956" s="35"/>
      <c r="K956" s="35"/>
      <c r="L956" s="35"/>
      <c r="M956" s="35"/>
      <c r="N956" s="188"/>
      <c r="O956" s="188"/>
      <c r="P956" s="23"/>
      <c r="Q956" s="35"/>
      <c r="R956" s="35"/>
      <c r="S956" s="35"/>
    </row>
    <row r="957" spans="1:19" ht="29.25" customHeight="1" x14ac:dyDescent="0.2">
      <c r="A957" s="187">
        <v>0</v>
      </c>
      <c r="B957" s="35">
        <v>0</v>
      </c>
      <c r="C957" s="35">
        <v>0</v>
      </c>
      <c r="D957" s="35">
        <v>0</v>
      </c>
      <c r="E957" s="28">
        <v>0</v>
      </c>
      <c r="F957" s="35">
        <v>0</v>
      </c>
      <c r="G957" s="35"/>
      <c r="H957" s="35"/>
      <c r="I957" s="35"/>
      <c r="J957" s="35"/>
      <c r="K957" s="35"/>
      <c r="L957" s="35"/>
      <c r="M957" s="35"/>
      <c r="N957" s="188"/>
      <c r="O957" s="188"/>
      <c r="P957" s="23"/>
      <c r="Q957" s="35"/>
      <c r="R957" s="35"/>
      <c r="S957" s="35"/>
    </row>
    <row r="958" spans="1:19" ht="29.25" customHeight="1" x14ac:dyDescent="0.2">
      <c r="A958" s="187">
        <v>0</v>
      </c>
      <c r="B958" s="35">
        <v>0</v>
      </c>
      <c r="C958" s="35">
        <v>0</v>
      </c>
      <c r="D958" s="35">
        <v>0</v>
      </c>
      <c r="E958" s="28">
        <v>0</v>
      </c>
      <c r="F958" s="35">
        <v>0</v>
      </c>
      <c r="G958" s="35"/>
      <c r="H958" s="35"/>
      <c r="I958" s="35"/>
      <c r="J958" s="35"/>
      <c r="K958" s="35"/>
      <c r="L958" s="35"/>
      <c r="M958" s="35"/>
      <c r="N958" s="188"/>
      <c r="O958" s="188"/>
      <c r="P958" s="23"/>
      <c r="Q958" s="35"/>
      <c r="R958" s="35"/>
      <c r="S958" s="35"/>
    </row>
    <row r="959" spans="1:19" ht="29.25" customHeight="1" x14ac:dyDescent="0.2">
      <c r="A959" s="187">
        <v>0</v>
      </c>
      <c r="B959" s="35">
        <v>0</v>
      </c>
      <c r="C959" s="35">
        <v>0</v>
      </c>
      <c r="D959" s="35">
        <v>0</v>
      </c>
      <c r="E959" s="28">
        <v>0</v>
      </c>
      <c r="F959" s="35">
        <v>0</v>
      </c>
      <c r="G959" s="35"/>
      <c r="H959" s="35"/>
      <c r="I959" s="35"/>
      <c r="J959" s="35"/>
      <c r="K959" s="35"/>
      <c r="L959" s="35"/>
      <c r="M959" s="35"/>
      <c r="N959" s="188"/>
      <c r="O959" s="188"/>
      <c r="P959" s="23"/>
      <c r="Q959" s="35"/>
      <c r="R959" s="35"/>
      <c r="S959" s="35"/>
    </row>
    <row r="960" spans="1:19" ht="29.25" customHeight="1" x14ac:dyDescent="0.2">
      <c r="A960" s="187">
        <v>0</v>
      </c>
      <c r="B960" s="35">
        <v>0</v>
      </c>
      <c r="C960" s="35">
        <v>0</v>
      </c>
      <c r="D960" s="35">
        <v>0</v>
      </c>
      <c r="E960" s="28">
        <v>0</v>
      </c>
      <c r="F960" s="35">
        <v>0</v>
      </c>
      <c r="G960" s="35"/>
      <c r="H960" s="35"/>
      <c r="I960" s="35"/>
      <c r="J960" s="35"/>
      <c r="K960" s="35"/>
      <c r="L960" s="35"/>
      <c r="M960" s="35"/>
      <c r="N960" s="188"/>
      <c r="O960" s="188"/>
      <c r="P960" s="23"/>
      <c r="Q960" s="35"/>
      <c r="R960" s="35"/>
      <c r="S960" s="35"/>
    </row>
    <row r="961" spans="1:19" ht="29.25" customHeight="1" x14ac:dyDescent="0.2">
      <c r="A961" s="187">
        <v>0</v>
      </c>
      <c r="B961" s="35">
        <v>0</v>
      </c>
      <c r="C961" s="35">
        <v>0</v>
      </c>
      <c r="D961" s="35">
        <v>0</v>
      </c>
      <c r="E961" s="28">
        <v>0</v>
      </c>
      <c r="F961" s="35">
        <v>0</v>
      </c>
      <c r="G961" s="35"/>
      <c r="H961" s="35"/>
      <c r="I961" s="35"/>
      <c r="J961" s="35"/>
      <c r="K961" s="35"/>
      <c r="L961" s="35"/>
      <c r="M961" s="35"/>
      <c r="N961" s="188"/>
      <c r="O961" s="188"/>
      <c r="P961" s="23"/>
      <c r="Q961" s="35"/>
      <c r="R961" s="35"/>
      <c r="S961" s="35"/>
    </row>
    <row r="962" spans="1:19" ht="29.25" customHeight="1" x14ac:dyDescent="0.2">
      <c r="A962" s="187">
        <v>0</v>
      </c>
      <c r="B962" s="35">
        <v>0</v>
      </c>
      <c r="C962" s="35">
        <v>0</v>
      </c>
      <c r="D962" s="35">
        <v>0</v>
      </c>
      <c r="E962" s="28">
        <v>0</v>
      </c>
      <c r="F962" s="35">
        <v>0</v>
      </c>
      <c r="G962" s="35"/>
      <c r="H962" s="35"/>
      <c r="I962" s="35"/>
      <c r="J962" s="35"/>
      <c r="K962" s="35"/>
      <c r="L962" s="35"/>
      <c r="M962" s="35"/>
      <c r="N962" s="188"/>
      <c r="O962" s="188"/>
      <c r="P962" s="23"/>
      <c r="Q962" s="35"/>
      <c r="R962" s="35"/>
      <c r="S962" s="35"/>
    </row>
    <row r="963" spans="1:19" ht="29.25" customHeight="1" x14ac:dyDescent="0.2">
      <c r="A963" s="187">
        <v>0</v>
      </c>
      <c r="B963" s="35">
        <v>0</v>
      </c>
      <c r="C963" s="35">
        <v>0</v>
      </c>
      <c r="D963" s="35">
        <v>0</v>
      </c>
      <c r="E963" s="28">
        <v>0</v>
      </c>
      <c r="F963" s="35">
        <v>0</v>
      </c>
      <c r="G963" s="35"/>
      <c r="H963" s="35"/>
      <c r="I963" s="35"/>
      <c r="J963" s="35"/>
      <c r="K963" s="35"/>
      <c r="L963" s="35"/>
      <c r="M963" s="35"/>
      <c r="N963" s="188"/>
      <c r="O963" s="188"/>
      <c r="P963" s="23"/>
      <c r="Q963" s="35"/>
      <c r="R963" s="35"/>
      <c r="S963" s="35"/>
    </row>
    <row r="964" spans="1:19" ht="29.25" customHeight="1" x14ac:dyDescent="0.2">
      <c r="A964" s="187">
        <v>0</v>
      </c>
      <c r="B964" s="35">
        <v>0</v>
      </c>
      <c r="C964" s="35">
        <v>0</v>
      </c>
      <c r="D964" s="35">
        <v>0</v>
      </c>
      <c r="E964" s="28">
        <v>0</v>
      </c>
      <c r="F964" s="35">
        <v>0</v>
      </c>
      <c r="G964" s="35"/>
      <c r="H964" s="35"/>
      <c r="I964" s="35"/>
      <c r="J964" s="35"/>
      <c r="K964" s="35"/>
      <c r="L964" s="35"/>
      <c r="M964" s="35"/>
      <c r="N964" s="188"/>
      <c r="O964" s="188"/>
      <c r="P964" s="23"/>
      <c r="Q964" s="35"/>
      <c r="R964" s="35"/>
      <c r="S964" s="35"/>
    </row>
    <row r="965" spans="1:19" ht="29.25" customHeight="1" x14ac:dyDescent="0.2">
      <c r="A965" s="187">
        <v>0</v>
      </c>
      <c r="B965" s="35">
        <v>0</v>
      </c>
      <c r="C965" s="35">
        <v>0</v>
      </c>
      <c r="D965" s="35">
        <v>0</v>
      </c>
      <c r="E965" s="28">
        <v>0</v>
      </c>
      <c r="F965" s="35">
        <v>0</v>
      </c>
      <c r="G965" s="35"/>
      <c r="H965" s="35"/>
      <c r="I965" s="35"/>
      <c r="J965" s="35"/>
      <c r="K965" s="35"/>
      <c r="L965" s="35"/>
      <c r="M965" s="35"/>
      <c r="N965" s="188"/>
      <c r="O965" s="188"/>
      <c r="P965" s="23"/>
      <c r="Q965" s="35"/>
      <c r="R965" s="35"/>
      <c r="S965" s="35"/>
    </row>
    <row r="966" spans="1:19" ht="29.25" customHeight="1" x14ac:dyDescent="0.2">
      <c r="A966" s="187">
        <v>0</v>
      </c>
      <c r="B966" s="35">
        <v>0</v>
      </c>
      <c r="C966" s="35">
        <v>0</v>
      </c>
      <c r="D966" s="35">
        <v>0</v>
      </c>
      <c r="E966" s="28">
        <v>0</v>
      </c>
      <c r="F966" s="35">
        <v>0</v>
      </c>
      <c r="G966" s="35"/>
      <c r="H966" s="35"/>
      <c r="I966" s="35"/>
      <c r="J966" s="35"/>
      <c r="K966" s="35"/>
      <c r="L966" s="35"/>
      <c r="M966" s="35"/>
      <c r="N966" s="188"/>
      <c r="O966" s="188"/>
      <c r="P966" s="23"/>
      <c r="Q966" s="35"/>
      <c r="R966" s="35"/>
      <c r="S966" s="35"/>
    </row>
    <row r="967" spans="1:19" ht="29.25" customHeight="1" x14ac:dyDescent="0.2">
      <c r="A967" s="187">
        <v>0</v>
      </c>
      <c r="B967" s="35">
        <v>0</v>
      </c>
      <c r="C967" s="35">
        <v>0</v>
      </c>
      <c r="D967" s="35">
        <v>0</v>
      </c>
      <c r="E967" s="28">
        <v>0</v>
      </c>
      <c r="F967" s="35">
        <v>0</v>
      </c>
      <c r="G967" s="35"/>
      <c r="H967" s="35"/>
      <c r="I967" s="35"/>
      <c r="J967" s="35"/>
      <c r="K967" s="35"/>
      <c r="L967" s="35"/>
      <c r="M967" s="35"/>
      <c r="N967" s="188"/>
      <c r="O967" s="188"/>
      <c r="P967" s="23"/>
      <c r="Q967" s="35"/>
      <c r="R967" s="35"/>
      <c r="S967" s="35"/>
    </row>
    <row r="968" spans="1:19" ht="29.25" customHeight="1" x14ac:dyDescent="0.2">
      <c r="A968" s="187">
        <v>0</v>
      </c>
      <c r="B968" s="35">
        <v>0</v>
      </c>
      <c r="C968" s="35">
        <v>0</v>
      </c>
      <c r="D968" s="35">
        <v>0</v>
      </c>
      <c r="E968" s="28">
        <v>0</v>
      </c>
      <c r="F968" s="35">
        <v>0</v>
      </c>
      <c r="G968" s="35"/>
      <c r="H968" s="35"/>
      <c r="I968" s="35"/>
      <c r="J968" s="35"/>
      <c r="K968" s="35"/>
      <c r="L968" s="35"/>
      <c r="M968" s="35"/>
      <c r="N968" s="188"/>
      <c r="O968" s="188"/>
      <c r="P968" s="23"/>
      <c r="Q968" s="35"/>
      <c r="R968" s="35"/>
      <c r="S968" s="35"/>
    </row>
    <row r="969" spans="1:19" ht="29.25" customHeight="1" x14ac:dyDescent="0.2">
      <c r="A969" s="187">
        <v>0</v>
      </c>
      <c r="B969" s="35">
        <v>0</v>
      </c>
      <c r="C969" s="35">
        <v>0</v>
      </c>
      <c r="D969" s="35">
        <v>0</v>
      </c>
      <c r="E969" s="28">
        <v>0</v>
      </c>
      <c r="F969" s="35">
        <v>0</v>
      </c>
      <c r="G969" s="35"/>
      <c r="H969" s="35"/>
      <c r="I969" s="35"/>
      <c r="J969" s="35"/>
      <c r="K969" s="35"/>
      <c r="L969" s="35"/>
      <c r="M969" s="35"/>
      <c r="N969" s="188"/>
      <c r="O969" s="188"/>
      <c r="P969" s="23"/>
      <c r="Q969" s="35"/>
      <c r="R969" s="35"/>
      <c r="S969" s="35"/>
    </row>
    <row r="970" spans="1:19" ht="29.25" customHeight="1" x14ac:dyDescent="0.2">
      <c r="A970" s="187">
        <v>0</v>
      </c>
      <c r="B970" s="35">
        <v>0</v>
      </c>
      <c r="C970" s="35">
        <v>0</v>
      </c>
      <c r="D970" s="35">
        <v>0</v>
      </c>
      <c r="E970" s="28">
        <v>0</v>
      </c>
      <c r="F970" s="35">
        <v>0</v>
      </c>
      <c r="G970" s="35"/>
      <c r="H970" s="35"/>
      <c r="I970" s="35"/>
      <c r="J970" s="35"/>
      <c r="K970" s="35"/>
      <c r="L970" s="35"/>
      <c r="M970" s="35"/>
      <c r="N970" s="188"/>
      <c r="O970" s="188"/>
      <c r="P970" s="23"/>
      <c r="Q970" s="35"/>
      <c r="R970" s="35"/>
      <c r="S970" s="35"/>
    </row>
    <row r="971" spans="1:19" ht="29.25" customHeight="1" x14ac:dyDescent="0.2">
      <c r="A971" s="187">
        <v>0</v>
      </c>
      <c r="B971" s="35">
        <v>0</v>
      </c>
      <c r="C971" s="35">
        <v>0</v>
      </c>
      <c r="D971" s="35">
        <v>0</v>
      </c>
      <c r="E971" s="28">
        <v>0</v>
      </c>
      <c r="F971" s="35">
        <v>0</v>
      </c>
      <c r="G971" s="35"/>
      <c r="H971" s="35"/>
      <c r="I971" s="35"/>
      <c r="J971" s="35"/>
      <c r="K971" s="35"/>
      <c r="L971" s="35"/>
      <c r="M971" s="35"/>
      <c r="N971" s="188"/>
      <c r="O971" s="188"/>
      <c r="P971" s="23"/>
      <c r="Q971" s="35"/>
      <c r="R971" s="35"/>
      <c r="S971" s="35"/>
    </row>
    <row r="972" spans="1:19" ht="29.25" customHeight="1" x14ac:dyDescent="0.2">
      <c r="A972" s="187">
        <v>0</v>
      </c>
      <c r="B972" s="35">
        <v>0</v>
      </c>
      <c r="C972" s="35">
        <v>0</v>
      </c>
      <c r="D972" s="35">
        <v>0</v>
      </c>
      <c r="E972" s="28">
        <v>0</v>
      </c>
      <c r="F972" s="35">
        <v>0</v>
      </c>
      <c r="G972" s="35"/>
      <c r="H972" s="35"/>
      <c r="I972" s="35"/>
      <c r="J972" s="35"/>
      <c r="K972" s="35"/>
      <c r="L972" s="35"/>
      <c r="M972" s="35"/>
      <c r="N972" s="188"/>
      <c r="O972" s="188"/>
      <c r="P972" s="23"/>
      <c r="Q972" s="35"/>
      <c r="R972" s="35"/>
      <c r="S972" s="35"/>
    </row>
    <row r="973" spans="1:19" ht="29.25" customHeight="1" x14ac:dyDescent="0.2">
      <c r="A973" s="187">
        <v>0</v>
      </c>
      <c r="B973" s="35">
        <v>0</v>
      </c>
      <c r="C973" s="35">
        <v>0</v>
      </c>
      <c r="D973" s="35">
        <v>0</v>
      </c>
      <c r="E973" s="28">
        <v>0</v>
      </c>
      <c r="F973" s="35">
        <v>0</v>
      </c>
      <c r="G973" s="35"/>
      <c r="H973" s="35"/>
      <c r="I973" s="35"/>
      <c r="J973" s="35"/>
      <c r="K973" s="35"/>
      <c r="L973" s="35"/>
      <c r="M973" s="35"/>
      <c r="N973" s="188"/>
      <c r="O973" s="188"/>
      <c r="P973" s="23"/>
      <c r="Q973" s="35"/>
      <c r="R973" s="35"/>
      <c r="S973" s="35"/>
    </row>
    <row r="974" spans="1:19" ht="29.25" customHeight="1" x14ac:dyDescent="0.2">
      <c r="A974" s="187">
        <v>0</v>
      </c>
      <c r="B974" s="35">
        <v>0</v>
      </c>
      <c r="C974" s="35">
        <v>0</v>
      </c>
      <c r="D974" s="35">
        <v>0</v>
      </c>
      <c r="E974" s="28">
        <v>0</v>
      </c>
      <c r="F974" s="35">
        <v>0</v>
      </c>
      <c r="G974" s="35"/>
      <c r="H974" s="35"/>
      <c r="I974" s="35"/>
      <c r="J974" s="35"/>
      <c r="K974" s="35"/>
      <c r="L974" s="35"/>
      <c r="M974" s="35"/>
      <c r="N974" s="188"/>
      <c r="O974" s="188"/>
      <c r="P974" s="23"/>
      <c r="Q974" s="35"/>
      <c r="R974" s="35"/>
      <c r="S974" s="35"/>
    </row>
    <row r="975" spans="1:19" ht="29.25" customHeight="1" x14ac:dyDescent="0.2">
      <c r="A975" s="187">
        <v>0</v>
      </c>
      <c r="B975" s="35">
        <v>0</v>
      </c>
      <c r="C975" s="35">
        <v>0</v>
      </c>
      <c r="D975" s="35">
        <v>0</v>
      </c>
      <c r="E975" s="28">
        <v>0</v>
      </c>
      <c r="F975" s="35">
        <v>0</v>
      </c>
      <c r="G975" s="35"/>
      <c r="H975" s="35"/>
      <c r="I975" s="35"/>
      <c r="J975" s="35"/>
      <c r="K975" s="35"/>
      <c r="L975" s="35"/>
      <c r="M975" s="35"/>
      <c r="N975" s="188"/>
      <c r="O975" s="188"/>
      <c r="P975" s="23"/>
      <c r="Q975" s="35"/>
      <c r="R975" s="35"/>
      <c r="S975" s="35"/>
    </row>
    <row r="976" spans="1:19" ht="29.25" customHeight="1" x14ac:dyDescent="0.2">
      <c r="A976" s="187">
        <v>0</v>
      </c>
      <c r="B976" s="35">
        <v>0</v>
      </c>
      <c r="C976" s="35">
        <v>0</v>
      </c>
      <c r="D976" s="35">
        <v>0</v>
      </c>
      <c r="E976" s="28">
        <v>0</v>
      </c>
      <c r="F976" s="35">
        <v>0</v>
      </c>
      <c r="G976" s="35"/>
      <c r="H976" s="35"/>
      <c r="I976" s="35"/>
      <c r="J976" s="35"/>
      <c r="K976" s="35"/>
      <c r="L976" s="35"/>
      <c r="M976" s="35"/>
      <c r="N976" s="188"/>
      <c r="O976" s="188"/>
      <c r="P976" s="23"/>
      <c r="Q976" s="35"/>
      <c r="R976" s="35"/>
      <c r="S976" s="35"/>
    </row>
    <row r="977" spans="1:19" ht="29.25" customHeight="1" x14ac:dyDescent="0.2">
      <c r="A977" s="187">
        <v>0</v>
      </c>
      <c r="B977" s="35">
        <v>0</v>
      </c>
      <c r="C977" s="35">
        <v>0</v>
      </c>
      <c r="D977" s="35">
        <v>0</v>
      </c>
      <c r="E977" s="28">
        <v>0</v>
      </c>
      <c r="F977" s="35">
        <v>0</v>
      </c>
      <c r="G977" s="35"/>
      <c r="H977" s="35"/>
      <c r="I977" s="35"/>
      <c r="J977" s="35"/>
      <c r="K977" s="35"/>
      <c r="L977" s="35"/>
      <c r="M977" s="35"/>
      <c r="N977" s="188"/>
      <c r="O977" s="188"/>
      <c r="P977" s="23"/>
      <c r="Q977" s="35"/>
      <c r="R977" s="35"/>
      <c r="S977" s="35"/>
    </row>
    <row r="978" spans="1:19" ht="29.25" customHeight="1" x14ac:dyDescent="0.2">
      <c r="A978" s="187">
        <v>0</v>
      </c>
      <c r="B978" s="35">
        <v>0</v>
      </c>
      <c r="C978" s="35">
        <v>0</v>
      </c>
      <c r="D978" s="35">
        <v>0</v>
      </c>
      <c r="E978" s="28">
        <v>0</v>
      </c>
      <c r="F978" s="35">
        <v>0</v>
      </c>
      <c r="G978" s="35"/>
      <c r="H978" s="35"/>
      <c r="I978" s="35"/>
      <c r="J978" s="35"/>
      <c r="K978" s="35"/>
      <c r="L978" s="35"/>
      <c r="M978" s="35"/>
      <c r="N978" s="188"/>
      <c r="O978" s="188"/>
      <c r="P978" s="23"/>
      <c r="Q978" s="35"/>
      <c r="R978" s="35"/>
      <c r="S978" s="35"/>
    </row>
    <row r="979" spans="1:19" ht="29.25" customHeight="1" x14ac:dyDescent="0.2">
      <c r="A979" s="187">
        <v>0</v>
      </c>
      <c r="B979" s="35">
        <v>0</v>
      </c>
      <c r="C979" s="35">
        <v>0</v>
      </c>
      <c r="D979" s="35">
        <v>0</v>
      </c>
      <c r="E979" s="28">
        <v>0</v>
      </c>
      <c r="F979" s="35">
        <v>0</v>
      </c>
      <c r="G979" s="35"/>
      <c r="H979" s="35"/>
      <c r="I979" s="35"/>
      <c r="J979" s="35"/>
      <c r="K979" s="35"/>
      <c r="L979" s="35"/>
      <c r="M979" s="35"/>
      <c r="N979" s="188"/>
      <c r="O979" s="188"/>
      <c r="P979" s="23"/>
      <c r="Q979" s="35"/>
      <c r="R979" s="35"/>
      <c r="S979" s="35"/>
    </row>
    <row r="980" spans="1:19" ht="29.25" customHeight="1" x14ac:dyDescent="0.2">
      <c r="A980" s="187">
        <v>0</v>
      </c>
      <c r="B980" s="35">
        <v>0</v>
      </c>
      <c r="C980" s="35">
        <v>0</v>
      </c>
      <c r="D980" s="35">
        <v>0</v>
      </c>
      <c r="E980" s="28">
        <v>0</v>
      </c>
      <c r="F980" s="35">
        <v>0</v>
      </c>
      <c r="G980" s="35"/>
      <c r="H980" s="35"/>
      <c r="I980" s="35"/>
      <c r="J980" s="35"/>
      <c r="K980" s="35"/>
      <c r="L980" s="35"/>
      <c r="M980" s="35"/>
      <c r="N980" s="188"/>
      <c r="O980" s="188"/>
      <c r="P980" s="23"/>
      <c r="Q980" s="35"/>
      <c r="R980" s="35"/>
      <c r="S980" s="35"/>
    </row>
    <row r="981" spans="1:19" ht="29.25" customHeight="1" x14ac:dyDescent="0.2">
      <c r="A981" s="187">
        <v>0</v>
      </c>
      <c r="B981" s="35">
        <v>0</v>
      </c>
      <c r="C981" s="35">
        <v>0</v>
      </c>
      <c r="D981" s="35">
        <v>0</v>
      </c>
      <c r="E981" s="28">
        <v>0</v>
      </c>
      <c r="F981" s="35">
        <v>0</v>
      </c>
      <c r="G981" s="35"/>
      <c r="H981" s="35"/>
      <c r="I981" s="35"/>
      <c r="J981" s="35"/>
      <c r="K981" s="35"/>
      <c r="L981" s="35"/>
      <c r="M981" s="35"/>
      <c r="N981" s="188"/>
      <c r="O981" s="188"/>
      <c r="P981" s="23"/>
      <c r="Q981" s="35"/>
      <c r="R981" s="35"/>
      <c r="S981" s="35"/>
    </row>
    <row r="982" spans="1:19" ht="29.25" customHeight="1" x14ac:dyDescent="0.2">
      <c r="A982" s="187">
        <v>0</v>
      </c>
      <c r="B982" s="35">
        <v>0</v>
      </c>
      <c r="C982" s="35">
        <v>0</v>
      </c>
      <c r="D982" s="35">
        <v>0</v>
      </c>
      <c r="E982" s="28">
        <v>0</v>
      </c>
      <c r="F982" s="35">
        <v>0</v>
      </c>
      <c r="G982" s="35"/>
      <c r="H982" s="35"/>
      <c r="I982" s="35"/>
      <c r="J982" s="35"/>
      <c r="K982" s="35"/>
      <c r="L982" s="35"/>
      <c r="M982" s="35"/>
      <c r="N982" s="188"/>
      <c r="O982" s="188"/>
      <c r="P982" s="23"/>
      <c r="Q982" s="35"/>
      <c r="R982" s="35"/>
      <c r="S982" s="35"/>
    </row>
    <row r="983" spans="1:19" ht="29.25" customHeight="1" x14ac:dyDescent="0.2">
      <c r="A983" s="187">
        <v>0</v>
      </c>
      <c r="B983" s="35">
        <v>0</v>
      </c>
      <c r="C983" s="35">
        <v>0</v>
      </c>
      <c r="D983" s="35">
        <v>0</v>
      </c>
      <c r="E983" s="28">
        <v>0</v>
      </c>
      <c r="F983" s="35">
        <v>0</v>
      </c>
      <c r="G983" s="35"/>
      <c r="H983" s="35"/>
      <c r="I983" s="35"/>
      <c r="J983" s="35"/>
      <c r="K983" s="35"/>
      <c r="L983" s="35"/>
      <c r="M983" s="35"/>
      <c r="N983" s="188"/>
      <c r="O983" s="188"/>
      <c r="P983" s="23"/>
      <c r="Q983" s="35"/>
      <c r="R983" s="35"/>
      <c r="S983" s="35"/>
    </row>
    <row r="984" spans="1:19" ht="29.25" customHeight="1" x14ac:dyDescent="0.2">
      <c r="A984" s="187">
        <v>0</v>
      </c>
      <c r="B984" s="35">
        <v>0</v>
      </c>
      <c r="C984" s="35">
        <v>0</v>
      </c>
      <c r="D984" s="35">
        <v>0</v>
      </c>
      <c r="E984" s="28">
        <v>0</v>
      </c>
      <c r="F984" s="35">
        <v>0</v>
      </c>
      <c r="G984" s="35"/>
      <c r="H984" s="35"/>
      <c r="I984" s="35"/>
      <c r="J984" s="35"/>
      <c r="K984" s="35"/>
      <c r="L984" s="35"/>
      <c r="M984" s="35"/>
      <c r="N984" s="188"/>
      <c r="O984" s="188"/>
      <c r="P984" s="23"/>
      <c r="Q984" s="35"/>
      <c r="R984" s="35"/>
      <c r="S984" s="35"/>
    </row>
    <row r="985" spans="1:19" ht="29.25" customHeight="1" x14ac:dyDescent="0.2">
      <c r="A985" s="187">
        <v>0</v>
      </c>
      <c r="B985" s="35">
        <v>0</v>
      </c>
      <c r="C985" s="35">
        <v>0</v>
      </c>
      <c r="D985" s="35">
        <v>0</v>
      </c>
      <c r="E985" s="28">
        <v>0</v>
      </c>
      <c r="F985" s="35">
        <v>0</v>
      </c>
      <c r="G985" s="35"/>
      <c r="H985" s="35"/>
      <c r="I985" s="35"/>
      <c r="J985" s="35"/>
      <c r="K985" s="35"/>
      <c r="L985" s="35"/>
      <c r="M985" s="35"/>
      <c r="N985" s="188"/>
      <c r="O985" s="188"/>
      <c r="P985" s="23"/>
      <c r="Q985" s="35"/>
      <c r="R985" s="35"/>
      <c r="S985" s="35"/>
    </row>
    <row r="986" spans="1:19" ht="29.25" customHeight="1" x14ac:dyDescent="0.2">
      <c r="A986" s="187">
        <v>0</v>
      </c>
      <c r="B986" s="35">
        <v>0</v>
      </c>
      <c r="C986" s="35">
        <v>0</v>
      </c>
      <c r="D986" s="35">
        <v>0</v>
      </c>
      <c r="E986" s="28">
        <v>0</v>
      </c>
      <c r="F986" s="35">
        <v>0</v>
      </c>
      <c r="G986" s="35"/>
      <c r="H986" s="35"/>
      <c r="I986" s="35"/>
      <c r="J986" s="35"/>
      <c r="K986" s="35"/>
      <c r="L986" s="35"/>
      <c r="M986" s="35"/>
      <c r="N986" s="188"/>
      <c r="O986" s="188"/>
      <c r="P986" s="23"/>
      <c r="Q986" s="35"/>
      <c r="R986" s="35"/>
      <c r="S986" s="35"/>
    </row>
    <row r="987" spans="1:19" ht="29.25" customHeight="1" x14ac:dyDescent="0.2">
      <c r="A987" s="187">
        <v>0</v>
      </c>
      <c r="B987" s="35">
        <v>0</v>
      </c>
      <c r="C987" s="35">
        <v>0</v>
      </c>
      <c r="D987" s="35">
        <v>0</v>
      </c>
      <c r="E987" s="28">
        <v>0</v>
      </c>
      <c r="F987" s="35">
        <v>0</v>
      </c>
      <c r="G987" s="35"/>
      <c r="H987" s="35"/>
      <c r="I987" s="35"/>
      <c r="J987" s="35"/>
      <c r="K987" s="35"/>
      <c r="L987" s="35"/>
      <c r="M987" s="35"/>
      <c r="N987" s="188"/>
      <c r="O987" s="188"/>
      <c r="P987" s="23"/>
      <c r="Q987" s="35"/>
      <c r="R987" s="35"/>
      <c r="S987" s="35"/>
    </row>
    <row r="988" spans="1:19" ht="29.25" customHeight="1" x14ac:dyDescent="0.2">
      <c r="A988" s="187">
        <v>0</v>
      </c>
      <c r="B988" s="35">
        <v>0</v>
      </c>
      <c r="C988" s="35">
        <v>0</v>
      </c>
      <c r="D988" s="35">
        <v>0</v>
      </c>
      <c r="E988" s="28">
        <v>0</v>
      </c>
      <c r="F988" s="35">
        <v>0</v>
      </c>
      <c r="G988" s="35"/>
      <c r="H988" s="35"/>
      <c r="I988" s="35"/>
      <c r="J988" s="35"/>
      <c r="K988" s="35"/>
      <c r="L988" s="35"/>
      <c r="M988" s="35"/>
      <c r="N988" s="188"/>
      <c r="O988" s="188"/>
      <c r="P988" s="23"/>
      <c r="Q988" s="35"/>
      <c r="R988" s="35"/>
      <c r="S988" s="35"/>
    </row>
    <row r="989" spans="1:19" ht="29.25" customHeight="1" x14ac:dyDescent="0.2">
      <c r="A989" s="187">
        <v>0</v>
      </c>
      <c r="B989" s="35">
        <v>0</v>
      </c>
      <c r="C989" s="35">
        <v>0</v>
      </c>
      <c r="D989" s="35">
        <v>0</v>
      </c>
      <c r="E989" s="28">
        <v>0</v>
      </c>
      <c r="F989" s="35">
        <v>0</v>
      </c>
      <c r="G989" s="35"/>
      <c r="H989" s="35"/>
      <c r="I989" s="35"/>
      <c r="J989" s="35"/>
      <c r="K989" s="35"/>
      <c r="L989" s="35"/>
      <c r="M989" s="35"/>
      <c r="N989" s="188"/>
      <c r="O989" s="188"/>
      <c r="P989" s="23"/>
      <c r="Q989" s="35"/>
      <c r="R989" s="35"/>
      <c r="S989" s="35"/>
    </row>
    <row r="990" spans="1:19" ht="29.25" customHeight="1" x14ac:dyDescent="0.2">
      <c r="A990" s="187">
        <v>0</v>
      </c>
      <c r="B990" s="35">
        <v>0</v>
      </c>
      <c r="C990" s="35">
        <v>0</v>
      </c>
      <c r="D990" s="35">
        <v>0</v>
      </c>
      <c r="E990" s="28">
        <v>0</v>
      </c>
      <c r="F990" s="35">
        <v>0</v>
      </c>
      <c r="G990" s="35"/>
      <c r="H990" s="35"/>
      <c r="I990" s="35"/>
      <c r="J990" s="35"/>
      <c r="K990" s="35"/>
      <c r="L990" s="35"/>
      <c r="M990" s="35"/>
      <c r="N990" s="188"/>
      <c r="O990" s="188"/>
      <c r="P990" s="23"/>
      <c r="Q990" s="35"/>
      <c r="R990" s="35"/>
      <c r="S990" s="35"/>
    </row>
    <row r="991" spans="1:19" ht="29.25" customHeight="1" x14ac:dyDescent="0.2">
      <c r="A991" s="187">
        <v>0</v>
      </c>
      <c r="B991" s="35">
        <v>0</v>
      </c>
      <c r="C991" s="35">
        <v>0</v>
      </c>
      <c r="D991" s="35">
        <v>0</v>
      </c>
      <c r="E991" s="28">
        <v>0</v>
      </c>
      <c r="F991" s="35">
        <v>0</v>
      </c>
      <c r="G991" s="35"/>
      <c r="H991" s="35"/>
      <c r="I991" s="35"/>
      <c r="J991" s="35"/>
      <c r="K991" s="35"/>
      <c r="L991" s="35"/>
      <c r="M991" s="35"/>
      <c r="N991" s="188"/>
      <c r="O991" s="188"/>
      <c r="P991" s="23"/>
      <c r="Q991" s="35"/>
      <c r="R991" s="35"/>
      <c r="S991" s="35"/>
    </row>
    <row r="992" spans="1:19" ht="29.25" customHeight="1" x14ac:dyDescent="0.2">
      <c r="A992" s="187">
        <v>0</v>
      </c>
      <c r="B992" s="35">
        <v>0</v>
      </c>
      <c r="C992" s="35">
        <v>0</v>
      </c>
      <c r="D992" s="35">
        <v>0</v>
      </c>
      <c r="E992" s="28">
        <v>0</v>
      </c>
      <c r="F992" s="35">
        <v>0</v>
      </c>
      <c r="G992" s="35"/>
      <c r="H992" s="35"/>
      <c r="I992" s="35"/>
      <c r="J992" s="35"/>
      <c r="K992" s="35"/>
      <c r="L992" s="35"/>
      <c r="M992" s="35"/>
      <c r="N992" s="188"/>
      <c r="O992" s="188"/>
      <c r="P992" s="23"/>
      <c r="Q992" s="35"/>
      <c r="R992" s="35"/>
      <c r="S992" s="35"/>
    </row>
    <row r="993" spans="1:19" ht="29.25" customHeight="1" x14ac:dyDescent="0.2">
      <c r="A993" s="187">
        <v>0</v>
      </c>
      <c r="B993" s="35">
        <v>0</v>
      </c>
      <c r="C993" s="35">
        <v>0</v>
      </c>
      <c r="D993" s="35">
        <v>0</v>
      </c>
      <c r="E993" s="28">
        <v>0</v>
      </c>
      <c r="F993" s="35">
        <v>0</v>
      </c>
      <c r="G993" s="35"/>
      <c r="H993" s="35"/>
      <c r="I993" s="35"/>
      <c r="J993" s="35"/>
      <c r="K993" s="35"/>
      <c r="L993" s="35"/>
      <c r="M993" s="35"/>
      <c r="N993" s="188"/>
      <c r="O993" s="188"/>
      <c r="P993" s="23"/>
      <c r="Q993" s="35"/>
      <c r="R993" s="35"/>
      <c r="S993" s="35"/>
    </row>
    <row r="994" spans="1:19" ht="29.25" customHeight="1" x14ac:dyDescent="0.2">
      <c r="A994" s="187">
        <v>0</v>
      </c>
      <c r="B994" s="35">
        <v>0</v>
      </c>
      <c r="C994" s="35">
        <v>0</v>
      </c>
      <c r="D994" s="35">
        <v>0</v>
      </c>
      <c r="E994" s="28">
        <v>0</v>
      </c>
      <c r="F994" s="35">
        <v>0</v>
      </c>
      <c r="G994" s="35"/>
      <c r="H994" s="35"/>
      <c r="I994" s="35"/>
      <c r="J994" s="35"/>
      <c r="K994" s="35"/>
      <c r="L994" s="35"/>
      <c r="M994" s="35"/>
      <c r="N994" s="188"/>
      <c r="O994" s="188"/>
      <c r="P994" s="23"/>
      <c r="Q994" s="35"/>
      <c r="R994" s="35"/>
      <c r="S994" s="35"/>
    </row>
    <row r="995" spans="1:19" ht="29.25" customHeight="1" x14ac:dyDescent="0.2">
      <c r="A995" s="187">
        <v>0</v>
      </c>
      <c r="B995" s="35">
        <v>0</v>
      </c>
      <c r="C995" s="35">
        <v>0</v>
      </c>
      <c r="D995" s="35">
        <v>0</v>
      </c>
      <c r="E995" s="28">
        <v>0</v>
      </c>
      <c r="F995" s="35">
        <v>0</v>
      </c>
      <c r="G995" s="35"/>
      <c r="H995" s="35"/>
      <c r="I995" s="35"/>
      <c r="J995" s="35"/>
      <c r="K995" s="35"/>
      <c r="L995" s="35"/>
      <c r="M995" s="35"/>
      <c r="N995" s="188"/>
      <c r="O995" s="188"/>
      <c r="P995" s="23"/>
      <c r="Q995" s="35"/>
      <c r="R995" s="35"/>
      <c r="S995" s="35"/>
    </row>
    <row r="996" spans="1:19" ht="29.25" customHeight="1" x14ac:dyDescent="0.2">
      <c r="A996" s="187">
        <v>0</v>
      </c>
      <c r="B996" s="35">
        <v>0</v>
      </c>
      <c r="C996" s="35">
        <v>0</v>
      </c>
      <c r="D996" s="35">
        <v>0</v>
      </c>
      <c r="E996" s="28">
        <v>0</v>
      </c>
      <c r="F996" s="35">
        <v>0</v>
      </c>
      <c r="G996" s="35"/>
      <c r="H996" s="35"/>
      <c r="I996" s="35"/>
      <c r="J996" s="35"/>
      <c r="K996" s="35"/>
      <c r="L996" s="35"/>
      <c r="M996" s="35"/>
      <c r="N996" s="188"/>
      <c r="O996" s="188"/>
      <c r="P996" s="23"/>
      <c r="Q996" s="35"/>
      <c r="R996" s="35"/>
      <c r="S996" s="35"/>
    </row>
    <row r="997" spans="1:19" ht="29.25" customHeight="1" x14ac:dyDescent="0.2">
      <c r="A997" s="187">
        <v>0</v>
      </c>
      <c r="B997" s="35">
        <v>0</v>
      </c>
      <c r="C997" s="35">
        <v>0</v>
      </c>
      <c r="D997" s="35">
        <v>0</v>
      </c>
      <c r="E997" s="28">
        <v>0</v>
      </c>
      <c r="F997" s="35">
        <v>0</v>
      </c>
      <c r="G997" s="35"/>
      <c r="H997" s="35"/>
      <c r="I997" s="35"/>
      <c r="J997" s="35"/>
      <c r="K997" s="35"/>
      <c r="L997" s="35"/>
      <c r="M997" s="35"/>
      <c r="N997" s="188"/>
      <c r="O997" s="188"/>
      <c r="P997" s="23"/>
      <c r="Q997" s="35"/>
      <c r="R997" s="35"/>
      <c r="S997" s="35"/>
    </row>
    <row r="998" spans="1:19" ht="29.25" customHeight="1" x14ac:dyDescent="0.2">
      <c r="A998" s="187">
        <v>0</v>
      </c>
      <c r="B998" s="35">
        <v>0</v>
      </c>
      <c r="C998" s="35">
        <v>0</v>
      </c>
      <c r="D998" s="35">
        <v>0</v>
      </c>
      <c r="E998" s="28">
        <v>0</v>
      </c>
      <c r="F998" s="35">
        <v>0</v>
      </c>
      <c r="G998" s="35"/>
      <c r="H998" s="35"/>
      <c r="I998" s="35"/>
      <c r="J998" s="35"/>
      <c r="K998" s="35"/>
      <c r="L998" s="35"/>
      <c r="M998" s="35"/>
      <c r="N998" s="188"/>
      <c r="O998" s="188"/>
      <c r="P998" s="23"/>
      <c r="Q998" s="35"/>
      <c r="R998" s="35"/>
      <c r="S998" s="35"/>
    </row>
    <row r="999" spans="1:19" ht="29.25" customHeight="1" x14ac:dyDescent="0.2">
      <c r="A999" s="187">
        <v>0</v>
      </c>
      <c r="B999" s="35">
        <v>0</v>
      </c>
      <c r="C999" s="35">
        <v>0</v>
      </c>
      <c r="D999" s="35">
        <v>0</v>
      </c>
      <c r="E999" s="28">
        <v>0</v>
      </c>
      <c r="F999" s="35">
        <v>0</v>
      </c>
      <c r="G999" s="35"/>
      <c r="H999" s="35"/>
      <c r="I999" s="35"/>
      <c r="J999" s="35"/>
      <c r="K999" s="35"/>
      <c r="L999" s="35"/>
      <c r="M999" s="35"/>
      <c r="N999" s="188"/>
      <c r="O999" s="188"/>
      <c r="P999" s="23"/>
      <c r="Q999" s="35"/>
      <c r="R999" s="35"/>
      <c r="S999" s="35"/>
    </row>
    <row r="1000" spans="1:19" ht="29.25" customHeight="1" x14ac:dyDescent="0.2">
      <c r="A1000" s="187">
        <v>0</v>
      </c>
      <c r="B1000" s="35">
        <v>0</v>
      </c>
      <c r="C1000" s="35">
        <v>0</v>
      </c>
      <c r="D1000" s="35">
        <v>0</v>
      </c>
      <c r="E1000" s="28">
        <v>0</v>
      </c>
      <c r="F1000" s="35">
        <v>0</v>
      </c>
      <c r="G1000" s="35"/>
      <c r="H1000" s="35"/>
      <c r="I1000" s="35"/>
      <c r="J1000" s="35"/>
      <c r="K1000" s="35"/>
      <c r="L1000" s="35"/>
      <c r="M1000" s="35"/>
      <c r="N1000" s="188"/>
      <c r="O1000" s="188"/>
      <c r="P1000" s="23"/>
      <c r="Q1000" s="35"/>
      <c r="R1000" s="35"/>
      <c r="S1000" s="3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1" t="s">
        <v>417</v>
      </c>
      <c r="B1" s="31" t="s">
        <v>17</v>
      </c>
      <c r="C1" s="31" t="s">
        <v>418</v>
      </c>
      <c r="D1" s="31" t="s">
        <v>419</v>
      </c>
      <c r="E1" s="31" t="s">
        <v>420</v>
      </c>
      <c r="F1" s="31" t="s">
        <v>421</v>
      </c>
      <c r="G1" s="31" t="s">
        <v>11</v>
      </c>
      <c r="H1" s="31" t="s">
        <v>422</v>
      </c>
      <c r="I1" s="31" t="s">
        <v>4</v>
      </c>
      <c r="J1" s="31" t="s">
        <v>7</v>
      </c>
      <c r="K1" s="31" t="s">
        <v>5</v>
      </c>
      <c r="L1" s="31" t="s">
        <v>423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">
      <c r="A2" s="31">
        <v>1</v>
      </c>
      <c r="B2" s="31" t="s">
        <v>64</v>
      </c>
      <c r="C2" s="31" t="s">
        <v>64</v>
      </c>
      <c r="D2" s="31" t="s">
        <v>253</v>
      </c>
      <c r="E2" s="31" t="s">
        <v>268</v>
      </c>
      <c r="F2" s="31" t="s">
        <v>424</v>
      </c>
      <c r="G2" s="31" t="s">
        <v>64</v>
      </c>
      <c r="H2" s="31">
        <v>18018.167199999902</v>
      </c>
      <c r="I2" s="31">
        <v>897966</v>
      </c>
      <c r="J2" s="31">
        <v>855061</v>
      </c>
      <c r="K2" s="31">
        <v>42905</v>
      </c>
      <c r="L2" s="31">
        <v>4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">
      <c r="A3" s="31">
        <v>2</v>
      </c>
      <c r="B3" s="31" t="s">
        <v>425</v>
      </c>
      <c r="C3" s="31" t="s">
        <v>425</v>
      </c>
      <c r="D3" s="31" t="s">
        <v>253</v>
      </c>
      <c r="E3" s="31" t="s">
        <v>268</v>
      </c>
      <c r="F3" s="31" t="s">
        <v>426</v>
      </c>
      <c r="G3" s="31" t="s">
        <v>425</v>
      </c>
      <c r="H3" s="31">
        <v>61352.9160999999</v>
      </c>
      <c r="I3" s="31">
        <v>298067</v>
      </c>
      <c r="J3" s="31">
        <v>276591</v>
      </c>
      <c r="K3" s="31">
        <v>21476</v>
      </c>
      <c r="L3" s="31">
        <v>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">
      <c r="A4" s="31">
        <v>4</v>
      </c>
      <c r="B4" s="31" t="s">
        <v>50</v>
      </c>
      <c r="C4" s="31" t="s">
        <v>50</v>
      </c>
      <c r="D4" s="31" t="s">
        <v>253</v>
      </c>
      <c r="E4" s="31" t="s">
        <v>268</v>
      </c>
      <c r="F4" s="31" t="s">
        <v>428</v>
      </c>
      <c r="G4" s="31" t="s">
        <v>50</v>
      </c>
      <c r="H4" s="31">
        <v>37529.041799999897</v>
      </c>
      <c r="I4" s="31">
        <v>1551671</v>
      </c>
      <c r="J4" s="31">
        <v>1451005</v>
      </c>
      <c r="K4" s="31">
        <v>100666</v>
      </c>
      <c r="L4" s="31">
        <v>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">
      <c r="A5" s="31">
        <v>6</v>
      </c>
      <c r="B5" s="31" t="s">
        <v>61</v>
      </c>
      <c r="C5" s="31" t="s">
        <v>61</v>
      </c>
      <c r="D5" s="31" t="s">
        <v>253</v>
      </c>
      <c r="E5" s="31" t="s">
        <v>268</v>
      </c>
      <c r="F5" s="31" t="s">
        <v>429</v>
      </c>
      <c r="G5" s="31" t="s">
        <v>61</v>
      </c>
      <c r="H5" s="31">
        <v>47568.489799999901</v>
      </c>
      <c r="I5" s="31">
        <v>2262077</v>
      </c>
      <c r="J5" s="31">
        <v>2202818</v>
      </c>
      <c r="K5" s="31">
        <v>59259</v>
      </c>
      <c r="L5" s="31">
        <v>3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">
      <c r="A6" s="31">
        <v>11</v>
      </c>
      <c r="B6" s="31" t="s">
        <v>365</v>
      </c>
      <c r="C6" s="31" t="s">
        <v>365</v>
      </c>
      <c r="D6" s="31" t="s">
        <v>253</v>
      </c>
      <c r="E6" s="31" t="s">
        <v>268</v>
      </c>
      <c r="F6" s="31" t="s">
        <v>430</v>
      </c>
      <c r="G6" s="31" t="s">
        <v>365</v>
      </c>
      <c r="H6" s="31">
        <v>22575.548199999899</v>
      </c>
      <c r="I6" s="31">
        <v>1305527</v>
      </c>
      <c r="J6" s="31">
        <v>1224485</v>
      </c>
      <c r="K6" s="31">
        <v>81041</v>
      </c>
      <c r="L6" s="31">
        <v>3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">
      <c r="A7" s="31">
        <v>29</v>
      </c>
      <c r="B7" s="31" t="s">
        <v>431</v>
      </c>
      <c r="C7" s="31" t="s">
        <v>432</v>
      </c>
      <c r="D7" s="31" t="s">
        <v>253</v>
      </c>
      <c r="E7" s="31" t="s">
        <v>268</v>
      </c>
      <c r="F7" s="31" t="s">
        <v>433</v>
      </c>
      <c r="G7" s="31" t="s">
        <v>432</v>
      </c>
      <c r="H7" s="31">
        <v>124826.00509999901</v>
      </c>
      <c r="I7" s="31">
        <v>5490909</v>
      </c>
      <c r="J7" s="31">
        <v>5423937</v>
      </c>
      <c r="K7" s="31">
        <v>66971</v>
      </c>
      <c r="L7" s="31">
        <v>7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">
      <c r="A8" s="31">
        <v>30</v>
      </c>
      <c r="B8" s="31" t="s">
        <v>435</v>
      </c>
      <c r="C8" s="31" t="s">
        <v>436</v>
      </c>
      <c r="D8" s="31" t="s">
        <v>253</v>
      </c>
      <c r="E8" s="31" t="s">
        <v>268</v>
      </c>
      <c r="F8" s="31" t="s">
        <v>437</v>
      </c>
      <c r="G8" s="31" t="s">
        <v>436</v>
      </c>
      <c r="H8" s="31">
        <v>26584.722499999902</v>
      </c>
      <c r="I8" s="31">
        <v>1224167</v>
      </c>
      <c r="J8" s="31">
        <v>1191988</v>
      </c>
      <c r="K8" s="31">
        <v>32179</v>
      </c>
      <c r="L8" s="31">
        <v>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">
      <c r="A9" s="31">
        <v>32</v>
      </c>
      <c r="B9" s="31" t="s">
        <v>438</v>
      </c>
      <c r="C9" s="31" t="s">
        <v>434</v>
      </c>
      <c r="D9" s="31" t="s">
        <v>253</v>
      </c>
      <c r="E9" s="31" t="s">
        <v>268</v>
      </c>
      <c r="F9" s="31" t="s">
        <v>439</v>
      </c>
      <c r="G9" s="31" t="s">
        <v>434</v>
      </c>
      <c r="H9" s="31">
        <v>41868.461099999899</v>
      </c>
      <c r="I9" s="31">
        <v>2172056</v>
      </c>
      <c r="J9" s="31">
        <v>2106191</v>
      </c>
      <c r="K9" s="31">
        <v>65864</v>
      </c>
      <c r="L9" s="31">
        <v>6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">
      <c r="A10" s="31">
        <v>34</v>
      </c>
      <c r="B10" s="31" t="s">
        <v>440</v>
      </c>
      <c r="C10" s="31" t="s">
        <v>441</v>
      </c>
      <c r="D10" s="31" t="s">
        <v>253</v>
      </c>
      <c r="E10" s="31" t="s">
        <v>268</v>
      </c>
      <c r="F10" s="31" t="s">
        <v>442</v>
      </c>
      <c r="G10" s="31" t="s">
        <v>441</v>
      </c>
      <c r="H10" s="31">
        <v>18064.401499999902</v>
      </c>
      <c r="I10" s="31">
        <v>897100</v>
      </c>
      <c r="J10" s="31">
        <v>887166</v>
      </c>
      <c r="K10" s="31">
        <v>9934</v>
      </c>
      <c r="L10" s="31">
        <v>4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">
      <c r="A11" s="31">
        <v>35</v>
      </c>
      <c r="B11" s="31" t="s">
        <v>443</v>
      </c>
      <c r="C11" s="31" t="s">
        <v>444</v>
      </c>
      <c r="D11" s="31" t="s">
        <v>253</v>
      </c>
      <c r="E11" s="31" t="s">
        <v>268</v>
      </c>
      <c r="F11" s="31" t="s">
        <v>445</v>
      </c>
      <c r="G11" s="31" t="s">
        <v>444</v>
      </c>
      <c r="H11" s="31">
        <v>49906.624399999899</v>
      </c>
      <c r="I11" s="31">
        <v>2251148</v>
      </c>
      <c r="J11" s="31">
        <v>2134063</v>
      </c>
      <c r="K11" s="31">
        <v>117085</v>
      </c>
      <c r="L11" s="31">
        <v>11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">
      <c r="A12" s="31">
        <v>37</v>
      </c>
      <c r="B12" s="31" t="s">
        <v>446</v>
      </c>
      <c r="C12" s="31" t="s">
        <v>296</v>
      </c>
      <c r="D12" s="31" t="s">
        <v>253</v>
      </c>
      <c r="E12" s="31" t="s">
        <v>268</v>
      </c>
      <c r="F12" s="31" t="s">
        <v>447</v>
      </c>
      <c r="G12" s="31" t="s">
        <v>296</v>
      </c>
      <c r="H12" s="31">
        <v>35098.438599999899</v>
      </c>
      <c r="I12" s="31">
        <v>1678124</v>
      </c>
      <c r="J12" s="31">
        <v>1648379</v>
      </c>
      <c r="K12" s="31">
        <v>29745</v>
      </c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">
      <c r="A13" s="31">
        <v>38</v>
      </c>
      <c r="B13" s="31" t="s">
        <v>448</v>
      </c>
      <c r="C13" s="31" t="s">
        <v>352</v>
      </c>
      <c r="D13" s="31" t="s">
        <v>253</v>
      </c>
      <c r="E13" s="31" t="s">
        <v>268</v>
      </c>
      <c r="F13" s="31" t="s">
        <v>449</v>
      </c>
      <c r="G13" s="31" t="s">
        <v>352</v>
      </c>
      <c r="H13" s="31">
        <v>45851.215799999904</v>
      </c>
      <c r="I13" s="31">
        <v>2040053</v>
      </c>
      <c r="J13" s="31">
        <v>2037894</v>
      </c>
      <c r="K13" s="31">
        <v>2159</v>
      </c>
      <c r="L13" s="31">
        <v>1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">
      <c r="A14" s="31">
        <v>39</v>
      </c>
      <c r="B14" s="31" t="s">
        <v>450</v>
      </c>
      <c r="C14" s="31" t="s">
        <v>451</v>
      </c>
      <c r="D14" s="31" t="s">
        <v>253</v>
      </c>
      <c r="E14" s="31" t="s">
        <v>268</v>
      </c>
      <c r="F14" s="31" t="s">
        <v>452</v>
      </c>
      <c r="G14" s="31" t="s">
        <v>451</v>
      </c>
      <c r="H14" s="31">
        <v>45118.071899999901</v>
      </c>
      <c r="I14" s="31">
        <v>2103843</v>
      </c>
      <c r="J14" s="31">
        <v>2065880</v>
      </c>
      <c r="K14" s="31">
        <v>37963</v>
      </c>
      <c r="L14" s="31">
        <v>3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">
      <c r="A15" s="31">
        <v>40</v>
      </c>
      <c r="B15" s="31" t="s">
        <v>453</v>
      </c>
      <c r="C15" s="31" t="s">
        <v>351</v>
      </c>
      <c r="D15" s="31" t="s">
        <v>253</v>
      </c>
      <c r="E15" s="31" t="s">
        <v>268</v>
      </c>
      <c r="F15" s="31" t="s">
        <v>454</v>
      </c>
      <c r="G15" s="31" t="s">
        <v>455</v>
      </c>
      <c r="H15" s="31">
        <v>40468.222299999899</v>
      </c>
      <c r="I15" s="31">
        <v>2163584</v>
      </c>
      <c r="J15" s="31">
        <v>2141795</v>
      </c>
      <c r="K15" s="31">
        <v>21790</v>
      </c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">
      <c r="A16" s="31">
        <v>41</v>
      </c>
      <c r="B16" s="31" t="s">
        <v>456</v>
      </c>
      <c r="C16" s="31" t="s">
        <v>456</v>
      </c>
      <c r="D16" s="31" t="s">
        <v>253</v>
      </c>
      <c r="E16" s="31" t="s">
        <v>268</v>
      </c>
      <c r="F16" s="31" t="s">
        <v>457</v>
      </c>
      <c r="G16" s="31" t="s">
        <v>456</v>
      </c>
      <c r="H16" s="31">
        <v>20812.039899999902</v>
      </c>
      <c r="I16" s="31">
        <v>1199062</v>
      </c>
      <c r="J16" s="31">
        <v>1174823</v>
      </c>
      <c r="K16" s="31">
        <v>24238</v>
      </c>
      <c r="L16" s="31">
        <v>2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">
      <c r="A17" s="31">
        <v>42</v>
      </c>
      <c r="B17" s="31" t="s">
        <v>278</v>
      </c>
      <c r="C17" s="31" t="s">
        <v>278</v>
      </c>
      <c r="D17" s="31" t="s">
        <v>253</v>
      </c>
      <c r="E17" s="31" t="s">
        <v>268</v>
      </c>
      <c r="F17" s="31" t="s">
        <v>458</v>
      </c>
      <c r="G17" s="31" t="s">
        <v>278</v>
      </c>
      <c r="H17" s="31">
        <v>21063.026099999901</v>
      </c>
      <c r="I17" s="31">
        <v>1077956</v>
      </c>
      <c r="J17" s="31">
        <v>1043737</v>
      </c>
      <c r="K17" s="31">
        <v>34218</v>
      </c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">
      <c r="A18" s="31">
        <v>43</v>
      </c>
      <c r="B18" s="31" t="s">
        <v>459</v>
      </c>
      <c r="C18" s="31" t="s">
        <v>275</v>
      </c>
      <c r="D18" s="31" t="s">
        <v>253</v>
      </c>
      <c r="E18" s="31" t="s">
        <v>268</v>
      </c>
      <c r="F18" s="31" t="s">
        <v>460</v>
      </c>
      <c r="G18" s="31" t="s">
        <v>275</v>
      </c>
      <c r="H18" s="31">
        <v>22892.583399999901</v>
      </c>
      <c r="I18" s="31">
        <v>1212133</v>
      </c>
      <c r="J18" s="31">
        <v>1187018</v>
      </c>
      <c r="K18" s="31">
        <v>25115</v>
      </c>
      <c r="L18" s="31">
        <v>3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">
      <c r="A19" s="31">
        <v>44</v>
      </c>
      <c r="B19" s="31" t="s">
        <v>399</v>
      </c>
      <c r="C19" s="31" t="s">
        <v>399</v>
      </c>
      <c r="D19" s="31" t="s">
        <v>253</v>
      </c>
      <c r="E19" s="31" t="s">
        <v>268</v>
      </c>
      <c r="F19" s="31" t="s">
        <v>462</v>
      </c>
      <c r="G19" s="31" t="s">
        <v>399</v>
      </c>
      <c r="H19" s="31">
        <v>50613.3486999999</v>
      </c>
      <c r="I19" s="31">
        <v>2490796</v>
      </c>
      <c r="J19" s="31">
        <v>2453728</v>
      </c>
      <c r="K19" s="31">
        <v>37068</v>
      </c>
      <c r="L19" s="31">
        <v>3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">
      <c r="A20" s="31">
        <v>45</v>
      </c>
      <c r="B20" s="31" t="s">
        <v>269</v>
      </c>
      <c r="C20" s="31" t="s">
        <v>269</v>
      </c>
      <c r="D20" s="31" t="s">
        <v>253</v>
      </c>
      <c r="E20" s="31" t="s">
        <v>268</v>
      </c>
      <c r="F20" s="31" t="s">
        <v>463</v>
      </c>
      <c r="G20" s="31" t="s">
        <v>269</v>
      </c>
      <c r="H20" s="31">
        <v>5944.4099999999899</v>
      </c>
      <c r="I20" s="31">
        <v>363736</v>
      </c>
      <c r="J20" s="31">
        <v>263627</v>
      </c>
      <c r="K20" s="31">
        <v>100109</v>
      </c>
      <c r="L20" s="31">
        <v>1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">
      <c r="A21" s="31">
        <v>46</v>
      </c>
      <c r="B21" s="31" t="s">
        <v>162</v>
      </c>
      <c r="C21" s="31" t="s">
        <v>162</v>
      </c>
      <c r="D21" s="31" t="s">
        <v>253</v>
      </c>
      <c r="E21" s="31" t="s">
        <v>268</v>
      </c>
      <c r="F21" s="31" t="s">
        <v>464</v>
      </c>
      <c r="G21" s="31" t="s">
        <v>162</v>
      </c>
      <c r="H21" s="31">
        <v>181641.35489999899</v>
      </c>
      <c r="I21" s="31">
        <v>3199574</v>
      </c>
      <c r="J21" s="31">
        <v>3175869</v>
      </c>
      <c r="K21" s="31">
        <v>23705</v>
      </c>
      <c r="L21" s="31">
        <v>1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">
      <c r="A22" s="31">
        <v>48</v>
      </c>
      <c r="B22" s="31" t="s">
        <v>465</v>
      </c>
      <c r="C22" s="31" t="s">
        <v>285</v>
      </c>
      <c r="D22" s="31" t="s">
        <v>253</v>
      </c>
      <c r="E22" s="31" t="s">
        <v>268</v>
      </c>
      <c r="F22" s="31" t="s">
        <v>466</v>
      </c>
      <c r="G22" s="31" t="s">
        <v>285</v>
      </c>
      <c r="H22" s="31">
        <v>55230.173799999902</v>
      </c>
      <c r="I22" s="31">
        <v>1507269</v>
      </c>
      <c r="J22" s="31">
        <v>1504002</v>
      </c>
      <c r="K22" s="31">
        <v>3268</v>
      </c>
      <c r="L22" s="31">
        <v>1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x14ac:dyDescent="0.2">
      <c r="A23" s="31">
        <v>49</v>
      </c>
      <c r="B23" s="31" t="s">
        <v>467</v>
      </c>
      <c r="C23" s="31" t="s">
        <v>353</v>
      </c>
      <c r="D23" s="31" t="s">
        <v>253</v>
      </c>
      <c r="E23" s="31" t="s">
        <v>268</v>
      </c>
      <c r="F23" s="31" t="s">
        <v>468</v>
      </c>
      <c r="G23" s="31" t="s">
        <v>353</v>
      </c>
      <c r="H23" s="31">
        <v>120915.90429999901</v>
      </c>
      <c r="I23" s="31">
        <v>2826059</v>
      </c>
      <c r="J23" s="31">
        <v>2797863</v>
      </c>
      <c r="K23" s="31">
        <v>28196</v>
      </c>
      <c r="L23" s="31">
        <v>2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x14ac:dyDescent="0.2">
      <c r="A24" s="31">
        <v>50</v>
      </c>
      <c r="B24" s="31" t="s">
        <v>469</v>
      </c>
      <c r="C24" s="31" t="s">
        <v>469</v>
      </c>
      <c r="D24" s="31" t="s">
        <v>253</v>
      </c>
      <c r="E24" s="31" t="s">
        <v>268</v>
      </c>
      <c r="F24" s="31" t="s">
        <v>470</v>
      </c>
      <c r="G24" s="31" t="s">
        <v>469</v>
      </c>
      <c r="H24" s="31">
        <v>45395.477699999901</v>
      </c>
      <c r="I24" s="31">
        <v>1394890</v>
      </c>
      <c r="J24" s="31">
        <v>1304715</v>
      </c>
      <c r="K24" s="31">
        <v>90175</v>
      </c>
      <c r="L24" s="31">
        <v>9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x14ac:dyDescent="0.2">
      <c r="A25" s="31">
        <v>51</v>
      </c>
      <c r="B25" s="31" t="s">
        <v>284</v>
      </c>
      <c r="C25" s="31" t="s">
        <v>284</v>
      </c>
      <c r="D25" s="31" t="s">
        <v>253</v>
      </c>
      <c r="E25" s="31" t="s">
        <v>268</v>
      </c>
      <c r="F25" s="31" t="s">
        <v>471</v>
      </c>
      <c r="G25" s="31" t="s">
        <v>472</v>
      </c>
      <c r="H25" s="31">
        <v>27905.702499999901</v>
      </c>
      <c r="I25" s="31">
        <v>1323278</v>
      </c>
      <c r="J25" s="31">
        <v>1303098</v>
      </c>
      <c r="K25" s="31">
        <v>20180</v>
      </c>
      <c r="L25" s="31">
        <v>4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x14ac:dyDescent="0.2">
      <c r="A26" s="31">
        <v>52</v>
      </c>
      <c r="B26" s="31" t="s">
        <v>473</v>
      </c>
      <c r="C26" s="31" t="s">
        <v>473</v>
      </c>
      <c r="D26" s="31" t="s">
        <v>253</v>
      </c>
      <c r="E26" s="31" t="s">
        <v>268</v>
      </c>
      <c r="F26" s="31" t="s">
        <v>474</v>
      </c>
      <c r="G26" s="31" t="s">
        <v>473</v>
      </c>
      <c r="H26" s="31">
        <v>73671.054599999901</v>
      </c>
      <c r="I26" s="31">
        <v>1198337</v>
      </c>
      <c r="J26" s="31">
        <v>1153424</v>
      </c>
      <c r="K26" s="31">
        <v>44913</v>
      </c>
      <c r="L26" s="31">
        <v>3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x14ac:dyDescent="0.2">
      <c r="A27" s="31">
        <v>53</v>
      </c>
      <c r="B27" s="31" t="s">
        <v>476</v>
      </c>
      <c r="C27" s="31" t="s">
        <v>298</v>
      </c>
      <c r="D27" s="31" t="s">
        <v>253</v>
      </c>
      <c r="E27" s="31" t="s">
        <v>268</v>
      </c>
      <c r="F27" s="31" t="s">
        <v>477</v>
      </c>
      <c r="G27" s="31" t="s">
        <v>298</v>
      </c>
      <c r="H27" s="31">
        <v>65005.425799999903</v>
      </c>
      <c r="I27" s="31">
        <v>1888284</v>
      </c>
      <c r="J27" s="31">
        <v>1846536</v>
      </c>
      <c r="K27" s="31">
        <v>41748</v>
      </c>
      <c r="L27" s="31">
        <v>5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x14ac:dyDescent="0.2">
      <c r="A28" s="31">
        <v>54</v>
      </c>
      <c r="B28" s="31" t="s">
        <v>478</v>
      </c>
      <c r="C28" s="31" t="s">
        <v>479</v>
      </c>
      <c r="D28" s="31" t="s">
        <v>253</v>
      </c>
      <c r="E28" s="31" t="s">
        <v>268</v>
      </c>
      <c r="F28" s="31" t="s">
        <v>480</v>
      </c>
      <c r="G28" s="31" t="s">
        <v>479</v>
      </c>
      <c r="H28" s="31">
        <v>40071.928299999898</v>
      </c>
      <c r="I28" s="31">
        <v>448368</v>
      </c>
      <c r="J28" s="31">
        <v>424939</v>
      </c>
      <c r="K28" s="31">
        <v>23430</v>
      </c>
      <c r="L28" s="31">
        <v>1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x14ac:dyDescent="0.2">
      <c r="A29" s="31">
        <v>55</v>
      </c>
      <c r="B29" s="31" t="s">
        <v>333</v>
      </c>
      <c r="C29" s="31" t="s">
        <v>402</v>
      </c>
      <c r="D29" s="31" t="s">
        <v>253</v>
      </c>
      <c r="E29" s="31" t="s">
        <v>268</v>
      </c>
      <c r="F29" s="31" t="s">
        <v>481</v>
      </c>
      <c r="G29" s="31" t="s">
        <v>402</v>
      </c>
      <c r="H29" s="31">
        <v>131503.55899999899</v>
      </c>
      <c r="I29" s="31">
        <v>2107318</v>
      </c>
      <c r="J29" s="31">
        <v>2050839</v>
      </c>
      <c r="K29" s="31">
        <v>56478</v>
      </c>
      <c r="L29" s="31">
        <v>3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x14ac:dyDescent="0.2">
      <c r="A30" s="31">
        <v>56</v>
      </c>
      <c r="B30" s="31" t="s">
        <v>482</v>
      </c>
      <c r="C30" s="31" t="s">
        <v>483</v>
      </c>
      <c r="D30" s="31" t="s">
        <v>253</v>
      </c>
      <c r="E30" s="31" t="s">
        <v>268</v>
      </c>
      <c r="F30" s="31" t="s">
        <v>484</v>
      </c>
      <c r="G30" s="31" t="s">
        <v>483</v>
      </c>
      <c r="H30" s="31">
        <v>33678.385099999898</v>
      </c>
      <c r="I30" s="31">
        <v>814486</v>
      </c>
      <c r="J30" s="31">
        <v>789509</v>
      </c>
      <c r="K30" s="31">
        <v>24977</v>
      </c>
      <c r="L30" s="31">
        <v>5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x14ac:dyDescent="0.2">
      <c r="A31" s="31">
        <v>57</v>
      </c>
      <c r="B31" s="31" t="s">
        <v>485</v>
      </c>
      <c r="C31" s="31" t="s">
        <v>309</v>
      </c>
      <c r="D31" s="31" t="s">
        <v>253</v>
      </c>
      <c r="E31" s="31" t="s">
        <v>268</v>
      </c>
      <c r="F31" s="31" t="s">
        <v>486</v>
      </c>
      <c r="G31" s="31" t="s">
        <v>309</v>
      </c>
      <c r="H31" s="31">
        <v>24827.819099999899</v>
      </c>
      <c r="I31" s="31">
        <v>1126591</v>
      </c>
      <c r="J31" s="31">
        <v>1111495</v>
      </c>
      <c r="K31" s="31">
        <v>15096</v>
      </c>
      <c r="L31" s="31">
        <v>4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x14ac:dyDescent="0.2">
      <c r="A32" s="31">
        <v>58</v>
      </c>
      <c r="B32" s="31" t="s">
        <v>283</v>
      </c>
      <c r="C32" s="31" t="s">
        <v>283</v>
      </c>
      <c r="D32" s="31" t="s">
        <v>253</v>
      </c>
      <c r="E32" s="31" t="s">
        <v>268</v>
      </c>
      <c r="F32" s="31" t="s">
        <v>488</v>
      </c>
      <c r="G32" s="31" t="s">
        <v>283</v>
      </c>
      <c r="H32" s="31">
        <v>63413.644899999897</v>
      </c>
      <c r="I32" s="31">
        <v>2116578</v>
      </c>
      <c r="J32" s="31">
        <v>2070146</v>
      </c>
      <c r="K32" s="31">
        <v>46432</v>
      </c>
      <c r="L32" s="31">
        <v>6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x14ac:dyDescent="0.2">
      <c r="A33" s="31">
        <v>59</v>
      </c>
      <c r="B33" s="31" t="s">
        <v>489</v>
      </c>
      <c r="C33" s="31" t="s">
        <v>343</v>
      </c>
      <c r="D33" s="31" t="s">
        <v>253</v>
      </c>
      <c r="E33" s="31" t="s">
        <v>268</v>
      </c>
      <c r="F33" s="31" t="s">
        <v>490</v>
      </c>
      <c r="G33" s="31" t="s">
        <v>343</v>
      </c>
      <c r="H33" s="31">
        <v>20996.977099999898</v>
      </c>
      <c r="I33" s="31">
        <v>858428</v>
      </c>
      <c r="J33" s="31">
        <v>822138</v>
      </c>
      <c r="K33" s="31">
        <v>36290</v>
      </c>
      <c r="L33" s="31">
        <v>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x14ac:dyDescent="0.2">
      <c r="A34" s="31">
        <v>60</v>
      </c>
      <c r="B34" s="31" t="s">
        <v>491</v>
      </c>
      <c r="C34" s="31" t="s">
        <v>491</v>
      </c>
      <c r="D34" s="31" t="s">
        <v>253</v>
      </c>
      <c r="E34" s="31" t="s">
        <v>268</v>
      </c>
      <c r="F34" s="31" t="s">
        <v>492</v>
      </c>
      <c r="G34" s="31" t="s">
        <v>380</v>
      </c>
      <c r="H34" s="31">
        <v>33638.7556999999</v>
      </c>
      <c r="I34" s="31">
        <v>1017045</v>
      </c>
      <c r="J34" s="31">
        <v>945541</v>
      </c>
      <c r="K34" s="31">
        <v>71504</v>
      </c>
      <c r="L34" s="31">
        <v>6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x14ac:dyDescent="0.2">
      <c r="A35" s="31">
        <v>61</v>
      </c>
      <c r="B35" s="31" t="s">
        <v>493</v>
      </c>
      <c r="C35" s="31" t="s">
        <v>493</v>
      </c>
      <c r="D35" s="31" t="s">
        <v>253</v>
      </c>
      <c r="E35" s="31" t="s">
        <v>268</v>
      </c>
      <c r="F35" s="31" t="s">
        <v>494</v>
      </c>
      <c r="G35" s="31" t="s">
        <v>493</v>
      </c>
      <c r="H35" s="31">
        <v>87481.900499999902</v>
      </c>
      <c r="I35" s="31">
        <v>1288001</v>
      </c>
      <c r="J35" s="31">
        <v>1253566</v>
      </c>
      <c r="K35" s="31">
        <v>34435</v>
      </c>
      <c r="L35" s="31">
        <v>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x14ac:dyDescent="0.2">
      <c r="A36" s="31">
        <v>62</v>
      </c>
      <c r="B36" s="31" t="s">
        <v>397</v>
      </c>
      <c r="C36" s="31" t="s">
        <v>397</v>
      </c>
      <c r="D36" s="31" t="s">
        <v>253</v>
      </c>
      <c r="E36" s="31" t="s">
        <v>268</v>
      </c>
      <c r="F36" s="31" t="s">
        <v>429</v>
      </c>
      <c r="G36" s="31" t="s">
        <v>397</v>
      </c>
      <c r="H36" s="31">
        <v>88340.537499999904</v>
      </c>
      <c r="I36" s="31">
        <v>1509590</v>
      </c>
      <c r="J36" s="31">
        <v>1466992</v>
      </c>
      <c r="K36" s="31">
        <v>42598</v>
      </c>
      <c r="L36" s="31">
        <v>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x14ac:dyDescent="0.2">
      <c r="A37" s="31">
        <v>63</v>
      </c>
      <c r="B37" s="31" t="s">
        <v>331</v>
      </c>
      <c r="C37" s="31" t="s">
        <v>331</v>
      </c>
      <c r="D37" s="31" t="s">
        <v>253</v>
      </c>
      <c r="E37" s="31" t="s">
        <v>268</v>
      </c>
      <c r="F37" s="31" t="s">
        <v>495</v>
      </c>
      <c r="G37" s="31" t="s">
        <v>331</v>
      </c>
      <c r="H37" s="31">
        <v>47330.713399999899</v>
      </c>
      <c r="I37" s="31">
        <v>1118082</v>
      </c>
      <c r="J37" s="31">
        <v>1027602</v>
      </c>
      <c r="K37" s="31">
        <v>90481</v>
      </c>
      <c r="L37" s="31">
        <v>10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x14ac:dyDescent="0.2">
      <c r="A38" s="31">
        <v>64</v>
      </c>
      <c r="B38" s="31" t="s">
        <v>411</v>
      </c>
      <c r="C38" s="31" t="s">
        <v>411</v>
      </c>
      <c r="D38" s="31" t="s">
        <v>253</v>
      </c>
      <c r="E38" s="31" t="s">
        <v>268</v>
      </c>
      <c r="F38" s="31" t="s">
        <v>497</v>
      </c>
      <c r="G38" s="31" t="s">
        <v>411</v>
      </c>
      <c r="H38" s="31">
        <v>32978.265699999902</v>
      </c>
      <c r="I38" s="31">
        <v>1070885</v>
      </c>
      <c r="J38" s="31">
        <v>1031493</v>
      </c>
      <c r="K38" s="31">
        <v>39392</v>
      </c>
      <c r="L38" s="31">
        <v>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x14ac:dyDescent="0.2">
      <c r="A39" s="31">
        <v>65</v>
      </c>
      <c r="B39" s="31" t="s">
        <v>321</v>
      </c>
      <c r="C39" s="31" t="s">
        <v>321</v>
      </c>
      <c r="D39" s="31" t="s">
        <v>253</v>
      </c>
      <c r="E39" s="31" t="s">
        <v>268</v>
      </c>
      <c r="F39" s="31" t="s">
        <v>498</v>
      </c>
      <c r="G39" s="31" t="s">
        <v>321</v>
      </c>
      <c r="H39" s="31">
        <v>12866.3451999999</v>
      </c>
      <c r="I39" s="31">
        <v>699077</v>
      </c>
      <c r="J39" s="31">
        <v>663539</v>
      </c>
      <c r="K39" s="31">
        <v>35538</v>
      </c>
      <c r="L39" s="31">
        <v>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x14ac:dyDescent="0.2">
      <c r="A40" s="31">
        <v>66</v>
      </c>
      <c r="B40" s="31" t="s">
        <v>499</v>
      </c>
      <c r="C40" s="31" t="s">
        <v>499</v>
      </c>
      <c r="D40" s="31" t="s">
        <v>253</v>
      </c>
      <c r="E40" s="31" t="s">
        <v>268</v>
      </c>
      <c r="F40" s="31" t="s">
        <v>500</v>
      </c>
      <c r="G40" s="31" t="s">
        <v>499</v>
      </c>
      <c r="H40" s="31">
        <v>1664.43479999999</v>
      </c>
      <c r="I40" s="31">
        <v>59904</v>
      </c>
      <c r="J40" s="31">
        <v>51248</v>
      </c>
      <c r="K40" s="31">
        <v>8656</v>
      </c>
      <c r="L40" s="31">
        <v>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x14ac:dyDescent="0.2">
      <c r="A41" s="31">
        <v>67</v>
      </c>
      <c r="B41" s="31" t="s">
        <v>501</v>
      </c>
      <c r="C41" s="31" t="s">
        <v>502</v>
      </c>
      <c r="D41" s="31" t="s">
        <v>253</v>
      </c>
      <c r="E41" s="31" t="s">
        <v>268</v>
      </c>
      <c r="F41" s="31" t="s">
        <v>503</v>
      </c>
      <c r="G41" s="31" t="s">
        <v>502</v>
      </c>
      <c r="H41" s="31">
        <v>117269.999499999</v>
      </c>
      <c r="I41" s="31">
        <v>1034552</v>
      </c>
      <c r="J41" s="31">
        <v>1033437</v>
      </c>
      <c r="K41" s="31">
        <v>1115</v>
      </c>
      <c r="L41" s="31">
        <v>1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x14ac:dyDescent="0.2">
      <c r="A42" s="31">
        <v>68</v>
      </c>
      <c r="B42" s="31" t="s">
        <v>504</v>
      </c>
      <c r="C42" s="31" t="s">
        <v>505</v>
      </c>
      <c r="D42" s="31" t="s">
        <v>253</v>
      </c>
      <c r="E42" s="31" t="s">
        <v>268</v>
      </c>
      <c r="F42" s="31" t="s">
        <v>506</v>
      </c>
      <c r="G42" s="31" t="s">
        <v>505</v>
      </c>
      <c r="H42" s="31">
        <v>100229.35749999899</v>
      </c>
      <c r="I42" s="31">
        <v>1162323</v>
      </c>
      <c r="J42" s="31">
        <v>1152492</v>
      </c>
      <c r="K42" s="31">
        <v>9831</v>
      </c>
      <c r="L42" s="31">
        <v>3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x14ac:dyDescent="0.2">
      <c r="A43" s="31">
        <v>69</v>
      </c>
      <c r="B43" s="31" t="s">
        <v>507</v>
      </c>
      <c r="C43" s="31" t="s">
        <v>508</v>
      </c>
      <c r="D43" s="31" t="s">
        <v>253</v>
      </c>
      <c r="E43" s="31" t="s">
        <v>268</v>
      </c>
      <c r="F43" s="31" t="s">
        <v>510</v>
      </c>
      <c r="G43" s="31" t="s">
        <v>508</v>
      </c>
      <c r="H43" s="31">
        <v>54285.673099999898</v>
      </c>
      <c r="I43" s="31">
        <v>310180</v>
      </c>
      <c r="J43" s="31">
        <v>302696</v>
      </c>
      <c r="K43" s="31">
        <v>7484</v>
      </c>
      <c r="L43" s="31">
        <v>4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x14ac:dyDescent="0.2">
      <c r="A44" s="31">
        <v>70</v>
      </c>
      <c r="B44" s="31" t="s">
        <v>511</v>
      </c>
      <c r="C44" s="31" t="s">
        <v>511</v>
      </c>
      <c r="D44" s="31" t="s">
        <v>253</v>
      </c>
      <c r="E44" s="31" t="s">
        <v>268</v>
      </c>
      <c r="F44" s="31" t="s">
        <v>512</v>
      </c>
      <c r="G44" s="31" t="s">
        <v>511</v>
      </c>
      <c r="H44" s="31">
        <v>86993.1378999999</v>
      </c>
      <c r="I44" s="31">
        <v>557598</v>
      </c>
      <c r="J44" s="31">
        <v>555749</v>
      </c>
      <c r="K44" s="31">
        <v>1849</v>
      </c>
      <c r="L44" s="31">
        <v>1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x14ac:dyDescent="0.2">
      <c r="A45" s="31">
        <v>71</v>
      </c>
      <c r="B45" s="31" t="s">
        <v>513</v>
      </c>
      <c r="C45" s="31" t="s">
        <v>514</v>
      </c>
      <c r="D45" s="31" t="s">
        <v>253</v>
      </c>
      <c r="E45" s="31" t="s">
        <v>268</v>
      </c>
      <c r="F45" s="31" t="s">
        <v>515</v>
      </c>
      <c r="G45" s="31" t="s">
        <v>514</v>
      </c>
      <c r="H45" s="31">
        <v>80361.818299999897</v>
      </c>
      <c r="I45" s="31">
        <v>384337</v>
      </c>
      <c r="J45" s="31">
        <v>382471</v>
      </c>
      <c r="K45" s="31">
        <v>1867</v>
      </c>
      <c r="L45" s="31">
        <v>1</v>
      </c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x14ac:dyDescent="0.2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x14ac:dyDescent="0.2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x14ac:dyDescent="0.2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x14ac:dyDescent="0.2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x14ac:dyDescent="0.2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x14ac:dyDescent="0.2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x14ac:dyDescent="0.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x14ac:dyDescent="0.2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x14ac:dyDescent="0.2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x14ac:dyDescent="0.2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x14ac:dyDescent="0.2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x14ac:dyDescent="0.2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x14ac:dyDescent="0.2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x14ac:dyDescent="0.2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x14ac:dyDescent="0.2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x14ac:dyDescent="0.2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x14ac:dyDescent="0.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x14ac:dyDescent="0.2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x14ac:dyDescent="0.2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x14ac:dyDescent="0.2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x14ac:dyDescent="0.2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x14ac:dyDescent="0.2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x14ac:dyDescent="0.2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x14ac:dyDescent="0.2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x14ac:dyDescent="0.2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x14ac:dyDescent="0.2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x14ac:dyDescent="0.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x14ac:dyDescent="0.2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x14ac:dyDescent="0.2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x14ac:dyDescent="0.2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x14ac:dyDescent="0.2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x14ac:dyDescent="0.2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x14ac:dyDescent="0.2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x14ac:dyDescent="0.2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x14ac:dyDescent="0.2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x14ac:dyDescent="0.2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x14ac:dyDescent="0.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x14ac:dyDescent="0.2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x14ac:dyDescent="0.2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x14ac:dyDescent="0.2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x14ac:dyDescent="0.2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x14ac:dyDescent="0.2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x14ac:dyDescent="0.2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x14ac:dyDescent="0.2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x14ac:dyDescent="0.2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x14ac:dyDescent="0.2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x14ac:dyDescent="0.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x14ac:dyDescent="0.2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x14ac:dyDescent="0.2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x14ac:dyDescent="0.2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x14ac:dyDescent="0.2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x14ac:dyDescent="0.2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x14ac:dyDescent="0.2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x14ac:dyDescent="0.2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x14ac:dyDescent="0.2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x14ac:dyDescent="0.2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x14ac:dyDescent="0.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x14ac:dyDescent="0.2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x14ac:dyDescent="0.2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x14ac:dyDescent="0.2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x14ac:dyDescent="0.2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x14ac:dyDescent="0.2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x14ac:dyDescent="0.2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x14ac:dyDescent="0.2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x14ac:dyDescent="0.2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x14ac:dyDescent="0.2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x14ac:dyDescent="0.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x14ac:dyDescent="0.2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x14ac:dyDescent="0.2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x14ac:dyDescent="0.2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x14ac:dyDescent="0.2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x14ac:dyDescent="0.2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x14ac:dyDescent="0.2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x14ac:dyDescent="0.2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x14ac:dyDescent="0.2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x14ac:dyDescent="0.2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x14ac:dyDescent="0.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x14ac:dyDescent="0.2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x14ac:dyDescent="0.2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x14ac:dyDescent="0.2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x14ac:dyDescent="0.2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x14ac:dyDescent="0.2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x14ac:dyDescent="0.2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x14ac:dyDescent="0.2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x14ac:dyDescent="0.2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x14ac:dyDescent="0.2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x14ac:dyDescent="0.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x14ac:dyDescent="0.2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x14ac:dyDescent="0.2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x14ac:dyDescent="0.2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x14ac:dyDescent="0.2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x14ac:dyDescent="0.2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x14ac:dyDescent="0.2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x14ac:dyDescent="0.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x14ac:dyDescent="0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x14ac:dyDescent="0.2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x14ac:dyDescent="0.2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x14ac:dyDescent="0.2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x14ac:dyDescent="0.2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x14ac:dyDescent="0.2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x14ac:dyDescent="0.2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x14ac:dyDescent="0.2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x14ac:dyDescent="0.2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x14ac:dyDescent="0.2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x14ac:dyDescent="0.2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x14ac:dyDescent="0.2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x14ac:dyDescent="0.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x14ac:dyDescent="0.2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x14ac:dyDescent="0.2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x14ac:dyDescent="0.2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x14ac:dyDescent="0.2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x14ac:dyDescent="0.2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x14ac:dyDescent="0.2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x14ac:dyDescent="0.2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x14ac:dyDescent="0.2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x14ac:dyDescent="0.2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x14ac:dyDescent="0.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x14ac:dyDescent="0.2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x14ac:dyDescent="0.2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x14ac:dyDescent="0.2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x14ac:dyDescent="0.2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x14ac:dyDescent="0.2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x14ac:dyDescent="0.2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x14ac:dyDescent="0.2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x14ac:dyDescent="0.2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x14ac:dyDescent="0.2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x14ac:dyDescent="0.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x14ac:dyDescent="0.2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x14ac:dyDescent="0.2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x14ac:dyDescent="0.2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x14ac:dyDescent="0.2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x14ac:dyDescent="0.2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x14ac:dyDescent="0.2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x14ac:dyDescent="0.2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x14ac:dyDescent="0.2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x14ac:dyDescent="0.2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x14ac:dyDescent="0.2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x14ac:dyDescent="0.2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x14ac:dyDescent="0.2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x14ac:dyDescent="0.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x14ac:dyDescent="0.2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x14ac:dyDescent="0.2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x14ac:dyDescent="0.2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x14ac:dyDescent="0.2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x14ac:dyDescent="0.2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x14ac:dyDescent="0.2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x14ac:dyDescent="0.2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x14ac:dyDescent="0.2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x14ac:dyDescent="0.2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x14ac:dyDescent="0.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x14ac:dyDescent="0.2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x14ac:dyDescent="0.2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x14ac:dyDescent="0.2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x14ac:dyDescent="0.2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x14ac:dyDescent="0.2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x14ac:dyDescent="0.2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x14ac:dyDescent="0.2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x14ac:dyDescent="0.2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x14ac:dyDescent="0.2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x14ac:dyDescent="0.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x14ac:dyDescent="0.2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x14ac:dyDescent="0.2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x14ac:dyDescent="0.2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x14ac:dyDescent="0.2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x14ac:dyDescent="0.2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x14ac:dyDescent="0.2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x14ac:dyDescent="0.2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x14ac:dyDescent="0.2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x14ac:dyDescent="0.2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x14ac:dyDescent="0.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x14ac:dyDescent="0.2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x14ac:dyDescent="0.2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x14ac:dyDescent="0.2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x14ac:dyDescent="0.2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x14ac:dyDescent="0.2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x14ac:dyDescent="0.2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x14ac:dyDescent="0.2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x14ac:dyDescent="0.2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x14ac:dyDescent="0.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x14ac:dyDescent="0.2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x14ac:dyDescent="0.2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x14ac:dyDescent="0.2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x14ac:dyDescent="0.2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x14ac:dyDescent="0.2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x14ac:dyDescent="0.2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x14ac:dyDescent="0.2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x14ac:dyDescent="0.2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x14ac:dyDescent="0.2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x14ac:dyDescent="0.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x14ac:dyDescent="0.2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x14ac:dyDescent="0.2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x14ac:dyDescent="0.2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x14ac:dyDescent="0.2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x14ac:dyDescent="0.2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x14ac:dyDescent="0.2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x14ac:dyDescent="0.2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x14ac:dyDescent="0.2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x14ac:dyDescent="0.2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x14ac:dyDescent="0.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x14ac:dyDescent="0.2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x14ac:dyDescent="0.2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x14ac:dyDescent="0.2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x14ac:dyDescent="0.2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x14ac:dyDescent="0.2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x14ac:dyDescent="0.2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x14ac:dyDescent="0.2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x14ac:dyDescent="0.2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x14ac:dyDescent="0.2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x14ac:dyDescent="0.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x14ac:dyDescent="0.2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x14ac:dyDescent="0.2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x14ac:dyDescent="0.2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x14ac:dyDescent="0.2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x14ac:dyDescent="0.2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x14ac:dyDescent="0.2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x14ac:dyDescent="0.2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x14ac:dyDescent="0.2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x14ac:dyDescent="0.2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x14ac:dyDescent="0.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x14ac:dyDescent="0.2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x14ac:dyDescent="0.2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x14ac:dyDescent="0.2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x14ac:dyDescent="0.2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x14ac:dyDescent="0.2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x14ac:dyDescent="0.2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x14ac:dyDescent="0.2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x14ac:dyDescent="0.2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x14ac:dyDescent="0.2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x14ac:dyDescent="0.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x14ac:dyDescent="0.2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x14ac:dyDescent="0.2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x14ac:dyDescent="0.2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x14ac:dyDescent="0.2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x14ac:dyDescent="0.2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x14ac:dyDescent="0.2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x14ac:dyDescent="0.2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x14ac:dyDescent="0.2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x14ac:dyDescent="0.2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x14ac:dyDescent="0.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x14ac:dyDescent="0.2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x14ac:dyDescent="0.2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x14ac:dyDescent="0.2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x14ac:dyDescent="0.2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x14ac:dyDescent="0.2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x14ac:dyDescent="0.2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x14ac:dyDescent="0.2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x14ac:dyDescent="0.2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x14ac:dyDescent="0.2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x14ac:dyDescent="0.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x14ac:dyDescent="0.2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x14ac:dyDescent="0.2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x14ac:dyDescent="0.2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x14ac:dyDescent="0.2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x14ac:dyDescent="0.2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x14ac:dyDescent="0.2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x14ac:dyDescent="0.2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x14ac:dyDescent="0.2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x14ac:dyDescent="0.2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x14ac:dyDescent="0.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x14ac:dyDescent="0.2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x14ac:dyDescent="0.2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x14ac:dyDescent="0.2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x14ac:dyDescent="0.2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x14ac:dyDescent="0.2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x14ac:dyDescent="0.2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x14ac:dyDescent="0.2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x14ac:dyDescent="0.2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x14ac:dyDescent="0.2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x14ac:dyDescent="0.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x14ac:dyDescent="0.2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x14ac:dyDescent="0.2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x14ac:dyDescent="0.2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x14ac:dyDescent="0.2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x14ac:dyDescent="0.2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x14ac:dyDescent="0.2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x14ac:dyDescent="0.2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x14ac:dyDescent="0.2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x14ac:dyDescent="0.2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x14ac:dyDescent="0.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x14ac:dyDescent="0.2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x14ac:dyDescent="0.2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x14ac:dyDescent="0.2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x14ac:dyDescent="0.2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x14ac:dyDescent="0.2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x14ac:dyDescent="0.2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x14ac:dyDescent="0.2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x14ac:dyDescent="0.2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x14ac:dyDescent="0.2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x14ac:dyDescent="0.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x14ac:dyDescent="0.2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x14ac:dyDescent="0.2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x14ac:dyDescent="0.2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x14ac:dyDescent="0.2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x14ac:dyDescent="0.2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x14ac:dyDescent="0.2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x14ac:dyDescent="0.2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x14ac:dyDescent="0.2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x14ac:dyDescent="0.2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x14ac:dyDescent="0.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x14ac:dyDescent="0.2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x14ac:dyDescent="0.2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x14ac:dyDescent="0.2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x14ac:dyDescent="0.2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x14ac:dyDescent="0.2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x14ac:dyDescent="0.2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x14ac:dyDescent="0.2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x14ac:dyDescent="0.2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x14ac:dyDescent="0.2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x14ac:dyDescent="0.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x14ac:dyDescent="0.2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x14ac:dyDescent="0.2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x14ac:dyDescent="0.2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x14ac:dyDescent="0.2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x14ac:dyDescent="0.2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x14ac:dyDescent="0.2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x14ac:dyDescent="0.2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x14ac:dyDescent="0.2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x14ac:dyDescent="0.2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x14ac:dyDescent="0.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x14ac:dyDescent="0.2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x14ac:dyDescent="0.2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x14ac:dyDescent="0.2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x14ac:dyDescent="0.2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x14ac:dyDescent="0.2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x14ac:dyDescent="0.2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x14ac:dyDescent="0.2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x14ac:dyDescent="0.2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x14ac:dyDescent="0.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x14ac:dyDescent="0.2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x14ac:dyDescent="0.2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x14ac:dyDescent="0.2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x14ac:dyDescent="0.2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x14ac:dyDescent="0.2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x14ac:dyDescent="0.2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x14ac:dyDescent="0.2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x14ac:dyDescent="0.2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x14ac:dyDescent="0.2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x14ac:dyDescent="0.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x14ac:dyDescent="0.2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x14ac:dyDescent="0.2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x14ac:dyDescent="0.2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x14ac:dyDescent="0.2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x14ac:dyDescent="0.2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x14ac:dyDescent="0.2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x14ac:dyDescent="0.2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x14ac:dyDescent="0.2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x14ac:dyDescent="0.2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x14ac:dyDescent="0.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x14ac:dyDescent="0.2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x14ac:dyDescent="0.2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x14ac:dyDescent="0.2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x14ac:dyDescent="0.2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x14ac:dyDescent="0.2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x14ac:dyDescent="0.2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x14ac:dyDescent="0.2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x14ac:dyDescent="0.2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x14ac:dyDescent="0.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x14ac:dyDescent="0.2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x14ac:dyDescent="0.2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x14ac:dyDescent="0.2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x14ac:dyDescent="0.2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x14ac:dyDescent="0.2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x14ac:dyDescent="0.2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x14ac:dyDescent="0.2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x14ac:dyDescent="0.2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x14ac:dyDescent="0.2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x14ac:dyDescent="0.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x14ac:dyDescent="0.2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x14ac:dyDescent="0.2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x14ac:dyDescent="0.2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x14ac:dyDescent="0.2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x14ac:dyDescent="0.2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x14ac:dyDescent="0.2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x14ac:dyDescent="0.2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x14ac:dyDescent="0.2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x14ac:dyDescent="0.2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x14ac:dyDescent="0.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x14ac:dyDescent="0.2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x14ac:dyDescent="0.2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x14ac:dyDescent="0.2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x14ac:dyDescent="0.2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x14ac:dyDescent="0.2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x14ac:dyDescent="0.2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x14ac:dyDescent="0.2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x14ac:dyDescent="0.2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x14ac:dyDescent="0.2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x14ac:dyDescent="0.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x14ac:dyDescent="0.2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x14ac:dyDescent="0.2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x14ac:dyDescent="0.2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x14ac:dyDescent="0.2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x14ac:dyDescent="0.2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x14ac:dyDescent="0.2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x14ac:dyDescent="0.2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x14ac:dyDescent="0.2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x14ac:dyDescent="0.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x14ac:dyDescent="0.2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x14ac:dyDescent="0.2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x14ac:dyDescent="0.2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x14ac:dyDescent="0.2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x14ac:dyDescent="0.2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x14ac:dyDescent="0.2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x14ac:dyDescent="0.2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x14ac:dyDescent="0.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x14ac:dyDescent="0.2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x14ac:dyDescent="0.2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x14ac:dyDescent="0.2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x14ac:dyDescent="0.2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x14ac:dyDescent="0.2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x14ac:dyDescent="0.2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x14ac:dyDescent="0.2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x14ac:dyDescent="0.2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x14ac:dyDescent="0.2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x14ac:dyDescent="0.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x14ac:dyDescent="0.2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x14ac:dyDescent="0.2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x14ac:dyDescent="0.2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x14ac:dyDescent="0.2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x14ac:dyDescent="0.2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x14ac:dyDescent="0.2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x14ac:dyDescent="0.2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x14ac:dyDescent="0.2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x14ac:dyDescent="0.2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x14ac:dyDescent="0.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x14ac:dyDescent="0.2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x14ac:dyDescent="0.2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x14ac:dyDescent="0.2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x14ac:dyDescent="0.2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x14ac:dyDescent="0.2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x14ac:dyDescent="0.2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x14ac:dyDescent="0.2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x14ac:dyDescent="0.2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x14ac:dyDescent="0.2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x14ac:dyDescent="0.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x14ac:dyDescent="0.2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x14ac:dyDescent="0.2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x14ac:dyDescent="0.2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x14ac:dyDescent="0.2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x14ac:dyDescent="0.2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x14ac:dyDescent="0.2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x14ac:dyDescent="0.2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x14ac:dyDescent="0.2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x14ac:dyDescent="0.2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x14ac:dyDescent="0.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x14ac:dyDescent="0.2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x14ac:dyDescent="0.2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x14ac:dyDescent="0.2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x14ac:dyDescent="0.2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x14ac:dyDescent="0.2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x14ac:dyDescent="0.2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x14ac:dyDescent="0.2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x14ac:dyDescent="0.2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x14ac:dyDescent="0.2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x14ac:dyDescent="0.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x14ac:dyDescent="0.2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x14ac:dyDescent="0.2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x14ac:dyDescent="0.2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x14ac:dyDescent="0.2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x14ac:dyDescent="0.2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x14ac:dyDescent="0.2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x14ac:dyDescent="0.2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x14ac:dyDescent="0.2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x14ac:dyDescent="0.2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x14ac:dyDescent="0.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x14ac:dyDescent="0.2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x14ac:dyDescent="0.2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x14ac:dyDescent="0.2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x14ac:dyDescent="0.2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x14ac:dyDescent="0.2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x14ac:dyDescent="0.2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x14ac:dyDescent="0.2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x14ac:dyDescent="0.2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x14ac:dyDescent="0.2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x14ac:dyDescent="0.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x14ac:dyDescent="0.2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x14ac:dyDescent="0.2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x14ac:dyDescent="0.2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x14ac:dyDescent="0.2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x14ac:dyDescent="0.2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x14ac:dyDescent="0.2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x14ac:dyDescent="0.2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x14ac:dyDescent="0.2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x14ac:dyDescent="0.2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x14ac:dyDescent="0.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x14ac:dyDescent="0.2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x14ac:dyDescent="0.2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x14ac:dyDescent="0.2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x14ac:dyDescent="0.2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x14ac:dyDescent="0.2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x14ac:dyDescent="0.2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x14ac:dyDescent="0.2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x14ac:dyDescent="0.2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x14ac:dyDescent="0.2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x14ac:dyDescent="0.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x14ac:dyDescent="0.2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x14ac:dyDescent="0.2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x14ac:dyDescent="0.2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x14ac:dyDescent="0.2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x14ac:dyDescent="0.2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x14ac:dyDescent="0.2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x14ac:dyDescent="0.2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x14ac:dyDescent="0.2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x14ac:dyDescent="0.2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x14ac:dyDescent="0.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x14ac:dyDescent="0.2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x14ac:dyDescent="0.2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x14ac:dyDescent="0.2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x14ac:dyDescent="0.2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x14ac:dyDescent="0.2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x14ac:dyDescent="0.2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x14ac:dyDescent="0.2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x14ac:dyDescent="0.2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x14ac:dyDescent="0.2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x14ac:dyDescent="0.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x14ac:dyDescent="0.2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x14ac:dyDescent="0.2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x14ac:dyDescent="0.2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x14ac:dyDescent="0.2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x14ac:dyDescent="0.2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x14ac:dyDescent="0.2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x14ac:dyDescent="0.2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x14ac:dyDescent="0.2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x14ac:dyDescent="0.2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x14ac:dyDescent="0.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x14ac:dyDescent="0.2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x14ac:dyDescent="0.2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x14ac:dyDescent="0.2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x14ac:dyDescent="0.2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x14ac:dyDescent="0.2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x14ac:dyDescent="0.2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x14ac:dyDescent="0.2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x14ac:dyDescent="0.2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x14ac:dyDescent="0.2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x14ac:dyDescent="0.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x14ac:dyDescent="0.2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x14ac:dyDescent="0.2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x14ac:dyDescent="0.2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x14ac:dyDescent="0.2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x14ac:dyDescent="0.2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x14ac:dyDescent="0.2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x14ac:dyDescent="0.2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x14ac:dyDescent="0.2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x14ac:dyDescent="0.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x14ac:dyDescent="0.2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x14ac:dyDescent="0.2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x14ac:dyDescent="0.2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x14ac:dyDescent="0.2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x14ac:dyDescent="0.2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x14ac:dyDescent="0.2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x14ac:dyDescent="0.2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x14ac:dyDescent="0.2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x14ac:dyDescent="0.2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x14ac:dyDescent="0.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x14ac:dyDescent="0.2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x14ac:dyDescent="0.2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x14ac:dyDescent="0.2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x14ac:dyDescent="0.2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x14ac:dyDescent="0.2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x14ac:dyDescent="0.2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x14ac:dyDescent="0.2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x14ac:dyDescent="0.2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x14ac:dyDescent="0.2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x14ac:dyDescent="0.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x14ac:dyDescent="0.2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x14ac:dyDescent="0.2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x14ac:dyDescent="0.2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x14ac:dyDescent="0.2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x14ac:dyDescent="0.2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x14ac:dyDescent="0.2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x14ac:dyDescent="0.2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x14ac:dyDescent="0.2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x14ac:dyDescent="0.2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x14ac:dyDescent="0.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x14ac:dyDescent="0.2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x14ac:dyDescent="0.2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x14ac:dyDescent="0.2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x14ac:dyDescent="0.2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x14ac:dyDescent="0.2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x14ac:dyDescent="0.2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x14ac:dyDescent="0.2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x14ac:dyDescent="0.2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x14ac:dyDescent="0.2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x14ac:dyDescent="0.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x14ac:dyDescent="0.2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x14ac:dyDescent="0.2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x14ac:dyDescent="0.2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x14ac:dyDescent="0.2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x14ac:dyDescent="0.2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x14ac:dyDescent="0.2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x14ac:dyDescent="0.2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x14ac:dyDescent="0.2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x14ac:dyDescent="0.2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x14ac:dyDescent="0.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x14ac:dyDescent="0.2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x14ac:dyDescent="0.2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x14ac:dyDescent="0.2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x14ac:dyDescent="0.2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x14ac:dyDescent="0.2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x14ac:dyDescent="0.2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x14ac:dyDescent="0.2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x14ac:dyDescent="0.2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x14ac:dyDescent="0.2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x14ac:dyDescent="0.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x14ac:dyDescent="0.2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x14ac:dyDescent="0.2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x14ac:dyDescent="0.2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x14ac:dyDescent="0.2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x14ac:dyDescent="0.2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x14ac:dyDescent="0.2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x14ac:dyDescent="0.2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x14ac:dyDescent="0.2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x14ac:dyDescent="0.2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x14ac:dyDescent="0.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x14ac:dyDescent="0.2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x14ac:dyDescent="0.2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x14ac:dyDescent="0.2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x14ac:dyDescent="0.2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x14ac:dyDescent="0.2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x14ac:dyDescent="0.2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x14ac:dyDescent="0.2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x14ac:dyDescent="0.2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x14ac:dyDescent="0.2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x14ac:dyDescent="0.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x14ac:dyDescent="0.2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x14ac:dyDescent="0.2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x14ac:dyDescent="0.2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x14ac:dyDescent="0.2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x14ac:dyDescent="0.2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x14ac:dyDescent="0.2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x14ac:dyDescent="0.2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x14ac:dyDescent="0.2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x14ac:dyDescent="0.2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x14ac:dyDescent="0.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x14ac:dyDescent="0.2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x14ac:dyDescent="0.2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x14ac:dyDescent="0.2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x14ac:dyDescent="0.2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x14ac:dyDescent="0.2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x14ac:dyDescent="0.2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x14ac:dyDescent="0.2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x14ac:dyDescent="0.2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x14ac:dyDescent="0.2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x14ac:dyDescent="0.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x14ac:dyDescent="0.2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x14ac:dyDescent="0.2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x14ac:dyDescent="0.2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x14ac:dyDescent="0.2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x14ac:dyDescent="0.2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x14ac:dyDescent="0.2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x14ac:dyDescent="0.2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x14ac:dyDescent="0.2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x14ac:dyDescent="0.2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x14ac:dyDescent="0.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x14ac:dyDescent="0.2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x14ac:dyDescent="0.2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x14ac:dyDescent="0.2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x14ac:dyDescent="0.2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x14ac:dyDescent="0.2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x14ac:dyDescent="0.2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x14ac:dyDescent="0.2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x14ac:dyDescent="0.2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x14ac:dyDescent="0.2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x14ac:dyDescent="0.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x14ac:dyDescent="0.2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x14ac:dyDescent="0.2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x14ac:dyDescent="0.2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x14ac:dyDescent="0.2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x14ac:dyDescent="0.2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x14ac:dyDescent="0.2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x14ac:dyDescent="0.2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x14ac:dyDescent="0.2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x14ac:dyDescent="0.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x14ac:dyDescent="0.2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x14ac:dyDescent="0.2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x14ac:dyDescent="0.2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x14ac:dyDescent="0.2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x14ac:dyDescent="0.2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x14ac:dyDescent="0.2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x14ac:dyDescent="0.2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x14ac:dyDescent="0.2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x14ac:dyDescent="0.2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x14ac:dyDescent="0.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x14ac:dyDescent="0.2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x14ac:dyDescent="0.2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x14ac:dyDescent="0.2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x14ac:dyDescent="0.2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x14ac:dyDescent="0.2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x14ac:dyDescent="0.2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x14ac:dyDescent="0.2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x14ac:dyDescent="0.2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x14ac:dyDescent="0.2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x14ac:dyDescent="0.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x14ac:dyDescent="0.2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x14ac:dyDescent="0.2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x14ac:dyDescent="0.2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x14ac:dyDescent="0.2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x14ac:dyDescent="0.2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x14ac:dyDescent="0.2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x14ac:dyDescent="0.2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x14ac:dyDescent="0.2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x14ac:dyDescent="0.2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x14ac:dyDescent="0.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x14ac:dyDescent="0.2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x14ac:dyDescent="0.2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x14ac:dyDescent="0.2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x14ac:dyDescent="0.2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x14ac:dyDescent="0.2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x14ac:dyDescent="0.2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x14ac:dyDescent="0.2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x14ac:dyDescent="0.2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x14ac:dyDescent="0.2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x14ac:dyDescent="0.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x14ac:dyDescent="0.2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x14ac:dyDescent="0.2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x14ac:dyDescent="0.2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x14ac:dyDescent="0.2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x14ac:dyDescent="0.2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x14ac:dyDescent="0.2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x14ac:dyDescent="0.2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x14ac:dyDescent="0.2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x14ac:dyDescent="0.2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x14ac:dyDescent="0.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x14ac:dyDescent="0.2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x14ac:dyDescent="0.2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x14ac:dyDescent="0.2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x14ac:dyDescent="0.2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x14ac:dyDescent="0.2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x14ac:dyDescent="0.2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x14ac:dyDescent="0.2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x14ac:dyDescent="0.2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x14ac:dyDescent="0.2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x14ac:dyDescent="0.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x14ac:dyDescent="0.2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x14ac:dyDescent="0.2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x14ac:dyDescent="0.2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x14ac:dyDescent="0.2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x14ac:dyDescent="0.2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x14ac:dyDescent="0.2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x14ac:dyDescent="0.2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x14ac:dyDescent="0.2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x14ac:dyDescent="0.2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x14ac:dyDescent="0.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x14ac:dyDescent="0.2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x14ac:dyDescent="0.2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x14ac:dyDescent="0.2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x14ac:dyDescent="0.2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x14ac:dyDescent="0.2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x14ac:dyDescent="0.2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x14ac:dyDescent="0.2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x14ac:dyDescent="0.2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x14ac:dyDescent="0.2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x14ac:dyDescent="0.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x14ac:dyDescent="0.2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x14ac:dyDescent="0.2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x14ac:dyDescent="0.2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x14ac:dyDescent="0.2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x14ac:dyDescent="0.2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x14ac:dyDescent="0.2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x14ac:dyDescent="0.2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x14ac:dyDescent="0.2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x14ac:dyDescent="0.2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x14ac:dyDescent="0.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x14ac:dyDescent="0.2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x14ac:dyDescent="0.2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x14ac:dyDescent="0.2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x14ac:dyDescent="0.2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x14ac:dyDescent="0.2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x14ac:dyDescent="0.2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x14ac:dyDescent="0.2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x14ac:dyDescent="0.2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x14ac:dyDescent="0.2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x14ac:dyDescent="0.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x14ac:dyDescent="0.2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x14ac:dyDescent="0.2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x14ac:dyDescent="0.2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x14ac:dyDescent="0.2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x14ac:dyDescent="0.2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x14ac:dyDescent="0.2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x14ac:dyDescent="0.2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x14ac:dyDescent="0.2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x14ac:dyDescent="0.2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x14ac:dyDescent="0.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x14ac:dyDescent="0.2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x14ac:dyDescent="0.2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x14ac:dyDescent="0.2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x14ac:dyDescent="0.2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x14ac:dyDescent="0.2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x14ac:dyDescent="0.2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x14ac:dyDescent="0.2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x14ac:dyDescent="0.2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x14ac:dyDescent="0.2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x14ac:dyDescent="0.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x14ac:dyDescent="0.2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x14ac:dyDescent="0.2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x14ac:dyDescent="0.2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x14ac:dyDescent="0.2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x14ac:dyDescent="0.2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x14ac:dyDescent="0.2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x14ac:dyDescent="0.2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x14ac:dyDescent="0.2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x14ac:dyDescent="0.2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x14ac:dyDescent="0.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x14ac:dyDescent="0.2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x14ac:dyDescent="0.2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x14ac:dyDescent="0.2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x14ac:dyDescent="0.2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x14ac:dyDescent="0.2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x14ac:dyDescent="0.2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x14ac:dyDescent="0.2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x14ac:dyDescent="0.2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x14ac:dyDescent="0.2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x14ac:dyDescent="0.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x14ac:dyDescent="0.2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x14ac:dyDescent="0.2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x14ac:dyDescent="0.2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x14ac:dyDescent="0.2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x14ac:dyDescent="0.2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x14ac:dyDescent="0.2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x14ac:dyDescent="0.2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x14ac:dyDescent="0.2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x14ac:dyDescent="0.2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x14ac:dyDescent="0.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x14ac:dyDescent="0.2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x14ac:dyDescent="0.2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x14ac:dyDescent="0.2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x14ac:dyDescent="0.2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x14ac:dyDescent="0.2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x14ac:dyDescent="0.2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x14ac:dyDescent="0.2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x14ac:dyDescent="0.2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x14ac:dyDescent="0.2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x14ac:dyDescent="0.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x14ac:dyDescent="0.2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x14ac:dyDescent="0.2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x14ac:dyDescent="0.2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x14ac:dyDescent="0.2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x14ac:dyDescent="0.2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x14ac:dyDescent="0.2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x14ac:dyDescent="0.2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x14ac:dyDescent="0.2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x14ac:dyDescent="0.2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x14ac:dyDescent="0.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x14ac:dyDescent="0.2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x14ac:dyDescent="0.2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x14ac:dyDescent="0.2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x14ac:dyDescent="0.2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x14ac:dyDescent="0.2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x14ac:dyDescent="0.2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x14ac:dyDescent="0.2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x14ac:dyDescent="0.2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x14ac:dyDescent="0.2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x14ac:dyDescent="0.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x14ac:dyDescent="0.2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x14ac:dyDescent="0.2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x14ac:dyDescent="0.2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x14ac:dyDescent="0.2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x14ac:dyDescent="0.2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x14ac:dyDescent="0.2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x14ac:dyDescent="0.2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x14ac:dyDescent="0.2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67"/>
  <sheetViews>
    <sheetView workbookViewId="0"/>
  </sheetViews>
  <sheetFormatPr defaultColWidth="12.5703125" defaultRowHeight="15.75" customHeight="1" x14ac:dyDescent="0.2"/>
  <sheetData>
    <row r="1" spans="1:26" x14ac:dyDescent="0.2">
      <c r="A1" s="186" t="s">
        <v>417</v>
      </c>
      <c r="B1" s="186" t="s">
        <v>525</v>
      </c>
      <c r="C1" s="186" t="s">
        <v>17</v>
      </c>
      <c r="D1" s="186" t="s">
        <v>526</v>
      </c>
      <c r="E1" s="186" t="s">
        <v>420</v>
      </c>
      <c r="F1" s="186" t="s">
        <v>527</v>
      </c>
      <c r="G1" s="186" t="s">
        <v>238</v>
      </c>
      <c r="H1" s="186" t="s">
        <v>239</v>
      </c>
      <c r="I1" s="186" t="s">
        <v>240</v>
      </c>
      <c r="J1" s="186" t="s">
        <v>528</v>
      </c>
      <c r="K1" s="186" t="s">
        <v>529</v>
      </c>
      <c r="L1" s="186" t="s">
        <v>530</v>
      </c>
      <c r="M1" s="186" t="s">
        <v>531</v>
      </c>
      <c r="N1" s="186" t="s">
        <v>532</v>
      </c>
      <c r="O1" s="186" t="s">
        <v>533</v>
      </c>
      <c r="P1" s="186" t="s">
        <v>534</v>
      </c>
      <c r="Q1" s="186" t="s">
        <v>11</v>
      </c>
      <c r="R1" s="186" t="s">
        <v>241</v>
      </c>
      <c r="S1" s="186" t="s">
        <v>242</v>
      </c>
      <c r="T1" s="186" t="s">
        <v>243</v>
      </c>
      <c r="U1" s="186" t="s">
        <v>244</v>
      </c>
      <c r="V1" s="186" t="s">
        <v>245</v>
      </c>
      <c r="W1" s="186" t="s">
        <v>246</v>
      </c>
      <c r="X1" s="186" t="s">
        <v>535</v>
      </c>
      <c r="Y1" s="186" t="s">
        <v>536</v>
      </c>
      <c r="Z1" s="186"/>
    </row>
    <row r="2" spans="1:26" x14ac:dyDescent="0.2">
      <c r="A2" s="189">
        <v>33</v>
      </c>
      <c r="B2" s="189" t="s">
        <v>272</v>
      </c>
      <c r="C2" s="189" t="s">
        <v>440</v>
      </c>
      <c r="D2" s="189" t="s">
        <v>441</v>
      </c>
      <c r="E2" s="189" t="s">
        <v>268</v>
      </c>
      <c r="F2" s="189" t="s">
        <v>537</v>
      </c>
      <c r="G2" s="189" t="s">
        <v>255</v>
      </c>
      <c r="H2" s="189" t="s">
        <v>256</v>
      </c>
      <c r="I2" s="189">
        <v>1652</v>
      </c>
      <c r="J2" s="189">
        <v>447.47409322509401</v>
      </c>
      <c r="K2" s="189">
        <v>835.44952378093001</v>
      </c>
      <c r="L2" s="189">
        <v>-34.15</v>
      </c>
      <c r="M2" s="189">
        <v>-10.55</v>
      </c>
      <c r="N2" s="189">
        <v>554</v>
      </c>
      <c r="O2" s="189" t="s">
        <v>538</v>
      </c>
      <c r="P2" s="189" t="s">
        <v>539</v>
      </c>
      <c r="Q2" s="189" t="s">
        <v>253</v>
      </c>
      <c r="R2" s="189" t="s">
        <v>253</v>
      </c>
      <c r="S2" s="189" t="s">
        <v>253</v>
      </c>
      <c r="T2" s="189" t="s">
        <v>253</v>
      </c>
      <c r="U2" s="189" t="s">
        <v>253</v>
      </c>
      <c r="V2" s="189" t="s">
        <v>253</v>
      </c>
      <c r="W2" s="189" t="s">
        <v>253</v>
      </c>
      <c r="X2" s="189" t="s">
        <v>540</v>
      </c>
      <c r="Y2" s="189" t="s">
        <v>541</v>
      </c>
    </row>
    <row r="3" spans="1:26" x14ac:dyDescent="0.2">
      <c r="A3" s="189">
        <v>450</v>
      </c>
      <c r="B3" s="189" t="s">
        <v>339</v>
      </c>
      <c r="C3" s="189" t="s">
        <v>440</v>
      </c>
      <c r="D3" s="189" t="s">
        <v>441</v>
      </c>
      <c r="E3" s="189" t="s">
        <v>268</v>
      </c>
      <c r="F3" s="189" t="s">
        <v>537</v>
      </c>
      <c r="G3" s="189" t="s">
        <v>255</v>
      </c>
      <c r="H3" s="189" t="s">
        <v>256</v>
      </c>
      <c r="I3" s="189">
        <v>4150</v>
      </c>
      <c r="J3" s="189">
        <v>427.37005308753902</v>
      </c>
      <c r="K3" s="189">
        <v>807.52183975634898</v>
      </c>
      <c r="L3" s="189">
        <v>-33.25</v>
      </c>
      <c r="M3" s="189">
        <v>-11.2</v>
      </c>
      <c r="N3" s="189">
        <v>840</v>
      </c>
      <c r="O3" s="189" t="s">
        <v>542</v>
      </c>
      <c r="P3" s="189" t="s">
        <v>543</v>
      </c>
      <c r="Q3" s="189" t="s">
        <v>253</v>
      </c>
      <c r="R3" s="189" t="s">
        <v>253</v>
      </c>
      <c r="S3" s="189" t="s">
        <v>257</v>
      </c>
      <c r="T3" s="189" t="s">
        <v>253</v>
      </c>
      <c r="U3" s="189" t="s">
        <v>258</v>
      </c>
      <c r="V3" s="189" t="s">
        <v>253</v>
      </c>
      <c r="W3" s="189" t="s">
        <v>253</v>
      </c>
      <c r="X3" s="189" t="s">
        <v>544</v>
      </c>
      <c r="Y3" s="189" t="s">
        <v>545</v>
      </c>
    </row>
    <row r="4" spans="1:26" x14ac:dyDescent="0.2">
      <c r="A4" s="189">
        <v>451</v>
      </c>
      <c r="B4" s="189" t="s">
        <v>441</v>
      </c>
      <c r="C4" s="189" t="s">
        <v>440</v>
      </c>
      <c r="D4" s="189" t="s">
        <v>441</v>
      </c>
      <c r="E4" s="189" t="s">
        <v>268</v>
      </c>
      <c r="F4" s="189" t="s">
        <v>537</v>
      </c>
      <c r="G4" s="189" t="s">
        <v>255</v>
      </c>
      <c r="H4" s="189" t="s">
        <v>256</v>
      </c>
      <c r="I4" s="189">
        <v>2171</v>
      </c>
      <c r="J4" s="189">
        <v>465.73</v>
      </c>
      <c r="K4" s="189">
        <v>856.62</v>
      </c>
      <c r="L4" s="189">
        <v>-34.840000000000003</v>
      </c>
      <c r="M4" s="189">
        <v>-9.9600000000000009</v>
      </c>
      <c r="N4" s="189">
        <v>161</v>
      </c>
      <c r="O4" s="189" t="s">
        <v>542</v>
      </c>
      <c r="P4" s="189" t="s">
        <v>543</v>
      </c>
      <c r="Q4" s="189" t="s">
        <v>253</v>
      </c>
      <c r="R4" s="189" t="s">
        <v>259</v>
      </c>
      <c r="S4" s="189" t="s">
        <v>257</v>
      </c>
      <c r="T4" s="189" t="s">
        <v>253</v>
      </c>
      <c r="U4" s="189" t="s">
        <v>253</v>
      </c>
      <c r="V4" s="189" t="s">
        <v>253</v>
      </c>
      <c r="W4" s="189" t="s">
        <v>253</v>
      </c>
      <c r="X4" s="189" t="s">
        <v>546</v>
      </c>
      <c r="Y4" s="189" t="s">
        <v>547</v>
      </c>
    </row>
    <row r="5" spans="1:26" x14ac:dyDescent="0.2">
      <c r="A5" s="189">
        <v>739</v>
      </c>
      <c r="B5" s="189" t="s">
        <v>382</v>
      </c>
      <c r="C5" s="189" t="s">
        <v>440</v>
      </c>
      <c r="D5" s="189" t="s">
        <v>441</v>
      </c>
      <c r="E5" s="189" t="s">
        <v>268</v>
      </c>
      <c r="F5" s="189" t="s">
        <v>537</v>
      </c>
      <c r="G5" s="189" t="s">
        <v>255</v>
      </c>
      <c r="H5" s="189" t="s">
        <v>256</v>
      </c>
      <c r="I5" s="189">
        <v>1961</v>
      </c>
      <c r="J5" s="189">
        <v>447.532478627236</v>
      </c>
      <c r="K5" s="189">
        <v>849.34524949072102</v>
      </c>
      <c r="L5" s="189">
        <v>-34.6</v>
      </c>
      <c r="M5" s="189">
        <v>-10.54</v>
      </c>
      <c r="N5" s="189">
        <v>472</v>
      </c>
      <c r="O5" s="189" t="s">
        <v>538</v>
      </c>
      <c r="P5" s="189" t="s">
        <v>539</v>
      </c>
      <c r="Q5" s="189" t="s">
        <v>253</v>
      </c>
      <c r="R5" s="189" t="s">
        <v>253</v>
      </c>
      <c r="S5" s="189" t="s">
        <v>253</v>
      </c>
      <c r="T5" s="189" t="s">
        <v>253</v>
      </c>
      <c r="U5" s="189" t="s">
        <v>253</v>
      </c>
      <c r="V5" s="189" t="s">
        <v>253</v>
      </c>
      <c r="W5" s="189" t="s">
        <v>253</v>
      </c>
      <c r="X5" s="189" t="s">
        <v>548</v>
      </c>
      <c r="Y5" s="189" t="s">
        <v>549</v>
      </c>
    </row>
    <row r="6" spans="1:26" x14ac:dyDescent="0.2">
      <c r="A6" s="189">
        <v>398</v>
      </c>
      <c r="B6" s="189" t="s">
        <v>333</v>
      </c>
      <c r="C6" s="189" t="s">
        <v>333</v>
      </c>
      <c r="D6" s="189" t="s">
        <v>402</v>
      </c>
      <c r="E6" s="189" t="s">
        <v>268</v>
      </c>
      <c r="F6" s="189" t="s">
        <v>537</v>
      </c>
      <c r="G6" s="189" t="s">
        <v>260</v>
      </c>
      <c r="H6" s="189" t="s">
        <v>256</v>
      </c>
      <c r="I6" s="189">
        <v>22577</v>
      </c>
      <c r="J6" s="189">
        <v>919.38383693800904</v>
      </c>
      <c r="K6" s="189">
        <v>749.40890282436499</v>
      </c>
      <c r="L6" s="189">
        <v>-31.37</v>
      </c>
      <c r="M6" s="189">
        <v>4.7</v>
      </c>
      <c r="N6" s="189">
        <v>82</v>
      </c>
      <c r="O6" s="189" t="s">
        <v>550</v>
      </c>
      <c r="P6" s="189" t="s">
        <v>551</v>
      </c>
      <c r="Q6" s="189" t="s">
        <v>253</v>
      </c>
      <c r="R6" s="189" t="s">
        <v>259</v>
      </c>
      <c r="S6" s="189" t="s">
        <v>257</v>
      </c>
      <c r="T6" s="189" t="s">
        <v>253</v>
      </c>
      <c r="U6" s="189" t="s">
        <v>258</v>
      </c>
      <c r="V6" s="189" t="s">
        <v>253</v>
      </c>
      <c r="W6" s="189" t="s">
        <v>253</v>
      </c>
      <c r="X6" s="189" t="s">
        <v>552</v>
      </c>
      <c r="Y6" s="189" t="s">
        <v>553</v>
      </c>
    </row>
    <row r="7" spans="1:26" x14ac:dyDescent="0.2">
      <c r="A7" s="189">
        <v>850</v>
      </c>
      <c r="B7" s="189" t="s">
        <v>402</v>
      </c>
      <c r="C7" s="189" t="s">
        <v>333</v>
      </c>
      <c r="D7" s="189" t="s">
        <v>402</v>
      </c>
      <c r="E7" s="189" t="s">
        <v>268</v>
      </c>
      <c r="F7" s="189" t="s">
        <v>537</v>
      </c>
      <c r="G7" s="189" t="s">
        <v>260</v>
      </c>
      <c r="H7" s="189" t="s">
        <v>256</v>
      </c>
      <c r="I7" s="189">
        <v>14188</v>
      </c>
      <c r="J7" s="189">
        <v>906.88936087962497</v>
      </c>
      <c r="K7" s="189">
        <v>773.09391429329503</v>
      </c>
      <c r="L7" s="189">
        <v>-32.130000000000003</v>
      </c>
      <c r="M7" s="189">
        <v>4.29</v>
      </c>
      <c r="N7" s="189">
        <v>210</v>
      </c>
      <c r="O7" s="189" t="s">
        <v>554</v>
      </c>
      <c r="P7" s="189" t="s">
        <v>555</v>
      </c>
      <c r="Q7" s="189" t="s">
        <v>253</v>
      </c>
      <c r="R7" s="189" t="s">
        <v>253</v>
      </c>
      <c r="S7" s="189" t="s">
        <v>257</v>
      </c>
      <c r="T7" s="189" t="s">
        <v>253</v>
      </c>
      <c r="U7" s="189" t="s">
        <v>258</v>
      </c>
      <c r="V7" s="189" t="s">
        <v>253</v>
      </c>
      <c r="W7" s="189" t="s">
        <v>253</v>
      </c>
      <c r="X7" s="189" t="s">
        <v>556</v>
      </c>
      <c r="Y7" s="189" t="s">
        <v>557</v>
      </c>
    </row>
    <row r="8" spans="1:26" x14ac:dyDescent="0.2">
      <c r="A8" s="189">
        <v>955</v>
      </c>
      <c r="B8" s="189" t="s">
        <v>415</v>
      </c>
      <c r="C8" s="189" t="s">
        <v>333</v>
      </c>
      <c r="D8" s="189" t="s">
        <v>402</v>
      </c>
      <c r="E8" s="189" t="s">
        <v>268</v>
      </c>
      <c r="F8" s="189" t="s">
        <v>537</v>
      </c>
      <c r="G8" s="189" t="s">
        <v>260</v>
      </c>
      <c r="H8" s="189" t="s">
        <v>256</v>
      </c>
      <c r="I8" s="189">
        <v>19714</v>
      </c>
      <c r="J8" s="189">
        <v>916.46456683091003</v>
      </c>
      <c r="K8" s="189">
        <v>735.62994791885706</v>
      </c>
      <c r="L8" s="189">
        <v>-30.92</v>
      </c>
      <c r="M8" s="189">
        <v>4.5999999999999996</v>
      </c>
      <c r="N8" s="189">
        <v>210</v>
      </c>
      <c r="O8" s="189" t="s">
        <v>550</v>
      </c>
      <c r="P8" s="189" t="s">
        <v>551</v>
      </c>
      <c r="Q8" s="189" t="s">
        <v>253</v>
      </c>
      <c r="R8" s="189" t="s">
        <v>253</v>
      </c>
      <c r="S8" s="189" t="s">
        <v>253</v>
      </c>
      <c r="T8" s="189" t="s">
        <v>261</v>
      </c>
      <c r="U8" s="189" t="s">
        <v>258</v>
      </c>
      <c r="V8" s="189" t="s">
        <v>253</v>
      </c>
      <c r="W8" s="189" t="s">
        <v>253</v>
      </c>
      <c r="X8" s="189" t="s">
        <v>558</v>
      </c>
      <c r="Y8" s="189" t="s">
        <v>559</v>
      </c>
    </row>
    <row r="9" spans="1:26" x14ac:dyDescent="0.2">
      <c r="A9" s="189">
        <v>1050</v>
      </c>
      <c r="B9" s="189" t="s">
        <v>514</v>
      </c>
      <c r="C9" s="189" t="s">
        <v>513</v>
      </c>
      <c r="D9" s="189" t="s">
        <v>514</v>
      </c>
      <c r="E9" s="189" t="s">
        <v>268</v>
      </c>
      <c r="F9" s="189" t="s">
        <v>537</v>
      </c>
      <c r="G9" s="189" t="s">
        <v>262</v>
      </c>
      <c r="H9" s="189" t="s">
        <v>263</v>
      </c>
      <c r="I9" s="189">
        <v>1867</v>
      </c>
      <c r="J9" s="189">
        <v>967.86318251656701</v>
      </c>
      <c r="K9" s="189">
        <v>534.97878255758405</v>
      </c>
      <c r="L9" s="189">
        <v>-24.42</v>
      </c>
      <c r="M9" s="189">
        <v>6.26</v>
      </c>
      <c r="N9" s="189">
        <v>4738</v>
      </c>
      <c r="O9" s="189" t="s">
        <v>560</v>
      </c>
      <c r="P9" s="189" t="s">
        <v>561</v>
      </c>
      <c r="Q9" s="189" t="s">
        <v>253</v>
      </c>
      <c r="R9" s="189" t="s">
        <v>253</v>
      </c>
      <c r="S9" s="189" t="s">
        <v>253</v>
      </c>
      <c r="T9" s="189" t="s">
        <v>253</v>
      </c>
      <c r="U9" s="189" t="s">
        <v>253</v>
      </c>
      <c r="V9" s="189" t="s">
        <v>253</v>
      </c>
      <c r="W9" s="189" t="s">
        <v>253</v>
      </c>
      <c r="X9" s="189" t="s">
        <v>562</v>
      </c>
      <c r="Y9" s="189" t="s">
        <v>563</v>
      </c>
    </row>
    <row r="10" spans="1:26" x14ac:dyDescent="0.2">
      <c r="A10" s="189">
        <v>271</v>
      </c>
      <c r="B10" s="189" t="s">
        <v>317</v>
      </c>
      <c r="C10" s="189" t="s">
        <v>365</v>
      </c>
      <c r="D10" s="189" t="s">
        <v>365</v>
      </c>
      <c r="E10" s="189" t="s">
        <v>268</v>
      </c>
      <c r="F10" s="189" t="s">
        <v>537</v>
      </c>
      <c r="G10" s="189" t="s">
        <v>264</v>
      </c>
      <c r="H10" s="189" t="s">
        <v>256</v>
      </c>
      <c r="I10" s="189">
        <v>1895</v>
      </c>
      <c r="J10" s="189">
        <v>391.988499389499</v>
      </c>
      <c r="K10" s="189">
        <v>617.53574118634504</v>
      </c>
      <c r="L10" s="189">
        <v>-27.1</v>
      </c>
      <c r="M10" s="189">
        <v>-12.34</v>
      </c>
      <c r="N10" s="189">
        <v>82</v>
      </c>
      <c r="O10" s="189" t="s">
        <v>564</v>
      </c>
      <c r="P10" s="189" t="s">
        <v>565</v>
      </c>
      <c r="Q10" s="189" t="s">
        <v>253</v>
      </c>
      <c r="R10" s="189" t="s">
        <v>253</v>
      </c>
      <c r="S10" s="189" t="s">
        <v>257</v>
      </c>
      <c r="T10" s="189" t="s">
        <v>253</v>
      </c>
      <c r="U10" s="189" t="s">
        <v>253</v>
      </c>
      <c r="V10" s="189" t="s">
        <v>253</v>
      </c>
      <c r="W10" s="189" t="s">
        <v>253</v>
      </c>
      <c r="X10" s="189" t="s">
        <v>566</v>
      </c>
      <c r="Y10" s="189" t="s">
        <v>567</v>
      </c>
    </row>
    <row r="11" spans="1:26" x14ac:dyDescent="0.2">
      <c r="A11" s="189">
        <v>581</v>
      </c>
      <c r="B11" s="189" t="s">
        <v>359</v>
      </c>
      <c r="C11" s="189" t="s">
        <v>365</v>
      </c>
      <c r="D11" s="189" t="s">
        <v>365</v>
      </c>
      <c r="E11" s="189" t="s">
        <v>268</v>
      </c>
      <c r="F11" s="189" t="s">
        <v>537</v>
      </c>
      <c r="G11" s="189" t="s">
        <v>264</v>
      </c>
      <c r="H11" s="189" t="s">
        <v>256</v>
      </c>
      <c r="I11" s="189">
        <v>25350</v>
      </c>
      <c r="J11" s="189">
        <v>357.44380312215998</v>
      </c>
      <c r="K11" s="189">
        <v>607.35721941292604</v>
      </c>
      <c r="L11" s="189">
        <v>-26.77</v>
      </c>
      <c r="M11" s="189">
        <v>-13.45</v>
      </c>
      <c r="N11" s="189">
        <v>118</v>
      </c>
      <c r="O11" s="189" t="s">
        <v>568</v>
      </c>
      <c r="P11" s="189" t="s">
        <v>569</v>
      </c>
      <c r="Q11" s="189" t="s">
        <v>253</v>
      </c>
      <c r="R11" s="189" t="s">
        <v>253</v>
      </c>
      <c r="S11" s="189" t="s">
        <v>253</v>
      </c>
      <c r="T11" s="189" t="s">
        <v>261</v>
      </c>
      <c r="U11" s="189" t="s">
        <v>258</v>
      </c>
      <c r="V11" s="189" t="s">
        <v>253</v>
      </c>
      <c r="W11" s="189" t="s">
        <v>253</v>
      </c>
      <c r="X11" s="189" t="s">
        <v>570</v>
      </c>
      <c r="Y11" s="189" t="s">
        <v>571</v>
      </c>
    </row>
    <row r="12" spans="1:26" x14ac:dyDescent="0.2">
      <c r="A12" s="189">
        <v>620</v>
      </c>
      <c r="B12" s="189" t="s">
        <v>365</v>
      </c>
      <c r="C12" s="189" t="s">
        <v>365</v>
      </c>
      <c r="D12" s="189" t="s">
        <v>365</v>
      </c>
      <c r="E12" s="189" t="s">
        <v>268</v>
      </c>
      <c r="F12" s="189" t="s">
        <v>537</v>
      </c>
      <c r="G12" s="189" t="s">
        <v>264</v>
      </c>
      <c r="H12" s="189" t="s">
        <v>256</v>
      </c>
      <c r="I12" s="189">
        <v>53796</v>
      </c>
      <c r="J12" s="189">
        <v>366.25</v>
      </c>
      <c r="K12" s="189">
        <v>659.25</v>
      </c>
      <c r="L12" s="189">
        <v>-28.45</v>
      </c>
      <c r="M12" s="189">
        <v>-13.17</v>
      </c>
      <c r="N12" s="189">
        <v>118</v>
      </c>
      <c r="O12" s="189" t="s">
        <v>564</v>
      </c>
      <c r="P12" s="189" t="s">
        <v>565</v>
      </c>
      <c r="Q12" s="189" t="s">
        <v>253</v>
      </c>
      <c r="R12" s="189" t="s">
        <v>259</v>
      </c>
      <c r="S12" s="189" t="s">
        <v>257</v>
      </c>
      <c r="T12" s="189" t="s">
        <v>253</v>
      </c>
      <c r="U12" s="189" t="s">
        <v>258</v>
      </c>
      <c r="V12" s="189" t="s">
        <v>253</v>
      </c>
      <c r="W12" s="189" t="s">
        <v>253</v>
      </c>
      <c r="X12" s="189" t="s">
        <v>572</v>
      </c>
      <c r="Y12" s="189" t="s">
        <v>573</v>
      </c>
    </row>
    <row r="13" spans="1:26" x14ac:dyDescent="0.2">
      <c r="A13" s="189">
        <v>143</v>
      </c>
      <c r="B13" s="189" t="s">
        <v>293</v>
      </c>
      <c r="C13" s="189" t="s">
        <v>50</v>
      </c>
      <c r="D13" s="189" t="s">
        <v>50</v>
      </c>
      <c r="E13" s="189" t="s">
        <v>268</v>
      </c>
      <c r="F13" s="189" t="s">
        <v>537</v>
      </c>
      <c r="G13" s="189" t="s">
        <v>265</v>
      </c>
      <c r="H13" s="189" t="s">
        <v>256</v>
      </c>
      <c r="I13" s="189">
        <v>11784</v>
      </c>
      <c r="J13" s="189">
        <v>535.65551226019898</v>
      </c>
      <c r="K13" s="189">
        <v>859.50430946342601</v>
      </c>
      <c r="L13" s="189">
        <v>-34.93</v>
      </c>
      <c r="M13" s="189">
        <v>-7.7</v>
      </c>
      <c r="N13" s="189">
        <v>52</v>
      </c>
      <c r="O13" s="189" t="s">
        <v>542</v>
      </c>
      <c r="P13" s="189" t="s">
        <v>543</v>
      </c>
      <c r="Q13" s="189" t="s">
        <v>253</v>
      </c>
      <c r="R13" s="189" t="s">
        <v>253</v>
      </c>
      <c r="S13" s="189" t="s">
        <v>257</v>
      </c>
      <c r="T13" s="189" t="s">
        <v>261</v>
      </c>
      <c r="U13" s="189" t="s">
        <v>253</v>
      </c>
      <c r="V13" s="189" t="s">
        <v>253</v>
      </c>
      <c r="W13" s="189" t="s">
        <v>253</v>
      </c>
      <c r="X13" s="189" t="s">
        <v>574</v>
      </c>
      <c r="Y13" s="189" t="s">
        <v>575</v>
      </c>
    </row>
    <row r="14" spans="1:26" x14ac:dyDescent="0.2">
      <c r="A14" s="189">
        <v>169</v>
      </c>
      <c r="B14" s="189" t="s">
        <v>50</v>
      </c>
      <c r="C14" s="189" t="s">
        <v>50</v>
      </c>
      <c r="D14" s="189" t="s">
        <v>50</v>
      </c>
      <c r="E14" s="189" t="s">
        <v>268</v>
      </c>
      <c r="F14" s="189" t="s">
        <v>537</v>
      </c>
      <c r="G14" s="189" t="s">
        <v>265</v>
      </c>
      <c r="H14" s="189" t="s">
        <v>256</v>
      </c>
      <c r="I14" s="189">
        <v>32035</v>
      </c>
      <c r="J14" s="189">
        <v>550.5</v>
      </c>
      <c r="K14" s="189">
        <v>830.5</v>
      </c>
      <c r="L14" s="189">
        <v>-33.99</v>
      </c>
      <c r="M14" s="189">
        <v>-7.22</v>
      </c>
      <c r="N14" s="189">
        <v>13</v>
      </c>
      <c r="O14" s="189" t="s">
        <v>542</v>
      </c>
      <c r="P14" s="189" t="s">
        <v>543</v>
      </c>
      <c r="Q14" s="189" t="s">
        <v>253</v>
      </c>
      <c r="R14" s="189" t="s">
        <v>259</v>
      </c>
      <c r="S14" s="189" t="s">
        <v>257</v>
      </c>
      <c r="T14" s="189" t="s">
        <v>253</v>
      </c>
      <c r="U14" s="189" t="s">
        <v>258</v>
      </c>
      <c r="V14" s="189" t="s">
        <v>253</v>
      </c>
      <c r="W14" s="189" t="s">
        <v>253</v>
      </c>
      <c r="X14" s="189" t="s">
        <v>576</v>
      </c>
      <c r="Y14" s="189" t="s">
        <v>577</v>
      </c>
    </row>
    <row r="15" spans="1:26" x14ac:dyDescent="0.2">
      <c r="A15" s="189">
        <v>381</v>
      </c>
      <c r="B15" s="189" t="s">
        <v>329</v>
      </c>
      <c r="C15" s="189" t="s">
        <v>50</v>
      </c>
      <c r="D15" s="189" t="s">
        <v>50</v>
      </c>
      <c r="E15" s="189" t="s">
        <v>268</v>
      </c>
      <c r="F15" s="189" t="s">
        <v>537</v>
      </c>
      <c r="G15" s="189" t="s">
        <v>265</v>
      </c>
      <c r="H15" s="189" t="s">
        <v>256</v>
      </c>
      <c r="I15" s="189">
        <v>1799</v>
      </c>
      <c r="J15" s="189">
        <v>522.304716970399</v>
      </c>
      <c r="K15" s="189">
        <v>899.16745931854496</v>
      </c>
      <c r="L15" s="189">
        <v>-36.22</v>
      </c>
      <c r="M15" s="189">
        <v>-8.1300000000000008</v>
      </c>
      <c r="N15" s="189">
        <v>52</v>
      </c>
      <c r="O15" s="189" t="s">
        <v>542</v>
      </c>
      <c r="P15" s="189" t="s">
        <v>543</v>
      </c>
      <c r="Q15" s="189" t="s">
        <v>253</v>
      </c>
      <c r="R15" s="189" t="s">
        <v>253</v>
      </c>
      <c r="S15" s="189" t="s">
        <v>253</v>
      </c>
      <c r="T15" s="189" t="s">
        <v>253</v>
      </c>
      <c r="U15" s="189" t="s">
        <v>253</v>
      </c>
      <c r="V15" s="189" t="s">
        <v>253</v>
      </c>
      <c r="W15" s="189" t="s">
        <v>253</v>
      </c>
      <c r="X15" s="189" t="s">
        <v>578</v>
      </c>
      <c r="Y15" s="189" t="s">
        <v>579</v>
      </c>
    </row>
    <row r="16" spans="1:26" x14ac:dyDescent="0.2">
      <c r="A16" s="189">
        <v>583</v>
      </c>
      <c r="B16" s="189" t="s">
        <v>360</v>
      </c>
      <c r="C16" s="189" t="s">
        <v>50</v>
      </c>
      <c r="D16" s="189" t="s">
        <v>50</v>
      </c>
      <c r="E16" s="189" t="s">
        <v>268</v>
      </c>
      <c r="F16" s="189" t="s">
        <v>537</v>
      </c>
      <c r="G16" s="189" t="s">
        <v>265</v>
      </c>
      <c r="H16" s="189" t="s">
        <v>256</v>
      </c>
      <c r="I16" s="189">
        <v>33357</v>
      </c>
      <c r="J16" s="189">
        <v>565.35422014975302</v>
      </c>
      <c r="K16" s="189">
        <v>822.52688810683799</v>
      </c>
      <c r="L16" s="189">
        <v>-33.729999999999997</v>
      </c>
      <c r="M16" s="189">
        <v>-6.74</v>
      </c>
      <c r="N16" s="189">
        <v>118</v>
      </c>
      <c r="O16" s="189" t="s">
        <v>554</v>
      </c>
      <c r="P16" s="189" t="s">
        <v>555</v>
      </c>
      <c r="Q16" s="189" t="s">
        <v>253</v>
      </c>
      <c r="R16" s="189" t="s">
        <v>253</v>
      </c>
      <c r="S16" s="189" t="s">
        <v>257</v>
      </c>
      <c r="T16" s="189" t="s">
        <v>261</v>
      </c>
      <c r="U16" s="189" t="s">
        <v>258</v>
      </c>
      <c r="V16" s="189" t="s">
        <v>253</v>
      </c>
      <c r="W16" s="189" t="s">
        <v>266</v>
      </c>
      <c r="X16" s="189" t="s">
        <v>580</v>
      </c>
      <c r="Y16" s="189" t="s">
        <v>581</v>
      </c>
    </row>
    <row r="17" spans="1:25" x14ac:dyDescent="0.2">
      <c r="A17" s="189">
        <v>662</v>
      </c>
      <c r="B17" s="189" t="s">
        <v>372</v>
      </c>
      <c r="C17" s="189" t="s">
        <v>50</v>
      </c>
      <c r="D17" s="189" t="s">
        <v>50</v>
      </c>
      <c r="E17" s="189" t="s">
        <v>268</v>
      </c>
      <c r="F17" s="189" t="s">
        <v>537</v>
      </c>
      <c r="G17" s="189" t="s">
        <v>265</v>
      </c>
      <c r="H17" s="189" t="s">
        <v>256</v>
      </c>
      <c r="I17" s="189">
        <v>19353</v>
      </c>
      <c r="J17" s="189">
        <v>525.98299730534404</v>
      </c>
      <c r="K17" s="189">
        <v>919.97212428180399</v>
      </c>
      <c r="L17" s="189">
        <v>-36.89</v>
      </c>
      <c r="M17" s="189">
        <v>-8.01</v>
      </c>
      <c r="N17" s="189">
        <v>52</v>
      </c>
      <c r="O17" s="189" t="s">
        <v>538</v>
      </c>
      <c r="P17" s="189" t="s">
        <v>539</v>
      </c>
      <c r="Q17" s="189" t="s">
        <v>253</v>
      </c>
      <c r="R17" s="189" t="s">
        <v>253</v>
      </c>
      <c r="S17" s="189" t="s">
        <v>257</v>
      </c>
      <c r="T17" s="189" t="s">
        <v>261</v>
      </c>
      <c r="U17" s="189" t="s">
        <v>253</v>
      </c>
      <c r="V17" s="189" t="s">
        <v>253</v>
      </c>
      <c r="W17" s="189" t="s">
        <v>253</v>
      </c>
      <c r="X17" s="189" t="s">
        <v>582</v>
      </c>
      <c r="Y17" s="189" t="s">
        <v>583</v>
      </c>
    </row>
    <row r="18" spans="1:25" x14ac:dyDescent="0.2">
      <c r="A18" s="189">
        <v>1013</v>
      </c>
      <c r="B18" s="189" t="s">
        <v>487</v>
      </c>
      <c r="C18" s="189" t="s">
        <v>50</v>
      </c>
      <c r="D18" s="189" t="s">
        <v>50</v>
      </c>
      <c r="E18" s="189" t="s">
        <v>268</v>
      </c>
      <c r="F18" s="189" t="s">
        <v>537</v>
      </c>
      <c r="G18" s="189" t="s">
        <v>265</v>
      </c>
      <c r="H18" s="189" t="s">
        <v>256</v>
      </c>
      <c r="I18" s="189">
        <v>2337</v>
      </c>
      <c r="J18" s="189">
        <v>538.94455658086395</v>
      </c>
      <c r="K18" s="189">
        <v>801.62491414000897</v>
      </c>
      <c r="L18" s="189">
        <v>-33.06</v>
      </c>
      <c r="M18" s="189">
        <v>-7.59</v>
      </c>
      <c r="N18" s="189">
        <v>52</v>
      </c>
      <c r="O18" s="189" t="s">
        <v>554</v>
      </c>
      <c r="P18" s="189" t="s">
        <v>555</v>
      </c>
      <c r="Q18" s="189" t="s">
        <v>253</v>
      </c>
      <c r="R18" s="189" t="s">
        <v>253</v>
      </c>
      <c r="S18" s="189" t="s">
        <v>253</v>
      </c>
      <c r="T18" s="189" t="s">
        <v>253</v>
      </c>
      <c r="U18" s="189" t="s">
        <v>253</v>
      </c>
      <c r="V18" s="189" t="s">
        <v>253</v>
      </c>
      <c r="W18" s="189" t="s">
        <v>253</v>
      </c>
      <c r="X18" s="189" t="s">
        <v>584</v>
      </c>
      <c r="Y18" s="189" t="s">
        <v>585</v>
      </c>
    </row>
    <row r="19" spans="1:25" x14ac:dyDescent="0.2">
      <c r="A19" s="189">
        <v>349</v>
      </c>
      <c r="B19" s="189" t="s">
        <v>325</v>
      </c>
      <c r="C19" s="189" t="s">
        <v>438</v>
      </c>
      <c r="D19" s="189" t="s">
        <v>434</v>
      </c>
      <c r="E19" s="189" t="s">
        <v>268</v>
      </c>
      <c r="F19" s="189" t="s">
        <v>537</v>
      </c>
      <c r="G19" s="189" t="s">
        <v>265</v>
      </c>
      <c r="H19" s="189" t="s">
        <v>256</v>
      </c>
      <c r="I19" s="189">
        <v>2822</v>
      </c>
      <c r="J19" s="189">
        <v>489</v>
      </c>
      <c r="K19" s="189">
        <v>840</v>
      </c>
      <c r="L19" s="189">
        <v>-34.299999999999997</v>
      </c>
      <c r="M19" s="189">
        <v>-9.2100000000000009</v>
      </c>
      <c r="N19" s="189">
        <v>161</v>
      </c>
      <c r="O19" s="189" t="s">
        <v>542</v>
      </c>
      <c r="P19" s="189" t="s">
        <v>543</v>
      </c>
      <c r="Q19" s="189" t="s">
        <v>253</v>
      </c>
      <c r="R19" s="189" t="s">
        <v>259</v>
      </c>
      <c r="S19" s="189" t="s">
        <v>257</v>
      </c>
      <c r="T19" s="189" t="s">
        <v>253</v>
      </c>
      <c r="U19" s="189" t="s">
        <v>258</v>
      </c>
      <c r="V19" s="189" t="s">
        <v>253</v>
      </c>
      <c r="W19" s="189" t="s">
        <v>253</v>
      </c>
      <c r="X19" s="189" t="s">
        <v>586</v>
      </c>
      <c r="Y19" s="189" t="s">
        <v>587</v>
      </c>
    </row>
    <row r="20" spans="1:25" x14ac:dyDescent="0.2">
      <c r="A20" s="189">
        <v>414</v>
      </c>
      <c r="B20" s="189" t="s">
        <v>336</v>
      </c>
      <c r="C20" s="189" t="s">
        <v>438</v>
      </c>
      <c r="D20" s="189" t="s">
        <v>434</v>
      </c>
      <c r="E20" s="189" t="s">
        <v>268</v>
      </c>
      <c r="F20" s="189" t="s">
        <v>537</v>
      </c>
      <c r="G20" s="189" t="s">
        <v>255</v>
      </c>
      <c r="H20" s="189" t="s">
        <v>256</v>
      </c>
      <c r="I20" s="189">
        <v>1905</v>
      </c>
      <c r="J20" s="189">
        <v>500.85781258357798</v>
      </c>
      <c r="K20" s="189">
        <v>760.63836183633896</v>
      </c>
      <c r="L20" s="189">
        <v>-31.73</v>
      </c>
      <c r="M20" s="189">
        <v>-8.82</v>
      </c>
      <c r="N20" s="189">
        <v>948</v>
      </c>
      <c r="O20" s="189" t="s">
        <v>542</v>
      </c>
      <c r="P20" s="189" t="s">
        <v>543</v>
      </c>
      <c r="Q20" s="189" t="s">
        <v>253</v>
      </c>
      <c r="R20" s="189" t="s">
        <v>253</v>
      </c>
      <c r="S20" s="189" t="s">
        <v>253</v>
      </c>
      <c r="T20" s="189" t="s">
        <v>261</v>
      </c>
      <c r="U20" s="189" t="s">
        <v>253</v>
      </c>
      <c r="V20" s="189" t="s">
        <v>253</v>
      </c>
      <c r="W20" s="189" t="s">
        <v>253</v>
      </c>
      <c r="X20" s="189" t="s">
        <v>588</v>
      </c>
      <c r="Y20" s="189" t="s">
        <v>589</v>
      </c>
    </row>
    <row r="21" spans="1:25" x14ac:dyDescent="0.2">
      <c r="A21" s="189">
        <v>758</v>
      </c>
      <c r="B21" s="189" t="s">
        <v>384</v>
      </c>
      <c r="C21" s="189" t="s">
        <v>438</v>
      </c>
      <c r="D21" s="189" t="s">
        <v>434</v>
      </c>
      <c r="E21" s="189" t="s">
        <v>268</v>
      </c>
      <c r="F21" s="189" t="s">
        <v>537</v>
      </c>
      <c r="G21" s="189" t="s">
        <v>255</v>
      </c>
      <c r="H21" s="189" t="s">
        <v>256</v>
      </c>
      <c r="I21" s="189">
        <v>2121</v>
      </c>
      <c r="J21" s="189">
        <v>489.47265916589203</v>
      </c>
      <c r="K21" s="189">
        <v>762.27315309631399</v>
      </c>
      <c r="L21" s="189">
        <v>-31.78</v>
      </c>
      <c r="M21" s="189">
        <v>-9.19</v>
      </c>
      <c r="N21" s="189">
        <v>738</v>
      </c>
      <c r="O21" s="189" t="s">
        <v>542</v>
      </c>
      <c r="P21" s="189" t="s">
        <v>543</v>
      </c>
      <c r="Q21" s="189" t="s">
        <v>253</v>
      </c>
      <c r="R21" s="189" t="s">
        <v>253</v>
      </c>
      <c r="S21" s="189" t="s">
        <v>257</v>
      </c>
      <c r="T21" s="189" t="s">
        <v>253</v>
      </c>
      <c r="U21" s="189" t="s">
        <v>258</v>
      </c>
      <c r="V21" s="189" t="s">
        <v>253</v>
      </c>
      <c r="W21" s="189" t="s">
        <v>253</v>
      </c>
      <c r="X21" s="189" t="s">
        <v>590</v>
      </c>
      <c r="Y21" s="189" t="s">
        <v>591</v>
      </c>
    </row>
    <row r="22" spans="1:25" x14ac:dyDescent="0.2">
      <c r="A22" s="189">
        <v>851</v>
      </c>
      <c r="B22" s="189" t="s">
        <v>403</v>
      </c>
      <c r="C22" s="189" t="s">
        <v>438</v>
      </c>
      <c r="D22" s="189" t="s">
        <v>434</v>
      </c>
      <c r="E22" s="189" t="s">
        <v>268</v>
      </c>
      <c r="F22" s="189" t="s">
        <v>537</v>
      </c>
      <c r="G22" s="189" t="s">
        <v>255</v>
      </c>
      <c r="H22" s="189" t="s">
        <v>256</v>
      </c>
      <c r="I22" s="189">
        <v>14504</v>
      </c>
      <c r="J22" s="189">
        <v>465.72926229481999</v>
      </c>
      <c r="K22" s="189">
        <v>777.76474646465294</v>
      </c>
      <c r="L22" s="189">
        <v>-32.28</v>
      </c>
      <c r="M22" s="189">
        <v>-9.9600000000000009</v>
      </c>
      <c r="N22" s="189">
        <v>738</v>
      </c>
      <c r="O22" s="189" t="s">
        <v>542</v>
      </c>
      <c r="P22" s="189" t="s">
        <v>543</v>
      </c>
      <c r="Q22" s="189" t="s">
        <v>253</v>
      </c>
      <c r="R22" s="189" t="s">
        <v>253</v>
      </c>
      <c r="S22" s="189" t="s">
        <v>257</v>
      </c>
      <c r="T22" s="189" t="s">
        <v>253</v>
      </c>
      <c r="U22" s="189" t="s">
        <v>253</v>
      </c>
      <c r="V22" s="189" t="s">
        <v>253</v>
      </c>
      <c r="W22" s="189" t="s">
        <v>253</v>
      </c>
      <c r="X22" s="189" t="s">
        <v>592</v>
      </c>
      <c r="Y22" s="189" t="s">
        <v>593</v>
      </c>
    </row>
    <row r="23" spans="1:25" x14ac:dyDescent="0.2">
      <c r="A23" s="189">
        <v>925</v>
      </c>
      <c r="B23" s="189" t="s">
        <v>412</v>
      </c>
      <c r="C23" s="189" t="s">
        <v>438</v>
      </c>
      <c r="D23" s="189" t="s">
        <v>434</v>
      </c>
      <c r="E23" s="189" t="s">
        <v>268</v>
      </c>
      <c r="F23" s="189" t="s">
        <v>537</v>
      </c>
      <c r="G23" s="189" t="s">
        <v>255</v>
      </c>
      <c r="H23" s="189" t="s">
        <v>256</v>
      </c>
      <c r="I23" s="189">
        <v>10406</v>
      </c>
      <c r="J23" s="189">
        <v>498.38616389290098</v>
      </c>
      <c r="K23" s="189">
        <v>783.13620346171501</v>
      </c>
      <c r="L23" s="189">
        <v>-32.46</v>
      </c>
      <c r="M23" s="189">
        <v>-8.9</v>
      </c>
      <c r="N23" s="189">
        <v>643</v>
      </c>
      <c r="O23" s="189" t="s">
        <v>542</v>
      </c>
      <c r="P23" s="189" t="s">
        <v>543</v>
      </c>
      <c r="Q23" s="189" t="s">
        <v>253</v>
      </c>
      <c r="R23" s="189" t="s">
        <v>253</v>
      </c>
      <c r="S23" s="189" t="s">
        <v>253</v>
      </c>
      <c r="T23" s="189" t="s">
        <v>253</v>
      </c>
      <c r="U23" s="189" t="s">
        <v>253</v>
      </c>
      <c r="V23" s="189" t="s">
        <v>253</v>
      </c>
      <c r="W23" s="189" t="s">
        <v>253</v>
      </c>
      <c r="X23" s="189" t="s">
        <v>594</v>
      </c>
      <c r="Y23" s="189" t="s">
        <v>595</v>
      </c>
    </row>
    <row r="24" spans="1:25" x14ac:dyDescent="0.2">
      <c r="A24" s="189">
        <v>985</v>
      </c>
      <c r="B24" s="189" t="s">
        <v>434</v>
      </c>
      <c r="C24" s="189" t="s">
        <v>438</v>
      </c>
      <c r="D24" s="189" t="s">
        <v>434</v>
      </c>
      <c r="E24" s="189" t="s">
        <v>268</v>
      </c>
      <c r="F24" s="189" t="s">
        <v>537</v>
      </c>
      <c r="G24" s="189" t="s">
        <v>265</v>
      </c>
      <c r="H24" s="189" t="s">
        <v>256</v>
      </c>
      <c r="I24" s="189">
        <v>34107</v>
      </c>
      <c r="J24" s="189">
        <v>535</v>
      </c>
      <c r="K24" s="189">
        <v>833.5</v>
      </c>
      <c r="L24" s="189">
        <v>-34.090000000000003</v>
      </c>
      <c r="M24" s="189">
        <v>-7.72</v>
      </c>
      <c r="N24" s="189">
        <v>13</v>
      </c>
      <c r="O24" s="189" t="s">
        <v>542</v>
      </c>
      <c r="P24" s="189" t="s">
        <v>543</v>
      </c>
      <c r="Q24" s="189" t="s">
        <v>253</v>
      </c>
      <c r="R24" s="189" t="s">
        <v>259</v>
      </c>
      <c r="S24" s="189" t="s">
        <v>253</v>
      </c>
      <c r="T24" s="189" t="s">
        <v>261</v>
      </c>
      <c r="U24" s="189" t="s">
        <v>258</v>
      </c>
      <c r="V24" s="189" t="s">
        <v>253</v>
      </c>
      <c r="W24" s="189" t="s">
        <v>266</v>
      </c>
      <c r="X24" s="189" t="s">
        <v>596</v>
      </c>
      <c r="Y24" s="189" t="s">
        <v>597</v>
      </c>
    </row>
    <row r="25" spans="1:25" x14ac:dyDescent="0.2">
      <c r="A25" s="189">
        <v>65</v>
      </c>
      <c r="B25" s="189" t="s">
        <v>278</v>
      </c>
      <c r="C25" s="189" t="s">
        <v>278</v>
      </c>
      <c r="D25" s="189" t="s">
        <v>278</v>
      </c>
      <c r="E25" s="189" t="s">
        <v>268</v>
      </c>
      <c r="F25" s="189" t="s">
        <v>537</v>
      </c>
      <c r="G25" s="189" t="s">
        <v>264</v>
      </c>
      <c r="H25" s="189" t="s">
        <v>256</v>
      </c>
      <c r="I25" s="189">
        <v>11053</v>
      </c>
      <c r="J25" s="189">
        <v>376.78883303187001</v>
      </c>
      <c r="K25" s="189">
        <v>566.81828852567696</v>
      </c>
      <c r="L25" s="189">
        <v>-25.45</v>
      </c>
      <c r="M25" s="189">
        <v>-12.83</v>
      </c>
      <c r="N25" s="189">
        <v>161</v>
      </c>
      <c r="O25" s="189" t="s">
        <v>568</v>
      </c>
      <c r="P25" s="189" t="s">
        <v>569</v>
      </c>
      <c r="Q25" s="189" t="s">
        <v>253</v>
      </c>
      <c r="R25" s="189" t="s">
        <v>253</v>
      </c>
      <c r="S25" s="189" t="s">
        <v>253</v>
      </c>
      <c r="T25" s="189" t="s">
        <v>261</v>
      </c>
      <c r="U25" s="189" t="s">
        <v>258</v>
      </c>
      <c r="V25" s="189" t="s">
        <v>253</v>
      </c>
      <c r="W25" s="189" t="s">
        <v>253</v>
      </c>
      <c r="X25" s="189" t="s">
        <v>598</v>
      </c>
      <c r="Y25" s="189" t="s">
        <v>599</v>
      </c>
    </row>
    <row r="26" spans="1:25" x14ac:dyDescent="0.2">
      <c r="A26" s="189">
        <v>156</v>
      </c>
      <c r="B26" s="189" t="s">
        <v>295</v>
      </c>
      <c r="C26" s="189" t="s">
        <v>278</v>
      </c>
      <c r="D26" s="189" t="s">
        <v>278</v>
      </c>
      <c r="E26" s="189" t="s">
        <v>268</v>
      </c>
      <c r="F26" s="189" t="s">
        <v>537</v>
      </c>
      <c r="G26" s="189" t="s">
        <v>255</v>
      </c>
      <c r="H26" s="189" t="s">
        <v>256</v>
      </c>
      <c r="I26" s="189">
        <v>11553</v>
      </c>
      <c r="J26" s="189">
        <v>415</v>
      </c>
      <c r="K26" s="189">
        <v>568</v>
      </c>
      <c r="L26" s="189">
        <v>-25.49</v>
      </c>
      <c r="M26" s="189">
        <v>-11.6</v>
      </c>
      <c r="N26" s="189">
        <v>82</v>
      </c>
      <c r="O26" s="189" t="s">
        <v>568</v>
      </c>
      <c r="P26" s="189" t="s">
        <v>569</v>
      </c>
      <c r="Q26" s="189" t="s">
        <v>253</v>
      </c>
      <c r="R26" s="189" t="s">
        <v>259</v>
      </c>
      <c r="S26" s="189" t="s">
        <v>253</v>
      </c>
      <c r="T26" s="189" t="s">
        <v>253</v>
      </c>
      <c r="U26" s="189" t="s">
        <v>253</v>
      </c>
      <c r="V26" s="189" t="s">
        <v>253</v>
      </c>
      <c r="W26" s="189" t="s">
        <v>253</v>
      </c>
      <c r="X26" s="189" t="s">
        <v>600</v>
      </c>
      <c r="Y26" s="189" t="s">
        <v>601</v>
      </c>
    </row>
    <row r="27" spans="1:25" x14ac:dyDescent="0.2">
      <c r="A27" s="189">
        <v>658</v>
      </c>
      <c r="B27" s="189" t="s">
        <v>370</v>
      </c>
      <c r="C27" s="189" t="s">
        <v>278</v>
      </c>
      <c r="D27" s="189" t="s">
        <v>278</v>
      </c>
      <c r="E27" s="189" t="s">
        <v>268</v>
      </c>
      <c r="F27" s="189" t="s">
        <v>537</v>
      </c>
      <c r="G27" s="189" t="s">
        <v>264</v>
      </c>
      <c r="H27" s="189" t="s">
        <v>256</v>
      </c>
      <c r="I27" s="189">
        <v>1958</v>
      </c>
      <c r="J27" s="189">
        <v>410.12689765494099</v>
      </c>
      <c r="K27" s="189">
        <v>528.28392311197001</v>
      </c>
      <c r="L27" s="189">
        <v>-24.21</v>
      </c>
      <c r="M27" s="189">
        <v>-11.75</v>
      </c>
      <c r="N27" s="189">
        <v>82</v>
      </c>
      <c r="O27" s="189" t="s">
        <v>602</v>
      </c>
      <c r="P27" s="189" t="s">
        <v>603</v>
      </c>
      <c r="Q27" s="189" t="s">
        <v>253</v>
      </c>
      <c r="R27" s="189" t="s">
        <v>253</v>
      </c>
      <c r="S27" s="189" t="s">
        <v>253</v>
      </c>
      <c r="T27" s="189" t="s">
        <v>261</v>
      </c>
      <c r="U27" s="189" t="s">
        <v>258</v>
      </c>
      <c r="V27" s="189" t="s">
        <v>253</v>
      </c>
      <c r="W27" s="189" t="s">
        <v>253</v>
      </c>
      <c r="X27" s="189" t="s">
        <v>604</v>
      </c>
      <c r="Y27" s="189" t="s">
        <v>605</v>
      </c>
    </row>
    <row r="28" spans="1:25" x14ac:dyDescent="0.2">
      <c r="A28" s="189">
        <v>892</v>
      </c>
      <c r="B28" s="189" t="s">
        <v>407</v>
      </c>
      <c r="C28" s="189" t="s">
        <v>278</v>
      </c>
      <c r="D28" s="189" t="s">
        <v>278</v>
      </c>
      <c r="E28" s="189" t="s">
        <v>268</v>
      </c>
      <c r="F28" s="189" t="s">
        <v>537</v>
      </c>
      <c r="G28" s="189" t="s">
        <v>264</v>
      </c>
      <c r="H28" s="189" t="s">
        <v>256</v>
      </c>
      <c r="I28" s="189">
        <v>9654</v>
      </c>
      <c r="J28" s="189">
        <v>427</v>
      </c>
      <c r="K28" s="189">
        <v>540.5</v>
      </c>
      <c r="L28" s="189">
        <v>-24.6</v>
      </c>
      <c r="M28" s="189">
        <v>-11.21</v>
      </c>
      <c r="N28" s="189">
        <v>161</v>
      </c>
      <c r="O28" s="189" t="s">
        <v>602</v>
      </c>
      <c r="P28" s="189" t="s">
        <v>603</v>
      </c>
      <c r="Q28" s="189" t="s">
        <v>253</v>
      </c>
      <c r="R28" s="189" t="s">
        <v>259</v>
      </c>
      <c r="S28" s="189" t="s">
        <v>253</v>
      </c>
      <c r="T28" s="189" t="s">
        <v>253</v>
      </c>
      <c r="U28" s="189" t="s">
        <v>253</v>
      </c>
      <c r="V28" s="189" t="s">
        <v>253</v>
      </c>
      <c r="W28" s="189" t="s">
        <v>253</v>
      </c>
      <c r="X28" s="189" t="s">
        <v>606</v>
      </c>
      <c r="Y28" s="189" t="s">
        <v>607</v>
      </c>
    </row>
    <row r="29" spans="1:25" x14ac:dyDescent="0.2">
      <c r="A29" s="189">
        <v>211</v>
      </c>
      <c r="B29" s="189" t="s">
        <v>305</v>
      </c>
      <c r="C29" s="189" t="s">
        <v>321</v>
      </c>
      <c r="D29" s="189" t="s">
        <v>321</v>
      </c>
      <c r="E29" s="189" t="s">
        <v>268</v>
      </c>
      <c r="F29" s="189" t="s">
        <v>537</v>
      </c>
      <c r="G29" s="189" t="s">
        <v>294</v>
      </c>
      <c r="H29" s="189" t="s">
        <v>256</v>
      </c>
      <c r="I29" s="189">
        <v>4433</v>
      </c>
      <c r="J29" s="189">
        <v>1155.0662435844699</v>
      </c>
      <c r="K29" s="189">
        <v>822.77989151611996</v>
      </c>
      <c r="L29" s="189">
        <v>-33.74</v>
      </c>
      <c r="M29" s="189">
        <v>12.31</v>
      </c>
      <c r="N29" s="189">
        <v>82</v>
      </c>
      <c r="O29" s="189" t="s">
        <v>554</v>
      </c>
      <c r="P29" s="189" t="s">
        <v>555</v>
      </c>
      <c r="Q29" s="189" t="s">
        <v>253</v>
      </c>
      <c r="R29" s="189" t="s">
        <v>253</v>
      </c>
      <c r="S29" s="189" t="s">
        <v>257</v>
      </c>
      <c r="T29" s="189" t="s">
        <v>253</v>
      </c>
      <c r="U29" s="189" t="s">
        <v>253</v>
      </c>
      <c r="V29" s="189" t="s">
        <v>253</v>
      </c>
      <c r="W29" s="189" t="s">
        <v>253</v>
      </c>
      <c r="X29" s="189" t="s">
        <v>608</v>
      </c>
      <c r="Y29" s="189" t="s">
        <v>609</v>
      </c>
    </row>
    <row r="30" spans="1:25" x14ac:dyDescent="0.2">
      <c r="A30" s="189">
        <v>297</v>
      </c>
      <c r="B30" s="189" t="s">
        <v>321</v>
      </c>
      <c r="C30" s="189" t="s">
        <v>321</v>
      </c>
      <c r="D30" s="189" t="s">
        <v>321</v>
      </c>
      <c r="E30" s="189" t="s">
        <v>268</v>
      </c>
      <c r="F30" s="189" t="s">
        <v>537</v>
      </c>
      <c r="G30" s="189" t="s">
        <v>294</v>
      </c>
      <c r="H30" s="189" t="s">
        <v>256</v>
      </c>
      <c r="I30" s="189">
        <v>31105</v>
      </c>
      <c r="J30" s="189">
        <v>1194</v>
      </c>
      <c r="K30" s="189">
        <v>816</v>
      </c>
      <c r="L30" s="189">
        <v>-33.520000000000003</v>
      </c>
      <c r="M30" s="189">
        <v>13.57</v>
      </c>
      <c r="N30" s="189">
        <v>52</v>
      </c>
      <c r="O30" s="189" t="s">
        <v>554</v>
      </c>
      <c r="P30" s="189" t="s">
        <v>555</v>
      </c>
      <c r="Q30" s="189" t="s">
        <v>253</v>
      </c>
      <c r="R30" s="189" t="s">
        <v>259</v>
      </c>
      <c r="S30" s="189" t="s">
        <v>253</v>
      </c>
      <c r="T30" s="189" t="s">
        <v>261</v>
      </c>
      <c r="U30" s="189" t="s">
        <v>258</v>
      </c>
      <c r="V30" s="189" t="s">
        <v>297</v>
      </c>
      <c r="W30" s="189" t="s">
        <v>266</v>
      </c>
      <c r="X30" s="189" t="s">
        <v>610</v>
      </c>
      <c r="Y30" s="189" t="s">
        <v>611</v>
      </c>
    </row>
    <row r="31" spans="1:25" x14ac:dyDescent="0.2">
      <c r="A31" s="189">
        <v>826</v>
      </c>
      <c r="B31" s="189" t="s">
        <v>397</v>
      </c>
      <c r="C31" s="189" t="s">
        <v>397</v>
      </c>
      <c r="D31" s="189" t="s">
        <v>397</v>
      </c>
      <c r="E31" s="189" t="s">
        <v>268</v>
      </c>
      <c r="F31" s="189" t="s">
        <v>537</v>
      </c>
      <c r="G31" s="189" t="s">
        <v>294</v>
      </c>
      <c r="H31" s="189" t="s">
        <v>256</v>
      </c>
      <c r="I31" s="189">
        <v>10378</v>
      </c>
      <c r="J31" s="189">
        <v>1009.06381462809</v>
      </c>
      <c r="K31" s="189">
        <v>679.77457986969603</v>
      </c>
      <c r="L31" s="189">
        <v>-29.11</v>
      </c>
      <c r="M31" s="189">
        <v>7.59</v>
      </c>
      <c r="N31" s="189">
        <v>2759</v>
      </c>
      <c r="O31" s="189" t="s">
        <v>612</v>
      </c>
      <c r="P31" s="189" t="s">
        <v>613</v>
      </c>
      <c r="Q31" s="189" t="s">
        <v>253</v>
      </c>
      <c r="R31" s="189" t="s">
        <v>253</v>
      </c>
      <c r="S31" s="189" t="s">
        <v>257</v>
      </c>
      <c r="T31" s="189" t="s">
        <v>253</v>
      </c>
      <c r="U31" s="189" t="s">
        <v>253</v>
      </c>
      <c r="V31" s="189" t="s">
        <v>253</v>
      </c>
      <c r="W31" s="189" t="s">
        <v>253</v>
      </c>
      <c r="X31" s="189" t="s">
        <v>614</v>
      </c>
      <c r="Y31" s="189" t="s">
        <v>615</v>
      </c>
    </row>
    <row r="32" spans="1:25" x14ac:dyDescent="0.2">
      <c r="A32" s="189">
        <v>920</v>
      </c>
      <c r="B32" s="189" t="s">
        <v>409</v>
      </c>
      <c r="C32" s="189" t="s">
        <v>397</v>
      </c>
      <c r="D32" s="189" t="s">
        <v>397</v>
      </c>
      <c r="E32" s="189" t="s">
        <v>268</v>
      </c>
      <c r="F32" s="189" t="s">
        <v>537</v>
      </c>
      <c r="G32" s="189" t="s">
        <v>294</v>
      </c>
      <c r="H32" s="189" t="s">
        <v>256</v>
      </c>
      <c r="I32" s="189">
        <v>27069</v>
      </c>
      <c r="J32" s="189">
        <v>1046.0606977853899</v>
      </c>
      <c r="K32" s="189">
        <v>713.01533548919701</v>
      </c>
      <c r="L32" s="189">
        <v>-30.19</v>
      </c>
      <c r="M32" s="189">
        <v>8.7899999999999991</v>
      </c>
      <c r="N32" s="189">
        <v>948</v>
      </c>
      <c r="O32" s="189" t="s">
        <v>554</v>
      </c>
      <c r="P32" s="189" t="s">
        <v>555</v>
      </c>
      <c r="Q32" s="189" t="s">
        <v>253</v>
      </c>
      <c r="R32" s="189" t="s">
        <v>253</v>
      </c>
      <c r="S32" s="189" t="s">
        <v>253</v>
      </c>
      <c r="T32" s="189" t="s">
        <v>261</v>
      </c>
      <c r="U32" s="189" t="s">
        <v>258</v>
      </c>
      <c r="V32" s="189" t="s">
        <v>253</v>
      </c>
      <c r="W32" s="189" t="s">
        <v>253</v>
      </c>
      <c r="X32" s="189" t="s">
        <v>616</v>
      </c>
      <c r="Y32" s="189" t="s">
        <v>617</v>
      </c>
    </row>
    <row r="33" spans="1:25" x14ac:dyDescent="0.2">
      <c r="A33" s="189">
        <v>1011</v>
      </c>
      <c r="B33" s="189" t="s">
        <v>461</v>
      </c>
      <c r="C33" s="189" t="s">
        <v>397</v>
      </c>
      <c r="D33" s="189" t="s">
        <v>397</v>
      </c>
      <c r="E33" s="189" t="s">
        <v>268</v>
      </c>
      <c r="F33" s="189" t="s">
        <v>537</v>
      </c>
      <c r="G33" s="189" t="s">
        <v>294</v>
      </c>
      <c r="H33" s="189" t="s">
        <v>256</v>
      </c>
      <c r="I33" s="189">
        <v>5151</v>
      </c>
      <c r="J33" s="189">
        <v>1023.1541583450201</v>
      </c>
      <c r="K33" s="189">
        <v>719.41826792410097</v>
      </c>
      <c r="L33" s="189">
        <v>-30.4</v>
      </c>
      <c r="M33" s="189">
        <v>8.0500000000000007</v>
      </c>
      <c r="N33" s="189">
        <v>1184</v>
      </c>
      <c r="O33" s="189" t="s">
        <v>542</v>
      </c>
      <c r="P33" s="189" t="s">
        <v>543</v>
      </c>
      <c r="Q33" s="189" t="s">
        <v>253</v>
      </c>
      <c r="R33" s="189" t="s">
        <v>253</v>
      </c>
      <c r="S33" s="189" t="s">
        <v>253</v>
      </c>
      <c r="T33" s="189" t="s">
        <v>253</v>
      </c>
      <c r="U33" s="189" t="s">
        <v>253</v>
      </c>
      <c r="V33" s="189" t="s">
        <v>253</v>
      </c>
      <c r="W33" s="189" t="s">
        <v>253</v>
      </c>
      <c r="X33" s="189" t="s">
        <v>618</v>
      </c>
      <c r="Y33" s="189" t="s">
        <v>619</v>
      </c>
    </row>
    <row r="34" spans="1:25" x14ac:dyDescent="0.2">
      <c r="A34" s="189">
        <v>351</v>
      </c>
      <c r="B34" s="189" t="s">
        <v>326</v>
      </c>
      <c r="C34" s="189" t="s">
        <v>443</v>
      </c>
      <c r="D34" s="189" t="s">
        <v>444</v>
      </c>
      <c r="E34" s="189" t="s">
        <v>268</v>
      </c>
      <c r="F34" s="189" t="s">
        <v>537</v>
      </c>
      <c r="G34" s="189" t="s">
        <v>306</v>
      </c>
      <c r="H34" s="189" t="s">
        <v>256</v>
      </c>
      <c r="I34" s="189">
        <v>8507</v>
      </c>
      <c r="J34" s="189">
        <v>415.84866706485502</v>
      </c>
      <c r="K34" s="189">
        <v>871.74578211252799</v>
      </c>
      <c r="L34" s="189">
        <v>-35.33</v>
      </c>
      <c r="M34" s="189">
        <v>-11.57</v>
      </c>
      <c r="N34" s="189">
        <v>266</v>
      </c>
      <c r="O34" s="189" t="s">
        <v>542</v>
      </c>
      <c r="P34" s="189" t="s">
        <v>543</v>
      </c>
      <c r="Q34" s="189" t="s">
        <v>253</v>
      </c>
      <c r="R34" s="189" t="s">
        <v>253</v>
      </c>
      <c r="S34" s="189" t="s">
        <v>253</v>
      </c>
      <c r="T34" s="189" t="s">
        <v>253</v>
      </c>
      <c r="U34" s="189" t="s">
        <v>253</v>
      </c>
      <c r="V34" s="189" t="s">
        <v>253</v>
      </c>
      <c r="W34" s="189" t="s">
        <v>253</v>
      </c>
      <c r="X34" s="189" t="s">
        <v>620</v>
      </c>
      <c r="Y34" s="189" t="s">
        <v>621</v>
      </c>
    </row>
    <row r="35" spans="1:25" x14ac:dyDescent="0.2">
      <c r="A35" s="189">
        <v>380</v>
      </c>
      <c r="B35" s="189" t="s">
        <v>622</v>
      </c>
      <c r="C35" s="189" t="s">
        <v>443</v>
      </c>
      <c r="D35" s="189" t="s">
        <v>444</v>
      </c>
      <c r="E35" s="189" t="s">
        <v>268</v>
      </c>
      <c r="F35" s="189" t="s">
        <v>537</v>
      </c>
      <c r="G35" s="189" t="s">
        <v>306</v>
      </c>
      <c r="H35" s="189" t="s">
        <v>256</v>
      </c>
      <c r="I35" s="189">
        <v>32536</v>
      </c>
      <c r="J35" s="189">
        <v>345.82510809590599</v>
      </c>
      <c r="K35" s="189">
        <v>885.93343483302897</v>
      </c>
      <c r="L35" s="189">
        <v>-35.79</v>
      </c>
      <c r="M35" s="189">
        <v>-13.83</v>
      </c>
      <c r="N35" s="189">
        <v>118</v>
      </c>
      <c r="O35" s="189" t="s">
        <v>542</v>
      </c>
      <c r="P35" s="189" t="s">
        <v>543</v>
      </c>
      <c r="Q35" s="189" t="s">
        <v>253</v>
      </c>
      <c r="R35" s="189" t="s">
        <v>253</v>
      </c>
      <c r="S35" s="189" t="s">
        <v>257</v>
      </c>
      <c r="T35" s="189" t="s">
        <v>261</v>
      </c>
      <c r="U35" s="189" t="s">
        <v>258</v>
      </c>
      <c r="V35" s="189" t="s">
        <v>253</v>
      </c>
      <c r="W35" s="189" t="s">
        <v>253</v>
      </c>
      <c r="X35" s="189" t="s">
        <v>623</v>
      </c>
      <c r="Y35" s="189" t="s">
        <v>624</v>
      </c>
    </row>
    <row r="36" spans="1:25" x14ac:dyDescent="0.2">
      <c r="A36" s="189">
        <v>543</v>
      </c>
      <c r="B36" s="189" t="s">
        <v>355</v>
      </c>
      <c r="C36" s="189" t="s">
        <v>443</v>
      </c>
      <c r="D36" s="189" t="s">
        <v>444</v>
      </c>
      <c r="E36" s="189" t="s">
        <v>268</v>
      </c>
      <c r="F36" s="189" t="s">
        <v>537</v>
      </c>
      <c r="G36" s="189" t="s">
        <v>306</v>
      </c>
      <c r="H36" s="189" t="s">
        <v>256</v>
      </c>
      <c r="I36" s="189">
        <v>25544</v>
      </c>
      <c r="J36" s="189">
        <v>402.28379196720101</v>
      </c>
      <c r="K36" s="189">
        <v>892.64775607935701</v>
      </c>
      <c r="L36" s="189">
        <v>-36</v>
      </c>
      <c r="M36" s="189">
        <v>-12.01</v>
      </c>
      <c r="N36" s="189">
        <v>118</v>
      </c>
      <c r="O36" s="189" t="s">
        <v>542</v>
      </c>
      <c r="P36" s="189" t="s">
        <v>543</v>
      </c>
      <c r="Q36" s="189" t="s">
        <v>253</v>
      </c>
      <c r="R36" s="189" t="s">
        <v>253</v>
      </c>
      <c r="S36" s="189" t="s">
        <v>257</v>
      </c>
      <c r="T36" s="189" t="s">
        <v>261</v>
      </c>
      <c r="U36" s="189" t="s">
        <v>253</v>
      </c>
      <c r="V36" s="189" t="s">
        <v>297</v>
      </c>
      <c r="W36" s="189" t="s">
        <v>266</v>
      </c>
      <c r="X36" s="189" t="s">
        <v>625</v>
      </c>
      <c r="Y36" s="189" t="s">
        <v>626</v>
      </c>
    </row>
    <row r="37" spans="1:25" x14ac:dyDescent="0.2">
      <c r="A37" s="189">
        <v>544</v>
      </c>
      <c r="B37" s="189" t="s">
        <v>356</v>
      </c>
      <c r="C37" s="189" t="s">
        <v>443</v>
      </c>
      <c r="D37" s="189" t="s">
        <v>444</v>
      </c>
      <c r="E37" s="189" t="s">
        <v>268</v>
      </c>
      <c r="F37" s="189" t="s">
        <v>537</v>
      </c>
      <c r="G37" s="189" t="s">
        <v>314</v>
      </c>
      <c r="H37" s="189" t="s">
        <v>256</v>
      </c>
      <c r="I37" s="189">
        <v>12339</v>
      </c>
      <c r="J37" s="189">
        <v>293.5</v>
      </c>
      <c r="K37" s="189">
        <v>939</v>
      </c>
      <c r="L37" s="189">
        <v>-37.51</v>
      </c>
      <c r="M37" s="189">
        <v>-15.52</v>
      </c>
      <c r="N37" s="189">
        <v>52</v>
      </c>
      <c r="O37" s="189" t="s">
        <v>538</v>
      </c>
      <c r="P37" s="189" t="s">
        <v>539</v>
      </c>
      <c r="Q37" s="189" t="s">
        <v>253</v>
      </c>
      <c r="R37" s="189" t="s">
        <v>259</v>
      </c>
      <c r="S37" s="189" t="s">
        <v>257</v>
      </c>
      <c r="T37" s="189" t="s">
        <v>253</v>
      </c>
      <c r="U37" s="189" t="s">
        <v>258</v>
      </c>
      <c r="V37" s="189" t="s">
        <v>253</v>
      </c>
      <c r="W37" s="189" t="s">
        <v>253</v>
      </c>
      <c r="X37" s="189" t="s">
        <v>627</v>
      </c>
      <c r="Y37" s="189" t="s">
        <v>628</v>
      </c>
    </row>
    <row r="38" spans="1:25" x14ac:dyDescent="0.2">
      <c r="A38" s="189">
        <v>604</v>
      </c>
      <c r="B38" s="189" t="s">
        <v>364</v>
      </c>
      <c r="C38" s="189" t="s">
        <v>443</v>
      </c>
      <c r="D38" s="189" t="s">
        <v>444</v>
      </c>
      <c r="E38" s="189" t="s">
        <v>268</v>
      </c>
      <c r="F38" s="189" t="s">
        <v>537</v>
      </c>
      <c r="G38" s="189" t="s">
        <v>255</v>
      </c>
      <c r="H38" s="189" t="s">
        <v>256</v>
      </c>
      <c r="I38" s="189">
        <v>1954</v>
      </c>
      <c r="J38" s="189">
        <v>405.02790586787398</v>
      </c>
      <c r="K38" s="189">
        <v>850.27941592499303</v>
      </c>
      <c r="L38" s="189">
        <v>-34.630000000000003</v>
      </c>
      <c r="M38" s="189">
        <v>-11.92</v>
      </c>
      <c r="N38" s="189">
        <v>210</v>
      </c>
      <c r="O38" s="189" t="s">
        <v>542</v>
      </c>
      <c r="P38" s="189" t="s">
        <v>543</v>
      </c>
      <c r="Q38" s="189" t="s">
        <v>253</v>
      </c>
      <c r="R38" s="189" t="s">
        <v>253</v>
      </c>
      <c r="S38" s="189" t="s">
        <v>257</v>
      </c>
      <c r="T38" s="189" t="s">
        <v>253</v>
      </c>
      <c r="U38" s="189" t="s">
        <v>258</v>
      </c>
      <c r="V38" s="189" t="s">
        <v>253</v>
      </c>
      <c r="W38" s="189" t="s">
        <v>253</v>
      </c>
      <c r="X38" s="189" t="s">
        <v>629</v>
      </c>
      <c r="Y38" s="189" t="s">
        <v>630</v>
      </c>
    </row>
    <row r="39" spans="1:25" x14ac:dyDescent="0.2">
      <c r="A39" s="189">
        <v>625</v>
      </c>
      <c r="B39" s="189" t="s">
        <v>367</v>
      </c>
      <c r="C39" s="189" t="s">
        <v>443</v>
      </c>
      <c r="D39" s="189" t="s">
        <v>444</v>
      </c>
      <c r="E39" s="189" t="s">
        <v>268</v>
      </c>
      <c r="F39" s="189" t="s">
        <v>537</v>
      </c>
      <c r="G39" s="189" t="s">
        <v>306</v>
      </c>
      <c r="H39" s="189" t="s">
        <v>256</v>
      </c>
      <c r="I39" s="189">
        <v>4974</v>
      </c>
      <c r="J39" s="189">
        <v>411.54760910706199</v>
      </c>
      <c r="K39" s="189">
        <v>859.660003869138</v>
      </c>
      <c r="L39" s="189">
        <v>-34.94</v>
      </c>
      <c r="M39" s="189">
        <v>-11.71</v>
      </c>
      <c r="N39" s="189">
        <v>30</v>
      </c>
      <c r="O39" s="189" t="s">
        <v>542</v>
      </c>
      <c r="P39" s="189" t="s">
        <v>543</v>
      </c>
      <c r="Q39" s="189" t="s">
        <v>253</v>
      </c>
      <c r="R39" s="189" t="s">
        <v>253</v>
      </c>
      <c r="S39" s="189" t="s">
        <v>253</v>
      </c>
      <c r="T39" s="189" t="s">
        <v>261</v>
      </c>
      <c r="U39" s="189" t="s">
        <v>253</v>
      </c>
      <c r="V39" s="189" t="s">
        <v>253</v>
      </c>
      <c r="W39" s="189" t="s">
        <v>253</v>
      </c>
      <c r="X39" s="189" t="s">
        <v>631</v>
      </c>
      <c r="Y39" s="189" t="s">
        <v>632</v>
      </c>
    </row>
    <row r="40" spans="1:25" x14ac:dyDescent="0.2">
      <c r="A40" s="189">
        <v>647</v>
      </c>
      <c r="B40" s="189" t="s">
        <v>369</v>
      </c>
      <c r="C40" s="189" t="s">
        <v>443</v>
      </c>
      <c r="D40" s="189" t="s">
        <v>444</v>
      </c>
      <c r="E40" s="189" t="s">
        <v>268</v>
      </c>
      <c r="F40" s="189" t="s">
        <v>537</v>
      </c>
      <c r="G40" s="189" t="s">
        <v>306</v>
      </c>
      <c r="H40" s="189" t="s">
        <v>256</v>
      </c>
      <c r="I40" s="189">
        <v>17676</v>
      </c>
      <c r="J40" s="189">
        <v>354.174220602209</v>
      </c>
      <c r="K40" s="189">
        <v>829.08551494745404</v>
      </c>
      <c r="L40" s="189">
        <v>-33.950000000000003</v>
      </c>
      <c r="M40" s="189">
        <v>-13.56</v>
      </c>
      <c r="N40" s="189">
        <v>161</v>
      </c>
      <c r="O40" s="189" t="s">
        <v>542</v>
      </c>
      <c r="P40" s="189" t="s">
        <v>543</v>
      </c>
      <c r="Q40" s="189" t="s">
        <v>253</v>
      </c>
      <c r="R40" s="189" t="s">
        <v>253</v>
      </c>
      <c r="S40" s="189" t="s">
        <v>253</v>
      </c>
      <c r="T40" s="189" t="s">
        <v>261</v>
      </c>
      <c r="U40" s="189" t="s">
        <v>253</v>
      </c>
      <c r="V40" s="189" t="s">
        <v>253</v>
      </c>
      <c r="W40" s="189" t="s">
        <v>253</v>
      </c>
      <c r="X40" s="189" t="s">
        <v>633</v>
      </c>
      <c r="Y40" s="189" t="s">
        <v>634</v>
      </c>
    </row>
    <row r="41" spans="1:25" x14ac:dyDescent="0.2">
      <c r="A41" s="189">
        <v>721</v>
      </c>
      <c r="B41" s="189" t="s">
        <v>376</v>
      </c>
      <c r="C41" s="189" t="s">
        <v>443</v>
      </c>
      <c r="D41" s="189" t="s">
        <v>444</v>
      </c>
      <c r="E41" s="189" t="s">
        <v>268</v>
      </c>
      <c r="F41" s="189" t="s">
        <v>537</v>
      </c>
      <c r="G41" s="189" t="s">
        <v>306</v>
      </c>
      <c r="H41" s="189" t="s">
        <v>256</v>
      </c>
      <c r="I41" s="189">
        <v>2191</v>
      </c>
      <c r="J41" s="189">
        <v>369.08195994912802</v>
      </c>
      <c r="K41" s="189">
        <v>857.07158437417695</v>
      </c>
      <c r="L41" s="189">
        <v>-34.85</v>
      </c>
      <c r="M41" s="189">
        <v>-13.08</v>
      </c>
      <c r="N41" s="189">
        <v>266</v>
      </c>
      <c r="O41" s="189" t="s">
        <v>542</v>
      </c>
      <c r="P41" s="189" t="s">
        <v>543</v>
      </c>
      <c r="Q41" s="189" t="s">
        <v>253</v>
      </c>
      <c r="R41" s="189" t="s">
        <v>253</v>
      </c>
      <c r="S41" s="189" t="s">
        <v>257</v>
      </c>
      <c r="T41" s="189" t="s">
        <v>253</v>
      </c>
      <c r="U41" s="189" t="s">
        <v>253</v>
      </c>
      <c r="V41" s="189" t="s">
        <v>253</v>
      </c>
      <c r="W41" s="189" t="s">
        <v>253</v>
      </c>
      <c r="X41" s="189" t="s">
        <v>635</v>
      </c>
      <c r="Y41" s="189" t="s">
        <v>636</v>
      </c>
    </row>
    <row r="42" spans="1:25" x14ac:dyDescent="0.2">
      <c r="A42" s="189">
        <v>763</v>
      </c>
      <c r="B42" s="189" t="s">
        <v>388</v>
      </c>
      <c r="C42" s="189" t="s">
        <v>443</v>
      </c>
      <c r="D42" s="189" t="s">
        <v>444</v>
      </c>
      <c r="E42" s="189" t="s">
        <v>268</v>
      </c>
      <c r="F42" s="189" t="s">
        <v>537</v>
      </c>
      <c r="G42" s="189" t="s">
        <v>306</v>
      </c>
      <c r="H42" s="189" t="s">
        <v>256</v>
      </c>
      <c r="I42" s="189">
        <v>1971</v>
      </c>
      <c r="J42" s="189">
        <v>390.02285751738498</v>
      </c>
      <c r="K42" s="189">
        <v>846.87360080004396</v>
      </c>
      <c r="L42" s="189">
        <v>-34.520000000000003</v>
      </c>
      <c r="M42" s="189">
        <v>-12.4</v>
      </c>
      <c r="N42" s="189">
        <v>397</v>
      </c>
      <c r="O42" s="189" t="s">
        <v>538</v>
      </c>
      <c r="P42" s="189" t="s">
        <v>539</v>
      </c>
      <c r="Q42" s="189" t="s">
        <v>253</v>
      </c>
      <c r="R42" s="189" t="s">
        <v>253</v>
      </c>
      <c r="S42" s="189" t="s">
        <v>257</v>
      </c>
      <c r="T42" s="189" t="s">
        <v>253</v>
      </c>
      <c r="U42" s="189" t="s">
        <v>253</v>
      </c>
      <c r="V42" s="189" t="s">
        <v>253</v>
      </c>
      <c r="W42" s="189" t="s">
        <v>253</v>
      </c>
      <c r="X42" s="189" t="s">
        <v>637</v>
      </c>
      <c r="Y42" s="189" t="s">
        <v>638</v>
      </c>
    </row>
    <row r="43" spans="1:25" x14ac:dyDescent="0.2">
      <c r="A43" s="189">
        <v>828</v>
      </c>
      <c r="B43" s="189" t="s">
        <v>444</v>
      </c>
      <c r="C43" s="189" t="s">
        <v>443</v>
      </c>
      <c r="D43" s="189" t="s">
        <v>444</v>
      </c>
      <c r="E43" s="189" t="s">
        <v>268</v>
      </c>
      <c r="F43" s="189" t="s">
        <v>537</v>
      </c>
      <c r="G43" s="189" t="s">
        <v>306</v>
      </c>
      <c r="H43" s="189" t="s">
        <v>256</v>
      </c>
      <c r="I43" s="189">
        <v>3202</v>
      </c>
      <c r="J43" s="189">
        <v>395.18</v>
      </c>
      <c r="K43" s="189">
        <v>875.28</v>
      </c>
      <c r="L43" s="189">
        <v>-35.44</v>
      </c>
      <c r="M43" s="189">
        <v>-12.24</v>
      </c>
      <c r="N43" s="189">
        <v>13</v>
      </c>
      <c r="O43" s="189" t="s">
        <v>542</v>
      </c>
      <c r="P43" s="189" t="s">
        <v>543</v>
      </c>
      <c r="Q43" s="189" t="s">
        <v>253</v>
      </c>
      <c r="R43" s="189" t="s">
        <v>259</v>
      </c>
      <c r="S43" s="189" t="s">
        <v>257</v>
      </c>
      <c r="T43" s="189" t="s">
        <v>253</v>
      </c>
      <c r="U43" s="189" t="s">
        <v>258</v>
      </c>
      <c r="V43" s="189" t="s">
        <v>253</v>
      </c>
      <c r="W43" s="189" t="s">
        <v>253</v>
      </c>
      <c r="X43" s="189" t="s">
        <v>639</v>
      </c>
      <c r="Y43" s="189" t="s">
        <v>640</v>
      </c>
    </row>
    <row r="44" spans="1:25" x14ac:dyDescent="0.2">
      <c r="A44" s="189">
        <v>927</v>
      </c>
      <c r="B44" s="189" t="s">
        <v>413</v>
      </c>
      <c r="C44" s="189" t="s">
        <v>443</v>
      </c>
      <c r="D44" s="189" t="s">
        <v>444</v>
      </c>
      <c r="E44" s="189" t="s">
        <v>268</v>
      </c>
      <c r="F44" s="189" t="s">
        <v>537</v>
      </c>
      <c r="G44" s="189" t="s">
        <v>306</v>
      </c>
      <c r="H44" s="189" t="s">
        <v>256</v>
      </c>
      <c r="I44" s="189">
        <v>6191</v>
      </c>
      <c r="J44" s="189">
        <v>399.69537247224002</v>
      </c>
      <c r="K44" s="189">
        <v>868.06750177758295</v>
      </c>
      <c r="L44" s="189">
        <v>-35.21</v>
      </c>
      <c r="M44" s="189">
        <v>-12.09</v>
      </c>
      <c r="N44" s="189">
        <v>82</v>
      </c>
      <c r="O44" s="189" t="s">
        <v>542</v>
      </c>
      <c r="P44" s="189" t="s">
        <v>543</v>
      </c>
      <c r="Q44" s="189" t="s">
        <v>253</v>
      </c>
      <c r="R44" s="189" t="s">
        <v>253</v>
      </c>
      <c r="S44" s="189" t="s">
        <v>257</v>
      </c>
      <c r="T44" s="189" t="s">
        <v>261</v>
      </c>
      <c r="U44" s="189" t="s">
        <v>258</v>
      </c>
      <c r="V44" s="189" t="s">
        <v>253</v>
      </c>
      <c r="W44" s="189" t="s">
        <v>253</v>
      </c>
      <c r="X44" s="189" t="s">
        <v>641</v>
      </c>
      <c r="Y44" s="189" t="s">
        <v>642</v>
      </c>
    </row>
    <row r="45" spans="1:25" x14ac:dyDescent="0.2">
      <c r="A45" s="189">
        <v>6</v>
      </c>
      <c r="B45" s="189" t="s">
        <v>269</v>
      </c>
      <c r="C45" s="189" t="s">
        <v>269</v>
      </c>
      <c r="D45" s="189" t="s">
        <v>269</v>
      </c>
      <c r="E45" s="189" t="s">
        <v>268</v>
      </c>
      <c r="F45" s="189" t="s">
        <v>537</v>
      </c>
      <c r="G45" s="189" t="s">
        <v>255</v>
      </c>
      <c r="H45" s="189" t="s">
        <v>256</v>
      </c>
      <c r="I45" s="189">
        <v>100109</v>
      </c>
      <c r="J45" s="189">
        <v>433</v>
      </c>
      <c r="K45" s="189">
        <v>666</v>
      </c>
      <c r="L45" s="189">
        <v>-28.67</v>
      </c>
      <c r="M45" s="189">
        <v>-11.01</v>
      </c>
      <c r="N45" s="189">
        <v>13</v>
      </c>
      <c r="O45" s="189" t="s">
        <v>564</v>
      </c>
      <c r="P45" s="189" t="s">
        <v>565</v>
      </c>
      <c r="Q45" s="189" t="s">
        <v>332</v>
      </c>
      <c r="R45" s="189" t="s">
        <v>259</v>
      </c>
      <c r="S45" s="189" t="s">
        <v>257</v>
      </c>
      <c r="T45" s="189" t="s">
        <v>261</v>
      </c>
      <c r="U45" s="189" t="s">
        <v>258</v>
      </c>
      <c r="V45" s="189" t="s">
        <v>297</v>
      </c>
      <c r="W45" s="189" t="s">
        <v>266</v>
      </c>
      <c r="X45" s="189" t="s">
        <v>643</v>
      </c>
      <c r="Y45" s="189" t="s">
        <v>644</v>
      </c>
    </row>
    <row r="46" spans="1:25" x14ac:dyDescent="0.2">
      <c r="A46" s="189">
        <v>157</v>
      </c>
      <c r="B46" s="189" t="s">
        <v>296</v>
      </c>
      <c r="C46" s="189" t="s">
        <v>446</v>
      </c>
      <c r="D46" s="189" t="s">
        <v>296</v>
      </c>
      <c r="E46" s="189" t="s">
        <v>268</v>
      </c>
      <c r="F46" s="189" t="s">
        <v>537</v>
      </c>
      <c r="G46" s="189" t="s">
        <v>306</v>
      </c>
      <c r="H46" s="189" t="s">
        <v>256</v>
      </c>
      <c r="I46" s="189">
        <v>4343</v>
      </c>
      <c r="J46" s="189">
        <v>365.09229080275998</v>
      </c>
      <c r="K46" s="189">
        <v>811.35581449700601</v>
      </c>
      <c r="L46" s="189">
        <v>-33.369999999999997</v>
      </c>
      <c r="M46" s="189">
        <v>-13.21</v>
      </c>
      <c r="N46" s="189">
        <v>210</v>
      </c>
      <c r="O46" s="189" t="s">
        <v>554</v>
      </c>
      <c r="P46" s="189" t="s">
        <v>555</v>
      </c>
      <c r="Q46" s="189" t="s">
        <v>253</v>
      </c>
      <c r="R46" s="189" t="s">
        <v>253</v>
      </c>
      <c r="S46" s="189" t="s">
        <v>253</v>
      </c>
      <c r="T46" s="189" t="s">
        <v>253</v>
      </c>
      <c r="U46" s="189" t="s">
        <v>253</v>
      </c>
      <c r="V46" s="189" t="s">
        <v>253</v>
      </c>
      <c r="W46" s="189" t="s">
        <v>253</v>
      </c>
      <c r="X46" s="189" t="s">
        <v>645</v>
      </c>
      <c r="Y46" s="189" t="s">
        <v>646</v>
      </c>
    </row>
    <row r="47" spans="1:25" x14ac:dyDescent="0.2">
      <c r="A47" s="189">
        <v>208</v>
      </c>
      <c r="B47" s="189" t="s">
        <v>302</v>
      </c>
      <c r="C47" s="189" t="s">
        <v>446</v>
      </c>
      <c r="D47" s="189" t="s">
        <v>296</v>
      </c>
      <c r="E47" s="189" t="s">
        <v>268</v>
      </c>
      <c r="F47" s="189" t="s">
        <v>537</v>
      </c>
      <c r="G47" s="189" t="s">
        <v>255</v>
      </c>
      <c r="H47" s="189" t="s">
        <v>256</v>
      </c>
      <c r="I47" s="189">
        <v>4216</v>
      </c>
      <c r="J47" s="189">
        <v>414.48634101487499</v>
      </c>
      <c r="K47" s="189">
        <v>794.56028048082999</v>
      </c>
      <c r="L47" s="189">
        <v>-32.83</v>
      </c>
      <c r="M47" s="189">
        <v>-11.61</v>
      </c>
      <c r="N47" s="189">
        <v>738</v>
      </c>
      <c r="O47" s="189" t="s">
        <v>542</v>
      </c>
      <c r="P47" s="189" t="s">
        <v>543</v>
      </c>
      <c r="Q47" s="189" t="s">
        <v>253</v>
      </c>
      <c r="R47" s="189" t="s">
        <v>253</v>
      </c>
      <c r="S47" s="189" t="s">
        <v>257</v>
      </c>
      <c r="T47" s="189" t="s">
        <v>253</v>
      </c>
      <c r="U47" s="189" t="s">
        <v>253</v>
      </c>
      <c r="V47" s="189" t="s">
        <v>253</v>
      </c>
      <c r="W47" s="189" t="s">
        <v>253</v>
      </c>
      <c r="X47" s="189" t="s">
        <v>647</v>
      </c>
      <c r="Y47" s="189" t="s">
        <v>648</v>
      </c>
    </row>
    <row r="48" spans="1:25" x14ac:dyDescent="0.2">
      <c r="A48" s="189">
        <v>226</v>
      </c>
      <c r="B48" s="189" t="s">
        <v>308</v>
      </c>
      <c r="C48" s="189" t="s">
        <v>446</v>
      </c>
      <c r="D48" s="189" t="s">
        <v>296</v>
      </c>
      <c r="E48" s="189" t="s">
        <v>268</v>
      </c>
      <c r="F48" s="189" t="s">
        <v>537</v>
      </c>
      <c r="G48" s="189" t="s">
        <v>255</v>
      </c>
      <c r="H48" s="189" t="s">
        <v>256</v>
      </c>
      <c r="I48" s="189">
        <v>18673</v>
      </c>
      <c r="J48" s="189">
        <v>412.42339013919201</v>
      </c>
      <c r="K48" s="189">
        <v>762.85700711773404</v>
      </c>
      <c r="L48" s="189">
        <v>-31.8</v>
      </c>
      <c r="M48" s="189">
        <v>-11.68</v>
      </c>
      <c r="N48" s="189">
        <v>1063</v>
      </c>
      <c r="O48" s="189" t="s">
        <v>538</v>
      </c>
      <c r="P48" s="189" t="s">
        <v>539</v>
      </c>
      <c r="Q48" s="189" t="s">
        <v>253</v>
      </c>
      <c r="R48" s="189" t="s">
        <v>253</v>
      </c>
      <c r="S48" s="189" t="s">
        <v>257</v>
      </c>
      <c r="T48" s="189" t="s">
        <v>253</v>
      </c>
      <c r="U48" s="189" t="s">
        <v>253</v>
      </c>
      <c r="V48" s="189" t="s">
        <v>253</v>
      </c>
      <c r="W48" s="189" t="s">
        <v>253</v>
      </c>
      <c r="X48" s="189" t="s">
        <v>649</v>
      </c>
      <c r="Y48" s="189" t="s">
        <v>650</v>
      </c>
    </row>
    <row r="49" spans="1:25" x14ac:dyDescent="0.2">
      <c r="A49" s="189">
        <v>760</v>
      </c>
      <c r="B49" s="189" t="s">
        <v>386</v>
      </c>
      <c r="C49" s="189" t="s">
        <v>446</v>
      </c>
      <c r="D49" s="189" t="s">
        <v>296</v>
      </c>
      <c r="E49" s="189" t="s">
        <v>268</v>
      </c>
      <c r="F49" s="189" t="s">
        <v>537</v>
      </c>
      <c r="G49" s="189" t="s">
        <v>255</v>
      </c>
      <c r="H49" s="189" t="s">
        <v>256</v>
      </c>
      <c r="I49" s="189">
        <v>2514</v>
      </c>
      <c r="J49" s="189">
        <v>383.269612669629</v>
      </c>
      <c r="K49" s="189">
        <v>817.73928513119597</v>
      </c>
      <c r="L49" s="189">
        <v>-33.58</v>
      </c>
      <c r="M49" s="189">
        <v>-12.62</v>
      </c>
      <c r="N49" s="189">
        <v>397</v>
      </c>
      <c r="O49" s="189" t="s">
        <v>542</v>
      </c>
      <c r="P49" s="189" t="s">
        <v>543</v>
      </c>
      <c r="Q49" s="189" t="s">
        <v>253</v>
      </c>
      <c r="R49" s="189" t="s">
        <v>253</v>
      </c>
      <c r="S49" s="189" t="s">
        <v>257</v>
      </c>
      <c r="T49" s="189" t="s">
        <v>253</v>
      </c>
      <c r="U49" s="189" t="s">
        <v>253</v>
      </c>
      <c r="V49" s="189" t="s">
        <v>253</v>
      </c>
      <c r="W49" s="189" t="s">
        <v>253</v>
      </c>
      <c r="X49" s="189" t="s">
        <v>651</v>
      </c>
      <c r="Y49" s="189" t="s">
        <v>652</v>
      </c>
    </row>
    <row r="50" spans="1:25" x14ac:dyDescent="0.2">
      <c r="A50" s="189">
        <v>262</v>
      </c>
      <c r="B50" s="189" t="s">
        <v>499</v>
      </c>
      <c r="C50" s="189" t="s">
        <v>499</v>
      </c>
      <c r="D50" s="189" t="s">
        <v>499</v>
      </c>
      <c r="E50" s="189" t="s">
        <v>268</v>
      </c>
      <c r="F50" s="189" t="s">
        <v>537</v>
      </c>
      <c r="G50" s="189" t="s">
        <v>340</v>
      </c>
      <c r="H50" s="189" t="s">
        <v>256</v>
      </c>
      <c r="I50" s="189">
        <v>8656</v>
      </c>
      <c r="J50" s="189">
        <v>1167.32717803428</v>
      </c>
      <c r="K50" s="189">
        <v>846.32867038005202</v>
      </c>
      <c r="L50" s="189">
        <v>-34.5</v>
      </c>
      <c r="M50" s="189">
        <v>12.7</v>
      </c>
      <c r="N50" s="189">
        <v>52</v>
      </c>
      <c r="O50" s="189" t="s">
        <v>542</v>
      </c>
      <c r="P50" s="189" t="s">
        <v>543</v>
      </c>
      <c r="Q50" s="189" t="s">
        <v>253</v>
      </c>
      <c r="R50" s="189" t="s">
        <v>253</v>
      </c>
      <c r="S50" s="189" t="s">
        <v>257</v>
      </c>
      <c r="T50" s="189" t="s">
        <v>253</v>
      </c>
      <c r="U50" s="189" t="s">
        <v>253</v>
      </c>
      <c r="V50" s="189" t="s">
        <v>253</v>
      </c>
      <c r="W50" s="189" t="s">
        <v>253</v>
      </c>
      <c r="X50" s="189" t="s">
        <v>653</v>
      </c>
      <c r="Y50" s="189" t="s">
        <v>654</v>
      </c>
    </row>
    <row r="51" spans="1:25" x14ac:dyDescent="0.2">
      <c r="A51" s="189">
        <v>22</v>
      </c>
      <c r="B51" s="189" t="s">
        <v>271</v>
      </c>
      <c r="C51" s="189" t="s">
        <v>469</v>
      </c>
      <c r="D51" s="189" t="s">
        <v>469</v>
      </c>
      <c r="E51" s="189" t="s">
        <v>268</v>
      </c>
      <c r="F51" s="189" t="s">
        <v>537</v>
      </c>
      <c r="G51" s="189" t="s">
        <v>260</v>
      </c>
      <c r="H51" s="189" t="s">
        <v>256</v>
      </c>
      <c r="I51" s="189">
        <v>6916</v>
      </c>
      <c r="J51" s="189">
        <v>655.59859006054103</v>
      </c>
      <c r="K51" s="189">
        <v>934.33493320873094</v>
      </c>
      <c r="L51" s="189">
        <v>-37.35</v>
      </c>
      <c r="M51" s="189">
        <v>-3.82</v>
      </c>
      <c r="N51" s="189">
        <v>82</v>
      </c>
      <c r="O51" s="189" t="s">
        <v>538</v>
      </c>
      <c r="P51" s="189" t="s">
        <v>539</v>
      </c>
      <c r="Q51" s="189" t="s">
        <v>253</v>
      </c>
      <c r="R51" s="189" t="s">
        <v>253</v>
      </c>
      <c r="S51" s="189" t="s">
        <v>257</v>
      </c>
      <c r="T51" s="189" t="s">
        <v>253</v>
      </c>
      <c r="U51" s="189" t="s">
        <v>253</v>
      </c>
      <c r="V51" s="189" t="s">
        <v>253</v>
      </c>
      <c r="W51" s="189" t="s">
        <v>253</v>
      </c>
      <c r="X51" s="189" t="s">
        <v>655</v>
      </c>
      <c r="Y51" s="189" t="s">
        <v>656</v>
      </c>
    </row>
    <row r="52" spans="1:25" x14ac:dyDescent="0.2">
      <c r="A52" s="189">
        <v>222</v>
      </c>
      <c r="B52" s="189" t="s">
        <v>307</v>
      </c>
      <c r="C52" s="189" t="s">
        <v>469</v>
      </c>
      <c r="D52" s="189" t="s">
        <v>469</v>
      </c>
      <c r="E52" s="189" t="s">
        <v>268</v>
      </c>
      <c r="F52" s="189" t="s">
        <v>537</v>
      </c>
      <c r="G52" s="189" t="s">
        <v>260</v>
      </c>
      <c r="H52" s="189" t="s">
        <v>256</v>
      </c>
      <c r="I52" s="189">
        <v>2200</v>
      </c>
      <c r="J52" s="189">
        <v>623.33092447674005</v>
      </c>
      <c r="K52" s="189">
        <v>864.87576646048797</v>
      </c>
      <c r="L52" s="189">
        <v>-35.11</v>
      </c>
      <c r="M52" s="189">
        <v>-4.87</v>
      </c>
      <c r="N52" s="189">
        <v>30</v>
      </c>
      <c r="O52" s="189" t="s">
        <v>542</v>
      </c>
      <c r="P52" s="189" t="s">
        <v>543</v>
      </c>
      <c r="Q52" s="189" t="s">
        <v>253</v>
      </c>
      <c r="R52" s="189" t="s">
        <v>253</v>
      </c>
      <c r="S52" s="189" t="s">
        <v>257</v>
      </c>
      <c r="T52" s="189" t="s">
        <v>253</v>
      </c>
      <c r="U52" s="189" t="s">
        <v>258</v>
      </c>
      <c r="V52" s="189" t="s">
        <v>253</v>
      </c>
      <c r="W52" s="189" t="s">
        <v>253</v>
      </c>
      <c r="X52" s="189" t="s">
        <v>657</v>
      </c>
      <c r="Y52" s="189" t="s">
        <v>658</v>
      </c>
    </row>
    <row r="53" spans="1:25" x14ac:dyDescent="0.2">
      <c r="A53" s="189">
        <v>247</v>
      </c>
      <c r="B53" s="189" t="s">
        <v>311</v>
      </c>
      <c r="C53" s="189" t="s">
        <v>469</v>
      </c>
      <c r="D53" s="189" t="s">
        <v>469</v>
      </c>
      <c r="E53" s="189" t="s">
        <v>268</v>
      </c>
      <c r="F53" s="189" t="s">
        <v>537</v>
      </c>
      <c r="G53" s="189" t="s">
        <v>260</v>
      </c>
      <c r="H53" s="189" t="s">
        <v>256</v>
      </c>
      <c r="I53" s="189">
        <v>23261</v>
      </c>
      <c r="J53" s="189">
        <v>596.31794508571704</v>
      </c>
      <c r="K53" s="189">
        <v>894.59393615075601</v>
      </c>
      <c r="L53" s="189">
        <v>-36.07</v>
      </c>
      <c r="M53" s="189">
        <v>-5.74</v>
      </c>
      <c r="N53" s="189">
        <v>82</v>
      </c>
      <c r="O53" s="189" t="s">
        <v>542</v>
      </c>
      <c r="P53" s="189" t="s">
        <v>543</v>
      </c>
      <c r="Q53" s="189" t="s">
        <v>253</v>
      </c>
      <c r="R53" s="189" t="s">
        <v>253</v>
      </c>
      <c r="S53" s="189" t="s">
        <v>253</v>
      </c>
      <c r="T53" s="189" t="s">
        <v>261</v>
      </c>
      <c r="U53" s="189" t="s">
        <v>253</v>
      </c>
      <c r="V53" s="189" t="s">
        <v>297</v>
      </c>
      <c r="W53" s="189" t="s">
        <v>253</v>
      </c>
      <c r="X53" s="189" t="s">
        <v>659</v>
      </c>
      <c r="Y53" s="189" t="s">
        <v>660</v>
      </c>
    </row>
    <row r="54" spans="1:25" x14ac:dyDescent="0.2">
      <c r="A54" s="189">
        <v>283</v>
      </c>
      <c r="B54" s="189" t="s">
        <v>320</v>
      </c>
      <c r="C54" s="189" t="s">
        <v>469</v>
      </c>
      <c r="D54" s="189" t="s">
        <v>469</v>
      </c>
      <c r="E54" s="189" t="s">
        <v>268</v>
      </c>
      <c r="F54" s="189" t="s">
        <v>537</v>
      </c>
      <c r="G54" s="189" t="s">
        <v>260</v>
      </c>
      <c r="H54" s="189" t="s">
        <v>256</v>
      </c>
      <c r="I54" s="189">
        <v>19837</v>
      </c>
      <c r="J54" s="189">
        <v>645.28383568212405</v>
      </c>
      <c r="K54" s="189">
        <v>940.21239702435696</v>
      </c>
      <c r="L54" s="189">
        <v>-37.54</v>
      </c>
      <c r="M54" s="189">
        <v>-4.16</v>
      </c>
      <c r="N54" s="189">
        <v>13</v>
      </c>
      <c r="O54" s="189" t="s">
        <v>538</v>
      </c>
      <c r="P54" s="189" t="s">
        <v>539</v>
      </c>
      <c r="Q54" s="189" t="s">
        <v>253</v>
      </c>
      <c r="R54" s="189" t="s">
        <v>253</v>
      </c>
      <c r="S54" s="189" t="s">
        <v>253</v>
      </c>
      <c r="T54" s="189" t="s">
        <v>253</v>
      </c>
      <c r="U54" s="189" t="s">
        <v>253</v>
      </c>
      <c r="V54" s="189" t="s">
        <v>253</v>
      </c>
      <c r="W54" s="189" t="s">
        <v>253</v>
      </c>
      <c r="X54" s="189" t="s">
        <v>661</v>
      </c>
      <c r="Y54" s="189" t="s">
        <v>662</v>
      </c>
    </row>
    <row r="55" spans="1:25" x14ac:dyDescent="0.2">
      <c r="A55" s="189">
        <v>453</v>
      </c>
      <c r="B55" s="189" t="s">
        <v>342</v>
      </c>
      <c r="C55" s="189" t="s">
        <v>469</v>
      </c>
      <c r="D55" s="189" t="s">
        <v>469</v>
      </c>
      <c r="E55" s="189" t="s">
        <v>268</v>
      </c>
      <c r="F55" s="189" t="s">
        <v>537</v>
      </c>
      <c r="G55" s="189" t="s">
        <v>260</v>
      </c>
      <c r="H55" s="189" t="s">
        <v>256</v>
      </c>
      <c r="I55" s="189">
        <v>1931</v>
      </c>
      <c r="J55" s="189">
        <v>590.86864088579898</v>
      </c>
      <c r="K55" s="189">
        <v>899.26476832211495</v>
      </c>
      <c r="L55" s="189">
        <v>-36.22</v>
      </c>
      <c r="M55" s="189">
        <v>-5.92</v>
      </c>
      <c r="N55" s="189">
        <v>52</v>
      </c>
      <c r="O55" s="189" t="s">
        <v>542</v>
      </c>
      <c r="P55" s="189" t="s">
        <v>543</v>
      </c>
      <c r="Q55" s="189" t="s">
        <v>253</v>
      </c>
      <c r="R55" s="189" t="s">
        <v>253</v>
      </c>
      <c r="S55" s="189" t="s">
        <v>257</v>
      </c>
      <c r="T55" s="189" t="s">
        <v>253</v>
      </c>
      <c r="U55" s="189" t="s">
        <v>253</v>
      </c>
      <c r="V55" s="189" t="s">
        <v>253</v>
      </c>
      <c r="W55" s="189" t="s">
        <v>253</v>
      </c>
      <c r="X55" s="189" t="s">
        <v>663</v>
      </c>
      <c r="Y55" s="189" t="s">
        <v>664</v>
      </c>
    </row>
    <row r="56" spans="1:25" x14ac:dyDescent="0.2">
      <c r="A56" s="189">
        <v>603</v>
      </c>
      <c r="B56" s="189" t="s">
        <v>469</v>
      </c>
      <c r="C56" s="189" t="s">
        <v>469</v>
      </c>
      <c r="D56" s="189" t="s">
        <v>469</v>
      </c>
      <c r="E56" s="189" t="s">
        <v>268</v>
      </c>
      <c r="F56" s="189" t="s">
        <v>537</v>
      </c>
      <c r="G56" s="189" t="s">
        <v>265</v>
      </c>
      <c r="H56" s="189" t="s">
        <v>256</v>
      </c>
      <c r="I56" s="189">
        <v>2675</v>
      </c>
      <c r="J56" s="189">
        <v>633.78191146015399</v>
      </c>
      <c r="K56" s="189">
        <v>839.92573794514897</v>
      </c>
      <c r="L56" s="189">
        <v>-34.299999999999997</v>
      </c>
      <c r="M56" s="189">
        <v>-4.53</v>
      </c>
      <c r="N56" s="189">
        <v>161</v>
      </c>
      <c r="O56" s="189" t="s">
        <v>542</v>
      </c>
      <c r="P56" s="189" t="s">
        <v>543</v>
      </c>
      <c r="Q56" s="189" t="s">
        <v>253</v>
      </c>
      <c r="R56" s="189" t="s">
        <v>253</v>
      </c>
      <c r="S56" s="189" t="s">
        <v>257</v>
      </c>
      <c r="T56" s="189" t="s">
        <v>253</v>
      </c>
      <c r="U56" s="189" t="s">
        <v>253</v>
      </c>
      <c r="V56" s="189" t="s">
        <v>253</v>
      </c>
      <c r="W56" s="189" t="s">
        <v>253</v>
      </c>
      <c r="X56" s="189" t="s">
        <v>665</v>
      </c>
      <c r="Y56" s="189" t="s">
        <v>666</v>
      </c>
    </row>
    <row r="57" spans="1:25" x14ac:dyDescent="0.2">
      <c r="A57" s="189">
        <v>761</v>
      </c>
      <c r="B57" s="189" t="s">
        <v>387</v>
      </c>
      <c r="C57" s="189" t="s">
        <v>469</v>
      </c>
      <c r="D57" s="189" t="s">
        <v>469</v>
      </c>
      <c r="E57" s="189" t="s">
        <v>268</v>
      </c>
      <c r="F57" s="189" t="s">
        <v>537</v>
      </c>
      <c r="G57" s="189" t="s">
        <v>260</v>
      </c>
      <c r="H57" s="189" t="s">
        <v>256</v>
      </c>
      <c r="I57" s="189">
        <v>2154</v>
      </c>
      <c r="J57" s="189">
        <v>671.30426323673396</v>
      </c>
      <c r="K57" s="189">
        <v>839.98412334729005</v>
      </c>
      <c r="L57" s="189">
        <v>-34.299999999999997</v>
      </c>
      <c r="M57" s="189">
        <v>-3.32</v>
      </c>
      <c r="N57" s="189">
        <v>948</v>
      </c>
      <c r="O57" s="189" t="s">
        <v>538</v>
      </c>
      <c r="P57" s="189" t="s">
        <v>539</v>
      </c>
      <c r="Q57" s="189" t="s">
        <v>253</v>
      </c>
      <c r="R57" s="189" t="s">
        <v>253</v>
      </c>
      <c r="S57" s="189" t="s">
        <v>253</v>
      </c>
      <c r="T57" s="189" t="s">
        <v>253</v>
      </c>
      <c r="U57" s="189" t="s">
        <v>253</v>
      </c>
      <c r="V57" s="189" t="s">
        <v>253</v>
      </c>
      <c r="W57" s="189" t="s">
        <v>253</v>
      </c>
      <c r="X57" s="189" t="s">
        <v>667</v>
      </c>
      <c r="Y57" s="189" t="s">
        <v>668</v>
      </c>
    </row>
    <row r="58" spans="1:25" x14ac:dyDescent="0.2">
      <c r="A58" s="189">
        <v>899</v>
      </c>
      <c r="B58" s="189" t="s">
        <v>408</v>
      </c>
      <c r="C58" s="189" t="s">
        <v>469</v>
      </c>
      <c r="D58" s="189" t="s">
        <v>469</v>
      </c>
      <c r="E58" s="189" t="s">
        <v>268</v>
      </c>
      <c r="F58" s="189" t="s">
        <v>537</v>
      </c>
      <c r="G58" s="189" t="s">
        <v>260</v>
      </c>
      <c r="H58" s="189" t="s">
        <v>256</v>
      </c>
      <c r="I58" s="189">
        <v>21754</v>
      </c>
      <c r="J58" s="189">
        <v>634.774463296568</v>
      </c>
      <c r="K58" s="189">
        <v>904.811381525603</v>
      </c>
      <c r="L58" s="189">
        <v>-36.4</v>
      </c>
      <c r="M58" s="189">
        <v>-4.5</v>
      </c>
      <c r="N58" s="189">
        <v>472</v>
      </c>
      <c r="O58" s="189" t="s">
        <v>538</v>
      </c>
      <c r="P58" s="189" t="s">
        <v>539</v>
      </c>
      <c r="Q58" s="189" t="s">
        <v>253</v>
      </c>
      <c r="R58" s="189" t="s">
        <v>253</v>
      </c>
      <c r="S58" s="189" t="s">
        <v>257</v>
      </c>
      <c r="T58" s="189" t="s">
        <v>261</v>
      </c>
      <c r="U58" s="189" t="s">
        <v>253</v>
      </c>
      <c r="V58" s="189" t="s">
        <v>297</v>
      </c>
      <c r="W58" s="189" t="s">
        <v>253</v>
      </c>
      <c r="X58" s="189" t="s">
        <v>669</v>
      </c>
      <c r="Y58" s="189" t="s">
        <v>670</v>
      </c>
    </row>
    <row r="59" spans="1:25" x14ac:dyDescent="0.2">
      <c r="A59" s="189">
        <v>1015</v>
      </c>
      <c r="B59" s="189" t="s">
        <v>509</v>
      </c>
      <c r="C59" s="189" t="s">
        <v>469</v>
      </c>
      <c r="D59" s="189" t="s">
        <v>469</v>
      </c>
      <c r="E59" s="189" t="s">
        <v>268</v>
      </c>
      <c r="F59" s="189" t="s">
        <v>537</v>
      </c>
      <c r="G59" s="189" t="s">
        <v>260</v>
      </c>
      <c r="H59" s="189" t="s">
        <v>256</v>
      </c>
      <c r="I59" s="189">
        <v>9448</v>
      </c>
      <c r="J59" s="189">
        <v>656.76629810338</v>
      </c>
      <c r="K59" s="189">
        <v>855.10594250206304</v>
      </c>
      <c r="L59" s="189">
        <v>-34.79</v>
      </c>
      <c r="M59" s="189">
        <v>-3.79</v>
      </c>
      <c r="N59" s="189">
        <v>643</v>
      </c>
      <c r="O59" s="189" t="s">
        <v>538</v>
      </c>
      <c r="P59" s="189" t="s">
        <v>539</v>
      </c>
      <c r="Q59" s="189" t="s">
        <v>253</v>
      </c>
      <c r="R59" s="189" t="s">
        <v>253</v>
      </c>
      <c r="S59" s="189" t="s">
        <v>253</v>
      </c>
      <c r="T59" s="189" t="s">
        <v>253</v>
      </c>
      <c r="U59" s="189" t="s">
        <v>253</v>
      </c>
      <c r="V59" s="189" t="s">
        <v>253</v>
      </c>
      <c r="W59" s="189" t="s">
        <v>253</v>
      </c>
      <c r="X59" s="189" t="s">
        <v>671</v>
      </c>
      <c r="Y59" s="189" t="s">
        <v>672</v>
      </c>
    </row>
    <row r="60" spans="1:25" x14ac:dyDescent="0.2">
      <c r="A60" s="189">
        <v>260</v>
      </c>
      <c r="B60" s="189" t="s">
        <v>312</v>
      </c>
      <c r="C60" s="189" t="s">
        <v>411</v>
      </c>
      <c r="D60" s="189" t="s">
        <v>411</v>
      </c>
      <c r="E60" s="189" t="s">
        <v>268</v>
      </c>
      <c r="F60" s="189" t="s">
        <v>537</v>
      </c>
      <c r="G60" s="189" t="s">
        <v>294</v>
      </c>
      <c r="H60" s="189" t="s">
        <v>256</v>
      </c>
      <c r="I60" s="189">
        <v>1875</v>
      </c>
      <c r="J60" s="189">
        <v>1193.25029658532</v>
      </c>
      <c r="K60" s="189">
        <v>790.41491692874899</v>
      </c>
      <c r="L60" s="189">
        <v>-32.69</v>
      </c>
      <c r="M60" s="189">
        <v>13.54</v>
      </c>
      <c r="N60" s="189">
        <v>52</v>
      </c>
      <c r="O60" s="189" t="s">
        <v>554</v>
      </c>
      <c r="P60" s="189" t="s">
        <v>555</v>
      </c>
      <c r="Q60" s="189" t="s">
        <v>253</v>
      </c>
      <c r="R60" s="189" t="s">
        <v>253</v>
      </c>
      <c r="S60" s="189" t="s">
        <v>253</v>
      </c>
      <c r="T60" s="189" t="s">
        <v>253</v>
      </c>
      <c r="U60" s="189" t="s">
        <v>258</v>
      </c>
      <c r="V60" s="189" t="s">
        <v>253</v>
      </c>
      <c r="W60" s="189" t="s">
        <v>253</v>
      </c>
      <c r="X60" s="189" t="s">
        <v>673</v>
      </c>
      <c r="Y60" s="189" t="s">
        <v>674</v>
      </c>
    </row>
    <row r="61" spans="1:25" x14ac:dyDescent="0.2">
      <c r="A61" s="189">
        <v>660</v>
      </c>
      <c r="B61" s="189" t="s">
        <v>371</v>
      </c>
      <c r="C61" s="189" t="s">
        <v>411</v>
      </c>
      <c r="D61" s="189" t="s">
        <v>411</v>
      </c>
      <c r="E61" s="189" t="s">
        <v>268</v>
      </c>
      <c r="F61" s="189" t="s">
        <v>537</v>
      </c>
      <c r="G61" s="189" t="s">
        <v>294</v>
      </c>
      <c r="H61" s="189" t="s">
        <v>256</v>
      </c>
      <c r="I61" s="189">
        <v>12334</v>
      </c>
      <c r="J61" s="189">
        <v>1169.5847469171099</v>
      </c>
      <c r="K61" s="189">
        <v>724.78972492116304</v>
      </c>
      <c r="L61" s="189">
        <v>-30.57</v>
      </c>
      <c r="M61" s="189">
        <v>12.78</v>
      </c>
      <c r="N61" s="189">
        <v>210</v>
      </c>
      <c r="O61" s="189" t="s">
        <v>550</v>
      </c>
      <c r="P61" s="189" t="s">
        <v>551</v>
      </c>
      <c r="Q61" s="189" t="s">
        <v>253</v>
      </c>
      <c r="R61" s="189" t="s">
        <v>253</v>
      </c>
      <c r="S61" s="189" t="s">
        <v>257</v>
      </c>
      <c r="T61" s="189" t="s">
        <v>253</v>
      </c>
      <c r="U61" s="189" t="s">
        <v>253</v>
      </c>
      <c r="V61" s="189" t="s">
        <v>253</v>
      </c>
      <c r="W61" s="189" t="s">
        <v>253</v>
      </c>
      <c r="X61" s="189" t="s">
        <v>675</v>
      </c>
      <c r="Y61" s="189" t="s">
        <v>676</v>
      </c>
    </row>
    <row r="62" spans="1:25" x14ac:dyDescent="0.2">
      <c r="A62" s="189">
        <v>738</v>
      </c>
      <c r="B62" s="189" t="s">
        <v>381</v>
      </c>
      <c r="C62" s="189" t="s">
        <v>411</v>
      </c>
      <c r="D62" s="189" t="s">
        <v>411</v>
      </c>
      <c r="E62" s="189" t="s">
        <v>268</v>
      </c>
      <c r="F62" s="189" t="s">
        <v>537</v>
      </c>
      <c r="G62" s="189" t="s">
        <v>294</v>
      </c>
      <c r="H62" s="189" t="s">
        <v>256</v>
      </c>
      <c r="I62" s="189">
        <v>4936</v>
      </c>
      <c r="J62" s="189">
        <v>1218.1224778978001</v>
      </c>
      <c r="K62" s="189">
        <v>791.64101037373098</v>
      </c>
      <c r="L62" s="189">
        <v>-32.729999999999997</v>
      </c>
      <c r="M62" s="189">
        <v>14.35</v>
      </c>
      <c r="N62" s="189">
        <v>52</v>
      </c>
      <c r="O62" s="189" t="s">
        <v>554</v>
      </c>
      <c r="P62" s="189" t="s">
        <v>555</v>
      </c>
      <c r="Q62" s="189" t="s">
        <v>253</v>
      </c>
      <c r="R62" s="189" t="s">
        <v>253</v>
      </c>
      <c r="S62" s="189" t="s">
        <v>253</v>
      </c>
      <c r="T62" s="189" t="s">
        <v>261</v>
      </c>
      <c r="U62" s="189" t="s">
        <v>253</v>
      </c>
      <c r="V62" s="189" t="s">
        <v>253</v>
      </c>
      <c r="W62" s="189" t="s">
        <v>253</v>
      </c>
      <c r="X62" s="189" t="s">
        <v>677</v>
      </c>
      <c r="Y62" s="189" t="s">
        <v>678</v>
      </c>
    </row>
    <row r="63" spans="1:25" x14ac:dyDescent="0.2">
      <c r="A63" s="189">
        <v>804</v>
      </c>
      <c r="B63" s="189" t="s">
        <v>394</v>
      </c>
      <c r="C63" s="189" t="s">
        <v>411</v>
      </c>
      <c r="D63" s="189" t="s">
        <v>411</v>
      </c>
      <c r="E63" s="189" t="s">
        <v>268</v>
      </c>
      <c r="F63" s="189" t="s">
        <v>537</v>
      </c>
      <c r="G63" s="189" t="s">
        <v>294</v>
      </c>
      <c r="H63" s="189" t="s">
        <v>256</v>
      </c>
      <c r="I63" s="189">
        <v>14884</v>
      </c>
      <c r="J63" s="189">
        <v>1204.05159598159</v>
      </c>
      <c r="K63" s="189">
        <v>781.65710660745196</v>
      </c>
      <c r="L63" s="189">
        <v>-32.409999999999997</v>
      </c>
      <c r="M63" s="189">
        <v>13.89</v>
      </c>
      <c r="N63" s="189">
        <v>30</v>
      </c>
      <c r="O63" s="189" t="s">
        <v>554</v>
      </c>
      <c r="P63" s="189" t="s">
        <v>555</v>
      </c>
      <c r="Q63" s="189" t="s">
        <v>253</v>
      </c>
      <c r="R63" s="189" t="s">
        <v>253</v>
      </c>
      <c r="S63" s="189" t="s">
        <v>257</v>
      </c>
      <c r="T63" s="189" t="s">
        <v>261</v>
      </c>
      <c r="U63" s="189" t="s">
        <v>253</v>
      </c>
      <c r="V63" s="189" t="s">
        <v>253</v>
      </c>
      <c r="W63" s="189" t="s">
        <v>253</v>
      </c>
      <c r="X63" s="189" t="s">
        <v>679</v>
      </c>
      <c r="Y63" s="189" t="s">
        <v>680</v>
      </c>
    </row>
    <row r="64" spans="1:25" x14ac:dyDescent="0.2">
      <c r="A64" s="189">
        <v>924</v>
      </c>
      <c r="B64" s="189" t="s">
        <v>411</v>
      </c>
      <c r="C64" s="189" t="s">
        <v>411</v>
      </c>
      <c r="D64" s="189" t="s">
        <v>411</v>
      </c>
      <c r="E64" s="189" t="s">
        <v>268</v>
      </c>
      <c r="F64" s="189" t="s">
        <v>537</v>
      </c>
      <c r="G64" s="189" t="s">
        <v>294</v>
      </c>
      <c r="H64" s="189" t="s">
        <v>256</v>
      </c>
      <c r="I64" s="189">
        <v>5362</v>
      </c>
      <c r="J64" s="189">
        <v>1164.6803731371799</v>
      </c>
      <c r="K64" s="189">
        <v>774.98170896255203</v>
      </c>
      <c r="L64" s="189">
        <v>-32.19</v>
      </c>
      <c r="M64" s="189">
        <v>12.62</v>
      </c>
      <c r="N64" s="189">
        <v>161</v>
      </c>
      <c r="O64" s="189" t="s">
        <v>554</v>
      </c>
      <c r="P64" s="189" t="s">
        <v>555</v>
      </c>
      <c r="Q64" s="189" t="s">
        <v>253</v>
      </c>
      <c r="R64" s="189" t="s">
        <v>253</v>
      </c>
      <c r="S64" s="189" t="s">
        <v>257</v>
      </c>
      <c r="T64" s="189" t="s">
        <v>253</v>
      </c>
      <c r="U64" s="189" t="s">
        <v>253</v>
      </c>
      <c r="V64" s="189" t="s">
        <v>253</v>
      </c>
      <c r="W64" s="189" t="s">
        <v>253</v>
      </c>
      <c r="X64" s="189" t="s">
        <v>681</v>
      </c>
      <c r="Y64" s="189" t="s">
        <v>682</v>
      </c>
    </row>
    <row r="65" spans="1:25" x14ac:dyDescent="0.2">
      <c r="A65" s="189">
        <v>43</v>
      </c>
      <c r="B65" s="189" t="s">
        <v>683</v>
      </c>
      <c r="C65" s="189" t="s">
        <v>331</v>
      </c>
      <c r="D65" s="189" t="s">
        <v>331</v>
      </c>
      <c r="E65" s="189" t="s">
        <v>268</v>
      </c>
      <c r="F65" s="189" t="s">
        <v>537</v>
      </c>
      <c r="G65" s="189" t="s">
        <v>294</v>
      </c>
      <c r="H65" s="189" t="s">
        <v>256</v>
      </c>
      <c r="I65" s="189">
        <v>16601</v>
      </c>
      <c r="J65" s="189">
        <v>1142.5717675260801</v>
      </c>
      <c r="K65" s="189">
        <v>800.65182410430998</v>
      </c>
      <c r="L65" s="189">
        <v>-33.03</v>
      </c>
      <c r="M65" s="189">
        <v>11.9</v>
      </c>
      <c r="N65" s="189">
        <v>82</v>
      </c>
      <c r="O65" s="189" t="s">
        <v>554</v>
      </c>
      <c r="P65" s="189" t="s">
        <v>555</v>
      </c>
      <c r="Q65" s="189" t="s">
        <v>253</v>
      </c>
      <c r="R65" s="189" t="s">
        <v>253</v>
      </c>
      <c r="S65" s="189" t="s">
        <v>257</v>
      </c>
      <c r="T65" s="189" t="s">
        <v>253</v>
      </c>
      <c r="U65" s="189" t="s">
        <v>253</v>
      </c>
      <c r="V65" s="189" t="s">
        <v>253</v>
      </c>
      <c r="W65" s="189" t="s">
        <v>253</v>
      </c>
      <c r="X65" s="189" t="s">
        <v>684</v>
      </c>
      <c r="Y65" s="189" t="s">
        <v>685</v>
      </c>
    </row>
    <row r="66" spans="1:25" x14ac:dyDescent="0.2">
      <c r="A66" s="189">
        <v>52</v>
      </c>
      <c r="B66" s="189" t="s">
        <v>276</v>
      </c>
      <c r="C66" s="189" t="s">
        <v>331</v>
      </c>
      <c r="D66" s="189" t="s">
        <v>331</v>
      </c>
      <c r="E66" s="189" t="s">
        <v>268</v>
      </c>
      <c r="F66" s="189" t="s">
        <v>537</v>
      </c>
      <c r="G66" s="189" t="s">
        <v>294</v>
      </c>
      <c r="H66" s="189" t="s">
        <v>256</v>
      </c>
      <c r="I66" s="189">
        <v>1727</v>
      </c>
      <c r="J66" s="189">
        <v>1084.67291040195</v>
      </c>
      <c r="K66" s="189">
        <v>773.46368850686099</v>
      </c>
      <c r="L66" s="189">
        <v>-32.15</v>
      </c>
      <c r="M66" s="189">
        <v>10.029999999999999</v>
      </c>
      <c r="N66" s="189">
        <v>210</v>
      </c>
      <c r="O66" s="189" t="s">
        <v>554</v>
      </c>
      <c r="P66" s="189" t="s">
        <v>555</v>
      </c>
      <c r="Q66" s="189" t="s">
        <v>253</v>
      </c>
      <c r="R66" s="189" t="s">
        <v>253</v>
      </c>
      <c r="S66" s="189" t="s">
        <v>253</v>
      </c>
      <c r="T66" s="189" t="s">
        <v>253</v>
      </c>
      <c r="U66" s="189" t="s">
        <v>253</v>
      </c>
      <c r="V66" s="189" t="s">
        <v>253</v>
      </c>
      <c r="W66" s="189" t="s">
        <v>253</v>
      </c>
      <c r="X66" s="189" t="s">
        <v>686</v>
      </c>
      <c r="Y66" s="189" t="s">
        <v>687</v>
      </c>
    </row>
    <row r="67" spans="1:25" x14ac:dyDescent="0.2">
      <c r="A67" s="189">
        <v>78</v>
      </c>
      <c r="B67" s="189" t="s">
        <v>280</v>
      </c>
      <c r="C67" s="189" t="s">
        <v>331</v>
      </c>
      <c r="D67" s="189" t="s">
        <v>331</v>
      </c>
      <c r="E67" s="189" t="s">
        <v>268</v>
      </c>
      <c r="F67" s="189" t="s">
        <v>537</v>
      </c>
      <c r="G67" s="189" t="s">
        <v>294</v>
      </c>
      <c r="H67" s="189" t="s">
        <v>256</v>
      </c>
      <c r="I67" s="189">
        <v>9554</v>
      </c>
      <c r="J67" s="189">
        <v>1141.8516808996601</v>
      </c>
      <c r="K67" s="189">
        <v>762.35100029916998</v>
      </c>
      <c r="L67" s="189">
        <v>-31.79</v>
      </c>
      <c r="M67" s="189">
        <v>11.88</v>
      </c>
      <c r="N67" s="189">
        <v>82</v>
      </c>
      <c r="O67" s="189" t="s">
        <v>554</v>
      </c>
      <c r="P67" s="189" t="s">
        <v>555</v>
      </c>
      <c r="Q67" s="189" t="s">
        <v>253</v>
      </c>
      <c r="R67" s="189" t="s">
        <v>253</v>
      </c>
      <c r="S67" s="189" t="s">
        <v>253</v>
      </c>
      <c r="T67" s="189" t="s">
        <v>253</v>
      </c>
      <c r="U67" s="189" t="s">
        <v>258</v>
      </c>
      <c r="V67" s="189" t="s">
        <v>253</v>
      </c>
      <c r="W67" s="189" t="s">
        <v>253</v>
      </c>
      <c r="X67" s="189" t="s">
        <v>688</v>
      </c>
      <c r="Y67" s="189" t="s">
        <v>689</v>
      </c>
    </row>
    <row r="68" spans="1:25" x14ac:dyDescent="0.2">
      <c r="A68" s="189">
        <v>122</v>
      </c>
      <c r="B68" s="189" t="s">
        <v>290</v>
      </c>
      <c r="C68" s="189" t="s">
        <v>331</v>
      </c>
      <c r="D68" s="189" t="s">
        <v>331</v>
      </c>
      <c r="E68" s="189" t="s">
        <v>268</v>
      </c>
      <c r="F68" s="189" t="s">
        <v>537</v>
      </c>
      <c r="G68" s="189" t="s">
        <v>294</v>
      </c>
      <c r="H68" s="189" t="s">
        <v>256</v>
      </c>
      <c r="I68" s="189">
        <v>3608</v>
      </c>
      <c r="J68" s="189">
        <v>1142.4744585225101</v>
      </c>
      <c r="K68" s="189">
        <v>706.33993784429697</v>
      </c>
      <c r="L68" s="189">
        <v>-29.97</v>
      </c>
      <c r="M68" s="189">
        <v>11.9</v>
      </c>
      <c r="N68" s="189">
        <v>118</v>
      </c>
      <c r="O68" s="189" t="s">
        <v>550</v>
      </c>
      <c r="P68" s="189" t="s">
        <v>551</v>
      </c>
      <c r="Q68" s="189" t="s">
        <v>253</v>
      </c>
      <c r="R68" s="189" t="s">
        <v>253</v>
      </c>
      <c r="S68" s="189" t="s">
        <v>257</v>
      </c>
      <c r="T68" s="189" t="s">
        <v>253</v>
      </c>
      <c r="U68" s="189" t="s">
        <v>258</v>
      </c>
      <c r="V68" s="189" t="s">
        <v>253</v>
      </c>
      <c r="W68" s="189" t="s">
        <v>253</v>
      </c>
      <c r="X68" s="189" t="s">
        <v>690</v>
      </c>
      <c r="Y68" s="189" t="s">
        <v>691</v>
      </c>
    </row>
    <row r="69" spans="1:25" x14ac:dyDescent="0.2">
      <c r="A69" s="189">
        <v>397</v>
      </c>
      <c r="B69" s="189" t="s">
        <v>331</v>
      </c>
      <c r="C69" s="189" t="s">
        <v>331</v>
      </c>
      <c r="D69" s="189" t="s">
        <v>331</v>
      </c>
      <c r="E69" s="189" t="s">
        <v>268</v>
      </c>
      <c r="F69" s="189" t="s">
        <v>537</v>
      </c>
      <c r="G69" s="189" t="s">
        <v>294</v>
      </c>
      <c r="H69" s="189" t="s">
        <v>256</v>
      </c>
      <c r="I69" s="189">
        <v>1924</v>
      </c>
      <c r="J69" s="189">
        <v>1092.6911722961199</v>
      </c>
      <c r="K69" s="189">
        <v>741.48794993376896</v>
      </c>
      <c r="L69" s="189">
        <v>-31.11</v>
      </c>
      <c r="M69" s="189">
        <v>10.29</v>
      </c>
      <c r="N69" s="189">
        <v>472</v>
      </c>
      <c r="O69" s="189" t="s">
        <v>554</v>
      </c>
      <c r="P69" s="189" t="s">
        <v>555</v>
      </c>
      <c r="Q69" s="189" t="s">
        <v>253</v>
      </c>
      <c r="R69" s="189" t="s">
        <v>253</v>
      </c>
      <c r="S69" s="189" t="s">
        <v>253</v>
      </c>
      <c r="T69" s="189" t="s">
        <v>253</v>
      </c>
      <c r="U69" s="189" t="s">
        <v>258</v>
      </c>
      <c r="V69" s="189" t="s">
        <v>253</v>
      </c>
      <c r="W69" s="189" t="s">
        <v>253</v>
      </c>
      <c r="X69" s="189" t="s">
        <v>692</v>
      </c>
      <c r="Y69" s="189" t="s">
        <v>693</v>
      </c>
    </row>
    <row r="70" spans="1:25" x14ac:dyDescent="0.2">
      <c r="A70" s="189">
        <v>493</v>
      </c>
      <c r="B70" s="189" t="s">
        <v>347</v>
      </c>
      <c r="C70" s="189" t="s">
        <v>331</v>
      </c>
      <c r="D70" s="189" t="s">
        <v>331</v>
      </c>
      <c r="E70" s="189" t="s">
        <v>268</v>
      </c>
      <c r="F70" s="189" t="s">
        <v>537</v>
      </c>
      <c r="G70" s="189" t="s">
        <v>294</v>
      </c>
      <c r="H70" s="189" t="s">
        <v>256</v>
      </c>
      <c r="I70" s="189">
        <v>17058</v>
      </c>
      <c r="J70" s="189">
        <v>1091.5623878547101</v>
      </c>
      <c r="K70" s="189">
        <v>710.73830480565903</v>
      </c>
      <c r="L70" s="189">
        <v>-30.11</v>
      </c>
      <c r="M70" s="189">
        <v>10.26</v>
      </c>
      <c r="N70" s="189">
        <v>266</v>
      </c>
      <c r="O70" s="189" t="s">
        <v>554</v>
      </c>
      <c r="P70" s="189" t="s">
        <v>555</v>
      </c>
      <c r="Q70" s="189" t="s">
        <v>253</v>
      </c>
      <c r="R70" s="189" t="s">
        <v>253</v>
      </c>
      <c r="S70" s="189" t="s">
        <v>257</v>
      </c>
      <c r="T70" s="189" t="s">
        <v>253</v>
      </c>
      <c r="U70" s="189" t="s">
        <v>253</v>
      </c>
      <c r="V70" s="189" t="s">
        <v>253</v>
      </c>
      <c r="W70" s="189" t="s">
        <v>253</v>
      </c>
      <c r="X70" s="189" t="s">
        <v>694</v>
      </c>
      <c r="Y70" s="189" t="s">
        <v>695</v>
      </c>
    </row>
    <row r="71" spans="1:25" x14ac:dyDescent="0.2">
      <c r="A71" s="189">
        <v>736</v>
      </c>
      <c r="B71" s="189" t="s">
        <v>379</v>
      </c>
      <c r="C71" s="189" t="s">
        <v>331</v>
      </c>
      <c r="D71" s="189" t="s">
        <v>331</v>
      </c>
      <c r="E71" s="189" t="s">
        <v>268</v>
      </c>
      <c r="F71" s="189" t="s">
        <v>537</v>
      </c>
      <c r="G71" s="189" t="s">
        <v>294</v>
      </c>
      <c r="H71" s="189" t="s">
        <v>256</v>
      </c>
      <c r="I71" s="189">
        <v>2220</v>
      </c>
      <c r="J71" s="189">
        <v>1123.2461994170901</v>
      </c>
      <c r="K71" s="189">
        <v>743.08381759231702</v>
      </c>
      <c r="L71" s="189">
        <v>-31.16</v>
      </c>
      <c r="M71" s="189">
        <v>11.28</v>
      </c>
      <c r="N71" s="189">
        <v>328</v>
      </c>
      <c r="O71" s="189" t="s">
        <v>550</v>
      </c>
      <c r="P71" s="189" t="s">
        <v>551</v>
      </c>
      <c r="Q71" s="189" t="s">
        <v>253</v>
      </c>
      <c r="R71" s="189" t="s">
        <v>253</v>
      </c>
      <c r="S71" s="189" t="s">
        <v>253</v>
      </c>
      <c r="T71" s="189" t="s">
        <v>253</v>
      </c>
      <c r="U71" s="189" t="s">
        <v>253</v>
      </c>
      <c r="V71" s="189" t="s">
        <v>253</v>
      </c>
      <c r="W71" s="189" t="s">
        <v>253</v>
      </c>
      <c r="X71" s="189" t="s">
        <v>696</v>
      </c>
      <c r="Y71" s="189" t="s">
        <v>697</v>
      </c>
    </row>
    <row r="72" spans="1:25" x14ac:dyDescent="0.2">
      <c r="A72" s="189">
        <v>803</v>
      </c>
      <c r="B72" s="189" t="s">
        <v>393</v>
      </c>
      <c r="C72" s="189" t="s">
        <v>331</v>
      </c>
      <c r="D72" s="189" t="s">
        <v>331</v>
      </c>
      <c r="E72" s="189" t="s">
        <v>268</v>
      </c>
      <c r="F72" s="189" t="s">
        <v>537</v>
      </c>
      <c r="G72" s="189" t="s">
        <v>294</v>
      </c>
      <c r="H72" s="189" t="s">
        <v>256</v>
      </c>
      <c r="I72" s="189">
        <v>13504</v>
      </c>
      <c r="J72" s="189">
        <v>1106.95667221947</v>
      </c>
      <c r="K72" s="189">
        <v>767.352683082667</v>
      </c>
      <c r="L72" s="189">
        <v>-31.95</v>
      </c>
      <c r="M72" s="189">
        <v>10.75</v>
      </c>
      <c r="N72" s="189">
        <v>328</v>
      </c>
      <c r="O72" s="189" t="s">
        <v>554</v>
      </c>
      <c r="P72" s="189" t="s">
        <v>555</v>
      </c>
      <c r="Q72" s="189" t="s">
        <v>253</v>
      </c>
      <c r="R72" s="189" t="s">
        <v>253</v>
      </c>
      <c r="S72" s="189" t="s">
        <v>253</v>
      </c>
      <c r="T72" s="189" t="s">
        <v>253</v>
      </c>
      <c r="U72" s="189" t="s">
        <v>258</v>
      </c>
      <c r="V72" s="189" t="s">
        <v>253</v>
      </c>
      <c r="W72" s="189" t="s">
        <v>253</v>
      </c>
      <c r="X72" s="189" t="s">
        <v>698</v>
      </c>
      <c r="Y72" s="189" t="s">
        <v>699</v>
      </c>
    </row>
    <row r="73" spans="1:25" x14ac:dyDescent="0.2">
      <c r="A73" s="189">
        <v>849</v>
      </c>
      <c r="B73" s="189" t="s">
        <v>401</v>
      </c>
      <c r="C73" s="189" t="s">
        <v>331</v>
      </c>
      <c r="D73" s="189" t="s">
        <v>331</v>
      </c>
      <c r="E73" s="189" t="s">
        <v>268</v>
      </c>
      <c r="F73" s="189" t="s">
        <v>537</v>
      </c>
      <c r="G73" s="189" t="s">
        <v>294</v>
      </c>
      <c r="H73" s="189" t="s">
        <v>256</v>
      </c>
      <c r="I73" s="189">
        <v>10742</v>
      </c>
      <c r="J73" s="189">
        <v>1109.19477930158</v>
      </c>
      <c r="K73" s="189">
        <v>734.73470508601395</v>
      </c>
      <c r="L73" s="189">
        <v>-30.89</v>
      </c>
      <c r="M73" s="189">
        <v>10.83</v>
      </c>
      <c r="N73" s="189">
        <v>328</v>
      </c>
      <c r="O73" s="189" t="s">
        <v>550</v>
      </c>
      <c r="P73" s="189" t="s">
        <v>551</v>
      </c>
      <c r="Q73" s="189" t="s">
        <v>253</v>
      </c>
      <c r="R73" s="189" t="s">
        <v>253</v>
      </c>
      <c r="S73" s="189" t="s">
        <v>257</v>
      </c>
      <c r="T73" s="189" t="s">
        <v>253</v>
      </c>
      <c r="U73" s="189" t="s">
        <v>253</v>
      </c>
      <c r="V73" s="189" t="s">
        <v>253</v>
      </c>
      <c r="W73" s="189" t="s">
        <v>253</v>
      </c>
      <c r="X73" s="189" t="s">
        <v>700</v>
      </c>
      <c r="Y73" s="189" t="s">
        <v>701</v>
      </c>
    </row>
    <row r="74" spans="1:25" x14ac:dyDescent="0.2">
      <c r="A74" s="189">
        <v>1012</v>
      </c>
      <c r="B74" s="189" t="s">
        <v>475</v>
      </c>
      <c r="C74" s="189" t="s">
        <v>331</v>
      </c>
      <c r="D74" s="189" t="s">
        <v>331</v>
      </c>
      <c r="E74" s="189" t="s">
        <v>268</v>
      </c>
      <c r="F74" s="189" t="s">
        <v>537</v>
      </c>
      <c r="G74" s="189" t="s">
        <v>294</v>
      </c>
      <c r="H74" s="189" t="s">
        <v>256</v>
      </c>
      <c r="I74" s="189">
        <v>13544</v>
      </c>
      <c r="J74" s="189">
        <v>1139.1270287997099</v>
      </c>
      <c r="K74" s="189">
        <v>778.23182968178901</v>
      </c>
      <c r="L74" s="189">
        <v>-32.299999999999997</v>
      </c>
      <c r="M74" s="189">
        <v>11.79</v>
      </c>
      <c r="N74" s="189">
        <v>13</v>
      </c>
      <c r="O74" s="189" t="s">
        <v>554</v>
      </c>
      <c r="P74" s="189" t="s">
        <v>555</v>
      </c>
      <c r="Q74" s="189" t="s">
        <v>253</v>
      </c>
      <c r="R74" s="189" t="s">
        <v>253</v>
      </c>
      <c r="S74" s="189" t="s">
        <v>253</v>
      </c>
      <c r="T74" s="189" t="s">
        <v>261</v>
      </c>
      <c r="U74" s="189" t="s">
        <v>258</v>
      </c>
      <c r="V74" s="189" t="s">
        <v>253</v>
      </c>
      <c r="W74" s="189" t="s">
        <v>253</v>
      </c>
      <c r="X74" s="189" t="s">
        <v>702</v>
      </c>
      <c r="Y74" s="189" t="s">
        <v>703</v>
      </c>
    </row>
    <row r="75" spans="1:25" x14ac:dyDescent="0.2">
      <c r="A75" s="189">
        <v>182</v>
      </c>
      <c r="B75" s="189" t="s">
        <v>299</v>
      </c>
      <c r="C75" s="189" t="s">
        <v>450</v>
      </c>
      <c r="D75" s="189" t="s">
        <v>451</v>
      </c>
      <c r="E75" s="189" t="s">
        <v>268</v>
      </c>
      <c r="F75" s="189" t="s">
        <v>537</v>
      </c>
      <c r="G75" s="189" t="s">
        <v>306</v>
      </c>
      <c r="H75" s="189" t="s">
        <v>256</v>
      </c>
      <c r="I75" s="189">
        <v>8500</v>
      </c>
      <c r="J75" s="189">
        <v>286.19415070822998</v>
      </c>
      <c r="K75" s="189">
        <v>682.14891955680298</v>
      </c>
      <c r="L75" s="189">
        <v>-29.19</v>
      </c>
      <c r="M75" s="189">
        <v>-15.76</v>
      </c>
      <c r="N75" s="189">
        <v>161</v>
      </c>
      <c r="O75" s="189" t="s">
        <v>550</v>
      </c>
      <c r="P75" s="189" t="s">
        <v>551</v>
      </c>
      <c r="Q75" s="189" t="s">
        <v>253</v>
      </c>
      <c r="R75" s="189" t="s">
        <v>253</v>
      </c>
      <c r="S75" s="189" t="s">
        <v>257</v>
      </c>
      <c r="T75" s="189" t="s">
        <v>253</v>
      </c>
      <c r="U75" s="189" t="s">
        <v>258</v>
      </c>
      <c r="V75" s="189" t="s">
        <v>253</v>
      </c>
      <c r="W75" s="189" t="s">
        <v>253</v>
      </c>
      <c r="X75" s="189" t="s">
        <v>704</v>
      </c>
      <c r="Y75" s="189" t="s">
        <v>705</v>
      </c>
    </row>
    <row r="76" spans="1:25" x14ac:dyDescent="0.2">
      <c r="A76" s="189">
        <v>462</v>
      </c>
      <c r="B76" s="189" t="s">
        <v>451</v>
      </c>
      <c r="C76" s="189" t="s">
        <v>450</v>
      </c>
      <c r="D76" s="189" t="s">
        <v>451</v>
      </c>
      <c r="E76" s="189" t="s">
        <v>268</v>
      </c>
      <c r="F76" s="189" t="s">
        <v>537</v>
      </c>
      <c r="G76" s="189" t="s">
        <v>306</v>
      </c>
      <c r="H76" s="189" t="s">
        <v>256</v>
      </c>
      <c r="I76" s="189">
        <v>18184</v>
      </c>
      <c r="J76" s="189">
        <v>227.5</v>
      </c>
      <c r="K76" s="189">
        <v>683.5</v>
      </c>
      <c r="L76" s="189">
        <v>-29.23</v>
      </c>
      <c r="M76" s="189">
        <v>-17.649999999999999</v>
      </c>
      <c r="N76" s="189">
        <v>82</v>
      </c>
      <c r="O76" s="189" t="s">
        <v>550</v>
      </c>
      <c r="P76" s="189" t="s">
        <v>551</v>
      </c>
      <c r="Q76" s="189" t="s">
        <v>253</v>
      </c>
      <c r="R76" s="189" t="s">
        <v>259</v>
      </c>
      <c r="S76" s="189" t="s">
        <v>253</v>
      </c>
      <c r="T76" s="189" t="s">
        <v>253</v>
      </c>
      <c r="U76" s="189" t="s">
        <v>258</v>
      </c>
      <c r="V76" s="189" t="s">
        <v>253</v>
      </c>
      <c r="W76" s="189" t="s">
        <v>253</v>
      </c>
      <c r="X76" s="189" t="s">
        <v>706</v>
      </c>
      <c r="Y76" s="189" t="s">
        <v>707</v>
      </c>
    </row>
    <row r="77" spans="1:25" x14ac:dyDescent="0.2">
      <c r="A77" s="189">
        <v>734</v>
      </c>
      <c r="B77" s="189" t="s">
        <v>377</v>
      </c>
      <c r="C77" s="189" t="s">
        <v>450</v>
      </c>
      <c r="D77" s="189" t="s">
        <v>451</v>
      </c>
      <c r="E77" s="189" t="s">
        <v>268</v>
      </c>
      <c r="F77" s="189" t="s">
        <v>537</v>
      </c>
      <c r="G77" s="189" t="s">
        <v>264</v>
      </c>
      <c r="H77" s="189" t="s">
        <v>256</v>
      </c>
      <c r="I77" s="189">
        <v>11279</v>
      </c>
      <c r="J77" s="189">
        <v>280.10260708474999</v>
      </c>
      <c r="K77" s="189">
        <v>661.63618160425403</v>
      </c>
      <c r="L77" s="189">
        <v>-28.52</v>
      </c>
      <c r="M77" s="189">
        <v>-15.95</v>
      </c>
      <c r="N77" s="189">
        <v>397</v>
      </c>
      <c r="O77" s="189" t="s">
        <v>550</v>
      </c>
      <c r="P77" s="189" t="s">
        <v>551</v>
      </c>
      <c r="Q77" s="189" t="s">
        <v>253</v>
      </c>
      <c r="R77" s="189" t="s">
        <v>253</v>
      </c>
      <c r="S77" s="189" t="s">
        <v>253</v>
      </c>
      <c r="T77" s="189" t="s">
        <v>261</v>
      </c>
      <c r="U77" s="189" t="s">
        <v>253</v>
      </c>
      <c r="V77" s="189" t="s">
        <v>253</v>
      </c>
      <c r="W77" s="189" t="s">
        <v>253</v>
      </c>
      <c r="X77" s="189" t="s">
        <v>708</v>
      </c>
      <c r="Y77" s="189" t="s">
        <v>709</v>
      </c>
    </row>
    <row r="78" spans="1:25" x14ac:dyDescent="0.2">
      <c r="A78" s="189">
        <v>492</v>
      </c>
      <c r="B78" s="189" t="s">
        <v>479</v>
      </c>
      <c r="C78" s="189" t="s">
        <v>478</v>
      </c>
      <c r="D78" s="189" t="s">
        <v>479</v>
      </c>
      <c r="E78" s="189" t="s">
        <v>268</v>
      </c>
      <c r="F78" s="189" t="s">
        <v>537</v>
      </c>
      <c r="G78" s="189" t="s">
        <v>260</v>
      </c>
      <c r="H78" s="189" t="s">
        <v>256</v>
      </c>
      <c r="I78" s="189">
        <v>23430</v>
      </c>
      <c r="J78" s="189">
        <v>776.04767467944703</v>
      </c>
      <c r="K78" s="189">
        <v>684.62056824748004</v>
      </c>
      <c r="L78" s="189">
        <v>-29.27</v>
      </c>
      <c r="M78" s="189">
        <v>7.0000000000000007E-2</v>
      </c>
      <c r="N78" s="189">
        <v>1736</v>
      </c>
      <c r="O78" s="189" t="s">
        <v>538</v>
      </c>
      <c r="P78" s="189" t="s">
        <v>539</v>
      </c>
      <c r="Q78" s="189" t="s">
        <v>253</v>
      </c>
      <c r="R78" s="189" t="s">
        <v>253</v>
      </c>
      <c r="S78" s="189" t="s">
        <v>257</v>
      </c>
      <c r="T78" s="189" t="s">
        <v>261</v>
      </c>
      <c r="U78" s="189" t="s">
        <v>258</v>
      </c>
      <c r="V78" s="189" t="s">
        <v>253</v>
      </c>
      <c r="W78" s="189" t="s">
        <v>253</v>
      </c>
      <c r="X78" s="189" t="s">
        <v>710</v>
      </c>
      <c r="Y78" s="189" t="s">
        <v>711</v>
      </c>
    </row>
    <row r="79" spans="1:25" x14ac:dyDescent="0.2">
      <c r="A79" s="189">
        <v>47</v>
      </c>
      <c r="B79" s="189" t="s">
        <v>275</v>
      </c>
      <c r="C79" s="189" t="s">
        <v>459</v>
      </c>
      <c r="D79" s="189" t="s">
        <v>275</v>
      </c>
      <c r="E79" s="189" t="s">
        <v>268</v>
      </c>
      <c r="F79" s="189" t="s">
        <v>537</v>
      </c>
      <c r="G79" s="189" t="s">
        <v>264</v>
      </c>
      <c r="H79" s="189" t="s">
        <v>256</v>
      </c>
      <c r="I79" s="189">
        <v>18598</v>
      </c>
      <c r="J79" s="189">
        <v>402.03078855791898</v>
      </c>
      <c r="K79" s="189">
        <v>642.07707188668996</v>
      </c>
      <c r="L79" s="189">
        <v>-27.89</v>
      </c>
      <c r="M79" s="189">
        <v>-12.01</v>
      </c>
      <c r="N79" s="189">
        <v>82</v>
      </c>
      <c r="O79" s="189" t="s">
        <v>564</v>
      </c>
      <c r="P79" s="189" t="s">
        <v>565</v>
      </c>
      <c r="Q79" s="189" t="s">
        <v>253</v>
      </c>
      <c r="R79" s="189" t="s">
        <v>253</v>
      </c>
      <c r="S79" s="189" t="s">
        <v>253</v>
      </c>
      <c r="T79" s="189" t="s">
        <v>261</v>
      </c>
      <c r="U79" s="189" t="s">
        <v>253</v>
      </c>
      <c r="V79" s="189" t="s">
        <v>253</v>
      </c>
      <c r="W79" s="189" t="s">
        <v>253</v>
      </c>
      <c r="X79" s="189" t="s">
        <v>712</v>
      </c>
      <c r="Y79" s="189" t="s">
        <v>713</v>
      </c>
    </row>
    <row r="80" spans="1:25" x14ac:dyDescent="0.2">
      <c r="A80" s="189">
        <v>74</v>
      </c>
      <c r="B80" s="189" t="s">
        <v>279</v>
      </c>
      <c r="C80" s="189" t="s">
        <v>459</v>
      </c>
      <c r="D80" s="189" t="s">
        <v>275</v>
      </c>
      <c r="E80" s="189" t="s">
        <v>268</v>
      </c>
      <c r="F80" s="189" t="s">
        <v>537</v>
      </c>
      <c r="G80" s="189" t="s">
        <v>255</v>
      </c>
      <c r="H80" s="189" t="s">
        <v>256</v>
      </c>
      <c r="I80" s="189">
        <v>1773</v>
      </c>
      <c r="J80" s="189">
        <v>407.908252373545</v>
      </c>
      <c r="K80" s="189">
        <v>619.71546286631201</v>
      </c>
      <c r="L80" s="189">
        <v>-27.17</v>
      </c>
      <c r="M80" s="189">
        <v>-11.82</v>
      </c>
      <c r="N80" s="189">
        <v>118</v>
      </c>
      <c r="O80" s="189" t="s">
        <v>564</v>
      </c>
      <c r="P80" s="189" t="s">
        <v>565</v>
      </c>
      <c r="Q80" s="189" t="s">
        <v>253</v>
      </c>
      <c r="R80" s="189" t="s">
        <v>253</v>
      </c>
      <c r="S80" s="189" t="s">
        <v>257</v>
      </c>
      <c r="T80" s="189" t="s">
        <v>253</v>
      </c>
      <c r="U80" s="189" t="s">
        <v>253</v>
      </c>
      <c r="V80" s="189" t="s">
        <v>253</v>
      </c>
      <c r="W80" s="189" t="s">
        <v>253</v>
      </c>
      <c r="X80" s="189" t="s">
        <v>714</v>
      </c>
      <c r="Y80" s="189" t="s">
        <v>715</v>
      </c>
    </row>
    <row r="81" spans="1:25" x14ac:dyDescent="0.2">
      <c r="A81" s="189">
        <v>115</v>
      </c>
      <c r="B81" s="189" t="s">
        <v>287</v>
      </c>
      <c r="C81" s="189" t="s">
        <v>459</v>
      </c>
      <c r="D81" s="189" t="s">
        <v>275</v>
      </c>
      <c r="E81" s="189" t="s">
        <v>268</v>
      </c>
      <c r="F81" s="189" t="s">
        <v>537</v>
      </c>
      <c r="G81" s="189" t="s">
        <v>255</v>
      </c>
      <c r="H81" s="189" t="s">
        <v>256</v>
      </c>
      <c r="I81" s="189">
        <v>4744</v>
      </c>
      <c r="J81" s="189">
        <v>410.45774826707799</v>
      </c>
      <c r="K81" s="189">
        <v>653.85146131865599</v>
      </c>
      <c r="L81" s="189">
        <v>-28.27</v>
      </c>
      <c r="M81" s="189">
        <v>-11.74</v>
      </c>
      <c r="N81" s="189">
        <v>52</v>
      </c>
      <c r="O81" s="189" t="s">
        <v>564</v>
      </c>
      <c r="P81" s="189" t="s">
        <v>565</v>
      </c>
      <c r="Q81" s="189" t="s">
        <v>253</v>
      </c>
      <c r="R81" s="189" t="s">
        <v>253</v>
      </c>
      <c r="S81" s="189" t="s">
        <v>257</v>
      </c>
      <c r="T81" s="189" t="s">
        <v>253</v>
      </c>
      <c r="U81" s="189" t="s">
        <v>253</v>
      </c>
      <c r="V81" s="189" t="s">
        <v>253</v>
      </c>
      <c r="W81" s="189" t="s">
        <v>253</v>
      </c>
      <c r="X81" s="189" t="s">
        <v>716</v>
      </c>
      <c r="Y81" s="189" t="s">
        <v>717</v>
      </c>
    </row>
    <row r="82" spans="1:25" x14ac:dyDescent="0.2">
      <c r="A82" s="189">
        <v>376</v>
      </c>
      <c r="B82" s="189" t="s">
        <v>162</v>
      </c>
      <c r="C82" s="189" t="s">
        <v>162</v>
      </c>
      <c r="D82" s="189" t="s">
        <v>162</v>
      </c>
      <c r="E82" s="189" t="s">
        <v>268</v>
      </c>
      <c r="F82" s="189" t="s">
        <v>537</v>
      </c>
      <c r="G82" s="189" t="s">
        <v>391</v>
      </c>
      <c r="H82" s="189" t="s">
        <v>256</v>
      </c>
      <c r="I82" s="189">
        <v>23705</v>
      </c>
      <c r="J82" s="189">
        <v>523.80327562537695</v>
      </c>
      <c r="K82" s="189">
        <v>531.10588421549903</v>
      </c>
      <c r="L82" s="189">
        <v>-24.3</v>
      </c>
      <c r="M82" s="189">
        <v>-8.08</v>
      </c>
      <c r="N82" s="189">
        <v>266</v>
      </c>
      <c r="O82" s="189" t="s">
        <v>602</v>
      </c>
      <c r="P82" s="189" t="s">
        <v>603</v>
      </c>
      <c r="Q82" s="189" t="s">
        <v>253</v>
      </c>
      <c r="R82" s="189" t="s">
        <v>253</v>
      </c>
      <c r="S82" s="189" t="s">
        <v>257</v>
      </c>
      <c r="T82" s="189" t="s">
        <v>253</v>
      </c>
      <c r="U82" s="189" t="s">
        <v>258</v>
      </c>
      <c r="V82" s="189" t="s">
        <v>253</v>
      </c>
      <c r="W82" s="189" t="s">
        <v>253</v>
      </c>
      <c r="X82" s="189" t="s">
        <v>718</v>
      </c>
      <c r="Y82" s="189" t="s">
        <v>719</v>
      </c>
    </row>
    <row r="83" spans="1:25" x14ac:dyDescent="0.2">
      <c r="A83" s="189">
        <v>1044</v>
      </c>
      <c r="B83" s="189" t="s">
        <v>520</v>
      </c>
      <c r="C83" s="189" t="s">
        <v>507</v>
      </c>
      <c r="D83" s="189" t="s">
        <v>508</v>
      </c>
      <c r="E83" s="189" t="s">
        <v>268</v>
      </c>
      <c r="F83" s="189" t="s">
        <v>537</v>
      </c>
      <c r="G83" s="189" t="s">
        <v>262</v>
      </c>
      <c r="H83" s="189" t="s">
        <v>263</v>
      </c>
      <c r="I83" s="189">
        <v>2947</v>
      </c>
      <c r="J83" s="189">
        <v>1061.3965967480201</v>
      </c>
      <c r="K83" s="189">
        <v>488.737544061135</v>
      </c>
      <c r="L83" s="189">
        <v>-22.93</v>
      </c>
      <c r="M83" s="189">
        <v>9.2799999999999994</v>
      </c>
      <c r="N83" s="189">
        <v>2392</v>
      </c>
      <c r="O83" s="189" t="s">
        <v>554</v>
      </c>
      <c r="P83" s="189" t="s">
        <v>555</v>
      </c>
      <c r="Q83" s="189" t="s">
        <v>253</v>
      </c>
      <c r="R83" s="189" t="s">
        <v>253</v>
      </c>
      <c r="S83" s="189" t="s">
        <v>253</v>
      </c>
      <c r="T83" s="189" t="s">
        <v>253</v>
      </c>
      <c r="U83" s="189" t="s">
        <v>258</v>
      </c>
      <c r="V83" s="189" t="s">
        <v>253</v>
      </c>
      <c r="W83" s="189" t="s">
        <v>253</v>
      </c>
      <c r="X83" s="189" t="s">
        <v>720</v>
      </c>
      <c r="Y83" s="189" t="s">
        <v>721</v>
      </c>
    </row>
    <row r="84" spans="1:25" x14ac:dyDescent="0.2">
      <c r="A84" s="189">
        <v>1047</v>
      </c>
      <c r="B84" s="189" t="s">
        <v>508</v>
      </c>
      <c r="C84" s="189" t="s">
        <v>507</v>
      </c>
      <c r="D84" s="189" t="s">
        <v>508</v>
      </c>
      <c r="E84" s="189" t="s">
        <v>268</v>
      </c>
      <c r="F84" s="189" t="s">
        <v>537</v>
      </c>
      <c r="G84" s="189" t="s">
        <v>395</v>
      </c>
      <c r="H84" s="189" t="s">
        <v>263</v>
      </c>
      <c r="I84" s="189">
        <v>1174</v>
      </c>
      <c r="J84" s="189">
        <v>1073.2293715821199</v>
      </c>
      <c r="K84" s="189">
        <v>564.73587584927998</v>
      </c>
      <c r="L84" s="189">
        <v>-25.39</v>
      </c>
      <c r="M84" s="189">
        <v>9.67</v>
      </c>
      <c r="N84" s="189">
        <v>6644</v>
      </c>
      <c r="O84" s="189" t="s">
        <v>722</v>
      </c>
      <c r="P84" s="189" t="s">
        <v>723</v>
      </c>
      <c r="Q84" s="189" t="s">
        <v>253</v>
      </c>
      <c r="R84" s="189" t="s">
        <v>253</v>
      </c>
      <c r="S84" s="189" t="s">
        <v>253</v>
      </c>
      <c r="T84" s="189" t="s">
        <v>261</v>
      </c>
      <c r="U84" s="189" t="s">
        <v>253</v>
      </c>
      <c r="V84" s="189" t="s">
        <v>253</v>
      </c>
      <c r="W84" s="189" t="s">
        <v>253</v>
      </c>
      <c r="X84" s="189" t="s">
        <v>724</v>
      </c>
      <c r="Y84" s="189" t="s">
        <v>725</v>
      </c>
    </row>
    <row r="85" spans="1:25" x14ac:dyDescent="0.2">
      <c r="A85" s="189">
        <v>1048</v>
      </c>
      <c r="B85" s="189" t="s">
        <v>523</v>
      </c>
      <c r="C85" s="189" t="s">
        <v>507</v>
      </c>
      <c r="D85" s="189" t="s">
        <v>508</v>
      </c>
      <c r="E85" s="189" t="s">
        <v>268</v>
      </c>
      <c r="F85" s="189" t="s">
        <v>537</v>
      </c>
      <c r="G85" s="189" t="s">
        <v>262</v>
      </c>
      <c r="H85" s="189" t="s">
        <v>263</v>
      </c>
      <c r="I85" s="189">
        <v>1857</v>
      </c>
      <c r="J85" s="189">
        <v>1109.0780084973001</v>
      </c>
      <c r="K85" s="189">
        <v>515.98406506072604</v>
      </c>
      <c r="L85" s="189">
        <v>-23.81</v>
      </c>
      <c r="M85" s="189">
        <v>10.82</v>
      </c>
      <c r="N85" s="189">
        <v>4492</v>
      </c>
      <c r="O85" s="189" t="s">
        <v>726</v>
      </c>
      <c r="P85" s="189" t="s">
        <v>727</v>
      </c>
      <c r="Q85" s="189" t="s">
        <v>253</v>
      </c>
      <c r="R85" s="189" t="s">
        <v>253</v>
      </c>
      <c r="S85" s="189" t="s">
        <v>253</v>
      </c>
      <c r="T85" s="189" t="s">
        <v>253</v>
      </c>
      <c r="U85" s="189" t="s">
        <v>253</v>
      </c>
      <c r="V85" s="189" t="s">
        <v>253</v>
      </c>
      <c r="W85" s="189" t="s">
        <v>253</v>
      </c>
      <c r="X85" s="189" t="s">
        <v>728</v>
      </c>
      <c r="Y85" s="189" t="s">
        <v>729</v>
      </c>
    </row>
    <row r="86" spans="1:25" x14ac:dyDescent="0.2">
      <c r="A86" s="189">
        <v>1049</v>
      </c>
      <c r="B86" s="189" t="s">
        <v>524</v>
      </c>
      <c r="C86" s="189" t="s">
        <v>507</v>
      </c>
      <c r="D86" s="189" t="s">
        <v>508</v>
      </c>
      <c r="E86" s="189" t="s">
        <v>268</v>
      </c>
      <c r="F86" s="189" t="s">
        <v>537</v>
      </c>
      <c r="G86" s="189" t="s">
        <v>262</v>
      </c>
      <c r="H86" s="189" t="s">
        <v>263</v>
      </c>
      <c r="I86" s="189">
        <v>1506</v>
      </c>
      <c r="J86" s="189">
        <v>1035.96002321483</v>
      </c>
      <c r="K86" s="189">
        <v>576.91896309623996</v>
      </c>
      <c r="L86" s="189">
        <v>-25.78</v>
      </c>
      <c r="M86" s="189">
        <v>8.4600000000000009</v>
      </c>
      <c r="N86" s="189">
        <v>6067</v>
      </c>
      <c r="O86" s="189" t="s">
        <v>730</v>
      </c>
      <c r="P86" s="189" t="s">
        <v>731</v>
      </c>
      <c r="Q86" s="189" t="s">
        <v>253</v>
      </c>
      <c r="R86" s="189" t="s">
        <v>253</v>
      </c>
      <c r="S86" s="189" t="s">
        <v>253</v>
      </c>
      <c r="T86" s="189" t="s">
        <v>253</v>
      </c>
      <c r="U86" s="189" t="s">
        <v>253</v>
      </c>
      <c r="V86" s="189" t="s">
        <v>253</v>
      </c>
      <c r="W86" s="189" t="s">
        <v>253</v>
      </c>
      <c r="X86" s="189" t="s">
        <v>732</v>
      </c>
      <c r="Y86" s="189" t="s">
        <v>733</v>
      </c>
    </row>
    <row r="87" spans="1:25" x14ac:dyDescent="0.2">
      <c r="A87" s="189">
        <v>103</v>
      </c>
      <c r="B87" s="189" t="s">
        <v>285</v>
      </c>
      <c r="C87" s="189" t="s">
        <v>465</v>
      </c>
      <c r="D87" s="189" t="s">
        <v>285</v>
      </c>
      <c r="E87" s="189" t="s">
        <v>268</v>
      </c>
      <c r="F87" s="189" t="s">
        <v>537</v>
      </c>
      <c r="G87" s="189" t="s">
        <v>391</v>
      </c>
      <c r="H87" s="189" t="s">
        <v>256</v>
      </c>
      <c r="I87" s="189">
        <v>3268</v>
      </c>
      <c r="J87" s="189">
        <v>516.5</v>
      </c>
      <c r="K87" s="189">
        <v>620</v>
      </c>
      <c r="L87" s="189">
        <v>-27.18</v>
      </c>
      <c r="M87" s="189">
        <v>-8.32</v>
      </c>
      <c r="N87" s="189">
        <v>210</v>
      </c>
      <c r="O87" s="189" t="s">
        <v>564</v>
      </c>
      <c r="P87" s="189" t="s">
        <v>565</v>
      </c>
      <c r="Q87" s="189" t="s">
        <v>253</v>
      </c>
      <c r="R87" s="189" t="s">
        <v>259</v>
      </c>
      <c r="S87" s="189" t="s">
        <v>257</v>
      </c>
      <c r="T87" s="189" t="s">
        <v>261</v>
      </c>
      <c r="U87" s="189" t="s">
        <v>253</v>
      </c>
      <c r="V87" s="189" t="s">
        <v>253</v>
      </c>
      <c r="W87" s="189" t="s">
        <v>253</v>
      </c>
      <c r="X87" s="189" t="s">
        <v>734</v>
      </c>
      <c r="Y87" s="189" t="s">
        <v>735</v>
      </c>
    </row>
    <row r="88" spans="1:25" x14ac:dyDescent="0.2">
      <c r="A88" s="189">
        <v>99</v>
      </c>
      <c r="B88" s="189" t="s">
        <v>283</v>
      </c>
      <c r="C88" s="189" t="s">
        <v>283</v>
      </c>
      <c r="D88" s="189" t="s">
        <v>283</v>
      </c>
      <c r="E88" s="189" t="s">
        <v>268</v>
      </c>
      <c r="F88" s="189" t="s">
        <v>537</v>
      </c>
      <c r="G88" s="189" t="s">
        <v>260</v>
      </c>
      <c r="H88" s="189" t="s">
        <v>256</v>
      </c>
      <c r="I88" s="189">
        <v>6128</v>
      </c>
      <c r="J88" s="189">
        <v>910.25625240314605</v>
      </c>
      <c r="K88" s="189">
        <v>854.26908507136204</v>
      </c>
      <c r="L88" s="189">
        <v>-34.76</v>
      </c>
      <c r="M88" s="189">
        <v>4.4000000000000004</v>
      </c>
      <c r="N88" s="189">
        <v>118</v>
      </c>
      <c r="O88" s="189" t="s">
        <v>542</v>
      </c>
      <c r="P88" s="189" t="s">
        <v>543</v>
      </c>
      <c r="Q88" s="189" t="s">
        <v>253</v>
      </c>
      <c r="R88" s="189" t="s">
        <v>253</v>
      </c>
      <c r="S88" s="189" t="s">
        <v>257</v>
      </c>
      <c r="T88" s="189" t="s">
        <v>261</v>
      </c>
      <c r="U88" s="189" t="s">
        <v>253</v>
      </c>
      <c r="V88" s="189" t="s">
        <v>253</v>
      </c>
      <c r="W88" s="189" t="s">
        <v>253</v>
      </c>
      <c r="X88" s="189" t="s">
        <v>736</v>
      </c>
      <c r="Y88" s="189" t="s">
        <v>737</v>
      </c>
    </row>
    <row r="89" spans="1:25" x14ac:dyDescent="0.2">
      <c r="A89" s="189">
        <v>195</v>
      </c>
      <c r="B89" s="189" t="s">
        <v>301</v>
      </c>
      <c r="C89" s="189" t="s">
        <v>283</v>
      </c>
      <c r="D89" s="189" t="s">
        <v>283</v>
      </c>
      <c r="E89" s="189" t="s">
        <v>268</v>
      </c>
      <c r="F89" s="189" t="s">
        <v>537</v>
      </c>
      <c r="G89" s="189" t="s">
        <v>260</v>
      </c>
      <c r="H89" s="189" t="s">
        <v>256</v>
      </c>
      <c r="I89" s="189">
        <v>1784</v>
      </c>
      <c r="J89" s="189">
        <v>898.07316515618595</v>
      </c>
      <c r="K89" s="189">
        <v>811.88128311628395</v>
      </c>
      <c r="L89" s="189">
        <v>-33.39</v>
      </c>
      <c r="M89" s="189">
        <v>4.01</v>
      </c>
      <c r="N89" s="189">
        <v>554</v>
      </c>
      <c r="O89" s="189" t="s">
        <v>542</v>
      </c>
      <c r="P89" s="189" t="s">
        <v>543</v>
      </c>
      <c r="Q89" s="189" t="s">
        <v>253</v>
      </c>
      <c r="R89" s="189" t="s">
        <v>253</v>
      </c>
      <c r="S89" s="189" t="s">
        <v>253</v>
      </c>
      <c r="T89" s="189" t="s">
        <v>253</v>
      </c>
      <c r="U89" s="189" t="s">
        <v>258</v>
      </c>
      <c r="V89" s="189" t="s">
        <v>253</v>
      </c>
      <c r="W89" s="189" t="s">
        <v>253</v>
      </c>
      <c r="X89" s="189" t="s">
        <v>738</v>
      </c>
      <c r="Y89" s="189" t="s">
        <v>739</v>
      </c>
    </row>
    <row r="90" spans="1:25" x14ac:dyDescent="0.2">
      <c r="A90" s="189">
        <v>400</v>
      </c>
      <c r="B90" s="189" t="s">
        <v>334</v>
      </c>
      <c r="C90" s="189" t="s">
        <v>283</v>
      </c>
      <c r="D90" s="189" t="s">
        <v>283</v>
      </c>
      <c r="E90" s="189" t="s">
        <v>268</v>
      </c>
      <c r="F90" s="189" t="s">
        <v>537</v>
      </c>
      <c r="G90" s="189" t="s">
        <v>260</v>
      </c>
      <c r="H90" s="189" t="s">
        <v>256</v>
      </c>
      <c r="I90" s="189">
        <v>1801</v>
      </c>
      <c r="J90" s="189">
        <v>954.47346362533904</v>
      </c>
      <c r="K90" s="189">
        <v>835.44952378093001</v>
      </c>
      <c r="L90" s="189">
        <v>-34.15</v>
      </c>
      <c r="M90" s="189">
        <v>5.83</v>
      </c>
      <c r="N90" s="189">
        <v>161</v>
      </c>
      <c r="O90" s="189" t="s">
        <v>542</v>
      </c>
      <c r="P90" s="189" t="s">
        <v>543</v>
      </c>
      <c r="Q90" s="189" t="s">
        <v>253</v>
      </c>
      <c r="R90" s="189" t="s">
        <v>253</v>
      </c>
      <c r="S90" s="189" t="s">
        <v>253</v>
      </c>
      <c r="T90" s="189" t="s">
        <v>253</v>
      </c>
      <c r="U90" s="189" t="s">
        <v>258</v>
      </c>
      <c r="V90" s="189" t="s">
        <v>253</v>
      </c>
      <c r="W90" s="189" t="s">
        <v>253</v>
      </c>
      <c r="X90" s="189" t="s">
        <v>740</v>
      </c>
      <c r="Y90" s="189" t="s">
        <v>741</v>
      </c>
    </row>
    <row r="91" spans="1:25" x14ac:dyDescent="0.2">
      <c r="A91" s="189">
        <v>504</v>
      </c>
      <c r="B91" s="189" t="s">
        <v>349</v>
      </c>
      <c r="C91" s="189" t="s">
        <v>283</v>
      </c>
      <c r="D91" s="189" t="s">
        <v>283</v>
      </c>
      <c r="E91" s="189" t="s">
        <v>268</v>
      </c>
      <c r="F91" s="189" t="s">
        <v>537</v>
      </c>
      <c r="G91" s="189" t="s">
        <v>260</v>
      </c>
      <c r="H91" s="189" t="s">
        <v>256</v>
      </c>
      <c r="I91" s="189">
        <v>3698</v>
      </c>
      <c r="J91" s="189">
        <v>879</v>
      </c>
      <c r="K91" s="189">
        <v>824</v>
      </c>
      <c r="L91" s="189">
        <v>-33.78</v>
      </c>
      <c r="M91" s="189">
        <v>3.39</v>
      </c>
      <c r="N91" s="189">
        <v>82</v>
      </c>
      <c r="O91" s="189" t="s">
        <v>554</v>
      </c>
      <c r="P91" s="189" t="s">
        <v>555</v>
      </c>
      <c r="Q91" s="189" t="s">
        <v>253</v>
      </c>
      <c r="R91" s="189" t="s">
        <v>259</v>
      </c>
      <c r="S91" s="189" t="s">
        <v>257</v>
      </c>
      <c r="T91" s="189" t="s">
        <v>253</v>
      </c>
      <c r="U91" s="189" t="s">
        <v>253</v>
      </c>
      <c r="V91" s="189" t="s">
        <v>253</v>
      </c>
      <c r="W91" s="189" t="s">
        <v>253</v>
      </c>
      <c r="X91" s="189" t="s">
        <v>742</v>
      </c>
      <c r="Y91" s="189" t="s">
        <v>743</v>
      </c>
    </row>
    <row r="92" spans="1:25" x14ac:dyDescent="0.2">
      <c r="A92" s="189">
        <v>542</v>
      </c>
      <c r="B92" s="189" t="s">
        <v>354</v>
      </c>
      <c r="C92" s="189" t="s">
        <v>283</v>
      </c>
      <c r="D92" s="189" t="s">
        <v>283</v>
      </c>
      <c r="E92" s="189" t="s">
        <v>268</v>
      </c>
      <c r="F92" s="189" t="s">
        <v>537</v>
      </c>
      <c r="G92" s="189" t="s">
        <v>260</v>
      </c>
      <c r="H92" s="189" t="s">
        <v>256</v>
      </c>
      <c r="I92" s="189">
        <v>10379</v>
      </c>
      <c r="J92" s="189">
        <v>991.97635360120501</v>
      </c>
      <c r="K92" s="189">
        <v>858.20036881558804</v>
      </c>
      <c r="L92" s="189">
        <v>-34.89</v>
      </c>
      <c r="M92" s="189">
        <v>7.04</v>
      </c>
      <c r="N92" s="189">
        <v>82</v>
      </c>
      <c r="O92" s="189" t="s">
        <v>542</v>
      </c>
      <c r="P92" s="189" t="s">
        <v>543</v>
      </c>
      <c r="Q92" s="189" t="s">
        <v>253</v>
      </c>
      <c r="R92" s="189" t="s">
        <v>253</v>
      </c>
      <c r="S92" s="189" t="s">
        <v>257</v>
      </c>
      <c r="T92" s="189" t="s">
        <v>261</v>
      </c>
      <c r="U92" s="189" t="s">
        <v>253</v>
      </c>
      <c r="V92" s="189" t="s">
        <v>253</v>
      </c>
      <c r="W92" s="189" t="s">
        <v>253</v>
      </c>
      <c r="X92" s="189" t="s">
        <v>744</v>
      </c>
      <c r="Y92" s="189" t="s">
        <v>745</v>
      </c>
    </row>
    <row r="93" spans="1:25" x14ac:dyDescent="0.2">
      <c r="A93" s="189">
        <v>852</v>
      </c>
      <c r="B93" s="189" t="s">
        <v>404</v>
      </c>
      <c r="C93" s="189" t="s">
        <v>283</v>
      </c>
      <c r="D93" s="189" t="s">
        <v>283</v>
      </c>
      <c r="E93" s="189" t="s">
        <v>268</v>
      </c>
      <c r="F93" s="189" t="s">
        <v>537</v>
      </c>
      <c r="G93" s="189" t="s">
        <v>260</v>
      </c>
      <c r="H93" s="189" t="s">
        <v>256</v>
      </c>
      <c r="I93" s="189">
        <v>22642</v>
      </c>
      <c r="J93" s="189">
        <v>926.52631780004504</v>
      </c>
      <c r="K93" s="189">
        <v>784.323373305269</v>
      </c>
      <c r="L93" s="189">
        <v>-32.5</v>
      </c>
      <c r="M93" s="189">
        <v>4.93</v>
      </c>
      <c r="N93" s="189">
        <v>266</v>
      </c>
      <c r="O93" s="189" t="s">
        <v>554</v>
      </c>
      <c r="P93" s="189" t="s">
        <v>555</v>
      </c>
      <c r="Q93" s="189" t="s">
        <v>253</v>
      </c>
      <c r="R93" s="189" t="s">
        <v>253</v>
      </c>
      <c r="S93" s="189" t="s">
        <v>257</v>
      </c>
      <c r="T93" s="189" t="s">
        <v>261</v>
      </c>
      <c r="U93" s="189" t="s">
        <v>253</v>
      </c>
      <c r="V93" s="189" t="s">
        <v>297</v>
      </c>
      <c r="W93" s="189" t="s">
        <v>253</v>
      </c>
      <c r="X93" s="189" t="s">
        <v>746</v>
      </c>
      <c r="Y93" s="189" t="s">
        <v>747</v>
      </c>
    </row>
    <row r="94" spans="1:25" x14ac:dyDescent="0.2">
      <c r="A94" s="189">
        <v>39</v>
      </c>
      <c r="B94" s="189" t="s">
        <v>273</v>
      </c>
      <c r="C94" s="189" t="s">
        <v>453</v>
      </c>
      <c r="D94" s="189" t="s">
        <v>351</v>
      </c>
      <c r="E94" s="189" t="s">
        <v>268</v>
      </c>
      <c r="F94" s="189" t="s">
        <v>537</v>
      </c>
      <c r="G94" s="189" t="s">
        <v>264</v>
      </c>
      <c r="H94" s="189" t="s">
        <v>256</v>
      </c>
      <c r="I94" s="189">
        <v>5892</v>
      </c>
      <c r="J94" s="189">
        <v>303.96277476010602</v>
      </c>
      <c r="K94" s="189">
        <v>583.90574955256398</v>
      </c>
      <c r="L94" s="189">
        <v>-26.01</v>
      </c>
      <c r="M94" s="189">
        <v>-15.18</v>
      </c>
      <c r="N94" s="189">
        <v>82</v>
      </c>
      <c r="O94" s="189" t="s">
        <v>568</v>
      </c>
      <c r="P94" s="189" t="s">
        <v>569</v>
      </c>
      <c r="Q94" s="189" t="s">
        <v>253</v>
      </c>
      <c r="R94" s="189" t="s">
        <v>253</v>
      </c>
      <c r="S94" s="189" t="s">
        <v>257</v>
      </c>
      <c r="T94" s="189" t="s">
        <v>253</v>
      </c>
      <c r="U94" s="189" t="s">
        <v>253</v>
      </c>
      <c r="V94" s="189" t="s">
        <v>253</v>
      </c>
      <c r="W94" s="189" t="s">
        <v>253</v>
      </c>
      <c r="X94" s="189" t="s">
        <v>748</v>
      </c>
      <c r="Y94" s="189" t="s">
        <v>749</v>
      </c>
    </row>
    <row r="95" spans="1:25" x14ac:dyDescent="0.2">
      <c r="A95" s="189">
        <v>121</v>
      </c>
      <c r="B95" s="189" t="s">
        <v>289</v>
      </c>
      <c r="C95" s="189" t="s">
        <v>453</v>
      </c>
      <c r="D95" s="189" t="s">
        <v>351</v>
      </c>
      <c r="E95" s="189" t="s">
        <v>268</v>
      </c>
      <c r="F95" s="189" t="s">
        <v>537</v>
      </c>
      <c r="G95" s="189" t="s">
        <v>264</v>
      </c>
      <c r="H95" s="189" t="s">
        <v>256</v>
      </c>
      <c r="I95" s="189">
        <v>1784</v>
      </c>
      <c r="J95" s="189">
        <v>251.98030505302901</v>
      </c>
      <c r="K95" s="189">
        <v>590.62007079889099</v>
      </c>
      <c r="L95" s="189">
        <v>-26.22</v>
      </c>
      <c r="M95" s="189">
        <v>-16.86</v>
      </c>
      <c r="N95" s="189">
        <v>82</v>
      </c>
      <c r="O95" s="189" t="s">
        <v>568</v>
      </c>
      <c r="P95" s="189" t="s">
        <v>569</v>
      </c>
      <c r="Q95" s="189" t="s">
        <v>253</v>
      </c>
      <c r="R95" s="189" t="s">
        <v>253</v>
      </c>
      <c r="S95" s="189" t="s">
        <v>257</v>
      </c>
      <c r="T95" s="189" t="s">
        <v>253</v>
      </c>
      <c r="U95" s="189" t="s">
        <v>253</v>
      </c>
      <c r="V95" s="189" t="s">
        <v>253</v>
      </c>
      <c r="W95" s="189" t="s">
        <v>253</v>
      </c>
      <c r="X95" s="189" t="s">
        <v>750</v>
      </c>
      <c r="Y95" s="189" t="s">
        <v>751</v>
      </c>
    </row>
    <row r="96" spans="1:25" x14ac:dyDescent="0.2">
      <c r="A96" s="189">
        <v>536</v>
      </c>
      <c r="B96" s="189" t="s">
        <v>455</v>
      </c>
      <c r="C96" s="189" t="s">
        <v>453</v>
      </c>
      <c r="D96" s="189" t="s">
        <v>351</v>
      </c>
      <c r="E96" s="189" t="s">
        <v>268</v>
      </c>
      <c r="F96" s="189" t="s">
        <v>537</v>
      </c>
      <c r="G96" s="189" t="s">
        <v>264</v>
      </c>
      <c r="H96" s="189" t="s">
        <v>256</v>
      </c>
      <c r="I96" s="189">
        <v>2083</v>
      </c>
      <c r="J96" s="189">
        <v>261.76959081216802</v>
      </c>
      <c r="K96" s="189">
        <v>594.14265672812405</v>
      </c>
      <c r="L96" s="189">
        <v>-26.34</v>
      </c>
      <c r="M96" s="189">
        <v>-16.54</v>
      </c>
      <c r="N96" s="189">
        <v>266</v>
      </c>
      <c r="O96" s="189" t="s">
        <v>568</v>
      </c>
      <c r="P96" s="189" t="s">
        <v>569</v>
      </c>
      <c r="Q96" s="189" t="s">
        <v>253</v>
      </c>
      <c r="R96" s="189" t="s">
        <v>253</v>
      </c>
      <c r="S96" s="189" t="s">
        <v>257</v>
      </c>
      <c r="T96" s="189" t="s">
        <v>253</v>
      </c>
      <c r="U96" s="189" t="s">
        <v>253</v>
      </c>
      <c r="V96" s="189" t="s">
        <v>253</v>
      </c>
      <c r="W96" s="189" t="s">
        <v>253</v>
      </c>
      <c r="X96" s="189" t="s">
        <v>752</v>
      </c>
      <c r="Y96" s="189" t="s">
        <v>753</v>
      </c>
    </row>
    <row r="97" spans="1:25" x14ac:dyDescent="0.2">
      <c r="A97" s="189">
        <v>751</v>
      </c>
      <c r="B97" s="189" t="s">
        <v>383</v>
      </c>
      <c r="C97" s="189" t="s">
        <v>453</v>
      </c>
      <c r="D97" s="189" t="s">
        <v>351</v>
      </c>
      <c r="E97" s="189" t="s">
        <v>268</v>
      </c>
      <c r="F97" s="189" t="s">
        <v>537</v>
      </c>
      <c r="G97" s="189" t="s">
        <v>314</v>
      </c>
      <c r="H97" s="189" t="s">
        <v>256</v>
      </c>
      <c r="I97" s="189">
        <v>12031</v>
      </c>
      <c r="J97" s="189">
        <v>224.753245854152</v>
      </c>
      <c r="K97" s="189">
        <v>580.655628833327</v>
      </c>
      <c r="L97" s="189">
        <v>-25.9</v>
      </c>
      <c r="M97" s="189">
        <v>-17.739999999999998</v>
      </c>
      <c r="N97" s="189">
        <v>161</v>
      </c>
      <c r="O97" s="189" t="s">
        <v>568</v>
      </c>
      <c r="P97" s="189" t="s">
        <v>569</v>
      </c>
      <c r="Q97" s="189" t="s">
        <v>253</v>
      </c>
      <c r="R97" s="189" t="s">
        <v>253</v>
      </c>
      <c r="S97" s="189" t="s">
        <v>257</v>
      </c>
      <c r="T97" s="189" t="s">
        <v>253</v>
      </c>
      <c r="U97" s="189" t="s">
        <v>253</v>
      </c>
      <c r="V97" s="189" t="s">
        <v>253</v>
      </c>
      <c r="W97" s="189" t="s">
        <v>253</v>
      </c>
      <c r="X97" s="189" t="s">
        <v>754</v>
      </c>
      <c r="Y97" s="189" t="s">
        <v>755</v>
      </c>
    </row>
    <row r="98" spans="1:25" x14ac:dyDescent="0.2">
      <c r="A98" s="189">
        <v>178</v>
      </c>
      <c r="B98" s="189" t="s">
        <v>298</v>
      </c>
      <c r="C98" s="189" t="s">
        <v>476</v>
      </c>
      <c r="D98" s="189" t="s">
        <v>298</v>
      </c>
      <c r="E98" s="189" t="s">
        <v>268</v>
      </c>
      <c r="F98" s="189" t="s">
        <v>537</v>
      </c>
      <c r="G98" s="189" t="s">
        <v>260</v>
      </c>
      <c r="H98" s="189" t="s">
        <v>256</v>
      </c>
      <c r="I98" s="189">
        <v>19230</v>
      </c>
      <c r="J98" s="189">
        <v>772</v>
      </c>
      <c r="K98" s="189">
        <v>861.5</v>
      </c>
      <c r="L98" s="189">
        <v>-35</v>
      </c>
      <c r="M98" s="189">
        <v>-0.06</v>
      </c>
      <c r="N98" s="189">
        <v>82</v>
      </c>
      <c r="O98" s="189" t="s">
        <v>542</v>
      </c>
      <c r="P98" s="189" t="s">
        <v>543</v>
      </c>
      <c r="Q98" s="189" t="s">
        <v>253</v>
      </c>
      <c r="R98" s="189" t="s">
        <v>259</v>
      </c>
      <c r="S98" s="189" t="s">
        <v>257</v>
      </c>
      <c r="T98" s="189" t="s">
        <v>261</v>
      </c>
      <c r="U98" s="189" t="s">
        <v>258</v>
      </c>
      <c r="V98" s="189" t="s">
        <v>253</v>
      </c>
      <c r="W98" s="189" t="s">
        <v>253</v>
      </c>
      <c r="X98" s="189" t="s">
        <v>756</v>
      </c>
      <c r="Y98" s="189" t="s">
        <v>757</v>
      </c>
    </row>
    <row r="99" spans="1:25" x14ac:dyDescent="0.2">
      <c r="A99" s="189">
        <v>315</v>
      </c>
      <c r="B99" s="189" t="s">
        <v>323</v>
      </c>
      <c r="C99" s="189" t="s">
        <v>476</v>
      </c>
      <c r="D99" s="189" t="s">
        <v>298</v>
      </c>
      <c r="E99" s="189" t="s">
        <v>268</v>
      </c>
      <c r="F99" s="189" t="s">
        <v>537</v>
      </c>
      <c r="G99" s="189" t="s">
        <v>260</v>
      </c>
      <c r="H99" s="189" t="s">
        <v>256</v>
      </c>
      <c r="I99" s="189">
        <v>1850</v>
      </c>
      <c r="J99" s="189">
        <v>797.397270062698</v>
      </c>
      <c r="K99" s="189">
        <v>788.35196605306601</v>
      </c>
      <c r="L99" s="189">
        <v>-32.630000000000003</v>
      </c>
      <c r="M99" s="189">
        <v>0.76</v>
      </c>
      <c r="N99" s="189">
        <v>2572</v>
      </c>
      <c r="O99" s="189" t="s">
        <v>560</v>
      </c>
      <c r="P99" s="189" t="s">
        <v>561</v>
      </c>
      <c r="Q99" s="189" t="s">
        <v>253</v>
      </c>
      <c r="R99" s="189" t="s">
        <v>253</v>
      </c>
      <c r="S99" s="189" t="s">
        <v>257</v>
      </c>
      <c r="T99" s="189" t="s">
        <v>253</v>
      </c>
      <c r="U99" s="189" t="s">
        <v>253</v>
      </c>
      <c r="V99" s="189" t="s">
        <v>253</v>
      </c>
      <c r="W99" s="189" t="s">
        <v>253</v>
      </c>
      <c r="X99" s="189" t="s">
        <v>758</v>
      </c>
      <c r="Y99" s="189" t="s">
        <v>759</v>
      </c>
    </row>
    <row r="100" spans="1:25" x14ac:dyDescent="0.2">
      <c r="A100" s="189">
        <v>522</v>
      </c>
      <c r="B100" s="189" t="s">
        <v>350</v>
      </c>
      <c r="C100" s="189" t="s">
        <v>476</v>
      </c>
      <c r="D100" s="189" t="s">
        <v>298</v>
      </c>
      <c r="E100" s="189" t="s">
        <v>268</v>
      </c>
      <c r="F100" s="189" t="s">
        <v>537</v>
      </c>
      <c r="G100" s="189" t="s">
        <v>260</v>
      </c>
      <c r="H100" s="189" t="s">
        <v>256</v>
      </c>
      <c r="I100" s="189">
        <v>1974</v>
      </c>
      <c r="J100" s="189">
        <v>741.17212779996999</v>
      </c>
      <c r="K100" s="189">
        <v>812.15374832628004</v>
      </c>
      <c r="L100" s="189">
        <v>-33.4</v>
      </c>
      <c r="M100" s="189">
        <v>-1.06</v>
      </c>
      <c r="N100" s="189">
        <v>840</v>
      </c>
      <c r="O100" s="189" t="s">
        <v>542</v>
      </c>
      <c r="P100" s="189" t="s">
        <v>543</v>
      </c>
      <c r="Q100" s="189" t="s">
        <v>253</v>
      </c>
      <c r="R100" s="189" t="s">
        <v>253</v>
      </c>
      <c r="S100" s="189" t="s">
        <v>253</v>
      </c>
      <c r="T100" s="189" t="s">
        <v>253</v>
      </c>
      <c r="U100" s="189" t="s">
        <v>258</v>
      </c>
      <c r="V100" s="189" t="s">
        <v>253</v>
      </c>
      <c r="W100" s="189" t="s">
        <v>253</v>
      </c>
      <c r="X100" s="189" t="s">
        <v>760</v>
      </c>
      <c r="Y100" s="189" t="s">
        <v>761</v>
      </c>
    </row>
    <row r="101" spans="1:25" x14ac:dyDescent="0.2">
      <c r="A101" s="189">
        <v>624</v>
      </c>
      <c r="B101" s="189" t="s">
        <v>366</v>
      </c>
      <c r="C101" s="189" t="s">
        <v>476</v>
      </c>
      <c r="D101" s="189" t="s">
        <v>298</v>
      </c>
      <c r="E101" s="189" t="s">
        <v>268</v>
      </c>
      <c r="F101" s="189" t="s">
        <v>537</v>
      </c>
      <c r="G101" s="189" t="s">
        <v>260</v>
      </c>
      <c r="H101" s="189" t="s">
        <v>256</v>
      </c>
      <c r="I101" s="189">
        <v>16602</v>
      </c>
      <c r="J101" s="189">
        <v>733.56256372079895</v>
      </c>
      <c r="K101" s="189">
        <v>843.21478226581303</v>
      </c>
      <c r="L101" s="189">
        <v>-34.4</v>
      </c>
      <c r="M101" s="189">
        <v>-1.31</v>
      </c>
      <c r="N101" s="189">
        <v>397</v>
      </c>
      <c r="O101" s="189" t="s">
        <v>538</v>
      </c>
      <c r="P101" s="189" t="s">
        <v>539</v>
      </c>
      <c r="Q101" s="189" t="s">
        <v>253</v>
      </c>
      <c r="R101" s="189" t="s">
        <v>253</v>
      </c>
      <c r="S101" s="189" t="s">
        <v>257</v>
      </c>
      <c r="T101" s="189" t="s">
        <v>253</v>
      </c>
      <c r="U101" s="189" t="s">
        <v>258</v>
      </c>
      <c r="V101" s="189" t="s">
        <v>253</v>
      </c>
      <c r="W101" s="189" t="s">
        <v>253</v>
      </c>
      <c r="X101" s="189" t="s">
        <v>762</v>
      </c>
      <c r="Y101" s="189" t="s">
        <v>763</v>
      </c>
    </row>
    <row r="102" spans="1:25" x14ac:dyDescent="0.2">
      <c r="A102" s="189">
        <v>873</v>
      </c>
      <c r="B102" s="189" t="s">
        <v>406</v>
      </c>
      <c r="C102" s="189" t="s">
        <v>476</v>
      </c>
      <c r="D102" s="189" t="s">
        <v>298</v>
      </c>
      <c r="E102" s="189" t="s">
        <v>268</v>
      </c>
      <c r="F102" s="189" t="s">
        <v>537</v>
      </c>
      <c r="G102" s="189" t="s">
        <v>260</v>
      </c>
      <c r="H102" s="189" t="s">
        <v>256</v>
      </c>
      <c r="I102" s="189">
        <v>2093</v>
      </c>
      <c r="J102" s="189">
        <v>774.47126882161297</v>
      </c>
      <c r="K102" s="189">
        <v>842.12492142583005</v>
      </c>
      <c r="L102" s="189">
        <v>-34.369999999999997</v>
      </c>
      <c r="M102" s="189">
        <v>0.02</v>
      </c>
      <c r="N102" s="189">
        <v>210</v>
      </c>
      <c r="O102" s="189" t="s">
        <v>542</v>
      </c>
      <c r="P102" s="189" t="s">
        <v>543</v>
      </c>
      <c r="Q102" s="189" t="s">
        <v>253</v>
      </c>
      <c r="R102" s="189" t="s">
        <v>253</v>
      </c>
      <c r="S102" s="189" t="s">
        <v>253</v>
      </c>
      <c r="T102" s="189" t="s">
        <v>261</v>
      </c>
      <c r="U102" s="189" t="s">
        <v>253</v>
      </c>
      <c r="V102" s="189" t="s">
        <v>253</v>
      </c>
      <c r="W102" s="189" t="s">
        <v>253</v>
      </c>
      <c r="X102" s="189" t="s">
        <v>764</v>
      </c>
      <c r="Y102" s="189" t="s">
        <v>765</v>
      </c>
    </row>
    <row r="103" spans="1:25" x14ac:dyDescent="0.2">
      <c r="A103" s="189">
        <v>86</v>
      </c>
      <c r="B103" s="189" t="s">
        <v>281</v>
      </c>
      <c r="C103" s="189" t="s">
        <v>482</v>
      </c>
      <c r="D103" s="189" t="s">
        <v>483</v>
      </c>
      <c r="E103" s="189" t="s">
        <v>268</v>
      </c>
      <c r="F103" s="189" t="s">
        <v>537</v>
      </c>
      <c r="G103" s="189" t="s">
        <v>260</v>
      </c>
      <c r="H103" s="189" t="s">
        <v>256</v>
      </c>
      <c r="I103" s="189">
        <v>1705</v>
      </c>
      <c r="J103" s="189">
        <v>815.32158852028601</v>
      </c>
      <c r="K103" s="189">
        <v>782.51342583886799</v>
      </c>
      <c r="L103" s="189">
        <v>-32.44</v>
      </c>
      <c r="M103" s="189">
        <v>1.33</v>
      </c>
      <c r="N103" s="189">
        <v>1447</v>
      </c>
      <c r="O103" s="189" t="s">
        <v>538</v>
      </c>
      <c r="P103" s="189" t="s">
        <v>539</v>
      </c>
      <c r="Q103" s="189" t="s">
        <v>253</v>
      </c>
      <c r="R103" s="189" t="s">
        <v>253</v>
      </c>
      <c r="S103" s="189" t="s">
        <v>257</v>
      </c>
      <c r="T103" s="189" t="s">
        <v>253</v>
      </c>
      <c r="U103" s="189" t="s">
        <v>253</v>
      </c>
      <c r="V103" s="189" t="s">
        <v>253</v>
      </c>
      <c r="W103" s="189" t="s">
        <v>253</v>
      </c>
      <c r="X103" s="189" t="s">
        <v>766</v>
      </c>
      <c r="Y103" s="189" t="s">
        <v>767</v>
      </c>
    </row>
    <row r="104" spans="1:25" x14ac:dyDescent="0.2">
      <c r="A104" s="189">
        <v>108</v>
      </c>
      <c r="B104" s="189" t="s">
        <v>483</v>
      </c>
      <c r="C104" s="189" t="s">
        <v>482</v>
      </c>
      <c r="D104" s="189" t="s">
        <v>483</v>
      </c>
      <c r="E104" s="189" t="s">
        <v>268</v>
      </c>
      <c r="F104" s="189" t="s">
        <v>537</v>
      </c>
      <c r="G104" s="189" t="s">
        <v>260</v>
      </c>
      <c r="H104" s="189" t="s">
        <v>256</v>
      </c>
      <c r="I104" s="189">
        <v>4134</v>
      </c>
      <c r="J104" s="189">
        <v>845.5</v>
      </c>
      <c r="K104" s="189">
        <v>830</v>
      </c>
      <c r="L104" s="189">
        <v>-33.979999999999997</v>
      </c>
      <c r="M104" s="189">
        <v>2.31</v>
      </c>
      <c r="N104" s="189">
        <v>52</v>
      </c>
      <c r="O104" s="189" t="s">
        <v>542</v>
      </c>
      <c r="P104" s="189" t="s">
        <v>543</v>
      </c>
      <c r="Q104" s="189" t="s">
        <v>253</v>
      </c>
      <c r="R104" s="189" t="s">
        <v>259</v>
      </c>
      <c r="S104" s="189" t="s">
        <v>257</v>
      </c>
      <c r="T104" s="189" t="s">
        <v>253</v>
      </c>
      <c r="U104" s="189" t="s">
        <v>253</v>
      </c>
      <c r="V104" s="189" t="s">
        <v>253</v>
      </c>
      <c r="W104" s="189" t="s">
        <v>253</v>
      </c>
      <c r="X104" s="189" t="s">
        <v>768</v>
      </c>
      <c r="Y104" s="189" t="s">
        <v>769</v>
      </c>
    </row>
    <row r="105" spans="1:25" x14ac:dyDescent="0.2">
      <c r="A105" s="189">
        <v>209</v>
      </c>
      <c r="B105" s="189" t="s">
        <v>303</v>
      </c>
      <c r="C105" s="189" t="s">
        <v>482</v>
      </c>
      <c r="D105" s="189" t="s">
        <v>483</v>
      </c>
      <c r="E105" s="189" t="s">
        <v>268</v>
      </c>
      <c r="F105" s="189" t="s">
        <v>537</v>
      </c>
      <c r="G105" s="189" t="s">
        <v>260</v>
      </c>
      <c r="H105" s="189" t="s">
        <v>256</v>
      </c>
      <c r="I105" s="189">
        <v>1856</v>
      </c>
      <c r="J105" s="189">
        <v>816.76176177312095</v>
      </c>
      <c r="K105" s="189">
        <v>806.64605872421998</v>
      </c>
      <c r="L105" s="189">
        <v>-33.22</v>
      </c>
      <c r="M105" s="189">
        <v>1.38</v>
      </c>
      <c r="N105" s="189">
        <v>328</v>
      </c>
      <c r="O105" s="189" t="s">
        <v>542</v>
      </c>
      <c r="P105" s="189" t="s">
        <v>543</v>
      </c>
      <c r="Q105" s="189" t="s">
        <v>253</v>
      </c>
      <c r="R105" s="189" t="s">
        <v>253</v>
      </c>
      <c r="S105" s="189" t="s">
        <v>253</v>
      </c>
      <c r="T105" s="189" t="s">
        <v>253</v>
      </c>
      <c r="U105" s="189" t="s">
        <v>253</v>
      </c>
      <c r="V105" s="189" t="s">
        <v>253</v>
      </c>
      <c r="W105" s="189" t="s">
        <v>253</v>
      </c>
      <c r="X105" s="189" t="s">
        <v>770</v>
      </c>
      <c r="Y105" s="189" t="s">
        <v>771</v>
      </c>
    </row>
    <row r="106" spans="1:25" x14ac:dyDescent="0.2">
      <c r="A106" s="189">
        <v>210</v>
      </c>
      <c r="B106" s="189" t="s">
        <v>772</v>
      </c>
      <c r="C106" s="189" t="s">
        <v>482</v>
      </c>
      <c r="D106" s="189" t="s">
        <v>483</v>
      </c>
      <c r="E106" s="189" t="s">
        <v>268</v>
      </c>
      <c r="F106" s="189" t="s">
        <v>537</v>
      </c>
      <c r="G106" s="189" t="s">
        <v>260</v>
      </c>
      <c r="H106" s="189" t="s">
        <v>256</v>
      </c>
      <c r="I106" s="189">
        <v>4057</v>
      </c>
      <c r="J106" s="189">
        <v>828.12</v>
      </c>
      <c r="K106" s="189">
        <v>840.78</v>
      </c>
      <c r="L106" s="189">
        <v>-34.33</v>
      </c>
      <c r="M106" s="189">
        <v>1.75</v>
      </c>
      <c r="N106" s="189">
        <v>52</v>
      </c>
      <c r="O106" s="189" t="s">
        <v>542</v>
      </c>
      <c r="P106" s="189" t="s">
        <v>543</v>
      </c>
      <c r="Q106" s="189" t="s">
        <v>253</v>
      </c>
      <c r="R106" s="189" t="s">
        <v>259</v>
      </c>
      <c r="S106" s="189" t="s">
        <v>253</v>
      </c>
      <c r="T106" s="189" t="s">
        <v>253</v>
      </c>
      <c r="U106" s="189" t="s">
        <v>253</v>
      </c>
      <c r="V106" s="189" t="s">
        <v>253</v>
      </c>
      <c r="W106" s="189" t="s">
        <v>253</v>
      </c>
      <c r="X106" s="189" t="s">
        <v>773</v>
      </c>
      <c r="Y106" s="189" t="s">
        <v>774</v>
      </c>
    </row>
    <row r="107" spans="1:25" x14ac:dyDescent="0.2">
      <c r="A107" s="189">
        <v>646</v>
      </c>
      <c r="B107" s="189" t="s">
        <v>368</v>
      </c>
      <c r="C107" s="189" t="s">
        <v>482</v>
      </c>
      <c r="D107" s="189" t="s">
        <v>483</v>
      </c>
      <c r="E107" s="189" t="s">
        <v>268</v>
      </c>
      <c r="F107" s="189" t="s">
        <v>537</v>
      </c>
      <c r="G107" s="189" t="s">
        <v>260</v>
      </c>
      <c r="H107" s="189" t="s">
        <v>256</v>
      </c>
      <c r="I107" s="189">
        <v>13225</v>
      </c>
      <c r="J107" s="189">
        <v>843.13250174058203</v>
      </c>
      <c r="K107" s="189">
        <v>784.40122050812499</v>
      </c>
      <c r="L107" s="189">
        <v>-32.5</v>
      </c>
      <c r="M107" s="189">
        <v>2.23</v>
      </c>
      <c r="N107" s="189">
        <v>266</v>
      </c>
      <c r="O107" s="189" t="s">
        <v>542</v>
      </c>
      <c r="P107" s="189" t="s">
        <v>543</v>
      </c>
      <c r="Q107" s="189" t="s">
        <v>253</v>
      </c>
      <c r="R107" s="189" t="s">
        <v>253</v>
      </c>
      <c r="S107" s="189" t="s">
        <v>253</v>
      </c>
      <c r="T107" s="189" t="s">
        <v>253</v>
      </c>
      <c r="U107" s="189" t="s">
        <v>253</v>
      </c>
      <c r="V107" s="189" t="s">
        <v>253</v>
      </c>
      <c r="W107" s="189" t="s">
        <v>253</v>
      </c>
      <c r="X107" s="189" t="s">
        <v>775</v>
      </c>
      <c r="Y107" s="189" t="s">
        <v>776</v>
      </c>
    </row>
    <row r="108" spans="1:25" x14ac:dyDescent="0.2">
      <c r="A108" s="189">
        <v>1046</v>
      </c>
      <c r="B108" s="189" t="s">
        <v>511</v>
      </c>
      <c r="C108" s="189" t="s">
        <v>511</v>
      </c>
      <c r="D108" s="189" t="s">
        <v>511</v>
      </c>
      <c r="E108" s="189" t="s">
        <v>268</v>
      </c>
      <c r="F108" s="189" t="s">
        <v>537</v>
      </c>
      <c r="G108" s="189" t="s">
        <v>522</v>
      </c>
      <c r="H108" s="189" t="s">
        <v>521</v>
      </c>
      <c r="I108" s="189">
        <v>1849</v>
      </c>
      <c r="J108" s="189">
        <v>976.81561084500402</v>
      </c>
      <c r="K108" s="189">
        <v>410.24810178159998</v>
      </c>
      <c r="L108" s="189">
        <v>-20.38</v>
      </c>
      <c r="M108" s="189">
        <v>6.55</v>
      </c>
      <c r="N108" s="189">
        <v>5515</v>
      </c>
      <c r="O108" s="189" t="s">
        <v>560</v>
      </c>
      <c r="P108" s="189" t="s">
        <v>561</v>
      </c>
      <c r="Q108" s="189" t="s">
        <v>253</v>
      </c>
      <c r="R108" s="189" t="s">
        <v>253</v>
      </c>
      <c r="S108" s="189" t="s">
        <v>257</v>
      </c>
      <c r="T108" s="189" t="s">
        <v>261</v>
      </c>
      <c r="U108" s="189" t="s">
        <v>253</v>
      </c>
      <c r="V108" s="189" t="s">
        <v>253</v>
      </c>
      <c r="W108" s="189" t="s">
        <v>253</v>
      </c>
      <c r="X108" s="189" t="s">
        <v>777</v>
      </c>
      <c r="Y108" s="189" t="s">
        <v>778</v>
      </c>
    </row>
    <row r="109" spans="1:25" x14ac:dyDescent="0.2">
      <c r="A109" s="189">
        <v>538</v>
      </c>
      <c r="B109" s="189" t="s">
        <v>352</v>
      </c>
      <c r="C109" s="189" t="s">
        <v>448</v>
      </c>
      <c r="D109" s="189" t="s">
        <v>352</v>
      </c>
      <c r="E109" s="189" t="s">
        <v>268</v>
      </c>
      <c r="F109" s="189" t="s">
        <v>537</v>
      </c>
      <c r="G109" s="189" t="s">
        <v>306</v>
      </c>
      <c r="H109" s="189" t="s">
        <v>256</v>
      </c>
      <c r="I109" s="189">
        <v>2159</v>
      </c>
      <c r="J109" s="189">
        <v>239.99183581320901</v>
      </c>
      <c r="K109" s="189">
        <v>738.121058410248</v>
      </c>
      <c r="L109" s="189">
        <v>-31</v>
      </c>
      <c r="M109" s="189">
        <v>-17.25</v>
      </c>
      <c r="N109" s="189">
        <v>266</v>
      </c>
      <c r="O109" s="189" t="s">
        <v>550</v>
      </c>
      <c r="P109" s="189" t="s">
        <v>551</v>
      </c>
      <c r="Q109" s="189" t="s">
        <v>253</v>
      </c>
      <c r="R109" s="189" t="s">
        <v>259</v>
      </c>
      <c r="S109" s="189" t="s">
        <v>257</v>
      </c>
      <c r="T109" s="189" t="s">
        <v>253</v>
      </c>
      <c r="U109" s="189" t="s">
        <v>253</v>
      </c>
      <c r="V109" s="189" t="s">
        <v>253</v>
      </c>
      <c r="W109" s="189" t="s">
        <v>253</v>
      </c>
      <c r="X109" s="189" t="s">
        <v>779</v>
      </c>
      <c r="Y109" s="189" t="s">
        <v>780</v>
      </c>
    </row>
    <row r="110" spans="1:25" x14ac:dyDescent="0.2">
      <c r="A110" s="189">
        <v>735</v>
      </c>
      <c r="B110" s="189" t="s">
        <v>378</v>
      </c>
      <c r="C110" s="189" t="s">
        <v>473</v>
      </c>
      <c r="D110" s="189" t="s">
        <v>473</v>
      </c>
      <c r="E110" s="189" t="s">
        <v>268</v>
      </c>
      <c r="F110" s="189" t="s">
        <v>537</v>
      </c>
      <c r="G110" s="189" t="s">
        <v>260</v>
      </c>
      <c r="H110" s="189" t="s">
        <v>256</v>
      </c>
      <c r="I110" s="189">
        <v>15815</v>
      </c>
      <c r="J110" s="189">
        <v>729.86482158514002</v>
      </c>
      <c r="K110" s="189">
        <v>722.92139205261901</v>
      </c>
      <c r="L110" s="189">
        <v>-30.51</v>
      </c>
      <c r="M110" s="189">
        <v>-1.43</v>
      </c>
      <c r="N110" s="189">
        <v>948</v>
      </c>
      <c r="O110" s="189" t="s">
        <v>542</v>
      </c>
      <c r="P110" s="189" t="s">
        <v>543</v>
      </c>
      <c r="Q110" s="189" t="s">
        <v>253</v>
      </c>
      <c r="R110" s="189" t="s">
        <v>253</v>
      </c>
      <c r="S110" s="189" t="s">
        <v>257</v>
      </c>
      <c r="T110" s="189" t="s">
        <v>261</v>
      </c>
      <c r="U110" s="189" t="s">
        <v>253</v>
      </c>
      <c r="V110" s="189" t="s">
        <v>253</v>
      </c>
      <c r="W110" s="189" t="s">
        <v>253</v>
      </c>
      <c r="X110" s="189" t="s">
        <v>781</v>
      </c>
      <c r="Y110" s="189" t="s">
        <v>782</v>
      </c>
    </row>
    <row r="111" spans="1:25" x14ac:dyDescent="0.2">
      <c r="A111" s="189">
        <v>953</v>
      </c>
      <c r="B111" s="189" t="s">
        <v>414</v>
      </c>
      <c r="C111" s="189" t="s">
        <v>473</v>
      </c>
      <c r="D111" s="189" t="s">
        <v>473</v>
      </c>
      <c r="E111" s="189" t="s">
        <v>268</v>
      </c>
      <c r="F111" s="189" t="s">
        <v>537</v>
      </c>
      <c r="G111" s="189" t="s">
        <v>255</v>
      </c>
      <c r="H111" s="189" t="s">
        <v>256</v>
      </c>
      <c r="I111" s="189">
        <v>18741</v>
      </c>
      <c r="J111" s="189">
        <v>722.66395532096203</v>
      </c>
      <c r="K111" s="189">
        <v>675.29836570547695</v>
      </c>
      <c r="L111" s="189">
        <v>-28.97</v>
      </c>
      <c r="M111" s="189">
        <v>-1.66</v>
      </c>
      <c r="N111" s="189">
        <v>3153</v>
      </c>
      <c r="O111" s="189" t="s">
        <v>612</v>
      </c>
      <c r="P111" s="189" t="s">
        <v>613</v>
      </c>
      <c r="Q111" s="189" t="s">
        <v>253</v>
      </c>
      <c r="R111" s="189" t="s">
        <v>253</v>
      </c>
      <c r="S111" s="189" t="s">
        <v>253</v>
      </c>
      <c r="T111" s="189" t="s">
        <v>253</v>
      </c>
      <c r="U111" s="189" t="s">
        <v>253</v>
      </c>
      <c r="V111" s="189" t="s">
        <v>253</v>
      </c>
      <c r="W111" s="189" t="s">
        <v>253</v>
      </c>
      <c r="X111" s="189" t="s">
        <v>783</v>
      </c>
      <c r="Y111" s="189" t="s">
        <v>784</v>
      </c>
    </row>
    <row r="112" spans="1:25" x14ac:dyDescent="0.2">
      <c r="A112" s="189">
        <v>984</v>
      </c>
      <c r="B112" s="189" t="s">
        <v>473</v>
      </c>
      <c r="C112" s="189" t="s">
        <v>473</v>
      </c>
      <c r="D112" s="189" t="s">
        <v>473</v>
      </c>
      <c r="E112" s="189" t="s">
        <v>268</v>
      </c>
      <c r="F112" s="189" t="s">
        <v>537</v>
      </c>
      <c r="G112" s="189" t="s">
        <v>260</v>
      </c>
      <c r="H112" s="189" t="s">
        <v>256</v>
      </c>
      <c r="I112" s="189">
        <v>10356</v>
      </c>
      <c r="J112" s="189">
        <v>691.60292138142904</v>
      </c>
      <c r="K112" s="189">
        <v>814.95624762909495</v>
      </c>
      <c r="L112" s="189">
        <v>-33.49</v>
      </c>
      <c r="M112" s="189">
        <v>-2.66</v>
      </c>
      <c r="N112" s="189">
        <v>1063</v>
      </c>
      <c r="O112" s="189" t="s">
        <v>538</v>
      </c>
      <c r="P112" s="189" t="s">
        <v>539</v>
      </c>
      <c r="Q112" s="189" t="s">
        <v>253</v>
      </c>
      <c r="R112" s="189" t="s">
        <v>253</v>
      </c>
      <c r="S112" s="189" t="s">
        <v>253</v>
      </c>
      <c r="T112" s="189" t="s">
        <v>253</v>
      </c>
      <c r="U112" s="189" t="s">
        <v>253</v>
      </c>
      <c r="V112" s="189" t="s">
        <v>253</v>
      </c>
      <c r="W112" s="189" t="s">
        <v>253</v>
      </c>
      <c r="X112" s="189" t="s">
        <v>785</v>
      </c>
      <c r="Y112" s="189" t="s">
        <v>786</v>
      </c>
    </row>
    <row r="113" spans="1:25" x14ac:dyDescent="0.2">
      <c r="A113" s="189">
        <v>70</v>
      </c>
      <c r="B113" s="189" t="s">
        <v>61</v>
      </c>
      <c r="C113" s="189" t="s">
        <v>61</v>
      </c>
      <c r="D113" s="189" t="s">
        <v>61</v>
      </c>
      <c r="E113" s="189" t="s">
        <v>268</v>
      </c>
      <c r="F113" s="189" t="s">
        <v>537</v>
      </c>
      <c r="G113" s="189" t="s">
        <v>255</v>
      </c>
      <c r="H113" s="189" t="s">
        <v>256</v>
      </c>
      <c r="I113" s="189">
        <v>29657</v>
      </c>
      <c r="J113" s="189">
        <v>422.1</v>
      </c>
      <c r="K113" s="189">
        <v>675.82</v>
      </c>
      <c r="L113" s="189">
        <v>-28.98</v>
      </c>
      <c r="M113" s="189">
        <v>-11.37</v>
      </c>
      <c r="N113" s="189">
        <v>13</v>
      </c>
      <c r="O113" s="189" t="s">
        <v>564</v>
      </c>
      <c r="P113" s="189" t="s">
        <v>565</v>
      </c>
      <c r="Q113" s="189" t="s">
        <v>253</v>
      </c>
      <c r="R113" s="189" t="s">
        <v>259</v>
      </c>
      <c r="S113" s="189" t="s">
        <v>257</v>
      </c>
      <c r="T113" s="189" t="s">
        <v>253</v>
      </c>
      <c r="U113" s="189" t="s">
        <v>253</v>
      </c>
      <c r="V113" s="189" t="s">
        <v>253</v>
      </c>
      <c r="W113" s="189" t="s">
        <v>253</v>
      </c>
      <c r="X113" s="189" t="s">
        <v>787</v>
      </c>
      <c r="Y113" s="189" t="s">
        <v>788</v>
      </c>
    </row>
    <row r="114" spans="1:25" x14ac:dyDescent="0.2">
      <c r="A114" s="189">
        <v>396</v>
      </c>
      <c r="B114" s="189" t="s">
        <v>330</v>
      </c>
      <c r="C114" s="189" t="s">
        <v>61</v>
      </c>
      <c r="D114" s="189" t="s">
        <v>61</v>
      </c>
      <c r="E114" s="189" t="s">
        <v>268</v>
      </c>
      <c r="F114" s="189" t="s">
        <v>537</v>
      </c>
      <c r="G114" s="189" t="s">
        <v>255</v>
      </c>
      <c r="H114" s="189" t="s">
        <v>256</v>
      </c>
      <c r="I114" s="189">
        <v>5387</v>
      </c>
      <c r="J114" s="189">
        <v>478.08750574820601</v>
      </c>
      <c r="K114" s="189">
        <v>696.41441948015995</v>
      </c>
      <c r="L114" s="189">
        <v>-29.65</v>
      </c>
      <c r="M114" s="189">
        <v>-9.56</v>
      </c>
      <c r="N114" s="189">
        <v>328</v>
      </c>
      <c r="O114" s="189" t="s">
        <v>554</v>
      </c>
      <c r="P114" s="189" t="s">
        <v>555</v>
      </c>
      <c r="Q114" s="189" t="s">
        <v>253</v>
      </c>
      <c r="R114" s="189" t="s">
        <v>253</v>
      </c>
      <c r="S114" s="189" t="s">
        <v>257</v>
      </c>
      <c r="T114" s="189" t="s">
        <v>253</v>
      </c>
      <c r="U114" s="189" t="s">
        <v>253</v>
      </c>
      <c r="V114" s="189" t="s">
        <v>253</v>
      </c>
      <c r="W114" s="189" t="s">
        <v>253</v>
      </c>
      <c r="X114" s="189" t="s">
        <v>789</v>
      </c>
      <c r="Y114" s="189" t="s">
        <v>790</v>
      </c>
    </row>
    <row r="115" spans="1:25" x14ac:dyDescent="0.2">
      <c r="A115" s="189">
        <v>923</v>
      </c>
      <c r="B115" s="189" t="s">
        <v>410</v>
      </c>
      <c r="C115" s="189" t="s">
        <v>61</v>
      </c>
      <c r="D115" s="189" t="s">
        <v>61</v>
      </c>
      <c r="E115" s="189" t="s">
        <v>268</v>
      </c>
      <c r="F115" s="189" t="s">
        <v>537</v>
      </c>
      <c r="G115" s="189" t="s">
        <v>255</v>
      </c>
      <c r="H115" s="189" t="s">
        <v>256</v>
      </c>
      <c r="I115" s="189">
        <v>24215</v>
      </c>
      <c r="J115" s="189">
        <v>465.651415091964</v>
      </c>
      <c r="K115" s="189">
        <v>735.16286470172099</v>
      </c>
      <c r="L115" s="189">
        <v>-30.91</v>
      </c>
      <c r="M115" s="189">
        <v>-9.9600000000000009</v>
      </c>
      <c r="N115" s="189">
        <v>948</v>
      </c>
      <c r="O115" s="189" t="s">
        <v>554</v>
      </c>
      <c r="P115" s="189" t="s">
        <v>555</v>
      </c>
      <c r="Q115" s="189" t="s">
        <v>253</v>
      </c>
      <c r="R115" s="189" t="s">
        <v>253</v>
      </c>
      <c r="S115" s="189" t="s">
        <v>253</v>
      </c>
      <c r="T115" s="189" t="s">
        <v>261</v>
      </c>
      <c r="U115" s="189" t="s">
        <v>258</v>
      </c>
      <c r="V115" s="189" t="s">
        <v>297</v>
      </c>
      <c r="W115" s="189" t="s">
        <v>253</v>
      </c>
      <c r="X115" s="189" t="s">
        <v>791</v>
      </c>
      <c r="Y115" s="189" t="s">
        <v>792</v>
      </c>
    </row>
    <row r="116" spans="1:25" x14ac:dyDescent="0.2">
      <c r="A116" s="189">
        <v>1039</v>
      </c>
      <c r="B116" s="189" t="s">
        <v>425</v>
      </c>
      <c r="C116" s="189" t="s">
        <v>425</v>
      </c>
      <c r="D116" s="189" t="s">
        <v>425</v>
      </c>
      <c r="E116" s="189" t="s">
        <v>268</v>
      </c>
      <c r="F116" s="189" t="s">
        <v>537</v>
      </c>
      <c r="G116" s="189" t="s">
        <v>262</v>
      </c>
      <c r="H116" s="189" t="s">
        <v>263</v>
      </c>
      <c r="I116" s="189">
        <v>20004</v>
      </c>
      <c r="J116" s="189">
        <v>886.51285553207401</v>
      </c>
      <c r="K116" s="189">
        <v>434.63373807623299</v>
      </c>
      <c r="L116" s="189">
        <v>-21.17</v>
      </c>
      <c r="M116" s="189">
        <v>3.63</v>
      </c>
      <c r="N116" s="189">
        <v>7559</v>
      </c>
      <c r="O116" s="189" t="s">
        <v>722</v>
      </c>
      <c r="P116" s="189" t="s">
        <v>723</v>
      </c>
      <c r="Q116" s="189" t="s">
        <v>253</v>
      </c>
      <c r="R116" s="189" t="s">
        <v>253</v>
      </c>
      <c r="S116" s="189" t="s">
        <v>257</v>
      </c>
      <c r="T116" s="189" t="s">
        <v>261</v>
      </c>
      <c r="U116" s="189" t="s">
        <v>258</v>
      </c>
      <c r="V116" s="189" t="s">
        <v>253</v>
      </c>
      <c r="W116" s="189" t="s">
        <v>266</v>
      </c>
      <c r="X116" s="189" t="s">
        <v>793</v>
      </c>
      <c r="Y116" s="189" t="s">
        <v>794</v>
      </c>
    </row>
    <row r="117" spans="1:25" x14ac:dyDescent="0.2">
      <c r="A117" s="189">
        <v>1043</v>
      </c>
      <c r="B117" s="189" t="s">
        <v>519</v>
      </c>
      <c r="C117" s="189" t="s">
        <v>425</v>
      </c>
      <c r="D117" s="189" t="s">
        <v>425</v>
      </c>
      <c r="E117" s="189" t="s">
        <v>268</v>
      </c>
      <c r="F117" s="189" t="s">
        <v>537</v>
      </c>
      <c r="G117" s="189" t="s">
        <v>522</v>
      </c>
      <c r="H117" s="189" t="s">
        <v>263</v>
      </c>
      <c r="I117" s="189">
        <v>1472</v>
      </c>
      <c r="J117" s="189">
        <v>1135.2346686569099</v>
      </c>
      <c r="K117" s="189">
        <v>468.32211511215598</v>
      </c>
      <c r="L117" s="189">
        <v>-22.26</v>
      </c>
      <c r="M117" s="189">
        <v>11.67</v>
      </c>
      <c r="N117" s="189">
        <v>6644</v>
      </c>
      <c r="O117" s="189" t="s">
        <v>795</v>
      </c>
      <c r="P117" s="189" t="s">
        <v>796</v>
      </c>
      <c r="Q117" s="189" t="s">
        <v>253</v>
      </c>
      <c r="R117" s="189" t="s">
        <v>253</v>
      </c>
      <c r="S117" s="189" t="s">
        <v>257</v>
      </c>
      <c r="T117" s="189" t="s">
        <v>253</v>
      </c>
      <c r="U117" s="189" t="s">
        <v>253</v>
      </c>
      <c r="V117" s="189" t="s">
        <v>253</v>
      </c>
      <c r="W117" s="189" t="s">
        <v>253</v>
      </c>
      <c r="X117" s="189" t="s">
        <v>797</v>
      </c>
      <c r="Y117" s="189" t="s">
        <v>798</v>
      </c>
    </row>
    <row r="118" spans="1:25" x14ac:dyDescent="0.2">
      <c r="A118" s="189">
        <v>19</v>
      </c>
      <c r="B118" s="189" t="s">
        <v>436</v>
      </c>
      <c r="C118" s="189" t="s">
        <v>435</v>
      </c>
      <c r="D118" s="189" t="s">
        <v>436</v>
      </c>
      <c r="E118" s="189" t="s">
        <v>268</v>
      </c>
      <c r="F118" s="189" t="s">
        <v>537</v>
      </c>
      <c r="G118" s="189" t="s">
        <v>306</v>
      </c>
      <c r="H118" s="189" t="s">
        <v>256</v>
      </c>
      <c r="I118" s="189">
        <v>3360</v>
      </c>
      <c r="J118" s="189">
        <v>346.5</v>
      </c>
      <c r="K118" s="189">
        <v>693.5</v>
      </c>
      <c r="L118" s="189">
        <v>-29.56</v>
      </c>
      <c r="M118" s="189">
        <v>-13.81</v>
      </c>
      <c r="N118" s="189">
        <v>118</v>
      </c>
      <c r="O118" s="189" t="s">
        <v>550</v>
      </c>
      <c r="P118" s="189" t="s">
        <v>551</v>
      </c>
      <c r="Q118" s="189" t="s">
        <v>253</v>
      </c>
      <c r="R118" s="189" t="s">
        <v>259</v>
      </c>
      <c r="S118" s="189" t="s">
        <v>257</v>
      </c>
      <c r="T118" s="189" t="s">
        <v>261</v>
      </c>
      <c r="U118" s="189" t="s">
        <v>253</v>
      </c>
      <c r="V118" s="189" t="s">
        <v>253</v>
      </c>
      <c r="W118" s="189" t="s">
        <v>253</v>
      </c>
      <c r="X118" s="189" t="s">
        <v>799</v>
      </c>
      <c r="Y118" s="189" t="s">
        <v>800</v>
      </c>
    </row>
    <row r="119" spans="1:25" x14ac:dyDescent="0.2">
      <c r="A119" s="189">
        <v>246</v>
      </c>
      <c r="B119" s="189" t="s">
        <v>310</v>
      </c>
      <c r="C119" s="189" t="s">
        <v>435</v>
      </c>
      <c r="D119" s="189" t="s">
        <v>436</v>
      </c>
      <c r="E119" s="189" t="s">
        <v>268</v>
      </c>
      <c r="F119" s="189" t="s">
        <v>537</v>
      </c>
      <c r="G119" s="189" t="s">
        <v>306</v>
      </c>
      <c r="H119" s="189" t="s">
        <v>256</v>
      </c>
      <c r="I119" s="189">
        <v>1788</v>
      </c>
      <c r="J119" s="189">
        <v>381.08989098966202</v>
      </c>
      <c r="K119" s="189">
        <v>724.77026312044904</v>
      </c>
      <c r="L119" s="189">
        <v>-30.57</v>
      </c>
      <c r="M119" s="189">
        <v>-12.69</v>
      </c>
      <c r="N119" s="189">
        <v>397</v>
      </c>
      <c r="O119" s="189" t="s">
        <v>554</v>
      </c>
      <c r="P119" s="189" t="s">
        <v>555</v>
      </c>
      <c r="Q119" s="189" t="s">
        <v>253</v>
      </c>
      <c r="R119" s="189" t="s">
        <v>253</v>
      </c>
      <c r="S119" s="189" t="s">
        <v>257</v>
      </c>
      <c r="T119" s="189" t="s">
        <v>261</v>
      </c>
      <c r="U119" s="189" t="s">
        <v>253</v>
      </c>
      <c r="V119" s="189" t="s">
        <v>253</v>
      </c>
      <c r="W119" s="189" t="s">
        <v>253</v>
      </c>
      <c r="X119" s="189" t="s">
        <v>801</v>
      </c>
      <c r="Y119" s="189" t="s">
        <v>802</v>
      </c>
    </row>
    <row r="120" spans="1:25" x14ac:dyDescent="0.2">
      <c r="A120" s="189">
        <v>282</v>
      </c>
      <c r="B120" s="189" t="s">
        <v>319</v>
      </c>
      <c r="C120" s="189" t="s">
        <v>435</v>
      </c>
      <c r="D120" s="189" t="s">
        <v>436</v>
      </c>
      <c r="E120" s="189" t="s">
        <v>268</v>
      </c>
      <c r="F120" s="189" t="s">
        <v>537</v>
      </c>
      <c r="G120" s="189" t="s">
        <v>306</v>
      </c>
      <c r="H120" s="189" t="s">
        <v>256</v>
      </c>
      <c r="I120" s="189">
        <v>2212</v>
      </c>
      <c r="J120" s="189">
        <v>369.802046575546</v>
      </c>
      <c r="K120" s="189">
        <v>700.89063364437902</v>
      </c>
      <c r="L120" s="189">
        <v>-29.8</v>
      </c>
      <c r="M120" s="189">
        <v>-13.06</v>
      </c>
      <c r="N120" s="189">
        <v>52</v>
      </c>
      <c r="O120" s="189" t="s">
        <v>550</v>
      </c>
      <c r="P120" s="189" t="s">
        <v>551</v>
      </c>
      <c r="Q120" s="189" t="s">
        <v>253</v>
      </c>
      <c r="R120" s="189" t="s">
        <v>253</v>
      </c>
      <c r="S120" s="189" t="s">
        <v>257</v>
      </c>
      <c r="T120" s="189" t="s">
        <v>253</v>
      </c>
      <c r="U120" s="189" t="s">
        <v>258</v>
      </c>
      <c r="V120" s="189" t="s">
        <v>253</v>
      </c>
      <c r="W120" s="189" t="s">
        <v>253</v>
      </c>
      <c r="X120" s="189" t="s">
        <v>803</v>
      </c>
      <c r="Y120" s="189" t="s">
        <v>804</v>
      </c>
    </row>
    <row r="121" spans="1:25" x14ac:dyDescent="0.2">
      <c r="A121" s="189">
        <v>563</v>
      </c>
      <c r="B121" s="189" t="s">
        <v>357</v>
      </c>
      <c r="C121" s="189" t="s">
        <v>435</v>
      </c>
      <c r="D121" s="189" t="s">
        <v>436</v>
      </c>
      <c r="E121" s="189" t="s">
        <v>268</v>
      </c>
      <c r="F121" s="189" t="s">
        <v>537</v>
      </c>
      <c r="G121" s="189" t="s">
        <v>306</v>
      </c>
      <c r="H121" s="189" t="s">
        <v>256</v>
      </c>
      <c r="I121" s="189">
        <v>11612</v>
      </c>
      <c r="J121" s="189">
        <v>386.71435139600601</v>
      </c>
      <c r="K121" s="189">
        <v>700.55978303224094</v>
      </c>
      <c r="L121" s="189">
        <v>-29.78</v>
      </c>
      <c r="M121" s="189">
        <v>-12.51</v>
      </c>
      <c r="N121" s="189">
        <v>328</v>
      </c>
      <c r="O121" s="189" t="s">
        <v>550</v>
      </c>
      <c r="P121" s="189" t="s">
        <v>551</v>
      </c>
      <c r="Q121" s="189" t="s">
        <v>253</v>
      </c>
      <c r="R121" s="189" t="s">
        <v>253</v>
      </c>
      <c r="S121" s="189" t="s">
        <v>253</v>
      </c>
      <c r="T121" s="189" t="s">
        <v>253</v>
      </c>
      <c r="U121" s="189" t="s">
        <v>258</v>
      </c>
      <c r="V121" s="189" t="s">
        <v>253</v>
      </c>
      <c r="W121" s="189" t="s">
        <v>253</v>
      </c>
      <c r="X121" s="189" t="s">
        <v>805</v>
      </c>
      <c r="Y121" s="189" t="s">
        <v>806</v>
      </c>
    </row>
    <row r="122" spans="1:25" x14ac:dyDescent="0.2">
      <c r="A122" s="189">
        <v>780</v>
      </c>
      <c r="B122" s="189" t="s">
        <v>389</v>
      </c>
      <c r="C122" s="189" t="s">
        <v>435</v>
      </c>
      <c r="D122" s="189" t="s">
        <v>436</v>
      </c>
      <c r="E122" s="189" t="s">
        <v>268</v>
      </c>
      <c r="F122" s="189" t="s">
        <v>537</v>
      </c>
      <c r="G122" s="189" t="s">
        <v>306</v>
      </c>
      <c r="H122" s="189" t="s">
        <v>256</v>
      </c>
      <c r="I122" s="189">
        <v>11051</v>
      </c>
      <c r="J122" s="189">
        <v>376.69152402830002</v>
      </c>
      <c r="K122" s="189">
        <v>734.07300386173802</v>
      </c>
      <c r="L122" s="189">
        <v>-30.87</v>
      </c>
      <c r="M122" s="189">
        <v>-12.83</v>
      </c>
      <c r="N122" s="189">
        <v>210</v>
      </c>
      <c r="O122" s="189" t="s">
        <v>550</v>
      </c>
      <c r="P122" s="189" t="s">
        <v>551</v>
      </c>
      <c r="Q122" s="189" t="s">
        <v>253</v>
      </c>
      <c r="R122" s="189" t="s">
        <v>253</v>
      </c>
      <c r="S122" s="189" t="s">
        <v>257</v>
      </c>
      <c r="T122" s="189" t="s">
        <v>261</v>
      </c>
      <c r="U122" s="189" t="s">
        <v>253</v>
      </c>
      <c r="V122" s="189" t="s">
        <v>253</v>
      </c>
      <c r="W122" s="189" t="s">
        <v>253</v>
      </c>
      <c r="X122" s="189" t="s">
        <v>807</v>
      </c>
      <c r="Y122" s="189" t="s">
        <v>808</v>
      </c>
    </row>
    <row r="123" spans="1:25" x14ac:dyDescent="0.2">
      <c r="A123" s="189">
        <v>848</v>
      </c>
      <c r="B123" s="189" t="s">
        <v>400</v>
      </c>
      <c r="C123" s="189" t="s">
        <v>435</v>
      </c>
      <c r="D123" s="189" t="s">
        <v>436</v>
      </c>
      <c r="E123" s="189" t="s">
        <v>268</v>
      </c>
      <c r="F123" s="189" t="s">
        <v>537</v>
      </c>
      <c r="G123" s="189" t="s">
        <v>255</v>
      </c>
      <c r="H123" s="189" t="s">
        <v>256</v>
      </c>
      <c r="I123" s="189">
        <v>2156</v>
      </c>
      <c r="J123" s="189">
        <v>404.40512824502599</v>
      </c>
      <c r="K123" s="189">
        <v>712.15901625778099</v>
      </c>
      <c r="L123" s="189">
        <v>-30.16</v>
      </c>
      <c r="M123" s="189">
        <v>-11.94</v>
      </c>
      <c r="N123" s="189">
        <v>554</v>
      </c>
      <c r="O123" s="189" t="s">
        <v>554</v>
      </c>
      <c r="P123" s="189" t="s">
        <v>555</v>
      </c>
      <c r="Q123" s="189" t="s">
        <v>253</v>
      </c>
      <c r="R123" s="189" t="s">
        <v>253</v>
      </c>
      <c r="S123" s="189" t="s">
        <v>257</v>
      </c>
      <c r="T123" s="189" t="s">
        <v>253</v>
      </c>
      <c r="U123" s="189" t="s">
        <v>258</v>
      </c>
      <c r="V123" s="189" t="s">
        <v>253</v>
      </c>
      <c r="W123" s="189" t="s">
        <v>253</v>
      </c>
      <c r="X123" s="189" t="s">
        <v>809</v>
      </c>
      <c r="Y123" s="189" t="s">
        <v>810</v>
      </c>
    </row>
    <row r="124" spans="1:25" x14ac:dyDescent="0.2">
      <c r="A124" s="189">
        <v>58</v>
      </c>
      <c r="B124" s="189" t="s">
        <v>277</v>
      </c>
      <c r="C124" s="189" t="s">
        <v>467</v>
      </c>
      <c r="D124" s="189" t="s">
        <v>353</v>
      </c>
      <c r="E124" s="189" t="s">
        <v>268</v>
      </c>
      <c r="F124" s="189" t="s">
        <v>537</v>
      </c>
      <c r="G124" s="189" t="s">
        <v>265</v>
      </c>
      <c r="H124" s="189" t="s">
        <v>256</v>
      </c>
      <c r="I124" s="189">
        <v>14433</v>
      </c>
      <c r="J124" s="189">
        <v>590.30424866509304</v>
      </c>
      <c r="K124" s="189">
        <v>837.53193645732699</v>
      </c>
      <c r="L124" s="189">
        <v>-34.22</v>
      </c>
      <c r="M124" s="189">
        <v>-5.93</v>
      </c>
      <c r="N124" s="189">
        <v>397</v>
      </c>
      <c r="O124" s="189" t="s">
        <v>538</v>
      </c>
      <c r="P124" s="189" t="s">
        <v>539</v>
      </c>
      <c r="Q124" s="189" t="s">
        <v>253</v>
      </c>
      <c r="R124" s="189" t="s">
        <v>253</v>
      </c>
      <c r="S124" s="189" t="s">
        <v>257</v>
      </c>
      <c r="T124" s="189" t="s">
        <v>253</v>
      </c>
      <c r="U124" s="189" t="s">
        <v>258</v>
      </c>
      <c r="V124" s="189" t="s">
        <v>253</v>
      </c>
      <c r="W124" s="189" t="s">
        <v>253</v>
      </c>
      <c r="X124" s="189" t="s">
        <v>811</v>
      </c>
      <c r="Y124" s="189" t="s">
        <v>812</v>
      </c>
    </row>
    <row r="125" spans="1:25" x14ac:dyDescent="0.2">
      <c r="A125" s="189">
        <v>541</v>
      </c>
      <c r="B125" s="189" t="s">
        <v>353</v>
      </c>
      <c r="C125" s="189" t="s">
        <v>467</v>
      </c>
      <c r="D125" s="189" t="s">
        <v>353</v>
      </c>
      <c r="E125" s="189" t="s">
        <v>268</v>
      </c>
      <c r="F125" s="189" t="s">
        <v>537</v>
      </c>
      <c r="G125" s="189" t="s">
        <v>265</v>
      </c>
      <c r="H125" s="189" t="s">
        <v>256</v>
      </c>
      <c r="I125" s="189">
        <v>13762</v>
      </c>
      <c r="J125" s="189">
        <v>598.01112174783395</v>
      </c>
      <c r="K125" s="189">
        <v>819.29622918831501</v>
      </c>
      <c r="L125" s="189">
        <v>-33.630000000000003</v>
      </c>
      <c r="M125" s="189">
        <v>-5.68</v>
      </c>
      <c r="N125" s="189">
        <v>161</v>
      </c>
      <c r="O125" s="189" t="s">
        <v>554</v>
      </c>
      <c r="P125" s="189" t="s">
        <v>555</v>
      </c>
      <c r="Q125" s="189" t="s">
        <v>253</v>
      </c>
      <c r="R125" s="189" t="s">
        <v>253</v>
      </c>
      <c r="S125" s="189" t="s">
        <v>257</v>
      </c>
      <c r="T125" s="189" t="s">
        <v>261</v>
      </c>
      <c r="U125" s="189" t="s">
        <v>253</v>
      </c>
      <c r="V125" s="189" t="s">
        <v>253</v>
      </c>
      <c r="W125" s="189" t="s">
        <v>253</v>
      </c>
      <c r="X125" s="189" t="s">
        <v>813</v>
      </c>
      <c r="Y125" s="189" t="s">
        <v>814</v>
      </c>
    </row>
    <row r="126" spans="1:25" x14ac:dyDescent="0.2">
      <c r="A126" s="189">
        <v>141</v>
      </c>
      <c r="B126" s="189" t="s">
        <v>292</v>
      </c>
      <c r="C126" s="189" t="s">
        <v>491</v>
      </c>
      <c r="D126" s="189" t="s">
        <v>491</v>
      </c>
      <c r="E126" s="189" t="s">
        <v>268</v>
      </c>
      <c r="F126" s="189" t="s">
        <v>537</v>
      </c>
      <c r="G126" s="189" t="s">
        <v>294</v>
      </c>
      <c r="H126" s="189" t="s">
        <v>256</v>
      </c>
      <c r="I126" s="189">
        <v>24844</v>
      </c>
      <c r="J126" s="189">
        <v>1029.82955598992</v>
      </c>
      <c r="K126" s="189">
        <v>755.75344985712695</v>
      </c>
      <c r="L126" s="189">
        <v>-31.57</v>
      </c>
      <c r="M126" s="189">
        <v>8.26</v>
      </c>
      <c r="N126" s="189">
        <v>554</v>
      </c>
      <c r="O126" s="189" t="s">
        <v>542</v>
      </c>
      <c r="P126" s="189" t="s">
        <v>543</v>
      </c>
      <c r="Q126" s="189" t="s">
        <v>253</v>
      </c>
      <c r="R126" s="189" t="s">
        <v>253</v>
      </c>
      <c r="S126" s="189" t="s">
        <v>253</v>
      </c>
      <c r="T126" s="189" t="s">
        <v>261</v>
      </c>
      <c r="U126" s="189" t="s">
        <v>258</v>
      </c>
      <c r="V126" s="189" t="s">
        <v>297</v>
      </c>
      <c r="W126" s="189" t="s">
        <v>253</v>
      </c>
      <c r="X126" s="189" t="s">
        <v>815</v>
      </c>
      <c r="Y126" s="189" t="s">
        <v>816</v>
      </c>
    </row>
    <row r="127" spans="1:25" x14ac:dyDescent="0.2">
      <c r="A127" s="189">
        <v>305</v>
      </c>
      <c r="B127" s="189" t="s">
        <v>322</v>
      </c>
      <c r="C127" s="189" t="s">
        <v>491</v>
      </c>
      <c r="D127" s="189" t="s">
        <v>491</v>
      </c>
      <c r="E127" s="189" t="s">
        <v>268</v>
      </c>
      <c r="F127" s="189" t="s">
        <v>537</v>
      </c>
      <c r="G127" s="189" t="s">
        <v>294</v>
      </c>
      <c r="H127" s="189" t="s">
        <v>256</v>
      </c>
      <c r="I127" s="189">
        <v>10757</v>
      </c>
      <c r="J127" s="189">
        <v>1056.4922229680899</v>
      </c>
      <c r="K127" s="189">
        <v>798.45264062362799</v>
      </c>
      <c r="L127" s="189">
        <v>-32.950000000000003</v>
      </c>
      <c r="M127" s="189">
        <v>9.1199999999999992</v>
      </c>
      <c r="N127" s="189">
        <v>52</v>
      </c>
      <c r="O127" s="189" t="s">
        <v>554</v>
      </c>
      <c r="P127" s="189" t="s">
        <v>555</v>
      </c>
      <c r="Q127" s="189" t="s">
        <v>253</v>
      </c>
      <c r="R127" s="189" t="s">
        <v>253</v>
      </c>
      <c r="S127" s="189" t="s">
        <v>257</v>
      </c>
      <c r="T127" s="189" t="s">
        <v>261</v>
      </c>
      <c r="U127" s="189" t="s">
        <v>258</v>
      </c>
      <c r="V127" s="189" t="s">
        <v>253</v>
      </c>
      <c r="W127" s="189" t="s">
        <v>253</v>
      </c>
      <c r="X127" s="189" t="s">
        <v>817</v>
      </c>
      <c r="Y127" s="189" t="s">
        <v>818</v>
      </c>
    </row>
    <row r="128" spans="1:25" x14ac:dyDescent="0.2">
      <c r="A128" s="189">
        <v>434</v>
      </c>
      <c r="B128" s="189" t="s">
        <v>337</v>
      </c>
      <c r="C128" s="189" t="s">
        <v>491</v>
      </c>
      <c r="D128" s="189" t="s">
        <v>491</v>
      </c>
      <c r="E128" s="189" t="s">
        <v>268</v>
      </c>
      <c r="F128" s="189" t="s">
        <v>537</v>
      </c>
      <c r="G128" s="189" t="s">
        <v>260</v>
      </c>
      <c r="H128" s="189" t="s">
        <v>256</v>
      </c>
      <c r="I128" s="189">
        <v>10701</v>
      </c>
      <c r="J128" s="189">
        <v>982.22599144349397</v>
      </c>
      <c r="K128" s="189">
        <v>798.88080023933605</v>
      </c>
      <c r="L128" s="189">
        <v>-32.97</v>
      </c>
      <c r="M128" s="189">
        <v>6.73</v>
      </c>
      <c r="N128" s="189">
        <v>554</v>
      </c>
      <c r="O128" s="189" t="s">
        <v>542</v>
      </c>
      <c r="P128" s="189" t="s">
        <v>543</v>
      </c>
      <c r="Q128" s="189" t="s">
        <v>253</v>
      </c>
      <c r="R128" s="189" t="s">
        <v>253</v>
      </c>
      <c r="S128" s="189" t="s">
        <v>257</v>
      </c>
      <c r="T128" s="189" t="s">
        <v>253</v>
      </c>
      <c r="U128" s="189" t="s">
        <v>258</v>
      </c>
      <c r="V128" s="189" t="s">
        <v>253</v>
      </c>
      <c r="W128" s="189" t="s">
        <v>253</v>
      </c>
      <c r="X128" s="189" t="s">
        <v>819</v>
      </c>
      <c r="Y128" s="189" t="s">
        <v>820</v>
      </c>
    </row>
    <row r="129" spans="1:25" x14ac:dyDescent="0.2">
      <c r="A129" s="189">
        <v>682</v>
      </c>
      <c r="B129" s="189" t="s">
        <v>373</v>
      </c>
      <c r="C129" s="189" t="s">
        <v>491</v>
      </c>
      <c r="D129" s="189" t="s">
        <v>491</v>
      </c>
      <c r="E129" s="189" t="s">
        <v>268</v>
      </c>
      <c r="F129" s="189" t="s">
        <v>537</v>
      </c>
      <c r="G129" s="189" t="s">
        <v>260</v>
      </c>
      <c r="H129" s="189" t="s">
        <v>256</v>
      </c>
      <c r="I129" s="189">
        <v>2101</v>
      </c>
      <c r="J129" s="189">
        <v>1007.0008637524001</v>
      </c>
      <c r="K129" s="189">
        <v>776.59703842181398</v>
      </c>
      <c r="L129" s="189">
        <v>-32.25</v>
      </c>
      <c r="M129" s="189">
        <v>7.53</v>
      </c>
      <c r="N129" s="189">
        <v>554</v>
      </c>
      <c r="O129" s="189" t="s">
        <v>542</v>
      </c>
      <c r="P129" s="189" t="s">
        <v>543</v>
      </c>
      <c r="Q129" s="189" t="s">
        <v>253</v>
      </c>
      <c r="R129" s="189" t="s">
        <v>253</v>
      </c>
      <c r="S129" s="189" t="s">
        <v>257</v>
      </c>
      <c r="T129" s="189" t="s">
        <v>253</v>
      </c>
      <c r="U129" s="189" t="s">
        <v>253</v>
      </c>
      <c r="V129" s="189" t="s">
        <v>253</v>
      </c>
      <c r="W129" s="189" t="s">
        <v>253</v>
      </c>
      <c r="X129" s="189" t="s">
        <v>821</v>
      </c>
      <c r="Y129" s="189" t="s">
        <v>822</v>
      </c>
    </row>
    <row r="130" spans="1:25" x14ac:dyDescent="0.2">
      <c r="A130" s="189">
        <v>737</v>
      </c>
      <c r="B130" s="189" t="s">
        <v>380</v>
      </c>
      <c r="C130" s="189" t="s">
        <v>491</v>
      </c>
      <c r="D130" s="189" t="s">
        <v>491</v>
      </c>
      <c r="E130" s="189" t="s">
        <v>268</v>
      </c>
      <c r="F130" s="189" t="s">
        <v>537</v>
      </c>
      <c r="G130" s="189" t="s">
        <v>294</v>
      </c>
      <c r="H130" s="189" t="s">
        <v>256</v>
      </c>
      <c r="I130" s="189">
        <v>19306</v>
      </c>
      <c r="J130" s="189">
        <v>1040.9422441976101</v>
      </c>
      <c r="K130" s="189">
        <v>773.61938291257297</v>
      </c>
      <c r="L130" s="189">
        <v>-32.15</v>
      </c>
      <c r="M130" s="189">
        <v>8.6199999999999992</v>
      </c>
      <c r="N130" s="189">
        <v>328</v>
      </c>
      <c r="O130" s="189" t="s">
        <v>554</v>
      </c>
      <c r="P130" s="189" t="s">
        <v>555</v>
      </c>
      <c r="Q130" s="189" t="s">
        <v>253</v>
      </c>
      <c r="R130" s="189" t="s">
        <v>253</v>
      </c>
      <c r="S130" s="189" t="s">
        <v>257</v>
      </c>
      <c r="T130" s="189" t="s">
        <v>253</v>
      </c>
      <c r="U130" s="189" t="s">
        <v>258</v>
      </c>
      <c r="V130" s="189" t="s">
        <v>253</v>
      </c>
      <c r="W130" s="189" t="s">
        <v>253</v>
      </c>
      <c r="X130" s="189" t="s">
        <v>823</v>
      </c>
      <c r="Y130" s="189" t="s">
        <v>824</v>
      </c>
    </row>
    <row r="131" spans="1:25" x14ac:dyDescent="0.2">
      <c r="A131" s="189">
        <v>759</v>
      </c>
      <c r="B131" s="189" t="s">
        <v>385</v>
      </c>
      <c r="C131" s="189" t="s">
        <v>491</v>
      </c>
      <c r="D131" s="189" t="s">
        <v>491</v>
      </c>
      <c r="E131" s="189" t="s">
        <v>268</v>
      </c>
      <c r="F131" s="189" t="s">
        <v>537</v>
      </c>
      <c r="G131" s="189" t="s">
        <v>294</v>
      </c>
      <c r="H131" s="189" t="s">
        <v>256</v>
      </c>
      <c r="I131" s="189">
        <v>3795</v>
      </c>
      <c r="J131" s="189">
        <v>1082.3180325155599</v>
      </c>
      <c r="K131" s="189">
        <v>798.04394280863403</v>
      </c>
      <c r="L131" s="189">
        <v>-32.94</v>
      </c>
      <c r="M131" s="189">
        <v>9.9600000000000009</v>
      </c>
      <c r="N131" s="189">
        <v>210</v>
      </c>
      <c r="O131" s="189" t="s">
        <v>554</v>
      </c>
      <c r="P131" s="189" t="s">
        <v>555</v>
      </c>
      <c r="Q131" s="189" t="s">
        <v>253</v>
      </c>
      <c r="R131" s="189" t="s">
        <v>253</v>
      </c>
      <c r="S131" s="189" t="s">
        <v>257</v>
      </c>
      <c r="T131" s="189" t="s">
        <v>253</v>
      </c>
      <c r="U131" s="189" t="s">
        <v>253</v>
      </c>
      <c r="V131" s="189" t="s">
        <v>253</v>
      </c>
      <c r="W131" s="189" t="s">
        <v>253</v>
      </c>
      <c r="X131" s="189" t="s">
        <v>825</v>
      </c>
      <c r="Y131" s="189" t="s">
        <v>826</v>
      </c>
    </row>
    <row r="132" spans="1:25" x14ac:dyDescent="0.2">
      <c r="A132" s="189">
        <v>87</v>
      </c>
      <c r="B132" s="189" t="s">
        <v>282</v>
      </c>
      <c r="C132" s="189" t="s">
        <v>64</v>
      </c>
      <c r="D132" s="189" t="s">
        <v>64</v>
      </c>
      <c r="E132" s="189" t="s">
        <v>268</v>
      </c>
      <c r="F132" s="189" t="s">
        <v>537</v>
      </c>
      <c r="G132" s="189" t="s">
        <v>294</v>
      </c>
      <c r="H132" s="189" t="s">
        <v>256</v>
      </c>
      <c r="I132" s="189">
        <v>14383</v>
      </c>
      <c r="J132" s="189">
        <v>1105</v>
      </c>
      <c r="K132" s="189">
        <v>838</v>
      </c>
      <c r="L132" s="189">
        <v>-34.24</v>
      </c>
      <c r="M132" s="189">
        <v>10.69</v>
      </c>
      <c r="N132" s="189">
        <v>118</v>
      </c>
      <c r="O132" s="189" t="s">
        <v>542</v>
      </c>
      <c r="P132" s="189" t="s">
        <v>543</v>
      </c>
      <c r="Q132" s="189" t="s">
        <v>253</v>
      </c>
      <c r="R132" s="189" t="s">
        <v>259</v>
      </c>
      <c r="S132" s="189" t="s">
        <v>257</v>
      </c>
      <c r="T132" s="189" t="s">
        <v>261</v>
      </c>
      <c r="U132" s="189" t="s">
        <v>253</v>
      </c>
      <c r="V132" s="189" t="s">
        <v>253</v>
      </c>
      <c r="W132" s="189" t="s">
        <v>253</v>
      </c>
      <c r="X132" s="189" t="s">
        <v>827</v>
      </c>
      <c r="Y132" s="189" t="s">
        <v>828</v>
      </c>
    </row>
    <row r="133" spans="1:25" x14ac:dyDescent="0.2">
      <c r="A133" s="189">
        <v>378</v>
      </c>
      <c r="B133" s="189" t="s">
        <v>327</v>
      </c>
      <c r="C133" s="189" t="s">
        <v>64</v>
      </c>
      <c r="D133" s="189" t="s">
        <v>64</v>
      </c>
      <c r="E133" s="189" t="s">
        <v>268</v>
      </c>
      <c r="F133" s="189" t="s">
        <v>537</v>
      </c>
      <c r="G133" s="189" t="s">
        <v>294</v>
      </c>
      <c r="H133" s="189" t="s">
        <v>256</v>
      </c>
      <c r="I133" s="189">
        <v>2932</v>
      </c>
      <c r="J133" s="189">
        <v>1116.5</v>
      </c>
      <c r="K133" s="189">
        <v>791.5</v>
      </c>
      <c r="L133" s="189">
        <v>-32.729999999999997</v>
      </c>
      <c r="M133" s="189">
        <v>11.06</v>
      </c>
      <c r="N133" s="189">
        <v>161</v>
      </c>
      <c r="O133" s="189" t="s">
        <v>554</v>
      </c>
      <c r="P133" s="189" t="s">
        <v>555</v>
      </c>
      <c r="Q133" s="189" t="s">
        <v>253</v>
      </c>
      <c r="R133" s="189" t="s">
        <v>259</v>
      </c>
      <c r="S133" s="189" t="s">
        <v>253</v>
      </c>
      <c r="T133" s="189" t="s">
        <v>253</v>
      </c>
      <c r="U133" s="189" t="s">
        <v>253</v>
      </c>
      <c r="V133" s="189" t="s">
        <v>253</v>
      </c>
      <c r="W133" s="189" t="s">
        <v>253</v>
      </c>
      <c r="X133" s="189" t="s">
        <v>829</v>
      </c>
      <c r="Y133" s="189" t="s">
        <v>830</v>
      </c>
    </row>
    <row r="134" spans="1:25" x14ac:dyDescent="0.2">
      <c r="A134" s="189">
        <v>805</v>
      </c>
      <c r="B134" s="189" t="s">
        <v>396</v>
      </c>
      <c r="C134" s="189" t="s">
        <v>64</v>
      </c>
      <c r="D134" s="189" t="s">
        <v>64</v>
      </c>
      <c r="E134" s="189" t="s">
        <v>268</v>
      </c>
      <c r="F134" s="189" t="s">
        <v>537</v>
      </c>
      <c r="G134" s="189" t="s">
        <v>294</v>
      </c>
      <c r="H134" s="189" t="s">
        <v>256</v>
      </c>
      <c r="I134" s="189">
        <v>6371</v>
      </c>
      <c r="J134" s="189">
        <v>1103.14215927953</v>
      </c>
      <c r="K134" s="189">
        <v>795.299828907961</v>
      </c>
      <c r="L134" s="189">
        <v>-32.85</v>
      </c>
      <c r="M134" s="189">
        <v>10.63</v>
      </c>
      <c r="N134" s="189">
        <v>30</v>
      </c>
      <c r="O134" s="189" t="s">
        <v>554</v>
      </c>
      <c r="P134" s="189" t="s">
        <v>555</v>
      </c>
      <c r="Q134" s="189" t="s">
        <v>253</v>
      </c>
      <c r="R134" s="189" t="s">
        <v>253</v>
      </c>
      <c r="S134" s="189" t="s">
        <v>257</v>
      </c>
      <c r="T134" s="189" t="s">
        <v>261</v>
      </c>
      <c r="U134" s="189" t="s">
        <v>253</v>
      </c>
      <c r="V134" s="189" t="s">
        <v>253</v>
      </c>
      <c r="W134" s="189" t="s">
        <v>253</v>
      </c>
      <c r="X134" s="189" t="s">
        <v>831</v>
      </c>
      <c r="Y134" s="189" t="s">
        <v>832</v>
      </c>
    </row>
    <row r="135" spans="1:25" x14ac:dyDescent="0.2">
      <c r="A135" s="189">
        <v>926</v>
      </c>
      <c r="B135" s="189" t="s">
        <v>64</v>
      </c>
      <c r="C135" s="189" t="s">
        <v>64</v>
      </c>
      <c r="D135" s="189" t="s">
        <v>64</v>
      </c>
      <c r="E135" s="189" t="s">
        <v>268</v>
      </c>
      <c r="F135" s="189" t="s">
        <v>537</v>
      </c>
      <c r="G135" s="189" t="s">
        <v>294</v>
      </c>
      <c r="H135" s="189" t="s">
        <v>256</v>
      </c>
      <c r="I135" s="189">
        <v>19219</v>
      </c>
      <c r="J135" s="189">
        <v>1118.75</v>
      </c>
      <c r="K135" s="189">
        <v>811.75</v>
      </c>
      <c r="L135" s="189">
        <v>-33.39</v>
      </c>
      <c r="M135" s="189">
        <v>11.14</v>
      </c>
      <c r="N135" s="189">
        <v>82</v>
      </c>
      <c r="O135" s="189" t="s">
        <v>554</v>
      </c>
      <c r="P135" s="189" t="s">
        <v>555</v>
      </c>
      <c r="Q135" s="189" t="s">
        <v>253</v>
      </c>
      <c r="R135" s="189" t="s">
        <v>259</v>
      </c>
      <c r="S135" s="189" t="s">
        <v>257</v>
      </c>
      <c r="T135" s="189" t="s">
        <v>261</v>
      </c>
      <c r="U135" s="189" t="s">
        <v>258</v>
      </c>
      <c r="V135" s="189" t="s">
        <v>253</v>
      </c>
      <c r="W135" s="189" t="s">
        <v>253</v>
      </c>
      <c r="X135" s="189" t="s">
        <v>833</v>
      </c>
      <c r="Y135" s="189" t="s">
        <v>834</v>
      </c>
    </row>
    <row r="136" spans="1:25" x14ac:dyDescent="0.2">
      <c r="A136" s="189">
        <v>449</v>
      </c>
      <c r="B136" s="189" t="s">
        <v>338</v>
      </c>
      <c r="C136" s="189" t="s">
        <v>399</v>
      </c>
      <c r="D136" s="189" t="s">
        <v>399</v>
      </c>
      <c r="E136" s="189" t="s">
        <v>268</v>
      </c>
      <c r="F136" s="189" t="s">
        <v>537</v>
      </c>
      <c r="G136" s="189" t="s">
        <v>255</v>
      </c>
      <c r="H136" s="189" t="s">
        <v>256</v>
      </c>
      <c r="I136" s="189">
        <v>5619</v>
      </c>
      <c r="J136" s="189">
        <v>444.69105572299299</v>
      </c>
      <c r="K136" s="189">
        <v>603.62055367583901</v>
      </c>
      <c r="L136" s="189">
        <v>-26.65</v>
      </c>
      <c r="M136" s="189">
        <v>-10.64</v>
      </c>
      <c r="N136" s="189">
        <v>161</v>
      </c>
      <c r="O136" s="189" t="s">
        <v>568</v>
      </c>
      <c r="P136" s="189" t="s">
        <v>569</v>
      </c>
      <c r="Q136" s="189" t="s">
        <v>253</v>
      </c>
      <c r="R136" s="189" t="s">
        <v>253</v>
      </c>
      <c r="S136" s="189" t="s">
        <v>253</v>
      </c>
      <c r="T136" s="189" t="s">
        <v>253</v>
      </c>
      <c r="U136" s="189" t="s">
        <v>253</v>
      </c>
      <c r="V136" s="189" t="s">
        <v>253</v>
      </c>
      <c r="W136" s="189" t="s">
        <v>253</v>
      </c>
      <c r="X136" s="189" t="s">
        <v>835</v>
      </c>
      <c r="Y136" s="189" t="s">
        <v>836</v>
      </c>
    </row>
    <row r="137" spans="1:25" x14ac:dyDescent="0.2">
      <c r="A137" s="189">
        <v>564</v>
      </c>
      <c r="B137" s="189" t="s">
        <v>358</v>
      </c>
      <c r="C137" s="189" t="s">
        <v>399</v>
      </c>
      <c r="D137" s="189" t="s">
        <v>399</v>
      </c>
      <c r="E137" s="189" t="s">
        <v>268</v>
      </c>
      <c r="F137" s="189" t="s">
        <v>537</v>
      </c>
      <c r="G137" s="189" t="s">
        <v>255</v>
      </c>
      <c r="H137" s="189" t="s">
        <v>256</v>
      </c>
      <c r="I137" s="189">
        <v>16032</v>
      </c>
      <c r="J137" s="189">
        <v>513.19659423625001</v>
      </c>
      <c r="K137" s="189">
        <v>699.37261318868696</v>
      </c>
      <c r="L137" s="189">
        <v>-29.75</v>
      </c>
      <c r="M137" s="189">
        <v>-8.42</v>
      </c>
      <c r="N137" s="189">
        <v>1063</v>
      </c>
      <c r="O137" s="189" t="s">
        <v>542</v>
      </c>
      <c r="P137" s="189" t="s">
        <v>543</v>
      </c>
      <c r="Q137" s="189" t="s">
        <v>253</v>
      </c>
      <c r="R137" s="189" t="s">
        <v>253</v>
      </c>
      <c r="S137" s="189" t="s">
        <v>257</v>
      </c>
      <c r="T137" s="189" t="s">
        <v>253</v>
      </c>
      <c r="U137" s="189" t="s">
        <v>253</v>
      </c>
      <c r="V137" s="189" t="s">
        <v>253</v>
      </c>
      <c r="W137" s="189" t="s">
        <v>253</v>
      </c>
      <c r="X137" s="189" t="s">
        <v>837</v>
      </c>
      <c r="Y137" s="189" t="s">
        <v>838</v>
      </c>
    </row>
    <row r="138" spans="1:25" x14ac:dyDescent="0.2">
      <c r="A138" s="189">
        <v>847</v>
      </c>
      <c r="B138" s="189" t="s">
        <v>399</v>
      </c>
      <c r="C138" s="189" t="s">
        <v>399</v>
      </c>
      <c r="D138" s="189" t="s">
        <v>399</v>
      </c>
      <c r="E138" s="189" t="s">
        <v>268</v>
      </c>
      <c r="F138" s="189" t="s">
        <v>537</v>
      </c>
      <c r="G138" s="189" t="s">
        <v>255</v>
      </c>
      <c r="H138" s="189" t="s">
        <v>256</v>
      </c>
      <c r="I138" s="189">
        <v>15417</v>
      </c>
      <c r="J138" s="189">
        <v>502.823454455692</v>
      </c>
      <c r="K138" s="189">
        <v>657.02373483503698</v>
      </c>
      <c r="L138" s="189">
        <v>-28.38</v>
      </c>
      <c r="M138" s="189">
        <v>-8.76</v>
      </c>
      <c r="N138" s="189">
        <v>118</v>
      </c>
      <c r="O138" s="189" t="s">
        <v>564</v>
      </c>
      <c r="P138" s="189" t="s">
        <v>565</v>
      </c>
      <c r="Q138" s="189" t="s">
        <v>253</v>
      </c>
      <c r="R138" s="189" t="s">
        <v>253</v>
      </c>
      <c r="S138" s="189" t="s">
        <v>257</v>
      </c>
      <c r="T138" s="189" t="s">
        <v>253</v>
      </c>
      <c r="U138" s="189" t="s">
        <v>253</v>
      </c>
      <c r="V138" s="189" t="s">
        <v>253</v>
      </c>
      <c r="W138" s="189" t="s">
        <v>253</v>
      </c>
      <c r="X138" s="189" t="s">
        <v>839</v>
      </c>
      <c r="Y138" s="189" t="s">
        <v>840</v>
      </c>
    </row>
    <row r="139" spans="1:25" x14ac:dyDescent="0.2">
      <c r="A139" s="189">
        <v>117</v>
      </c>
      <c r="B139" s="189" t="s">
        <v>288</v>
      </c>
      <c r="C139" s="189" t="s">
        <v>489</v>
      </c>
      <c r="D139" s="189" t="s">
        <v>343</v>
      </c>
      <c r="E139" s="189" t="s">
        <v>268</v>
      </c>
      <c r="F139" s="189" t="s">
        <v>537</v>
      </c>
      <c r="G139" s="189" t="s">
        <v>260</v>
      </c>
      <c r="H139" s="189" t="s">
        <v>256</v>
      </c>
      <c r="I139" s="189">
        <v>7044</v>
      </c>
      <c r="J139" s="189">
        <v>931</v>
      </c>
      <c r="K139" s="189">
        <v>913</v>
      </c>
      <c r="L139" s="189">
        <v>-36.659999999999997</v>
      </c>
      <c r="M139" s="189">
        <v>5.07</v>
      </c>
      <c r="N139" s="189">
        <v>118</v>
      </c>
      <c r="O139" s="189" t="s">
        <v>538</v>
      </c>
      <c r="P139" s="189" t="s">
        <v>539</v>
      </c>
      <c r="Q139" s="189" t="s">
        <v>253</v>
      </c>
      <c r="R139" s="189" t="s">
        <v>259</v>
      </c>
      <c r="S139" s="189" t="s">
        <v>253</v>
      </c>
      <c r="T139" s="189" t="s">
        <v>253</v>
      </c>
      <c r="U139" s="189" t="s">
        <v>258</v>
      </c>
      <c r="V139" s="189" t="s">
        <v>253</v>
      </c>
      <c r="W139" s="189" t="s">
        <v>253</v>
      </c>
      <c r="X139" s="189" t="s">
        <v>841</v>
      </c>
      <c r="Y139" s="189" t="s">
        <v>842</v>
      </c>
    </row>
    <row r="140" spans="1:25" x14ac:dyDescent="0.2">
      <c r="A140" s="189">
        <v>454</v>
      </c>
      <c r="B140" s="189" t="s">
        <v>343</v>
      </c>
      <c r="C140" s="189" t="s">
        <v>489</v>
      </c>
      <c r="D140" s="189" t="s">
        <v>343</v>
      </c>
      <c r="E140" s="189" t="s">
        <v>268</v>
      </c>
      <c r="F140" s="189" t="s">
        <v>537</v>
      </c>
      <c r="G140" s="189" t="s">
        <v>260</v>
      </c>
      <c r="H140" s="189" t="s">
        <v>256</v>
      </c>
      <c r="I140" s="189">
        <v>1923</v>
      </c>
      <c r="J140" s="189">
        <v>908.40738133531602</v>
      </c>
      <c r="K140" s="189">
        <v>913.49134464404403</v>
      </c>
      <c r="L140" s="189">
        <v>-36.68</v>
      </c>
      <c r="M140" s="189">
        <v>4.34</v>
      </c>
      <c r="N140" s="189">
        <v>52</v>
      </c>
      <c r="O140" s="189" t="s">
        <v>538</v>
      </c>
      <c r="P140" s="189" t="s">
        <v>539</v>
      </c>
      <c r="Q140" s="189" t="s">
        <v>253</v>
      </c>
      <c r="R140" s="189" t="s">
        <v>253</v>
      </c>
      <c r="S140" s="189" t="s">
        <v>257</v>
      </c>
      <c r="T140" s="189" t="s">
        <v>253</v>
      </c>
      <c r="U140" s="189" t="s">
        <v>253</v>
      </c>
      <c r="V140" s="189" t="s">
        <v>253</v>
      </c>
      <c r="W140" s="189" t="s">
        <v>253</v>
      </c>
      <c r="X140" s="189" t="s">
        <v>843</v>
      </c>
      <c r="Y140" s="189" t="s">
        <v>844</v>
      </c>
    </row>
    <row r="141" spans="1:25" x14ac:dyDescent="0.2">
      <c r="A141" s="189">
        <v>464</v>
      </c>
      <c r="B141" s="189" t="s">
        <v>345</v>
      </c>
      <c r="C141" s="189" t="s">
        <v>489</v>
      </c>
      <c r="D141" s="189" t="s">
        <v>343</v>
      </c>
      <c r="E141" s="189" t="s">
        <v>268</v>
      </c>
      <c r="F141" s="189" t="s">
        <v>537</v>
      </c>
      <c r="G141" s="189" t="s">
        <v>260</v>
      </c>
      <c r="H141" s="189" t="s">
        <v>256</v>
      </c>
      <c r="I141" s="189">
        <v>9340</v>
      </c>
      <c r="J141" s="189">
        <v>940.88912672697199</v>
      </c>
      <c r="K141" s="189">
        <v>893.93223492648099</v>
      </c>
      <c r="L141" s="189">
        <v>-36.049999999999997</v>
      </c>
      <c r="M141" s="189">
        <v>5.39</v>
      </c>
      <c r="N141" s="189">
        <v>118</v>
      </c>
      <c r="O141" s="189" t="s">
        <v>542</v>
      </c>
      <c r="P141" s="189" t="s">
        <v>543</v>
      </c>
      <c r="Q141" s="189" t="s">
        <v>253</v>
      </c>
      <c r="R141" s="189" t="s">
        <v>253</v>
      </c>
      <c r="S141" s="189" t="s">
        <v>257</v>
      </c>
      <c r="T141" s="189" t="s">
        <v>253</v>
      </c>
      <c r="U141" s="189" t="s">
        <v>253</v>
      </c>
      <c r="V141" s="189" t="s">
        <v>253</v>
      </c>
      <c r="W141" s="189" t="s">
        <v>253</v>
      </c>
      <c r="X141" s="189" t="s">
        <v>845</v>
      </c>
      <c r="Y141" s="189" t="s">
        <v>846</v>
      </c>
    </row>
    <row r="142" spans="1:25" x14ac:dyDescent="0.2">
      <c r="A142" s="189">
        <v>494</v>
      </c>
      <c r="B142" s="189" t="s">
        <v>348</v>
      </c>
      <c r="C142" s="189" t="s">
        <v>489</v>
      </c>
      <c r="D142" s="189" t="s">
        <v>343</v>
      </c>
      <c r="E142" s="189" t="s">
        <v>268</v>
      </c>
      <c r="F142" s="189" t="s">
        <v>537</v>
      </c>
      <c r="G142" s="189" t="s">
        <v>260</v>
      </c>
      <c r="H142" s="189" t="s">
        <v>256</v>
      </c>
      <c r="I142" s="189">
        <v>17983</v>
      </c>
      <c r="J142" s="189">
        <v>906.53904846677301</v>
      </c>
      <c r="K142" s="189">
        <v>930.20903145736395</v>
      </c>
      <c r="L142" s="189">
        <v>-37.22</v>
      </c>
      <c r="M142" s="189">
        <v>4.28</v>
      </c>
      <c r="N142" s="189">
        <v>52</v>
      </c>
      <c r="O142" s="189" t="s">
        <v>538</v>
      </c>
      <c r="P142" s="189" t="s">
        <v>539</v>
      </c>
      <c r="Q142" s="189" t="s">
        <v>253</v>
      </c>
      <c r="R142" s="189" t="s">
        <v>253</v>
      </c>
      <c r="S142" s="189" t="s">
        <v>257</v>
      </c>
      <c r="T142" s="189" t="s">
        <v>253</v>
      </c>
      <c r="U142" s="189" t="s">
        <v>258</v>
      </c>
      <c r="V142" s="189" t="s">
        <v>253</v>
      </c>
      <c r="W142" s="189" t="s">
        <v>253</v>
      </c>
      <c r="X142" s="189" t="s">
        <v>847</v>
      </c>
      <c r="Y142" s="189" t="s">
        <v>848</v>
      </c>
    </row>
    <row r="143" spans="1:25" x14ac:dyDescent="0.2">
      <c r="A143" s="189">
        <v>1041</v>
      </c>
      <c r="B143" s="189" t="s">
        <v>517</v>
      </c>
      <c r="C143" s="189" t="s">
        <v>504</v>
      </c>
      <c r="D143" s="189" t="s">
        <v>505</v>
      </c>
      <c r="E143" s="189" t="s">
        <v>268</v>
      </c>
      <c r="F143" s="189" t="s">
        <v>537</v>
      </c>
      <c r="G143" s="189" t="s">
        <v>262</v>
      </c>
      <c r="H143" s="189" t="s">
        <v>263</v>
      </c>
      <c r="I143" s="189">
        <v>3288</v>
      </c>
      <c r="J143" s="189">
        <v>870.72933515302498</v>
      </c>
      <c r="K143" s="189">
        <v>531.04749881335704</v>
      </c>
      <c r="L143" s="189">
        <v>-24.3</v>
      </c>
      <c r="M143" s="189">
        <v>3.12</v>
      </c>
      <c r="N143" s="189">
        <v>210</v>
      </c>
      <c r="O143" s="189" t="s">
        <v>602</v>
      </c>
      <c r="P143" s="189" t="s">
        <v>603</v>
      </c>
      <c r="Q143" s="189" t="s">
        <v>253</v>
      </c>
      <c r="R143" s="189" t="s">
        <v>253</v>
      </c>
      <c r="S143" s="189" t="s">
        <v>257</v>
      </c>
      <c r="T143" s="189" t="s">
        <v>253</v>
      </c>
      <c r="U143" s="189" t="s">
        <v>253</v>
      </c>
      <c r="V143" s="189" t="s">
        <v>253</v>
      </c>
      <c r="W143" s="189" t="s">
        <v>253</v>
      </c>
      <c r="X143" s="189" t="s">
        <v>849</v>
      </c>
      <c r="Y143" s="189" t="s">
        <v>850</v>
      </c>
    </row>
    <row r="144" spans="1:25" x14ac:dyDescent="0.2">
      <c r="A144" s="189">
        <v>1042</v>
      </c>
      <c r="B144" s="189" t="s">
        <v>518</v>
      </c>
      <c r="C144" s="189" t="s">
        <v>504</v>
      </c>
      <c r="D144" s="189" t="s">
        <v>505</v>
      </c>
      <c r="E144" s="189" t="s">
        <v>268</v>
      </c>
      <c r="F144" s="189" t="s">
        <v>537</v>
      </c>
      <c r="G144" s="189" t="s">
        <v>262</v>
      </c>
      <c r="H144" s="189" t="s">
        <v>263</v>
      </c>
      <c r="I144" s="189">
        <v>3294</v>
      </c>
      <c r="J144" s="189">
        <v>901.20651507113905</v>
      </c>
      <c r="K144" s="189">
        <v>529.95763797337395</v>
      </c>
      <c r="L144" s="189">
        <v>-24.26</v>
      </c>
      <c r="M144" s="189">
        <v>4.1100000000000003</v>
      </c>
      <c r="N144" s="189">
        <v>554</v>
      </c>
      <c r="O144" s="189" t="s">
        <v>568</v>
      </c>
      <c r="P144" s="189" t="s">
        <v>569</v>
      </c>
      <c r="Q144" s="189" t="s">
        <v>253</v>
      </c>
      <c r="R144" s="189" t="s">
        <v>253</v>
      </c>
      <c r="S144" s="189" t="s">
        <v>253</v>
      </c>
      <c r="T144" s="189" t="s">
        <v>261</v>
      </c>
      <c r="U144" s="189" t="s">
        <v>258</v>
      </c>
      <c r="V144" s="189" t="s">
        <v>253</v>
      </c>
      <c r="W144" s="189" t="s">
        <v>253</v>
      </c>
      <c r="X144" s="189" t="s">
        <v>851</v>
      </c>
      <c r="Y144" s="189" t="s">
        <v>852</v>
      </c>
    </row>
    <row r="145" spans="1:25" x14ac:dyDescent="0.2">
      <c r="A145" s="189">
        <v>1045</v>
      </c>
      <c r="B145" s="189" t="s">
        <v>505</v>
      </c>
      <c r="C145" s="189" t="s">
        <v>504</v>
      </c>
      <c r="D145" s="189" t="s">
        <v>505</v>
      </c>
      <c r="E145" s="189" t="s">
        <v>268</v>
      </c>
      <c r="F145" s="189" t="s">
        <v>537</v>
      </c>
      <c r="G145" s="189" t="s">
        <v>262</v>
      </c>
      <c r="H145" s="189" t="s">
        <v>263</v>
      </c>
      <c r="I145" s="189">
        <v>3250</v>
      </c>
      <c r="J145" s="189">
        <v>846.36316065910501</v>
      </c>
      <c r="K145" s="189">
        <v>548.25173064452804</v>
      </c>
      <c r="L145" s="189">
        <v>-24.85</v>
      </c>
      <c r="M145" s="189">
        <v>2.34</v>
      </c>
      <c r="N145" s="189">
        <v>118</v>
      </c>
      <c r="O145" s="189" t="s">
        <v>568</v>
      </c>
      <c r="P145" s="189" t="s">
        <v>569</v>
      </c>
      <c r="Q145" s="189" t="s">
        <v>253</v>
      </c>
      <c r="R145" s="189" t="s">
        <v>253</v>
      </c>
      <c r="S145" s="189" t="s">
        <v>257</v>
      </c>
      <c r="T145" s="189" t="s">
        <v>253</v>
      </c>
      <c r="U145" s="189" t="s">
        <v>258</v>
      </c>
      <c r="V145" s="189" t="s">
        <v>253</v>
      </c>
      <c r="W145" s="189" t="s">
        <v>253</v>
      </c>
      <c r="X145" s="189" t="s">
        <v>853</v>
      </c>
      <c r="Y145" s="189" t="s">
        <v>854</v>
      </c>
    </row>
    <row r="146" spans="1:25" x14ac:dyDescent="0.2">
      <c r="A146" s="189">
        <v>281</v>
      </c>
      <c r="B146" s="189" t="s">
        <v>318</v>
      </c>
      <c r="C146" s="189" t="s">
        <v>493</v>
      </c>
      <c r="D146" s="189" t="s">
        <v>493</v>
      </c>
      <c r="E146" s="189" t="s">
        <v>268</v>
      </c>
      <c r="F146" s="189" t="s">
        <v>537</v>
      </c>
      <c r="G146" s="189" t="s">
        <v>294</v>
      </c>
      <c r="H146" s="189" t="s">
        <v>256</v>
      </c>
      <c r="I146" s="189">
        <v>5319</v>
      </c>
      <c r="J146" s="189">
        <v>1111.17988297441</v>
      </c>
      <c r="K146" s="189">
        <v>677.38077838187496</v>
      </c>
      <c r="L146" s="189">
        <v>-29.03</v>
      </c>
      <c r="M146" s="189">
        <v>10.89</v>
      </c>
      <c r="N146" s="189">
        <v>554</v>
      </c>
      <c r="O146" s="189" t="s">
        <v>550</v>
      </c>
      <c r="P146" s="189" t="s">
        <v>551</v>
      </c>
      <c r="Q146" s="189" t="s">
        <v>253</v>
      </c>
      <c r="R146" s="189" t="s">
        <v>253</v>
      </c>
      <c r="S146" s="189" t="s">
        <v>257</v>
      </c>
      <c r="T146" s="189" t="s">
        <v>253</v>
      </c>
      <c r="U146" s="189" t="s">
        <v>253</v>
      </c>
      <c r="V146" s="189" t="s">
        <v>253</v>
      </c>
      <c r="W146" s="189" t="s">
        <v>253</v>
      </c>
      <c r="X146" s="189" t="s">
        <v>855</v>
      </c>
      <c r="Y146" s="189" t="s">
        <v>856</v>
      </c>
    </row>
    <row r="147" spans="1:25" x14ac:dyDescent="0.2">
      <c r="A147" s="189">
        <v>692</v>
      </c>
      <c r="B147" s="189" t="s">
        <v>493</v>
      </c>
      <c r="C147" s="189" t="s">
        <v>493</v>
      </c>
      <c r="D147" s="189" t="s">
        <v>493</v>
      </c>
      <c r="E147" s="189" t="s">
        <v>268</v>
      </c>
      <c r="F147" s="189" t="s">
        <v>537</v>
      </c>
      <c r="G147" s="189" t="s">
        <v>294</v>
      </c>
      <c r="H147" s="189" t="s">
        <v>256</v>
      </c>
      <c r="I147" s="189">
        <v>26830</v>
      </c>
      <c r="J147" s="189">
        <v>993.82522466903401</v>
      </c>
      <c r="K147" s="189">
        <v>627.753186561191</v>
      </c>
      <c r="L147" s="189">
        <v>-27.43</v>
      </c>
      <c r="M147" s="189">
        <v>7.1</v>
      </c>
      <c r="N147" s="189">
        <v>1184</v>
      </c>
      <c r="O147" s="189" t="s">
        <v>554</v>
      </c>
      <c r="P147" s="189" t="s">
        <v>555</v>
      </c>
      <c r="Q147" s="189" t="s">
        <v>253</v>
      </c>
      <c r="R147" s="189" t="s">
        <v>253</v>
      </c>
      <c r="S147" s="189" t="s">
        <v>257</v>
      </c>
      <c r="T147" s="189" t="s">
        <v>261</v>
      </c>
      <c r="U147" s="189" t="s">
        <v>258</v>
      </c>
      <c r="V147" s="189" t="s">
        <v>297</v>
      </c>
      <c r="W147" s="189" t="s">
        <v>266</v>
      </c>
      <c r="X147" s="189" t="s">
        <v>857</v>
      </c>
      <c r="Y147" s="189" t="s">
        <v>858</v>
      </c>
    </row>
    <row r="148" spans="1:25" x14ac:dyDescent="0.2">
      <c r="A148" s="189">
        <v>979</v>
      </c>
      <c r="B148" s="189" t="s">
        <v>277</v>
      </c>
      <c r="C148" s="189" t="s">
        <v>493</v>
      </c>
      <c r="D148" s="189" t="s">
        <v>493</v>
      </c>
      <c r="E148" s="189" t="s">
        <v>268</v>
      </c>
      <c r="F148" s="189" t="s">
        <v>537</v>
      </c>
      <c r="G148" s="189" t="s">
        <v>294</v>
      </c>
      <c r="H148" s="189" t="s">
        <v>256</v>
      </c>
      <c r="I148" s="189">
        <v>2286</v>
      </c>
      <c r="J148" s="189">
        <v>1057.8350872173501</v>
      </c>
      <c r="K148" s="189">
        <v>603.83463348369298</v>
      </c>
      <c r="L148" s="189">
        <v>-26.65</v>
      </c>
      <c r="M148" s="189">
        <v>9.17</v>
      </c>
      <c r="N148" s="189">
        <v>2572</v>
      </c>
      <c r="O148" s="189" t="s">
        <v>542</v>
      </c>
      <c r="P148" s="189" t="s">
        <v>543</v>
      </c>
      <c r="Q148" s="189" t="s">
        <v>253</v>
      </c>
      <c r="R148" s="189" t="s">
        <v>253</v>
      </c>
      <c r="S148" s="189" t="s">
        <v>253</v>
      </c>
      <c r="T148" s="189" t="s">
        <v>253</v>
      </c>
      <c r="U148" s="189" t="s">
        <v>253</v>
      </c>
      <c r="V148" s="189" t="s">
        <v>253</v>
      </c>
      <c r="W148" s="189" t="s">
        <v>253</v>
      </c>
      <c r="X148" s="189" t="s">
        <v>859</v>
      </c>
      <c r="Y148" s="189" t="s">
        <v>860</v>
      </c>
    </row>
    <row r="149" spans="1:25" x14ac:dyDescent="0.2">
      <c r="A149" s="189">
        <v>1040</v>
      </c>
      <c r="B149" s="189" t="s">
        <v>502</v>
      </c>
      <c r="C149" s="189" t="s">
        <v>501</v>
      </c>
      <c r="D149" s="189" t="s">
        <v>502</v>
      </c>
      <c r="E149" s="189" t="s">
        <v>268</v>
      </c>
      <c r="F149" s="189" t="s">
        <v>537</v>
      </c>
      <c r="G149" s="189" t="s">
        <v>260</v>
      </c>
      <c r="H149" s="189" t="s">
        <v>516</v>
      </c>
      <c r="I149" s="189">
        <v>1115</v>
      </c>
      <c r="J149" s="189">
        <v>865.70819056881498</v>
      </c>
      <c r="K149" s="189">
        <v>604.14602229511695</v>
      </c>
      <c r="L149" s="189">
        <v>-26.66</v>
      </c>
      <c r="M149" s="189">
        <v>2.96</v>
      </c>
      <c r="N149" s="189">
        <v>7248</v>
      </c>
      <c r="O149" s="189" t="s">
        <v>861</v>
      </c>
      <c r="P149" s="189" t="s">
        <v>862</v>
      </c>
      <c r="Q149" s="189" t="s">
        <v>253</v>
      </c>
      <c r="R149" s="189" t="s">
        <v>253</v>
      </c>
      <c r="S149" s="189" t="s">
        <v>253</v>
      </c>
      <c r="T149" s="189" t="s">
        <v>253</v>
      </c>
      <c r="U149" s="189" t="s">
        <v>253</v>
      </c>
      <c r="V149" s="189" t="s">
        <v>253</v>
      </c>
      <c r="W149" s="189" t="s">
        <v>253</v>
      </c>
      <c r="X149" s="189" t="s">
        <v>863</v>
      </c>
      <c r="Y149" s="189" t="s">
        <v>864</v>
      </c>
    </row>
    <row r="150" spans="1:25" x14ac:dyDescent="0.2">
      <c r="A150" s="189">
        <v>584</v>
      </c>
      <c r="B150" s="189" t="s">
        <v>361</v>
      </c>
      <c r="C150" s="189" t="s">
        <v>431</v>
      </c>
      <c r="D150" s="189" t="s">
        <v>432</v>
      </c>
      <c r="E150" s="189" t="s">
        <v>268</v>
      </c>
      <c r="F150" s="189" t="s">
        <v>537</v>
      </c>
      <c r="G150" s="189" t="s">
        <v>306</v>
      </c>
      <c r="H150" s="189" t="s">
        <v>256</v>
      </c>
      <c r="I150" s="189">
        <v>6268</v>
      </c>
      <c r="J150" s="189">
        <v>326.36330738191202</v>
      </c>
      <c r="K150" s="189">
        <v>827.606418093191</v>
      </c>
      <c r="L150" s="189">
        <v>-33.9</v>
      </c>
      <c r="M150" s="189">
        <v>-14.46</v>
      </c>
      <c r="N150" s="189">
        <v>554</v>
      </c>
      <c r="O150" s="189" t="s">
        <v>538</v>
      </c>
      <c r="P150" s="189" t="s">
        <v>539</v>
      </c>
      <c r="Q150" s="189" t="s">
        <v>253</v>
      </c>
      <c r="R150" s="189" t="s">
        <v>253</v>
      </c>
      <c r="S150" s="189" t="s">
        <v>253</v>
      </c>
      <c r="T150" s="189" t="s">
        <v>253</v>
      </c>
      <c r="U150" s="189" t="s">
        <v>253</v>
      </c>
      <c r="V150" s="189" t="s">
        <v>253</v>
      </c>
      <c r="W150" s="189" t="s">
        <v>253</v>
      </c>
      <c r="X150" s="189" t="s">
        <v>865</v>
      </c>
      <c r="Y150" s="189" t="s">
        <v>866</v>
      </c>
    </row>
    <row r="151" spans="1:25" x14ac:dyDescent="0.2">
      <c r="A151" s="189">
        <v>587</v>
      </c>
      <c r="B151" s="189" t="s">
        <v>362</v>
      </c>
      <c r="C151" s="189" t="s">
        <v>431</v>
      </c>
      <c r="D151" s="189" t="s">
        <v>432</v>
      </c>
      <c r="E151" s="189" t="s">
        <v>268</v>
      </c>
      <c r="F151" s="189" t="s">
        <v>537</v>
      </c>
      <c r="G151" s="189" t="s">
        <v>306</v>
      </c>
      <c r="H151" s="189" t="s">
        <v>256</v>
      </c>
      <c r="I151" s="189">
        <v>4459</v>
      </c>
      <c r="J151" s="189">
        <v>309.022842945744</v>
      </c>
      <c r="K151" s="189">
        <v>901.38610459994004</v>
      </c>
      <c r="L151" s="189">
        <v>-36.29</v>
      </c>
      <c r="M151" s="189">
        <v>-15.02</v>
      </c>
      <c r="N151" s="189">
        <v>82</v>
      </c>
      <c r="O151" s="189" t="s">
        <v>542</v>
      </c>
      <c r="P151" s="189" t="s">
        <v>543</v>
      </c>
      <c r="Q151" s="189" t="s">
        <v>253</v>
      </c>
      <c r="R151" s="189" t="s">
        <v>253</v>
      </c>
      <c r="S151" s="189" t="s">
        <v>253</v>
      </c>
      <c r="T151" s="189" t="s">
        <v>253</v>
      </c>
      <c r="U151" s="189" t="s">
        <v>258</v>
      </c>
      <c r="V151" s="189" t="s">
        <v>253</v>
      </c>
      <c r="W151" s="189" t="s">
        <v>253</v>
      </c>
      <c r="X151" s="189" t="s">
        <v>867</v>
      </c>
      <c r="Y151" s="189" t="s">
        <v>868</v>
      </c>
    </row>
    <row r="152" spans="1:25" x14ac:dyDescent="0.2">
      <c r="A152" s="189">
        <v>720</v>
      </c>
      <c r="B152" s="189" t="s">
        <v>375</v>
      </c>
      <c r="C152" s="189" t="s">
        <v>431</v>
      </c>
      <c r="D152" s="189" t="s">
        <v>432</v>
      </c>
      <c r="E152" s="189" t="s">
        <v>268</v>
      </c>
      <c r="F152" s="189" t="s">
        <v>537</v>
      </c>
      <c r="G152" s="189" t="s">
        <v>306</v>
      </c>
      <c r="H152" s="189" t="s">
        <v>256</v>
      </c>
      <c r="I152" s="189">
        <v>12238</v>
      </c>
      <c r="J152" s="189">
        <v>266.94642980208999</v>
      </c>
      <c r="K152" s="189">
        <v>820.07470121687504</v>
      </c>
      <c r="L152" s="189">
        <v>-33.65</v>
      </c>
      <c r="M152" s="189">
        <v>-16.38</v>
      </c>
      <c r="N152" s="189">
        <v>840</v>
      </c>
      <c r="O152" s="189" t="s">
        <v>542</v>
      </c>
      <c r="P152" s="189" t="s">
        <v>543</v>
      </c>
      <c r="Q152" s="189" t="s">
        <v>253</v>
      </c>
      <c r="R152" s="189" t="s">
        <v>253</v>
      </c>
      <c r="S152" s="189" t="s">
        <v>253</v>
      </c>
      <c r="T152" s="189" t="s">
        <v>253</v>
      </c>
      <c r="U152" s="189" t="s">
        <v>253</v>
      </c>
      <c r="V152" s="189" t="s">
        <v>253</v>
      </c>
      <c r="W152" s="189" t="s">
        <v>253</v>
      </c>
      <c r="X152" s="189" t="s">
        <v>869</v>
      </c>
      <c r="Y152" s="189" t="s">
        <v>870</v>
      </c>
    </row>
    <row r="153" spans="1:25" x14ac:dyDescent="0.2">
      <c r="A153" s="189">
        <v>853</v>
      </c>
      <c r="B153" s="189" t="s">
        <v>405</v>
      </c>
      <c r="C153" s="189" t="s">
        <v>431</v>
      </c>
      <c r="D153" s="189" t="s">
        <v>432</v>
      </c>
      <c r="E153" s="189" t="s">
        <v>268</v>
      </c>
      <c r="F153" s="189" t="s">
        <v>537</v>
      </c>
      <c r="G153" s="189" t="s">
        <v>306</v>
      </c>
      <c r="H153" s="189" t="s">
        <v>256</v>
      </c>
      <c r="I153" s="189">
        <v>17781</v>
      </c>
      <c r="J153" s="189">
        <v>330.43082373113702</v>
      </c>
      <c r="K153" s="189">
        <v>847.554763825034</v>
      </c>
      <c r="L153" s="189">
        <v>-34.54</v>
      </c>
      <c r="M153" s="189">
        <v>-14.33</v>
      </c>
      <c r="N153" s="189">
        <v>52</v>
      </c>
      <c r="O153" s="189" t="s">
        <v>542</v>
      </c>
      <c r="P153" s="189" t="s">
        <v>543</v>
      </c>
      <c r="Q153" s="189" t="s">
        <v>253</v>
      </c>
      <c r="R153" s="189" t="s">
        <v>253</v>
      </c>
      <c r="S153" s="189" t="s">
        <v>253</v>
      </c>
      <c r="T153" s="189" t="s">
        <v>261</v>
      </c>
      <c r="U153" s="189" t="s">
        <v>253</v>
      </c>
      <c r="V153" s="189" t="s">
        <v>253</v>
      </c>
      <c r="W153" s="189" t="s">
        <v>253</v>
      </c>
      <c r="X153" s="189" t="s">
        <v>871</v>
      </c>
      <c r="Y153" s="189" t="s">
        <v>872</v>
      </c>
    </row>
    <row r="154" spans="1:25" x14ac:dyDescent="0.2">
      <c r="A154" s="189">
        <v>956</v>
      </c>
      <c r="B154" s="189" t="s">
        <v>416</v>
      </c>
      <c r="C154" s="189" t="s">
        <v>431</v>
      </c>
      <c r="D154" s="189" t="s">
        <v>432</v>
      </c>
      <c r="E154" s="189" t="s">
        <v>268</v>
      </c>
      <c r="F154" s="189" t="s">
        <v>537</v>
      </c>
      <c r="G154" s="189" t="s">
        <v>306</v>
      </c>
      <c r="H154" s="189" t="s">
        <v>256</v>
      </c>
      <c r="I154" s="189">
        <v>16708</v>
      </c>
      <c r="J154" s="189">
        <v>290.37843786173801</v>
      </c>
      <c r="K154" s="189">
        <v>816.72727149406796</v>
      </c>
      <c r="L154" s="189">
        <v>-33.549999999999997</v>
      </c>
      <c r="M154" s="189">
        <v>-15.62</v>
      </c>
      <c r="N154" s="189">
        <v>643</v>
      </c>
      <c r="O154" s="189" t="s">
        <v>542</v>
      </c>
      <c r="P154" s="189" t="s">
        <v>543</v>
      </c>
      <c r="Q154" s="189" t="s">
        <v>253</v>
      </c>
      <c r="R154" s="189" t="s">
        <v>253</v>
      </c>
      <c r="S154" s="189" t="s">
        <v>253</v>
      </c>
      <c r="T154" s="189" t="s">
        <v>253</v>
      </c>
      <c r="U154" s="189" t="s">
        <v>253</v>
      </c>
      <c r="V154" s="189" t="s">
        <v>253</v>
      </c>
      <c r="W154" s="189" t="s">
        <v>253</v>
      </c>
      <c r="X154" s="189" t="s">
        <v>873</v>
      </c>
      <c r="Y154" s="189" t="s">
        <v>874</v>
      </c>
    </row>
    <row r="155" spans="1:25" x14ac:dyDescent="0.2">
      <c r="A155" s="189">
        <v>987</v>
      </c>
      <c r="B155" s="189" t="s">
        <v>432</v>
      </c>
      <c r="C155" s="189" t="s">
        <v>431</v>
      </c>
      <c r="D155" s="189" t="s">
        <v>432</v>
      </c>
      <c r="E155" s="189" t="s">
        <v>268</v>
      </c>
      <c r="F155" s="189" t="s">
        <v>537</v>
      </c>
      <c r="G155" s="189" t="s">
        <v>306</v>
      </c>
      <c r="H155" s="189" t="s">
        <v>256</v>
      </c>
      <c r="I155" s="189">
        <v>2535</v>
      </c>
      <c r="J155" s="189">
        <v>259.23955671934903</v>
      </c>
      <c r="K155" s="189">
        <v>897.04612304071998</v>
      </c>
      <c r="L155" s="189">
        <v>-36.15</v>
      </c>
      <c r="M155" s="189">
        <v>-16.63</v>
      </c>
      <c r="N155" s="189">
        <v>30</v>
      </c>
      <c r="O155" s="189" t="s">
        <v>542</v>
      </c>
      <c r="P155" s="189" t="s">
        <v>543</v>
      </c>
      <c r="Q155" s="189" t="s">
        <v>253</v>
      </c>
      <c r="R155" s="189" t="s">
        <v>253</v>
      </c>
      <c r="S155" s="189" t="s">
        <v>253</v>
      </c>
      <c r="T155" s="189" t="s">
        <v>253</v>
      </c>
      <c r="U155" s="189" t="s">
        <v>258</v>
      </c>
      <c r="V155" s="189" t="s">
        <v>253</v>
      </c>
      <c r="W155" s="189" t="s">
        <v>253</v>
      </c>
      <c r="X155" s="189" t="s">
        <v>875</v>
      </c>
      <c r="Y155" s="189" t="s">
        <v>876</v>
      </c>
    </row>
    <row r="156" spans="1:25" x14ac:dyDescent="0.2">
      <c r="A156" s="189">
        <v>1014</v>
      </c>
      <c r="B156" s="189" t="s">
        <v>496</v>
      </c>
      <c r="C156" s="189" t="s">
        <v>431</v>
      </c>
      <c r="D156" s="189" t="s">
        <v>432</v>
      </c>
      <c r="E156" s="189" t="s">
        <v>268</v>
      </c>
      <c r="F156" s="189" t="s">
        <v>537</v>
      </c>
      <c r="G156" s="189" t="s">
        <v>306</v>
      </c>
      <c r="H156" s="189" t="s">
        <v>256</v>
      </c>
      <c r="I156" s="189">
        <v>6982</v>
      </c>
      <c r="J156" s="189">
        <v>259.76502533862703</v>
      </c>
      <c r="K156" s="189">
        <v>849.89017991071296</v>
      </c>
      <c r="L156" s="189">
        <v>-34.619999999999997</v>
      </c>
      <c r="M156" s="189">
        <v>-16.61</v>
      </c>
      <c r="N156" s="189">
        <v>161</v>
      </c>
      <c r="O156" s="189" t="s">
        <v>542</v>
      </c>
      <c r="P156" s="189" t="s">
        <v>543</v>
      </c>
      <c r="Q156" s="189" t="s">
        <v>253</v>
      </c>
      <c r="R156" s="189" t="s">
        <v>253</v>
      </c>
      <c r="S156" s="189" t="s">
        <v>257</v>
      </c>
      <c r="T156" s="189" t="s">
        <v>253</v>
      </c>
      <c r="U156" s="189" t="s">
        <v>258</v>
      </c>
      <c r="V156" s="189" t="s">
        <v>253</v>
      </c>
      <c r="W156" s="189" t="s">
        <v>253</v>
      </c>
      <c r="X156" s="189" t="s">
        <v>877</v>
      </c>
      <c r="Y156" s="189" t="s">
        <v>878</v>
      </c>
    </row>
    <row r="157" spans="1:25" x14ac:dyDescent="0.2">
      <c r="A157" s="189">
        <v>192</v>
      </c>
      <c r="B157" s="189" t="s">
        <v>300</v>
      </c>
      <c r="C157" s="189" t="s">
        <v>456</v>
      </c>
      <c r="D157" s="189" t="s">
        <v>456</v>
      </c>
      <c r="E157" s="189" t="s">
        <v>268</v>
      </c>
      <c r="F157" s="189" t="s">
        <v>537</v>
      </c>
      <c r="G157" s="189" t="s">
        <v>255</v>
      </c>
      <c r="H157" s="189" t="s">
        <v>256</v>
      </c>
      <c r="I157" s="189">
        <v>14971</v>
      </c>
      <c r="J157" s="189">
        <v>365.15067620490203</v>
      </c>
      <c r="K157" s="189">
        <v>591.612622635305</v>
      </c>
      <c r="L157" s="189">
        <v>-26.26</v>
      </c>
      <c r="M157" s="189">
        <v>-13.21</v>
      </c>
      <c r="N157" s="189">
        <v>52</v>
      </c>
      <c r="O157" s="189" t="s">
        <v>568</v>
      </c>
      <c r="P157" s="189" t="s">
        <v>569</v>
      </c>
      <c r="Q157" s="189" t="s">
        <v>253</v>
      </c>
      <c r="R157" s="189" t="s">
        <v>253</v>
      </c>
      <c r="S157" s="189" t="s">
        <v>257</v>
      </c>
      <c r="T157" s="189" t="s">
        <v>261</v>
      </c>
      <c r="U157" s="189" t="s">
        <v>258</v>
      </c>
      <c r="V157" s="189" t="s">
        <v>253</v>
      </c>
      <c r="W157" s="189" t="s">
        <v>253</v>
      </c>
      <c r="X157" s="189" t="s">
        <v>879</v>
      </c>
      <c r="Y157" s="189" t="s">
        <v>880</v>
      </c>
    </row>
    <row r="158" spans="1:25" x14ac:dyDescent="0.2">
      <c r="A158" s="189">
        <v>326</v>
      </c>
      <c r="B158" s="189" t="s">
        <v>456</v>
      </c>
      <c r="C158" s="189" t="s">
        <v>456</v>
      </c>
      <c r="D158" s="189" t="s">
        <v>456</v>
      </c>
      <c r="E158" s="189" t="s">
        <v>268</v>
      </c>
      <c r="F158" s="189" t="s">
        <v>537</v>
      </c>
      <c r="G158" s="189" t="s">
        <v>264</v>
      </c>
      <c r="H158" s="189" t="s">
        <v>256</v>
      </c>
      <c r="I158" s="189">
        <v>9267</v>
      </c>
      <c r="J158" s="189">
        <v>338</v>
      </c>
      <c r="K158" s="189">
        <v>571</v>
      </c>
      <c r="L158" s="189">
        <v>-25.59</v>
      </c>
      <c r="M158" s="189">
        <v>-14.08</v>
      </c>
      <c r="N158" s="189">
        <v>82</v>
      </c>
      <c r="O158" s="189" t="s">
        <v>568</v>
      </c>
      <c r="P158" s="189" t="s">
        <v>569</v>
      </c>
      <c r="Q158" s="189" t="s">
        <v>253</v>
      </c>
      <c r="R158" s="189" t="s">
        <v>259</v>
      </c>
      <c r="S158" s="189" t="s">
        <v>253</v>
      </c>
      <c r="T158" s="189" t="s">
        <v>253</v>
      </c>
      <c r="U158" s="189" t="s">
        <v>253</v>
      </c>
      <c r="V158" s="189" t="s">
        <v>253</v>
      </c>
      <c r="W158" s="189" t="s">
        <v>253</v>
      </c>
      <c r="X158" s="189" t="s">
        <v>881</v>
      </c>
      <c r="Y158" s="189" t="s">
        <v>882</v>
      </c>
    </row>
    <row r="159" spans="1:25" x14ac:dyDescent="0.2">
      <c r="A159" s="189">
        <v>100</v>
      </c>
      <c r="B159" s="189" t="s">
        <v>472</v>
      </c>
      <c r="C159" s="189" t="s">
        <v>284</v>
      </c>
      <c r="D159" s="189" t="s">
        <v>284</v>
      </c>
      <c r="E159" s="189" t="s">
        <v>268</v>
      </c>
      <c r="F159" s="189" t="s">
        <v>537</v>
      </c>
      <c r="G159" s="189" t="s">
        <v>260</v>
      </c>
      <c r="H159" s="189" t="s">
        <v>256</v>
      </c>
      <c r="I159" s="189">
        <v>1956</v>
      </c>
      <c r="J159" s="189">
        <v>738.79778811286303</v>
      </c>
      <c r="K159" s="189">
        <v>879.21911358670195</v>
      </c>
      <c r="L159" s="189">
        <v>-35.57</v>
      </c>
      <c r="M159" s="189">
        <v>-1.1399999999999999</v>
      </c>
      <c r="N159" s="189">
        <v>52</v>
      </c>
      <c r="O159" s="189" t="s">
        <v>542</v>
      </c>
      <c r="P159" s="189" t="s">
        <v>543</v>
      </c>
      <c r="Q159" s="189" t="s">
        <v>253</v>
      </c>
      <c r="R159" s="189" t="s">
        <v>253</v>
      </c>
      <c r="S159" s="189" t="s">
        <v>257</v>
      </c>
      <c r="T159" s="189" t="s">
        <v>253</v>
      </c>
      <c r="U159" s="189" t="s">
        <v>253</v>
      </c>
      <c r="V159" s="189" t="s">
        <v>253</v>
      </c>
      <c r="W159" s="189" t="s">
        <v>253</v>
      </c>
      <c r="X159" s="189" t="s">
        <v>883</v>
      </c>
      <c r="Y159" s="189" t="s">
        <v>884</v>
      </c>
    </row>
    <row r="160" spans="1:25" x14ac:dyDescent="0.2">
      <c r="A160" s="189">
        <v>263</v>
      </c>
      <c r="B160" s="189" t="s">
        <v>316</v>
      </c>
      <c r="C160" s="189" t="s">
        <v>284</v>
      </c>
      <c r="D160" s="189" t="s">
        <v>284</v>
      </c>
      <c r="E160" s="189" t="s">
        <v>268</v>
      </c>
      <c r="F160" s="189" t="s">
        <v>537</v>
      </c>
      <c r="G160" s="189" t="s">
        <v>260</v>
      </c>
      <c r="H160" s="189" t="s">
        <v>256</v>
      </c>
      <c r="I160" s="189">
        <v>1634</v>
      </c>
      <c r="J160" s="189">
        <v>669.92247538603999</v>
      </c>
      <c r="K160" s="189">
        <v>887.91853850585596</v>
      </c>
      <c r="L160" s="189">
        <v>-35.85</v>
      </c>
      <c r="M160" s="189">
        <v>-3.36</v>
      </c>
      <c r="N160" s="189">
        <v>472</v>
      </c>
      <c r="O160" s="189" t="s">
        <v>538</v>
      </c>
      <c r="P160" s="189" t="s">
        <v>539</v>
      </c>
      <c r="Q160" s="189" t="s">
        <v>253</v>
      </c>
      <c r="R160" s="189" t="s">
        <v>253</v>
      </c>
      <c r="S160" s="189" t="s">
        <v>257</v>
      </c>
      <c r="T160" s="189" t="s">
        <v>253</v>
      </c>
      <c r="U160" s="189" t="s">
        <v>258</v>
      </c>
      <c r="V160" s="189" t="s">
        <v>253</v>
      </c>
      <c r="W160" s="189" t="s">
        <v>253</v>
      </c>
      <c r="X160" s="189" t="s">
        <v>885</v>
      </c>
      <c r="Y160" s="189" t="s">
        <v>886</v>
      </c>
    </row>
    <row r="161" spans="1:26" x14ac:dyDescent="0.2">
      <c r="A161" s="189">
        <v>401</v>
      </c>
      <c r="B161" s="189" t="s">
        <v>887</v>
      </c>
      <c r="C161" s="189" t="s">
        <v>284</v>
      </c>
      <c r="D161" s="189" t="s">
        <v>284</v>
      </c>
      <c r="E161" s="189" t="s">
        <v>268</v>
      </c>
      <c r="F161" s="189" t="s">
        <v>537</v>
      </c>
      <c r="G161" s="189" t="s">
        <v>260</v>
      </c>
      <c r="H161" s="189" t="s">
        <v>256</v>
      </c>
      <c r="I161" s="189">
        <v>1811</v>
      </c>
      <c r="J161" s="189">
        <v>683.42896508155195</v>
      </c>
      <c r="K161" s="189">
        <v>911.52570277193104</v>
      </c>
      <c r="L161" s="189">
        <v>-36.619999999999997</v>
      </c>
      <c r="M161" s="189">
        <v>-2.93</v>
      </c>
      <c r="N161" s="189">
        <v>52</v>
      </c>
      <c r="O161" s="189" t="s">
        <v>538</v>
      </c>
      <c r="P161" s="189" t="s">
        <v>539</v>
      </c>
      <c r="Q161" s="189" t="s">
        <v>253</v>
      </c>
      <c r="R161" s="189" t="s">
        <v>253</v>
      </c>
      <c r="S161" s="189" t="s">
        <v>257</v>
      </c>
      <c r="T161" s="189" t="s">
        <v>253</v>
      </c>
      <c r="U161" s="189" t="s">
        <v>258</v>
      </c>
      <c r="V161" s="189" t="s">
        <v>253</v>
      </c>
      <c r="W161" s="189" t="s">
        <v>253</v>
      </c>
      <c r="X161" s="189" t="s">
        <v>888</v>
      </c>
      <c r="Y161" s="189" t="s">
        <v>889</v>
      </c>
    </row>
    <row r="162" spans="1:26" x14ac:dyDescent="0.2">
      <c r="A162" s="189">
        <v>782</v>
      </c>
      <c r="B162" s="189" t="s">
        <v>390</v>
      </c>
      <c r="C162" s="189" t="s">
        <v>284</v>
      </c>
      <c r="D162" s="189" t="s">
        <v>284</v>
      </c>
      <c r="E162" s="189" t="s">
        <v>268</v>
      </c>
      <c r="F162" s="189" t="s">
        <v>537</v>
      </c>
      <c r="G162" s="189" t="s">
        <v>260</v>
      </c>
      <c r="H162" s="189" t="s">
        <v>256</v>
      </c>
      <c r="I162" s="189">
        <v>14779</v>
      </c>
      <c r="J162" s="189">
        <v>686.25092618508097</v>
      </c>
      <c r="K162" s="189">
        <v>862.22896156338504</v>
      </c>
      <c r="L162" s="189">
        <v>-35.020000000000003</v>
      </c>
      <c r="M162" s="189">
        <v>-2.83</v>
      </c>
      <c r="N162" s="189">
        <v>328</v>
      </c>
      <c r="O162" s="189" t="s">
        <v>542</v>
      </c>
      <c r="P162" s="189" t="s">
        <v>543</v>
      </c>
      <c r="Q162" s="189" t="s">
        <v>253</v>
      </c>
      <c r="R162" s="189" t="s">
        <v>253</v>
      </c>
      <c r="S162" s="189" t="s">
        <v>253</v>
      </c>
      <c r="T162" s="189" t="s">
        <v>261</v>
      </c>
      <c r="U162" s="189" t="s">
        <v>253</v>
      </c>
      <c r="V162" s="189" t="s">
        <v>253</v>
      </c>
      <c r="W162" s="189" t="s">
        <v>253</v>
      </c>
      <c r="X162" s="189" t="s">
        <v>890</v>
      </c>
      <c r="Y162" s="189" t="s">
        <v>891</v>
      </c>
    </row>
    <row r="163" spans="1:26" x14ac:dyDescent="0.2">
      <c r="A163" s="189">
        <v>135</v>
      </c>
      <c r="B163" s="189" t="s">
        <v>291</v>
      </c>
      <c r="C163" s="189" t="s">
        <v>485</v>
      </c>
      <c r="D163" s="189" t="s">
        <v>309</v>
      </c>
      <c r="E163" s="189" t="s">
        <v>268</v>
      </c>
      <c r="F163" s="189" t="s">
        <v>537</v>
      </c>
      <c r="G163" s="189" t="s">
        <v>260</v>
      </c>
      <c r="H163" s="189" t="s">
        <v>256</v>
      </c>
      <c r="I163" s="189">
        <v>8105</v>
      </c>
      <c r="J163" s="189">
        <v>899.82472722044599</v>
      </c>
      <c r="K163" s="189">
        <v>889.04732294726796</v>
      </c>
      <c r="L163" s="189">
        <v>-35.89</v>
      </c>
      <c r="M163" s="189">
        <v>4.0599999999999996</v>
      </c>
      <c r="N163" s="189">
        <v>118</v>
      </c>
      <c r="O163" s="189" t="s">
        <v>542</v>
      </c>
      <c r="P163" s="189" t="s">
        <v>543</v>
      </c>
      <c r="Q163" s="189" t="s">
        <v>253</v>
      </c>
      <c r="R163" s="189" t="s">
        <v>253</v>
      </c>
      <c r="S163" s="189" t="s">
        <v>253</v>
      </c>
      <c r="T163" s="189" t="s">
        <v>253</v>
      </c>
      <c r="U163" s="189" t="s">
        <v>258</v>
      </c>
      <c r="V163" s="189" t="s">
        <v>253</v>
      </c>
      <c r="W163" s="189" t="s">
        <v>253</v>
      </c>
      <c r="X163" s="189" t="s">
        <v>892</v>
      </c>
      <c r="Y163" s="189" t="s">
        <v>893</v>
      </c>
    </row>
    <row r="164" spans="1:26" x14ac:dyDescent="0.2">
      <c r="A164" s="189">
        <v>236</v>
      </c>
      <c r="B164" s="189" t="s">
        <v>309</v>
      </c>
      <c r="C164" s="189" t="s">
        <v>485</v>
      </c>
      <c r="D164" s="189" t="s">
        <v>309</v>
      </c>
      <c r="E164" s="189" t="s">
        <v>268</v>
      </c>
      <c r="F164" s="189" t="s">
        <v>537</v>
      </c>
      <c r="G164" s="189" t="s">
        <v>260</v>
      </c>
      <c r="H164" s="189" t="s">
        <v>256</v>
      </c>
      <c r="I164" s="189">
        <v>2831</v>
      </c>
      <c r="J164" s="189">
        <v>871.5</v>
      </c>
      <c r="K164" s="189">
        <v>835.5</v>
      </c>
      <c r="L164" s="189">
        <v>-34.15</v>
      </c>
      <c r="M164" s="189">
        <v>3.15</v>
      </c>
      <c r="N164" s="189">
        <v>82</v>
      </c>
      <c r="O164" s="189" t="s">
        <v>542</v>
      </c>
      <c r="P164" s="189" t="s">
        <v>543</v>
      </c>
      <c r="Q164" s="189" t="s">
        <v>253</v>
      </c>
      <c r="R164" s="189" t="s">
        <v>259</v>
      </c>
      <c r="S164" s="189" t="s">
        <v>257</v>
      </c>
      <c r="T164" s="189" t="s">
        <v>261</v>
      </c>
      <c r="U164" s="189" t="s">
        <v>258</v>
      </c>
      <c r="V164" s="189" t="s">
        <v>253</v>
      </c>
      <c r="W164" s="189" t="s">
        <v>253</v>
      </c>
      <c r="X164" s="189" t="s">
        <v>894</v>
      </c>
      <c r="Y164" s="189" t="s">
        <v>895</v>
      </c>
    </row>
    <row r="165" spans="1:26" x14ac:dyDescent="0.2">
      <c r="A165" s="189">
        <v>261</v>
      </c>
      <c r="B165" s="189" t="s">
        <v>313</v>
      </c>
      <c r="C165" s="189" t="s">
        <v>485</v>
      </c>
      <c r="D165" s="189" t="s">
        <v>309</v>
      </c>
      <c r="E165" s="189" t="s">
        <v>268</v>
      </c>
      <c r="F165" s="189" t="s">
        <v>537</v>
      </c>
      <c r="G165" s="189" t="s">
        <v>260</v>
      </c>
      <c r="H165" s="189" t="s">
        <v>256</v>
      </c>
      <c r="I165" s="189">
        <v>2192</v>
      </c>
      <c r="J165" s="189">
        <v>852.20170087330303</v>
      </c>
      <c r="K165" s="189">
        <v>840.70420997370798</v>
      </c>
      <c r="L165" s="189">
        <v>-34.32</v>
      </c>
      <c r="M165" s="189">
        <v>2.5299999999999998</v>
      </c>
      <c r="N165" s="189">
        <v>82</v>
      </c>
      <c r="O165" s="189" t="s">
        <v>542</v>
      </c>
      <c r="P165" s="189" t="s">
        <v>543</v>
      </c>
      <c r="Q165" s="189" t="s">
        <v>253</v>
      </c>
      <c r="R165" s="189" t="s">
        <v>253</v>
      </c>
      <c r="S165" s="189" t="s">
        <v>257</v>
      </c>
      <c r="T165" s="189" t="s">
        <v>261</v>
      </c>
      <c r="U165" s="189" t="s">
        <v>253</v>
      </c>
      <c r="V165" s="189" t="s">
        <v>253</v>
      </c>
      <c r="W165" s="189" t="s">
        <v>253</v>
      </c>
      <c r="X165" s="189" t="s">
        <v>896</v>
      </c>
      <c r="Y165" s="189" t="s">
        <v>897</v>
      </c>
    </row>
    <row r="166" spans="1:26" x14ac:dyDescent="0.2">
      <c r="A166" s="189">
        <v>783</v>
      </c>
      <c r="B166" s="189" t="s">
        <v>392</v>
      </c>
      <c r="C166" s="189" t="s">
        <v>485</v>
      </c>
      <c r="D166" s="189" t="s">
        <v>309</v>
      </c>
      <c r="E166" s="189" t="s">
        <v>268</v>
      </c>
      <c r="F166" s="189" t="s">
        <v>537</v>
      </c>
      <c r="G166" s="189" t="s">
        <v>260</v>
      </c>
      <c r="H166" s="189" t="s">
        <v>256</v>
      </c>
      <c r="I166" s="189">
        <v>1968</v>
      </c>
      <c r="J166" s="189">
        <v>848.542882339073</v>
      </c>
      <c r="K166" s="189">
        <v>868.02857817615495</v>
      </c>
      <c r="L166" s="189">
        <v>-35.21</v>
      </c>
      <c r="M166" s="189">
        <v>2.41</v>
      </c>
      <c r="N166" s="189">
        <v>328</v>
      </c>
      <c r="O166" s="189" t="s">
        <v>542</v>
      </c>
      <c r="P166" s="189" t="s">
        <v>543</v>
      </c>
      <c r="Q166" s="189" t="s">
        <v>253</v>
      </c>
      <c r="R166" s="189" t="s">
        <v>253</v>
      </c>
      <c r="S166" s="189" t="s">
        <v>257</v>
      </c>
      <c r="T166" s="189" t="s">
        <v>253</v>
      </c>
      <c r="U166" s="189" t="s">
        <v>253</v>
      </c>
      <c r="V166" s="189" t="s">
        <v>253</v>
      </c>
      <c r="W166" s="189" t="s">
        <v>253</v>
      </c>
      <c r="X166" s="189" t="s">
        <v>898</v>
      </c>
      <c r="Y166" s="189" t="s">
        <v>899</v>
      </c>
    </row>
    <row r="167" spans="1:26" x14ac:dyDescent="0.2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507"/>
  <sheetViews>
    <sheetView workbookViewId="0"/>
  </sheetViews>
  <sheetFormatPr defaultColWidth="12.5703125" defaultRowHeight="15.75" customHeight="1" x14ac:dyDescent="0.2"/>
  <sheetData>
    <row r="1" spans="1:26" x14ac:dyDescent="0.2">
      <c r="A1" s="186" t="s">
        <v>417</v>
      </c>
      <c r="B1" s="186" t="s">
        <v>525</v>
      </c>
      <c r="C1" s="186" t="s">
        <v>17</v>
      </c>
      <c r="D1" s="186" t="s">
        <v>526</v>
      </c>
      <c r="E1" s="186" t="s">
        <v>420</v>
      </c>
      <c r="F1" s="186" t="s">
        <v>527</v>
      </c>
      <c r="G1" s="186" t="s">
        <v>238</v>
      </c>
      <c r="H1" s="186" t="s">
        <v>239</v>
      </c>
      <c r="I1" s="186" t="s">
        <v>240</v>
      </c>
      <c r="J1" s="186" t="s">
        <v>528</v>
      </c>
      <c r="K1" s="186" t="s">
        <v>529</v>
      </c>
      <c r="L1" s="186" t="s">
        <v>530</v>
      </c>
      <c r="M1" s="186" t="s">
        <v>531</v>
      </c>
      <c r="N1" s="186" t="s">
        <v>532</v>
      </c>
      <c r="O1" s="186" t="s">
        <v>533</v>
      </c>
      <c r="P1" s="186" t="s">
        <v>534</v>
      </c>
      <c r="Q1" s="186" t="s">
        <v>11</v>
      </c>
      <c r="R1" s="186" t="s">
        <v>241</v>
      </c>
      <c r="S1" s="186" t="s">
        <v>242</v>
      </c>
      <c r="T1" s="186" t="s">
        <v>243</v>
      </c>
      <c r="U1" s="186" t="s">
        <v>244</v>
      </c>
      <c r="V1" s="186" t="s">
        <v>245</v>
      </c>
      <c r="W1" s="186" t="s">
        <v>246</v>
      </c>
      <c r="X1" s="186" t="s">
        <v>535</v>
      </c>
      <c r="Y1" s="186" t="s">
        <v>536</v>
      </c>
      <c r="Z1" s="186"/>
    </row>
    <row r="2" spans="1:26" x14ac:dyDescent="0.2">
      <c r="A2" s="189">
        <v>677</v>
      </c>
      <c r="B2" s="189" t="s">
        <v>900</v>
      </c>
      <c r="C2" s="189" t="s">
        <v>253</v>
      </c>
      <c r="D2" s="189" t="s">
        <v>253</v>
      </c>
      <c r="E2" s="189" t="s">
        <v>901</v>
      </c>
      <c r="F2" s="189" t="s">
        <v>902</v>
      </c>
      <c r="G2" s="189" t="s">
        <v>903</v>
      </c>
      <c r="H2" s="189" t="s">
        <v>521</v>
      </c>
      <c r="I2" s="189">
        <v>38425</v>
      </c>
      <c r="J2" s="189">
        <v>828.88646361793894</v>
      </c>
      <c r="K2" s="189">
        <v>183.53758526428899</v>
      </c>
      <c r="L2" s="189">
        <v>-13.04</v>
      </c>
      <c r="M2" s="189">
        <v>1.77</v>
      </c>
      <c r="N2" s="189">
        <v>82</v>
      </c>
      <c r="O2" s="189" t="s">
        <v>904</v>
      </c>
      <c r="P2" s="189" t="s">
        <v>905</v>
      </c>
      <c r="Q2" s="189" t="s">
        <v>253</v>
      </c>
      <c r="R2" s="189" t="s">
        <v>253</v>
      </c>
      <c r="S2" s="189" t="s">
        <v>257</v>
      </c>
      <c r="T2" s="189" t="s">
        <v>261</v>
      </c>
      <c r="U2" s="189" t="s">
        <v>258</v>
      </c>
      <c r="V2" s="189" t="s">
        <v>253</v>
      </c>
      <c r="W2" s="189" t="s">
        <v>266</v>
      </c>
      <c r="X2" s="189" t="s">
        <v>906</v>
      </c>
      <c r="Y2" s="189" t="s">
        <v>907</v>
      </c>
    </row>
    <row r="3" spans="1:26" x14ac:dyDescent="0.2">
      <c r="A3" s="189">
        <v>843</v>
      </c>
      <c r="B3" s="189" t="s">
        <v>901</v>
      </c>
      <c r="C3" s="189" t="s">
        <v>253</v>
      </c>
      <c r="D3" s="189" t="s">
        <v>253</v>
      </c>
      <c r="E3" s="189" t="s">
        <v>901</v>
      </c>
      <c r="F3" s="189" t="s">
        <v>902</v>
      </c>
      <c r="G3" s="189" t="s">
        <v>903</v>
      </c>
      <c r="H3" s="189" t="s">
        <v>521</v>
      </c>
      <c r="I3" s="189">
        <v>6589</v>
      </c>
      <c r="J3" s="189">
        <v>812.51</v>
      </c>
      <c r="K3" s="189">
        <v>177.52</v>
      </c>
      <c r="L3" s="189">
        <v>-12.85</v>
      </c>
      <c r="M3" s="189">
        <v>1.24</v>
      </c>
      <c r="N3" s="189">
        <v>52</v>
      </c>
      <c r="O3" s="189" t="s">
        <v>904</v>
      </c>
      <c r="P3" s="189" t="s">
        <v>905</v>
      </c>
      <c r="Q3" s="189" t="s">
        <v>332</v>
      </c>
      <c r="R3" s="189" t="s">
        <v>259</v>
      </c>
      <c r="S3" s="189" t="s">
        <v>253</v>
      </c>
      <c r="T3" s="189" t="s">
        <v>261</v>
      </c>
      <c r="U3" s="189" t="s">
        <v>258</v>
      </c>
      <c r="V3" s="189" t="s">
        <v>253</v>
      </c>
      <c r="W3" s="189" t="s">
        <v>253</v>
      </c>
      <c r="X3" s="189" t="s">
        <v>908</v>
      </c>
      <c r="Y3" s="189" t="s">
        <v>909</v>
      </c>
    </row>
    <row r="4" spans="1:26" x14ac:dyDescent="0.2">
      <c r="A4" s="189">
        <v>251</v>
      </c>
      <c r="B4" s="189" t="s">
        <v>910</v>
      </c>
      <c r="C4" s="189" t="s">
        <v>253</v>
      </c>
      <c r="D4" s="189" t="s">
        <v>253</v>
      </c>
      <c r="E4" s="189" t="s">
        <v>911</v>
      </c>
      <c r="F4" s="189" t="s">
        <v>912</v>
      </c>
      <c r="G4" s="189" t="s">
        <v>903</v>
      </c>
      <c r="H4" s="189" t="s">
        <v>521</v>
      </c>
      <c r="I4" s="189">
        <v>10208</v>
      </c>
      <c r="J4" s="189">
        <v>838.61736397493598</v>
      </c>
      <c r="K4" s="189">
        <v>313.65918483805001</v>
      </c>
      <c r="L4" s="189">
        <v>-17.260000000000002</v>
      </c>
      <c r="M4" s="189">
        <v>2.09</v>
      </c>
      <c r="N4" s="189">
        <v>52</v>
      </c>
      <c r="O4" s="189" t="s">
        <v>913</v>
      </c>
      <c r="P4" s="189" t="s">
        <v>914</v>
      </c>
      <c r="Q4" s="189" t="s">
        <v>253</v>
      </c>
      <c r="R4" s="189" t="s">
        <v>253</v>
      </c>
      <c r="S4" s="189" t="s">
        <v>257</v>
      </c>
      <c r="T4" s="189" t="s">
        <v>261</v>
      </c>
      <c r="U4" s="189" t="s">
        <v>258</v>
      </c>
      <c r="V4" s="189" t="s">
        <v>253</v>
      </c>
      <c r="W4" s="189" t="s">
        <v>253</v>
      </c>
      <c r="X4" s="189" t="s">
        <v>915</v>
      </c>
      <c r="Y4" s="189" t="s">
        <v>916</v>
      </c>
    </row>
    <row r="5" spans="1:26" x14ac:dyDescent="0.2">
      <c r="A5" s="189">
        <v>888</v>
      </c>
      <c r="B5" s="189" t="s">
        <v>917</v>
      </c>
      <c r="C5" s="189" t="s">
        <v>253</v>
      </c>
      <c r="D5" s="189" t="s">
        <v>253</v>
      </c>
      <c r="E5" s="189" t="s">
        <v>911</v>
      </c>
      <c r="F5" s="189" t="s">
        <v>912</v>
      </c>
      <c r="G5" s="189" t="s">
        <v>903</v>
      </c>
      <c r="H5" s="189" t="s">
        <v>521</v>
      </c>
      <c r="I5" s="189">
        <v>2945</v>
      </c>
      <c r="J5" s="189">
        <v>817.77377541024896</v>
      </c>
      <c r="K5" s="189">
        <v>256.79180315176097</v>
      </c>
      <c r="L5" s="189">
        <v>-15.42</v>
      </c>
      <c r="M5" s="189">
        <v>1.41</v>
      </c>
      <c r="N5" s="189">
        <v>161</v>
      </c>
      <c r="O5" s="189" t="s">
        <v>918</v>
      </c>
      <c r="P5" s="189" t="s">
        <v>919</v>
      </c>
      <c r="Q5" s="189" t="s">
        <v>253</v>
      </c>
      <c r="R5" s="189" t="s">
        <v>253</v>
      </c>
      <c r="S5" s="189" t="s">
        <v>257</v>
      </c>
      <c r="T5" s="189" t="s">
        <v>261</v>
      </c>
      <c r="U5" s="189" t="s">
        <v>253</v>
      </c>
      <c r="V5" s="189" t="s">
        <v>253</v>
      </c>
      <c r="W5" s="189" t="s">
        <v>253</v>
      </c>
      <c r="X5" s="189" t="s">
        <v>920</v>
      </c>
      <c r="Y5" s="189" t="s">
        <v>921</v>
      </c>
    </row>
    <row r="6" spans="1:26" x14ac:dyDescent="0.2">
      <c r="A6" s="189">
        <v>947</v>
      </c>
      <c r="B6" s="189" t="s">
        <v>922</v>
      </c>
      <c r="C6" s="189" t="s">
        <v>253</v>
      </c>
      <c r="D6" s="189" t="s">
        <v>253</v>
      </c>
      <c r="E6" s="189" t="s">
        <v>911</v>
      </c>
      <c r="F6" s="189" t="s">
        <v>912</v>
      </c>
      <c r="G6" s="189" t="s">
        <v>903</v>
      </c>
      <c r="H6" s="189" t="s">
        <v>521</v>
      </c>
      <c r="I6" s="189">
        <v>3372</v>
      </c>
      <c r="J6" s="189">
        <v>859</v>
      </c>
      <c r="K6" s="189">
        <v>323</v>
      </c>
      <c r="L6" s="189">
        <v>-17.559999999999999</v>
      </c>
      <c r="M6" s="189">
        <v>2.75</v>
      </c>
      <c r="N6" s="189">
        <v>82</v>
      </c>
      <c r="O6" s="189" t="s">
        <v>913</v>
      </c>
      <c r="P6" s="189" t="s">
        <v>914</v>
      </c>
      <c r="Q6" s="189" t="s">
        <v>332</v>
      </c>
      <c r="R6" s="189" t="s">
        <v>259</v>
      </c>
      <c r="S6" s="189" t="s">
        <v>257</v>
      </c>
      <c r="T6" s="189" t="s">
        <v>261</v>
      </c>
      <c r="U6" s="189" t="s">
        <v>258</v>
      </c>
      <c r="V6" s="189" t="s">
        <v>253</v>
      </c>
      <c r="W6" s="189" t="s">
        <v>253</v>
      </c>
      <c r="X6" s="189" t="s">
        <v>923</v>
      </c>
      <c r="Y6" s="189" t="s">
        <v>924</v>
      </c>
    </row>
    <row r="7" spans="1:26" x14ac:dyDescent="0.2">
      <c r="A7" s="189">
        <v>175</v>
      </c>
      <c r="B7" s="189" t="s">
        <v>925</v>
      </c>
      <c r="C7" s="189" t="s">
        <v>253</v>
      </c>
      <c r="D7" s="189" t="s">
        <v>253</v>
      </c>
      <c r="E7" s="189" t="s">
        <v>926</v>
      </c>
      <c r="F7" s="189" t="s">
        <v>927</v>
      </c>
      <c r="G7" s="189" t="s">
        <v>903</v>
      </c>
      <c r="H7" s="189" t="s">
        <v>928</v>
      </c>
      <c r="I7" s="189">
        <v>1574</v>
      </c>
      <c r="J7" s="189">
        <v>800.19976936551302</v>
      </c>
      <c r="K7" s="189">
        <v>251.361960752556</v>
      </c>
      <c r="L7" s="189">
        <v>-15.24</v>
      </c>
      <c r="M7" s="189">
        <v>0.85</v>
      </c>
      <c r="N7" s="189">
        <v>161</v>
      </c>
      <c r="O7" s="189" t="s">
        <v>929</v>
      </c>
      <c r="P7" s="189" t="s">
        <v>930</v>
      </c>
      <c r="Q7" s="189" t="s">
        <v>253</v>
      </c>
      <c r="R7" s="189" t="s">
        <v>253</v>
      </c>
      <c r="S7" s="189" t="s">
        <v>257</v>
      </c>
      <c r="T7" s="189" t="s">
        <v>253</v>
      </c>
      <c r="U7" s="189" t="s">
        <v>253</v>
      </c>
      <c r="V7" s="189" t="s">
        <v>253</v>
      </c>
      <c r="W7" s="189" t="s">
        <v>253</v>
      </c>
      <c r="X7" s="189" t="s">
        <v>931</v>
      </c>
      <c r="Y7" s="189" t="s">
        <v>932</v>
      </c>
    </row>
    <row r="8" spans="1:26" x14ac:dyDescent="0.2">
      <c r="A8" s="189">
        <v>865</v>
      </c>
      <c r="B8" s="189" t="s">
        <v>933</v>
      </c>
      <c r="C8" s="189" t="s">
        <v>253</v>
      </c>
      <c r="D8" s="189" t="s">
        <v>253</v>
      </c>
      <c r="E8" s="189" t="s">
        <v>926</v>
      </c>
      <c r="F8" s="189" t="s">
        <v>927</v>
      </c>
      <c r="G8" s="189" t="s">
        <v>903</v>
      </c>
      <c r="H8" s="189" t="s">
        <v>521</v>
      </c>
      <c r="I8" s="189">
        <v>19383</v>
      </c>
      <c r="J8" s="189">
        <v>810.67021814964096</v>
      </c>
      <c r="K8" s="189">
        <v>227.79372008791</v>
      </c>
      <c r="L8" s="189">
        <v>-14.48</v>
      </c>
      <c r="M8" s="189">
        <v>1.18</v>
      </c>
      <c r="N8" s="189">
        <v>82</v>
      </c>
      <c r="O8" s="189" t="s">
        <v>929</v>
      </c>
      <c r="P8" s="189" t="s">
        <v>930</v>
      </c>
      <c r="Q8" s="189" t="s">
        <v>253</v>
      </c>
      <c r="R8" s="189" t="s">
        <v>253</v>
      </c>
      <c r="S8" s="189" t="s">
        <v>257</v>
      </c>
      <c r="T8" s="189" t="s">
        <v>261</v>
      </c>
      <c r="U8" s="189" t="s">
        <v>258</v>
      </c>
      <c r="V8" s="189" t="s">
        <v>253</v>
      </c>
      <c r="W8" s="189" t="s">
        <v>253</v>
      </c>
      <c r="X8" s="189" t="s">
        <v>934</v>
      </c>
      <c r="Y8" s="189" t="s">
        <v>935</v>
      </c>
    </row>
    <row r="9" spans="1:26" x14ac:dyDescent="0.2">
      <c r="A9" s="189">
        <v>972</v>
      </c>
      <c r="B9" s="189" t="s">
        <v>936</v>
      </c>
      <c r="C9" s="189" t="s">
        <v>253</v>
      </c>
      <c r="D9" s="189" t="s">
        <v>253</v>
      </c>
      <c r="E9" s="189" t="s">
        <v>926</v>
      </c>
      <c r="F9" s="189" t="s">
        <v>927</v>
      </c>
      <c r="G9" s="189" t="s">
        <v>903</v>
      </c>
      <c r="H9" s="189" t="s">
        <v>928</v>
      </c>
      <c r="I9" s="189">
        <v>3183</v>
      </c>
      <c r="J9" s="189">
        <v>765.5</v>
      </c>
      <c r="K9" s="189">
        <v>242</v>
      </c>
      <c r="L9" s="189">
        <v>-14.94</v>
      </c>
      <c r="M9" s="189">
        <v>-0.27</v>
      </c>
      <c r="N9" s="189">
        <v>82</v>
      </c>
      <c r="O9" s="189" t="s">
        <v>929</v>
      </c>
      <c r="P9" s="189" t="s">
        <v>930</v>
      </c>
      <c r="Q9" s="189" t="s">
        <v>332</v>
      </c>
      <c r="R9" s="189" t="s">
        <v>259</v>
      </c>
      <c r="S9" s="189" t="s">
        <v>253</v>
      </c>
      <c r="T9" s="189" t="s">
        <v>253</v>
      </c>
      <c r="U9" s="189" t="s">
        <v>253</v>
      </c>
      <c r="V9" s="189" t="s">
        <v>253</v>
      </c>
      <c r="W9" s="189" t="s">
        <v>253</v>
      </c>
      <c r="X9" s="189" t="s">
        <v>937</v>
      </c>
      <c r="Y9" s="189" t="s">
        <v>938</v>
      </c>
    </row>
    <row r="10" spans="1:26" x14ac:dyDescent="0.2">
      <c r="A10" s="189">
        <v>16</v>
      </c>
      <c r="B10" s="189" t="s">
        <v>939</v>
      </c>
      <c r="C10" s="189" t="s">
        <v>253</v>
      </c>
      <c r="D10" s="189" t="s">
        <v>253</v>
      </c>
      <c r="E10" s="189" t="s">
        <v>940</v>
      </c>
      <c r="F10" s="189" t="s">
        <v>941</v>
      </c>
      <c r="G10" s="189" t="s">
        <v>340</v>
      </c>
      <c r="H10" s="189" t="s">
        <v>521</v>
      </c>
      <c r="I10" s="189">
        <v>7775</v>
      </c>
      <c r="J10" s="189">
        <v>1237</v>
      </c>
      <c r="K10" s="189">
        <v>783</v>
      </c>
      <c r="L10" s="189">
        <v>-32.450000000000003</v>
      </c>
      <c r="M10" s="189">
        <v>14.95</v>
      </c>
      <c r="N10" s="189">
        <v>1447</v>
      </c>
      <c r="O10" s="189" t="s">
        <v>538</v>
      </c>
      <c r="P10" s="189" t="s">
        <v>539</v>
      </c>
      <c r="Q10" s="189" t="s">
        <v>332</v>
      </c>
      <c r="R10" s="189" t="s">
        <v>259</v>
      </c>
      <c r="S10" s="189" t="s">
        <v>253</v>
      </c>
      <c r="T10" s="189" t="s">
        <v>253</v>
      </c>
      <c r="U10" s="189" t="s">
        <v>253</v>
      </c>
      <c r="V10" s="189" t="s">
        <v>253</v>
      </c>
      <c r="W10" s="189" t="s">
        <v>253</v>
      </c>
      <c r="X10" s="189" t="s">
        <v>942</v>
      </c>
      <c r="Y10" s="189" t="s">
        <v>943</v>
      </c>
    </row>
    <row r="11" spans="1:26" x14ac:dyDescent="0.2">
      <c r="A11" s="189">
        <v>41</v>
      </c>
      <c r="B11" s="189" t="s">
        <v>944</v>
      </c>
      <c r="C11" s="189" t="s">
        <v>253</v>
      </c>
      <c r="D11" s="189" t="s">
        <v>253</v>
      </c>
      <c r="E11" s="189" t="s">
        <v>940</v>
      </c>
      <c r="F11" s="189" t="s">
        <v>941</v>
      </c>
      <c r="G11" s="189" t="s">
        <v>522</v>
      </c>
      <c r="H11" s="189" t="s">
        <v>521</v>
      </c>
      <c r="I11" s="189">
        <v>3712</v>
      </c>
      <c r="J11" s="189">
        <v>1358.6172172521201</v>
      </c>
      <c r="K11" s="189">
        <v>364.82425891513901</v>
      </c>
      <c r="L11" s="189">
        <v>-18.91</v>
      </c>
      <c r="M11" s="189">
        <v>18.88</v>
      </c>
      <c r="N11" s="189">
        <v>554</v>
      </c>
      <c r="O11" s="189" t="s">
        <v>945</v>
      </c>
      <c r="P11" s="189" t="s">
        <v>946</v>
      </c>
      <c r="Q11" s="189" t="s">
        <v>253</v>
      </c>
      <c r="R11" s="189" t="s">
        <v>253</v>
      </c>
      <c r="S11" s="189" t="s">
        <v>257</v>
      </c>
      <c r="T11" s="189" t="s">
        <v>253</v>
      </c>
      <c r="U11" s="189" t="s">
        <v>253</v>
      </c>
      <c r="V11" s="189" t="s">
        <v>253</v>
      </c>
      <c r="W11" s="189" t="s">
        <v>253</v>
      </c>
      <c r="X11" s="189" t="s">
        <v>947</v>
      </c>
      <c r="Y11" s="189" t="s">
        <v>948</v>
      </c>
    </row>
    <row r="12" spans="1:26" x14ac:dyDescent="0.2">
      <c r="A12" s="189">
        <v>48</v>
      </c>
      <c r="B12" s="189" t="s">
        <v>949</v>
      </c>
      <c r="C12" s="189" t="s">
        <v>253</v>
      </c>
      <c r="D12" s="189" t="s">
        <v>253</v>
      </c>
      <c r="E12" s="189" t="s">
        <v>940</v>
      </c>
      <c r="F12" s="189" t="s">
        <v>941</v>
      </c>
      <c r="G12" s="189" t="s">
        <v>294</v>
      </c>
      <c r="H12" s="189" t="s">
        <v>521</v>
      </c>
      <c r="I12" s="189">
        <v>1592</v>
      </c>
      <c r="J12" s="189">
        <v>1327.1085618961699</v>
      </c>
      <c r="K12" s="189">
        <v>668.62296806057805</v>
      </c>
      <c r="L12" s="189">
        <v>-28.75</v>
      </c>
      <c r="M12" s="189">
        <v>17.87</v>
      </c>
      <c r="N12" s="189">
        <v>1184</v>
      </c>
      <c r="O12" s="189" t="s">
        <v>554</v>
      </c>
      <c r="P12" s="189" t="s">
        <v>555</v>
      </c>
      <c r="Q12" s="189" t="s">
        <v>253</v>
      </c>
      <c r="R12" s="189" t="s">
        <v>253</v>
      </c>
      <c r="S12" s="189" t="s">
        <v>253</v>
      </c>
      <c r="T12" s="189" t="s">
        <v>261</v>
      </c>
      <c r="U12" s="189" t="s">
        <v>253</v>
      </c>
      <c r="V12" s="189" t="s">
        <v>253</v>
      </c>
      <c r="W12" s="189" t="s">
        <v>253</v>
      </c>
      <c r="X12" s="189" t="s">
        <v>950</v>
      </c>
      <c r="Y12" s="189" t="s">
        <v>951</v>
      </c>
    </row>
    <row r="13" spans="1:26" x14ac:dyDescent="0.2">
      <c r="A13" s="189">
        <v>51</v>
      </c>
      <c r="B13" s="189" t="s">
        <v>952</v>
      </c>
      <c r="C13" s="189" t="s">
        <v>253</v>
      </c>
      <c r="D13" s="189" t="s">
        <v>253</v>
      </c>
      <c r="E13" s="189" t="s">
        <v>940</v>
      </c>
      <c r="F13" s="189" t="s">
        <v>941</v>
      </c>
      <c r="G13" s="189" t="s">
        <v>522</v>
      </c>
      <c r="H13" s="189" t="s">
        <v>521</v>
      </c>
      <c r="I13" s="189">
        <v>1661</v>
      </c>
      <c r="J13" s="189">
        <v>1393.7263057401699</v>
      </c>
      <c r="K13" s="189">
        <v>529.95763797337395</v>
      </c>
      <c r="L13" s="189">
        <v>-24.26</v>
      </c>
      <c r="M13" s="189">
        <v>20.02</v>
      </c>
      <c r="N13" s="189">
        <v>1447</v>
      </c>
      <c r="O13" s="189" t="s">
        <v>550</v>
      </c>
      <c r="P13" s="189" t="s">
        <v>551</v>
      </c>
      <c r="Q13" s="189" t="s">
        <v>253</v>
      </c>
      <c r="R13" s="189" t="s">
        <v>253</v>
      </c>
      <c r="S13" s="189" t="s">
        <v>253</v>
      </c>
      <c r="T13" s="189" t="s">
        <v>253</v>
      </c>
      <c r="U13" s="189" t="s">
        <v>258</v>
      </c>
      <c r="V13" s="189" t="s">
        <v>253</v>
      </c>
      <c r="W13" s="189" t="s">
        <v>253</v>
      </c>
      <c r="X13" s="189" t="s">
        <v>953</v>
      </c>
      <c r="Y13" s="189" t="s">
        <v>954</v>
      </c>
    </row>
    <row r="14" spans="1:26" x14ac:dyDescent="0.2">
      <c r="A14" s="189">
        <v>57</v>
      </c>
      <c r="B14" s="189" t="s">
        <v>955</v>
      </c>
      <c r="C14" s="189" t="s">
        <v>253</v>
      </c>
      <c r="D14" s="189" t="s">
        <v>253</v>
      </c>
      <c r="E14" s="189" t="s">
        <v>940</v>
      </c>
      <c r="F14" s="189" t="s">
        <v>941</v>
      </c>
      <c r="G14" s="189" t="s">
        <v>340</v>
      </c>
      <c r="H14" s="189" t="s">
        <v>521</v>
      </c>
      <c r="I14" s="189">
        <v>1660</v>
      </c>
      <c r="J14" s="189">
        <v>1349.27555290941</v>
      </c>
      <c r="K14" s="189">
        <v>76.867455550891094</v>
      </c>
      <c r="L14" s="189">
        <v>-9.59</v>
      </c>
      <c r="M14" s="189">
        <v>18.579999999999998</v>
      </c>
      <c r="N14" s="189">
        <v>266</v>
      </c>
      <c r="O14" s="189" t="s">
        <v>956</v>
      </c>
      <c r="P14" s="189" t="s">
        <v>957</v>
      </c>
      <c r="Q14" s="189" t="s">
        <v>253</v>
      </c>
      <c r="R14" s="189" t="s">
        <v>253</v>
      </c>
      <c r="S14" s="189" t="s">
        <v>257</v>
      </c>
      <c r="T14" s="189" t="s">
        <v>261</v>
      </c>
      <c r="U14" s="189" t="s">
        <v>258</v>
      </c>
      <c r="V14" s="189" t="s">
        <v>253</v>
      </c>
      <c r="W14" s="189" t="s">
        <v>253</v>
      </c>
      <c r="X14" s="189" t="s">
        <v>958</v>
      </c>
      <c r="Y14" s="189" t="s">
        <v>959</v>
      </c>
    </row>
    <row r="15" spans="1:26" x14ac:dyDescent="0.2">
      <c r="A15" s="189">
        <v>61</v>
      </c>
      <c r="B15" s="189" t="s">
        <v>960</v>
      </c>
      <c r="C15" s="189" t="s">
        <v>253</v>
      </c>
      <c r="D15" s="189" t="s">
        <v>253</v>
      </c>
      <c r="E15" s="189" t="s">
        <v>940</v>
      </c>
      <c r="F15" s="189" t="s">
        <v>941</v>
      </c>
      <c r="G15" s="189" t="s">
        <v>340</v>
      </c>
      <c r="H15" s="189" t="s">
        <v>521</v>
      </c>
      <c r="I15" s="189">
        <v>1543</v>
      </c>
      <c r="J15" s="189">
        <v>1477.45097241177</v>
      </c>
      <c r="K15" s="189">
        <v>507.96580316656099</v>
      </c>
      <c r="L15" s="189">
        <v>-23.55</v>
      </c>
      <c r="M15" s="189">
        <v>22.72</v>
      </c>
      <c r="N15" s="189">
        <v>161</v>
      </c>
      <c r="O15" s="189" t="s">
        <v>602</v>
      </c>
      <c r="P15" s="189" t="s">
        <v>603</v>
      </c>
      <c r="Q15" s="189" t="s">
        <v>253</v>
      </c>
      <c r="R15" s="189" t="s">
        <v>253</v>
      </c>
      <c r="S15" s="189" t="s">
        <v>253</v>
      </c>
      <c r="T15" s="189" t="s">
        <v>253</v>
      </c>
      <c r="U15" s="189" t="s">
        <v>253</v>
      </c>
      <c r="V15" s="189" t="s">
        <v>253</v>
      </c>
      <c r="W15" s="189" t="s">
        <v>253</v>
      </c>
      <c r="X15" s="189" t="s">
        <v>961</v>
      </c>
      <c r="Y15" s="189" t="s">
        <v>962</v>
      </c>
    </row>
    <row r="16" spans="1:26" x14ac:dyDescent="0.2">
      <c r="A16" s="189">
        <v>83</v>
      </c>
      <c r="B16" s="189" t="s">
        <v>963</v>
      </c>
      <c r="C16" s="189" t="s">
        <v>253</v>
      </c>
      <c r="D16" s="189" t="s">
        <v>253</v>
      </c>
      <c r="E16" s="189" t="s">
        <v>940</v>
      </c>
      <c r="F16" s="189" t="s">
        <v>941</v>
      </c>
      <c r="G16" s="189" t="s">
        <v>340</v>
      </c>
      <c r="H16" s="189" t="s">
        <v>521</v>
      </c>
      <c r="I16" s="189">
        <v>1546</v>
      </c>
      <c r="J16" s="189">
        <v>1346.70659521516</v>
      </c>
      <c r="K16" s="189">
        <v>804.69987865281996</v>
      </c>
      <c r="L16" s="189">
        <v>-33.159999999999997</v>
      </c>
      <c r="M16" s="189">
        <v>18.5</v>
      </c>
      <c r="N16" s="189">
        <v>266</v>
      </c>
      <c r="O16" s="189" t="s">
        <v>542</v>
      </c>
      <c r="P16" s="189" t="s">
        <v>543</v>
      </c>
      <c r="Q16" s="189" t="s">
        <v>253</v>
      </c>
      <c r="R16" s="189" t="s">
        <v>253</v>
      </c>
      <c r="S16" s="189" t="s">
        <v>257</v>
      </c>
      <c r="T16" s="189" t="s">
        <v>253</v>
      </c>
      <c r="U16" s="189" t="s">
        <v>253</v>
      </c>
      <c r="V16" s="189" t="s">
        <v>253</v>
      </c>
      <c r="W16" s="189" t="s">
        <v>253</v>
      </c>
      <c r="X16" s="189" t="s">
        <v>964</v>
      </c>
      <c r="Y16" s="189" t="s">
        <v>965</v>
      </c>
    </row>
    <row r="17" spans="1:25" x14ac:dyDescent="0.2">
      <c r="A17" s="189">
        <v>85</v>
      </c>
      <c r="B17" s="189" t="s">
        <v>966</v>
      </c>
      <c r="C17" s="189" t="s">
        <v>253</v>
      </c>
      <c r="D17" s="189" t="s">
        <v>253</v>
      </c>
      <c r="E17" s="189" t="s">
        <v>940</v>
      </c>
      <c r="F17" s="189" t="s">
        <v>941</v>
      </c>
      <c r="G17" s="189" t="s">
        <v>340</v>
      </c>
      <c r="H17" s="189" t="s">
        <v>521</v>
      </c>
      <c r="I17" s="189">
        <v>2353</v>
      </c>
      <c r="J17" s="189">
        <v>1433.56461180171</v>
      </c>
      <c r="K17" s="189">
        <v>415.055166557956</v>
      </c>
      <c r="L17" s="189">
        <v>-20.54</v>
      </c>
      <c r="M17" s="189">
        <v>21.3</v>
      </c>
      <c r="N17" s="189">
        <v>52</v>
      </c>
      <c r="O17" s="189" t="s">
        <v>967</v>
      </c>
      <c r="P17" s="189" t="s">
        <v>968</v>
      </c>
      <c r="Q17" s="189" t="s">
        <v>253</v>
      </c>
      <c r="R17" s="189" t="s">
        <v>253</v>
      </c>
      <c r="S17" s="189" t="s">
        <v>253</v>
      </c>
      <c r="T17" s="189" t="s">
        <v>253</v>
      </c>
      <c r="U17" s="189" t="s">
        <v>253</v>
      </c>
      <c r="V17" s="189" t="s">
        <v>253</v>
      </c>
      <c r="W17" s="189" t="s">
        <v>253</v>
      </c>
      <c r="X17" s="189" t="s">
        <v>969</v>
      </c>
      <c r="Y17" s="189" t="s">
        <v>970</v>
      </c>
    </row>
    <row r="18" spans="1:25" x14ac:dyDescent="0.2">
      <c r="A18" s="189">
        <v>93</v>
      </c>
      <c r="B18" s="189" t="s">
        <v>971</v>
      </c>
      <c r="C18" s="189" t="s">
        <v>253</v>
      </c>
      <c r="D18" s="189" t="s">
        <v>253</v>
      </c>
      <c r="E18" s="189" t="s">
        <v>940</v>
      </c>
      <c r="F18" s="189" t="s">
        <v>941</v>
      </c>
      <c r="G18" s="189" t="s">
        <v>340</v>
      </c>
      <c r="H18" s="189" t="s">
        <v>521</v>
      </c>
      <c r="I18" s="189">
        <v>11494</v>
      </c>
      <c r="J18" s="189">
        <v>1456.1597624306601</v>
      </c>
      <c r="K18" s="189">
        <v>348.90450593109199</v>
      </c>
      <c r="L18" s="189">
        <v>-18.399999999999999</v>
      </c>
      <c r="M18" s="189">
        <v>22.03</v>
      </c>
      <c r="N18" s="189">
        <v>397</v>
      </c>
      <c r="O18" s="189" t="s">
        <v>967</v>
      </c>
      <c r="P18" s="189" t="s">
        <v>968</v>
      </c>
      <c r="Q18" s="189" t="s">
        <v>253</v>
      </c>
      <c r="R18" s="189" t="s">
        <v>253</v>
      </c>
      <c r="S18" s="189" t="s">
        <v>257</v>
      </c>
      <c r="T18" s="189" t="s">
        <v>261</v>
      </c>
      <c r="U18" s="189" t="s">
        <v>258</v>
      </c>
      <c r="V18" s="189" t="s">
        <v>253</v>
      </c>
      <c r="W18" s="189" t="s">
        <v>253</v>
      </c>
      <c r="X18" s="189" t="s">
        <v>972</v>
      </c>
      <c r="Y18" s="189" t="s">
        <v>973</v>
      </c>
    </row>
    <row r="19" spans="1:25" x14ac:dyDescent="0.2">
      <c r="A19" s="189">
        <v>104</v>
      </c>
      <c r="B19" s="189" t="s">
        <v>974</v>
      </c>
      <c r="C19" s="189" t="s">
        <v>253</v>
      </c>
      <c r="D19" s="189" t="s">
        <v>253</v>
      </c>
      <c r="E19" s="189" t="s">
        <v>940</v>
      </c>
      <c r="F19" s="189" t="s">
        <v>941</v>
      </c>
      <c r="G19" s="189" t="s">
        <v>294</v>
      </c>
      <c r="H19" s="189" t="s">
        <v>521</v>
      </c>
      <c r="I19" s="189">
        <v>21171</v>
      </c>
      <c r="J19" s="189">
        <v>1378.6823337882499</v>
      </c>
      <c r="K19" s="189">
        <v>702.70058111078004</v>
      </c>
      <c r="L19" s="189">
        <v>-29.85</v>
      </c>
      <c r="M19" s="189">
        <v>19.53</v>
      </c>
      <c r="N19" s="189">
        <v>82</v>
      </c>
      <c r="O19" s="189" t="s">
        <v>550</v>
      </c>
      <c r="P19" s="189" t="s">
        <v>551</v>
      </c>
      <c r="Q19" s="189" t="s">
        <v>253</v>
      </c>
      <c r="R19" s="189" t="s">
        <v>253</v>
      </c>
      <c r="S19" s="189" t="s">
        <v>253</v>
      </c>
      <c r="T19" s="189" t="s">
        <v>261</v>
      </c>
      <c r="U19" s="189" t="s">
        <v>258</v>
      </c>
      <c r="V19" s="189" t="s">
        <v>253</v>
      </c>
      <c r="W19" s="189" t="s">
        <v>253</v>
      </c>
      <c r="X19" s="189" t="s">
        <v>975</v>
      </c>
      <c r="Y19" s="189" t="s">
        <v>976</v>
      </c>
    </row>
    <row r="20" spans="1:25" x14ac:dyDescent="0.2">
      <c r="A20" s="189">
        <v>105</v>
      </c>
      <c r="B20" s="189" t="s">
        <v>977</v>
      </c>
      <c r="C20" s="189" t="s">
        <v>253</v>
      </c>
      <c r="D20" s="189" t="s">
        <v>253</v>
      </c>
      <c r="E20" s="189" t="s">
        <v>940</v>
      </c>
      <c r="F20" s="189" t="s">
        <v>941</v>
      </c>
      <c r="G20" s="189" t="s">
        <v>340</v>
      </c>
      <c r="H20" s="189" t="s">
        <v>521</v>
      </c>
      <c r="I20" s="189">
        <v>3083</v>
      </c>
      <c r="J20" s="189">
        <v>1312.43436415782</v>
      </c>
      <c r="K20" s="189">
        <v>844.69387912007699</v>
      </c>
      <c r="L20" s="189">
        <v>-34.450000000000003</v>
      </c>
      <c r="M20" s="189">
        <v>17.39</v>
      </c>
      <c r="N20" s="189">
        <v>328</v>
      </c>
      <c r="O20" s="189" t="s">
        <v>542</v>
      </c>
      <c r="P20" s="189" t="s">
        <v>543</v>
      </c>
      <c r="Q20" s="189" t="s">
        <v>253</v>
      </c>
      <c r="R20" s="189" t="s">
        <v>253</v>
      </c>
      <c r="S20" s="189" t="s">
        <v>253</v>
      </c>
      <c r="T20" s="189" t="s">
        <v>261</v>
      </c>
      <c r="U20" s="189" t="s">
        <v>253</v>
      </c>
      <c r="V20" s="189" t="s">
        <v>253</v>
      </c>
      <c r="W20" s="189" t="s">
        <v>253</v>
      </c>
      <c r="X20" s="189" t="s">
        <v>978</v>
      </c>
      <c r="Y20" s="189" t="s">
        <v>979</v>
      </c>
    </row>
    <row r="21" spans="1:25" x14ac:dyDescent="0.2">
      <c r="A21" s="189">
        <v>116</v>
      </c>
      <c r="B21" s="189" t="s">
        <v>980</v>
      </c>
      <c r="C21" s="189" t="s">
        <v>253</v>
      </c>
      <c r="D21" s="189" t="s">
        <v>253</v>
      </c>
      <c r="E21" s="189" t="s">
        <v>940</v>
      </c>
      <c r="F21" s="189" t="s">
        <v>941</v>
      </c>
      <c r="G21" s="189" t="s">
        <v>522</v>
      </c>
      <c r="H21" s="189" t="s">
        <v>521</v>
      </c>
      <c r="I21" s="189">
        <v>11733</v>
      </c>
      <c r="J21" s="189">
        <v>1403.0485082821699</v>
      </c>
      <c r="K21" s="189">
        <v>679.79404167041002</v>
      </c>
      <c r="L21" s="189">
        <v>-29.11</v>
      </c>
      <c r="M21" s="189">
        <v>20.32</v>
      </c>
      <c r="N21" s="189">
        <v>82</v>
      </c>
      <c r="O21" s="189" t="s">
        <v>550</v>
      </c>
      <c r="P21" s="189" t="s">
        <v>551</v>
      </c>
      <c r="Q21" s="189" t="s">
        <v>253</v>
      </c>
      <c r="R21" s="189" t="s">
        <v>253</v>
      </c>
      <c r="S21" s="189" t="s">
        <v>257</v>
      </c>
      <c r="T21" s="189" t="s">
        <v>261</v>
      </c>
      <c r="U21" s="189" t="s">
        <v>258</v>
      </c>
      <c r="V21" s="189" t="s">
        <v>253</v>
      </c>
      <c r="W21" s="189" t="s">
        <v>253</v>
      </c>
      <c r="X21" s="189" t="s">
        <v>981</v>
      </c>
      <c r="Y21" s="189" t="s">
        <v>982</v>
      </c>
    </row>
    <row r="22" spans="1:25" x14ac:dyDescent="0.2">
      <c r="A22" s="189">
        <v>123</v>
      </c>
      <c r="B22" s="189" t="s">
        <v>983</v>
      </c>
      <c r="C22" s="189" t="s">
        <v>253</v>
      </c>
      <c r="D22" s="189" t="s">
        <v>253</v>
      </c>
      <c r="E22" s="189" t="s">
        <v>940</v>
      </c>
      <c r="F22" s="189" t="s">
        <v>941</v>
      </c>
      <c r="G22" s="189" t="s">
        <v>340</v>
      </c>
      <c r="H22" s="189" t="s">
        <v>521</v>
      </c>
      <c r="I22" s="189">
        <v>15115</v>
      </c>
      <c r="J22" s="189">
        <v>1370.58622469123</v>
      </c>
      <c r="K22" s="189">
        <v>853.39330403923202</v>
      </c>
      <c r="L22" s="189">
        <v>-34.729999999999997</v>
      </c>
      <c r="M22" s="189">
        <v>19.27</v>
      </c>
      <c r="N22" s="189">
        <v>266</v>
      </c>
      <c r="O22" s="189" t="s">
        <v>542</v>
      </c>
      <c r="P22" s="189" t="s">
        <v>543</v>
      </c>
      <c r="Q22" s="189" t="s">
        <v>253</v>
      </c>
      <c r="R22" s="189" t="s">
        <v>253</v>
      </c>
      <c r="S22" s="189" t="s">
        <v>257</v>
      </c>
      <c r="T22" s="189" t="s">
        <v>261</v>
      </c>
      <c r="U22" s="189" t="s">
        <v>253</v>
      </c>
      <c r="V22" s="189" t="s">
        <v>253</v>
      </c>
      <c r="W22" s="189" t="s">
        <v>253</v>
      </c>
      <c r="X22" s="189" t="s">
        <v>984</v>
      </c>
      <c r="Y22" s="189" t="s">
        <v>985</v>
      </c>
    </row>
    <row r="23" spans="1:25" x14ac:dyDescent="0.2">
      <c r="A23" s="189">
        <v>139</v>
      </c>
      <c r="B23" s="189" t="s">
        <v>986</v>
      </c>
      <c r="C23" s="189" t="s">
        <v>253</v>
      </c>
      <c r="D23" s="189" t="s">
        <v>253</v>
      </c>
      <c r="E23" s="189" t="s">
        <v>940</v>
      </c>
      <c r="F23" s="189" t="s">
        <v>941</v>
      </c>
      <c r="G23" s="189" t="s">
        <v>522</v>
      </c>
      <c r="H23" s="189" t="s">
        <v>521</v>
      </c>
      <c r="I23" s="189">
        <v>12163</v>
      </c>
      <c r="J23" s="189">
        <v>1241.69071856245</v>
      </c>
      <c r="K23" s="189">
        <v>12.565665991856401</v>
      </c>
      <c r="L23" s="189">
        <v>-7.51</v>
      </c>
      <c r="M23" s="189">
        <v>15.11</v>
      </c>
      <c r="N23" s="189">
        <v>643</v>
      </c>
      <c r="O23" s="189" t="s">
        <v>987</v>
      </c>
      <c r="P23" s="189" t="s">
        <v>988</v>
      </c>
      <c r="Q23" s="189" t="s">
        <v>253</v>
      </c>
      <c r="R23" s="189" t="s">
        <v>253</v>
      </c>
      <c r="S23" s="189" t="s">
        <v>257</v>
      </c>
      <c r="T23" s="189" t="s">
        <v>261</v>
      </c>
      <c r="U23" s="189" t="s">
        <v>258</v>
      </c>
      <c r="V23" s="189" t="s">
        <v>253</v>
      </c>
      <c r="W23" s="189" t="s">
        <v>253</v>
      </c>
      <c r="X23" s="189" t="s">
        <v>989</v>
      </c>
      <c r="Y23" s="189" t="s">
        <v>990</v>
      </c>
    </row>
    <row r="24" spans="1:25" x14ac:dyDescent="0.2">
      <c r="A24" s="189">
        <v>151</v>
      </c>
      <c r="B24" s="189" t="s">
        <v>991</v>
      </c>
      <c r="C24" s="189" t="s">
        <v>253</v>
      </c>
      <c r="D24" s="189" t="s">
        <v>253</v>
      </c>
      <c r="E24" s="189" t="s">
        <v>940</v>
      </c>
      <c r="F24" s="189" t="s">
        <v>941</v>
      </c>
      <c r="G24" s="189" t="s">
        <v>522</v>
      </c>
      <c r="H24" s="189" t="s">
        <v>521</v>
      </c>
      <c r="I24" s="189">
        <v>5646</v>
      </c>
      <c r="J24" s="189">
        <v>1399.03937733509</v>
      </c>
      <c r="K24" s="189">
        <v>410.67626139730697</v>
      </c>
      <c r="L24" s="189">
        <v>-20.399999999999999</v>
      </c>
      <c r="M24" s="189">
        <v>20.190000000000001</v>
      </c>
      <c r="N24" s="189">
        <v>328</v>
      </c>
      <c r="O24" s="189" t="s">
        <v>967</v>
      </c>
      <c r="P24" s="189" t="s">
        <v>968</v>
      </c>
      <c r="Q24" s="189" t="s">
        <v>253</v>
      </c>
      <c r="R24" s="189" t="s">
        <v>253</v>
      </c>
      <c r="S24" s="189" t="s">
        <v>253</v>
      </c>
      <c r="T24" s="189" t="s">
        <v>253</v>
      </c>
      <c r="U24" s="189" t="s">
        <v>258</v>
      </c>
      <c r="V24" s="189" t="s">
        <v>253</v>
      </c>
      <c r="W24" s="189" t="s">
        <v>253</v>
      </c>
      <c r="X24" s="189" t="s">
        <v>992</v>
      </c>
      <c r="Y24" s="189" t="s">
        <v>993</v>
      </c>
    </row>
    <row r="25" spans="1:25" x14ac:dyDescent="0.2">
      <c r="A25" s="189">
        <v>158</v>
      </c>
      <c r="B25" s="189" t="s">
        <v>994</v>
      </c>
      <c r="C25" s="189" t="s">
        <v>253</v>
      </c>
      <c r="D25" s="189" t="s">
        <v>253</v>
      </c>
      <c r="E25" s="189" t="s">
        <v>940</v>
      </c>
      <c r="F25" s="189" t="s">
        <v>941</v>
      </c>
      <c r="G25" s="189" t="s">
        <v>340</v>
      </c>
      <c r="H25" s="189" t="s">
        <v>521</v>
      </c>
      <c r="I25" s="189">
        <v>1669</v>
      </c>
      <c r="J25" s="189">
        <v>1291.4156193867</v>
      </c>
      <c r="K25" s="189">
        <v>826.01055043464305</v>
      </c>
      <c r="L25" s="189">
        <v>-33.85</v>
      </c>
      <c r="M25" s="189">
        <v>16.71</v>
      </c>
      <c r="N25" s="189">
        <v>554</v>
      </c>
      <c r="O25" s="189" t="s">
        <v>542</v>
      </c>
      <c r="P25" s="189" t="s">
        <v>543</v>
      </c>
      <c r="Q25" s="189" t="s">
        <v>253</v>
      </c>
      <c r="R25" s="189" t="s">
        <v>253</v>
      </c>
      <c r="S25" s="189" t="s">
        <v>257</v>
      </c>
      <c r="T25" s="189" t="s">
        <v>253</v>
      </c>
      <c r="U25" s="189" t="s">
        <v>253</v>
      </c>
      <c r="V25" s="189" t="s">
        <v>253</v>
      </c>
      <c r="W25" s="189" t="s">
        <v>253</v>
      </c>
      <c r="X25" s="189" t="s">
        <v>995</v>
      </c>
      <c r="Y25" s="189" t="s">
        <v>996</v>
      </c>
    </row>
    <row r="26" spans="1:25" x14ac:dyDescent="0.2">
      <c r="A26" s="189">
        <v>166</v>
      </c>
      <c r="B26" s="189" t="s">
        <v>997</v>
      </c>
      <c r="C26" s="189" t="s">
        <v>253</v>
      </c>
      <c r="D26" s="189" t="s">
        <v>253</v>
      </c>
      <c r="E26" s="189" t="s">
        <v>940</v>
      </c>
      <c r="F26" s="189" t="s">
        <v>941</v>
      </c>
      <c r="G26" s="189" t="s">
        <v>522</v>
      </c>
      <c r="H26" s="189" t="s">
        <v>521</v>
      </c>
      <c r="I26" s="189">
        <v>12723</v>
      </c>
      <c r="J26" s="189">
        <v>1365.2731530963099</v>
      </c>
      <c r="K26" s="189">
        <v>646.45597704733905</v>
      </c>
      <c r="L26" s="189">
        <v>-28.03</v>
      </c>
      <c r="M26" s="189">
        <v>19.100000000000001</v>
      </c>
      <c r="N26" s="189">
        <v>82</v>
      </c>
      <c r="O26" s="189" t="s">
        <v>564</v>
      </c>
      <c r="P26" s="189" t="s">
        <v>565</v>
      </c>
      <c r="Q26" s="189" t="s">
        <v>253</v>
      </c>
      <c r="R26" s="189" t="s">
        <v>253</v>
      </c>
      <c r="S26" s="189" t="s">
        <v>257</v>
      </c>
      <c r="T26" s="189" t="s">
        <v>253</v>
      </c>
      <c r="U26" s="189" t="s">
        <v>253</v>
      </c>
      <c r="V26" s="189" t="s">
        <v>253</v>
      </c>
      <c r="W26" s="189" t="s">
        <v>253</v>
      </c>
      <c r="X26" s="189" t="s">
        <v>998</v>
      </c>
      <c r="Y26" s="189" t="s">
        <v>999</v>
      </c>
    </row>
    <row r="27" spans="1:25" x14ac:dyDescent="0.2">
      <c r="A27" s="189">
        <v>180</v>
      </c>
      <c r="B27" s="189" t="s">
        <v>519</v>
      </c>
      <c r="C27" s="189" t="s">
        <v>253</v>
      </c>
      <c r="D27" s="189" t="s">
        <v>253</v>
      </c>
      <c r="E27" s="189" t="s">
        <v>940</v>
      </c>
      <c r="F27" s="189" t="s">
        <v>941</v>
      </c>
      <c r="G27" s="189" t="s">
        <v>522</v>
      </c>
      <c r="H27" s="189" t="s">
        <v>521</v>
      </c>
      <c r="I27" s="189">
        <v>6527</v>
      </c>
      <c r="J27" s="189">
        <v>1448.9783579672001</v>
      </c>
      <c r="K27" s="189">
        <v>223.60943293440201</v>
      </c>
      <c r="L27" s="189">
        <v>-14.34</v>
      </c>
      <c r="M27" s="189">
        <v>21.8</v>
      </c>
      <c r="N27" s="189">
        <v>328</v>
      </c>
      <c r="O27" s="189" t="s">
        <v>929</v>
      </c>
      <c r="P27" s="189" t="s">
        <v>930</v>
      </c>
      <c r="Q27" s="189" t="s">
        <v>253</v>
      </c>
      <c r="R27" s="189" t="s">
        <v>253</v>
      </c>
      <c r="S27" s="189" t="s">
        <v>257</v>
      </c>
      <c r="T27" s="189" t="s">
        <v>253</v>
      </c>
      <c r="U27" s="189" t="s">
        <v>258</v>
      </c>
      <c r="V27" s="189" t="s">
        <v>253</v>
      </c>
      <c r="W27" s="189" t="s">
        <v>253</v>
      </c>
      <c r="X27" s="189" t="s">
        <v>1000</v>
      </c>
      <c r="Y27" s="189" t="s">
        <v>1001</v>
      </c>
    </row>
    <row r="28" spans="1:25" x14ac:dyDescent="0.2">
      <c r="A28" s="189">
        <v>181</v>
      </c>
      <c r="B28" s="189" t="s">
        <v>1002</v>
      </c>
      <c r="C28" s="189" t="s">
        <v>253</v>
      </c>
      <c r="D28" s="189" t="s">
        <v>253</v>
      </c>
      <c r="E28" s="189" t="s">
        <v>940</v>
      </c>
      <c r="F28" s="189" t="s">
        <v>941</v>
      </c>
      <c r="G28" s="189" t="s">
        <v>340</v>
      </c>
      <c r="H28" s="189" t="s">
        <v>521</v>
      </c>
      <c r="I28" s="189">
        <v>5408</v>
      </c>
      <c r="J28" s="189">
        <v>1490.00383387229</v>
      </c>
      <c r="K28" s="189">
        <v>258.77690682458802</v>
      </c>
      <c r="L28" s="189">
        <v>-15.48</v>
      </c>
      <c r="M28" s="189">
        <v>23.13</v>
      </c>
      <c r="N28" s="189">
        <v>52</v>
      </c>
      <c r="O28" s="189" t="s">
        <v>918</v>
      </c>
      <c r="P28" s="189" t="s">
        <v>919</v>
      </c>
      <c r="Q28" s="189" t="s">
        <v>253</v>
      </c>
      <c r="R28" s="189" t="s">
        <v>253</v>
      </c>
      <c r="S28" s="189" t="s">
        <v>253</v>
      </c>
      <c r="T28" s="189" t="s">
        <v>253</v>
      </c>
      <c r="U28" s="189" t="s">
        <v>253</v>
      </c>
      <c r="V28" s="189" t="s">
        <v>253</v>
      </c>
      <c r="W28" s="189" t="s">
        <v>253</v>
      </c>
      <c r="X28" s="189" t="s">
        <v>1003</v>
      </c>
      <c r="Y28" s="189" t="s">
        <v>1004</v>
      </c>
    </row>
    <row r="29" spans="1:25" x14ac:dyDescent="0.2">
      <c r="A29" s="189">
        <v>183</v>
      </c>
      <c r="B29" s="189" t="s">
        <v>1005</v>
      </c>
      <c r="C29" s="189" t="s">
        <v>253</v>
      </c>
      <c r="D29" s="189" t="s">
        <v>253</v>
      </c>
      <c r="E29" s="189" t="s">
        <v>940</v>
      </c>
      <c r="F29" s="189" t="s">
        <v>941</v>
      </c>
      <c r="G29" s="189" t="s">
        <v>340</v>
      </c>
      <c r="H29" s="189" t="s">
        <v>256</v>
      </c>
      <c r="I29" s="189">
        <v>2589</v>
      </c>
      <c r="J29" s="189">
        <v>1195</v>
      </c>
      <c r="K29" s="189">
        <v>863.5</v>
      </c>
      <c r="L29" s="189">
        <v>-35.06</v>
      </c>
      <c r="M29" s="189">
        <v>13.6</v>
      </c>
      <c r="N29" s="189">
        <v>52</v>
      </c>
      <c r="O29" s="189" t="s">
        <v>542</v>
      </c>
      <c r="P29" s="189" t="s">
        <v>543</v>
      </c>
      <c r="Q29" s="189" t="s">
        <v>253</v>
      </c>
      <c r="R29" s="189" t="s">
        <v>259</v>
      </c>
      <c r="S29" s="189" t="s">
        <v>253</v>
      </c>
      <c r="T29" s="189" t="s">
        <v>253</v>
      </c>
      <c r="U29" s="189" t="s">
        <v>258</v>
      </c>
      <c r="V29" s="189" t="s">
        <v>253</v>
      </c>
      <c r="W29" s="189" t="s">
        <v>253</v>
      </c>
      <c r="X29" s="189" t="s">
        <v>1006</v>
      </c>
      <c r="Y29" s="189" t="s">
        <v>1007</v>
      </c>
    </row>
    <row r="30" spans="1:25" x14ac:dyDescent="0.2">
      <c r="A30" s="189">
        <v>193</v>
      </c>
      <c r="B30" s="189" t="s">
        <v>1008</v>
      </c>
      <c r="C30" s="189" t="s">
        <v>253</v>
      </c>
      <c r="D30" s="189" t="s">
        <v>253</v>
      </c>
      <c r="E30" s="189" t="s">
        <v>940</v>
      </c>
      <c r="F30" s="189" t="s">
        <v>941</v>
      </c>
      <c r="G30" s="189" t="s">
        <v>522</v>
      </c>
      <c r="H30" s="189" t="s">
        <v>521</v>
      </c>
      <c r="I30" s="189">
        <v>17664</v>
      </c>
      <c r="J30" s="189">
        <v>1407.2911808378201</v>
      </c>
      <c r="K30" s="189">
        <v>644.52925877665405</v>
      </c>
      <c r="L30" s="189">
        <v>-27.97</v>
      </c>
      <c r="M30" s="189">
        <v>20.46</v>
      </c>
      <c r="N30" s="189">
        <v>52</v>
      </c>
      <c r="O30" s="189" t="s">
        <v>564</v>
      </c>
      <c r="P30" s="189" t="s">
        <v>565</v>
      </c>
      <c r="Q30" s="189" t="s">
        <v>253</v>
      </c>
      <c r="R30" s="189" t="s">
        <v>253</v>
      </c>
      <c r="S30" s="189" t="s">
        <v>257</v>
      </c>
      <c r="T30" s="189" t="s">
        <v>261</v>
      </c>
      <c r="U30" s="189" t="s">
        <v>253</v>
      </c>
      <c r="V30" s="189" t="s">
        <v>253</v>
      </c>
      <c r="W30" s="189" t="s">
        <v>253</v>
      </c>
      <c r="X30" s="189" t="s">
        <v>1009</v>
      </c>
      <c r="Y30" s="189" t="s">
        <v>1010</v>
      </c>
    </row>
    <row r="31" spans="1:25" x14ac:dyDescent="0.2">
      <c r="A31" s="189">
        <v>213</v>
      </c>
      <c r="B31" s="189" t="s">
        <v>1011</v>
      </c>
      <c r="C31" s="189" t="s">
        <v>253</v>
      </c>
      <c r="D31" s="189" t="s">
        <v>253</v>
      </c>
      <c r="E31" s="189" t="s">
        <v>940</v>
      </c>
      <c r="F31" s="189" t="s">
        <v>941</v>
      </c>
      <c r="G31" s="189" t="s">
        <v>522</v>
      </c>
      <c r="H31" s="189" t="s">
        <v>521</v>
      </c>
      <c r="I31" s="189">
        <v>7276</v>
      </c>
      <c r="J31" s="189">
        <v>1404.0410601185899</v>
      </c>
      <c r="K31" s="189">
        <v>161.13705264248301</v>
      </c>
      <c r="L31" s="189">
        <v>-12.32</v>
      </c>
      <c r="M31" s="189">
        <v>20.350000000000001</v>
      </c>
      <c r="N31" s="189">
        <v>643</v>
      </c>
      <c r="O31" s="189" t="s">
        <v>929</v>
      </c>
      <c r="P31" s="189" t="s">
        <v>930</v>
      </c>
      <c r="Q31" s="189" t="s">
        <v>253</v>
      </c>
      <c r="R31" s="189" t="s">
        <v>253</v>
      </c>
      <c r="S31" s="189" t="s">
        <v>253</v>
      </c>
      <c r="T31" s="189" t="s">
        <v>253</v>
      </c>
      <c r="U31" s="189" t="s">
        <v>253</v>
      </c>
      <c r="V31" s="189" t="s">
        <v>253</v>
      </c>
      <c r="W31" s="189" t="s">
        <v>253</v>
      </c>
      <c r="X31" s="189" t="s">
        <v>1012</v>
      </c>
      <c r="Y31" s="189" t="s">
        <v>1013</v>
      </c>
    </row>
    <row r="32" spans="1:25" x14ac:dyDescent="0.2">
      <c r="A32" s="189">
        <v>219</v>
      </c>
      <c r="B32" s="189" t="s">
        <v>1014</v>
      </c>
      <c r="C32" s="189" t="s">
        <v>253</v>
      </c>
      <c r="D32" s="189" t="s">
        <v>253</v>
      </c>
      <c r="E32" s="189" t="s">
        <v>940</v>
      </c>
      <c r="F32" s="189" t="s">
        <v>941</v>
      </c>
      <c r="G32" s="189" t="s">
        <v>340</v>
      </c>
      <c r="H32" s="189" t="s">
        <v>521</v>
      </c>
      <c r="I32" s="189">
        <v>1675</v>
      </c>
      <c r="J32" s="189">
        <v>1424.3786418647101</v>
      </c>
      <c r="K32" s="189">
        <v>132.800670802908</v>
      </c>
      <c r="L32" s="189">
        <v>-11.4</v>
      </c>
      <c r="M32" s="189">
        <v>21.01</v>
      </c>
      <c r="N32" s="189">
        <v>738</v>
      </c>
      <c r="O32" s="189" t="s">
        <v>904</v>
      </c>
      <c r="P32" s="189" t="s">
        <v>905</v>
      </c>
      <c r="Q32" s="189" t="s">
        <v>253</v>
      </c>
      <c r="R32" s="189" t="s">
        <v>253</v>
      </c>
      <c r="S32" s="189" t="s">
        <v>253</v>
      </c>
      <c r="T32" s="189" t="s">
        <v>261</v>
      </c>
      <c r="U32" s="189" t="s">
        <v>253</v>
      </c>
      <c r="V32" s="189" t="s">
        <v>253</v>
      </c>
      <c r="W32" s="189" t="s">
        <v>253</v>
      </c>
      <c r="X32" s="189" t="s">
        <v>1015</v>
      </c>
      <c r="Y32" s="189" t="s">
        <v>1016</v>
      </c>
    </row>
    <row r="33" spans="1:25" x14ac:dyDescent="0.2">
      <c r="A33" s="189">
        <v>221</v>
      </c>
      <c r="B33" s="189" t="s">
        <v>1017</v>
      </c>
      <c r="C33" s="189" t="s">
        <v>253</v>
      </c>
      <c r="D33" s="189" t="s">
        <v>253</v>
      </c>
      <c r="E33" s="189" t="s">
        <v>940</v>
      </c>
      <c r="F33" s="189" t="s">
        <v>941</v>
      </c>
      <c r="G33" s="189" t="s">
        <v>340</v>
      </c>
      <c r="H33" s="189" t="s">
        <v>521</v>
      </c>
      <c r="I33" s="189">
        <v>1538</v>
      </c>
      <c r="J33" s="189">
        <v>1439.1696104073401</v>
      </c>
      <c r="K33" s="189">
        <v>847.92453803859996</v>
      </c>
      <c r="L33" s="189">
        <v>-34.56</v>
      </c>
      <c r="M33" s="189">
        <v>21.48</v>
      </c>
      <c r="N33" s="189">
        <v>328</v>
      </c>
      <c r="O33" s="189" t="s">
        <v>542</v>
      </c>
      <c r="P33" s="189" t="s">
        <v>543</v>
      </c>
      <c r="Q33" s="189" t="s">
        <v>253</v>
      </c>
      <c r="R33" s="189" t="s">
        <v>253</v>
      </c>
      <c r="S33" s="189" t="s">
        <v>257</v>
      </c>
      <c r="T33" s="189" t="s">
        <v>253</v>
      </c>
      <c r="U33" s="189" t="s">
        <v>258</v>
      </c>
      <c r="V33" s="189" t="s">
        <v>253</v>
      </c>
      <c r="W33" s="189" t="s">
        <v>253</v>
      </c>
      <c r="X33" s="189" t="s">
        <v>1018</v>
      </c>
      <c r="Y33" s="189" t="s">
        <v>1019</v>
      </c>
    </row>
    <row r="34" spans="1:25" x14ac:dyDescent="0.2">
      <c r="A34" s="189">
        <v>243</v>
      </c>
      <c r="B34" s="189" t="s">
        <v>1020</v>
      </c>
      <c r="C34" s="189" t="s">
        <v>253</v>
      </c>
      <c r="D34" s="189" t="s">
        <v>253</v>
      </c>
      <c r="E34" s="189" t="s">
        <v>940</v>
      </c>
      <c r="F34" s="189" t="s">
        <v>941</v>
      </c>
      <c r="G34" s="189" t="s">
        <v>340</v>
      </c>
      <c r="H34" s="189" t="s">
        <v>521</v>
      </c>
      <c r="I34" s="189">
        <v>1610</v>
      </c>
      <c r="J34" s="189">
        <v>1514.60354997478</v>
      </c>
      <c r="K34" s="189">
        <v>241.41698058770601</v>
      </c>
      <c r="L34" s="189">
        <v>-14.92</v>
      </c>
      <c r="M34" s="189">
        <v>23.92</v>
      </c>
      <c r="N34" s="189">
        <v>210</v>
      </c>
      <c r="O34" s="189" t="s">
        <v>929</v>
      </c>
      <c r="P34" s="189" t="s">
        <v>930</v>
      </c>
      <c r="Q34" s="189" t="s">
        <v>253</v>
      </c>
      <c r="R34" s="189" t="s">
        <v>253</v>
      </c>
      <c r="S34" s="189" t="s">
        <v>257</v>
      </c>
      <c r="T34" s="189" t="s">
        <v>253</v>
      </c>
      <c r="U34" s="189" t="s">
        <v>253</v>
      </c>
      <c r="V34" s="189" t="s">
        <v>253</v>
      </c>
      <c r="W34" s="189" t="s">
        <v>253</v>
      </c>
      <c r="X34" s="189" t="s">
        <v>1021</v>
      </c>
      <c r="Y34" s="189" t="s">
        <v>1022</v>
      </c>
    </row>
    <row r="35" spans="1:25" x14ac:dyDescent="0.2">
      <c r="A35" s="189">
        <v>253</v>
      </c>
      <c r="B35" s="189" t="s">
        <v>1023</v>
      </c>
      <c r="C35" s="189" t="s">
        <v>253</v>
      </c>
      <c r="D35" s="189" t="s">
        <v>253</v>
      </c>
      <c r="E35" s="189" t="s">
        <v>940</v>
      </c>
      <c r="F35" s="189" t="s">
        <v>941</v>
      </c>
      <c r="G35" s="189" t="s">
        <v>340</v>
      </c>
      <c r="H35" s="189" t="s">
        <v>521</v>
      </c>
      <c r="I35" s="189">
        <v>14387</v>
      </c>
      <c r="J35" s="189">
        <v>1426.11074212825</v>
      </c>
      <c r="K35" s="189">
        <v>791.54370137016099</v>
      </c>
      <c r="L35" s="189">
        <v>-32.729999999999997</v>
      </c>
      <c r="M35" s="189">
        <v>21.06</v>
      </c>
      <c r="N35" s="189">
        <v>266</v>
      </c>
      <c r="O35" s="189" t="s">
        <v>554</v>
      </c>
      <c r="P35" s="189" t="s">
        <v>555</v>
      </c>
      <c r="Q35" s="189" t="s">
        <v>253</v>
      </c>
      <c r="R35" s="189" t="s">
        <v>253</v>
      </c>
      <c r="S35" s="189" t="s">
        <v>257</v>
      </c>
      <c r="T35" s="189" t="s">
        <v>253</v>
      </c>
      <c r="U35" s="189" t="s">
        <v>258</v>
      </c>
      <c r="V35" s="189" t="s">
        <v>253</v>
      </c>
      <c r="W35" s="189" t="s">
        <v>253</v>
      </c>
      <c r="X35" s="189" t="s">
        <v>1024</v>
      </c>
      <c r="Y35" s="189" t="s">
        <v>1025</v>
      </c>
    </row>
    <row r="36" spans="1:25" x14ac:dyDescent="0.2">
      <c r="A36" s="189">
        <v>258</v>
      </c>
      <c r="B36" s="189" t="s">
        <v>1026</v>
      </c>
      <c r="C36" s="189" t="s">
        <v>253</v>
      </c>
      <c r="D36" s="189" t="s">
        <v>253</v>
      </c>
      <c r="E36" s="189" t="s">
        <v>940</v>
      </c>
      <c r="F36" s="189" t="s">
        <v>941</v>
      </c>
      <c r="G36" s="189" t="s">
        <v>522</v>
      </c>
      <c r="H36" s="189" t="s">
        <v>521</v>
      </c>
      <c r="I36" s="189">
        <v>1784</v>
      </c>
      <c r="J36" s="189">
        <v>1385.86373825172</v>
      </c>
      <c r="K36" s="189">
        <v>362.19691581875003</v>
      </c>
      <c r="L36" s="189">
        <v>-18.829999999999998</v>
      </c>
      <c r="M36" s="189">
        <v>19.760000000000002</v>
      </c>
      <c r="N36" s="189">
        <v>554</v>
      </c>
      <c r="O36" s="189" t="s">
        <v>945</v>
      </c>
      <c r="P36" s="189" t="s">
        <v>946</v>
      </c>
      <c r="Q36" s="189" t="s">
        <v>253</v>
      </c>
      <c r="R36" s="189" t="s">
        <v>253</v>
      </c>
      <c r="S36" s="189" t="s">
        <v>253</v>
      </c>
      <c r="T36" s="189" t="s">
        <v>253</v>
      </c>
      <c r="U36" s="189" t="s">
        <v>253</v>
      </c>
      <c r="V36" s="189" t="s">
        <v>253</v>
      </c>
      <c r="W36" s="189" t="s">
        <v>253</v>
      </c>
      <c r="X36" s="189" t="s">
        <v>1027</v>
      </c>
      <c r="Y36" s="189" t="s">
        <v>1028</v>
      </c>
    </row>
    <row r="37" spans="1:25" x14ac:dyDescent="0.2">
      <c r="A37" s="189">
        <v>292</v>
      </c>
      <c r="B37" s="189" t="s">
        <v>1029</v>
      </c>
      <c r="C37" s="189" t="s">
        <v>253</v>
      </c>
      <c r="D37" s="189" t="s">
        <v>253</v>
      </c>
      <c r="E37" s="189" t="s">
        <v>940</v>
      </c>
      <c r="F37" s="189" t="s">
        <v>941</v>
      </c>
      <c r="G37" s="189" t="s">
        <v>340</v>
      </c>
      <c r="H37" s="189" t="s">
        <v>521</v>
      </c>
      <c r="I37" s="189">
        <v>1715</v>
      </c>
      <c r="J37" s="189">
        <v>1518.75</v>
      </c>
      <c r="K37" s="189">
        <v>408</v>
      </c>
      <c r="L37" s="189">
        <v>-20.309999999999999</v>
      </c>
      <c r="M37" s="189">
        <v>24.06</v>
      </c>
      <c r="N37" s="189">
        <v>210</v>
      </c>
      <c r="O37" s="189" t="s">
        <v>967</v>
      </c>
      <c r="P37" s="189" t="s">
        <v>968</v>
      </c>
      <c r="Q37" s="189" t="s">
        <v>253</v>
      </c>
      <c r="R37" s="189" t="s">
        <v>253</v>
      </c>
      <c r="S37" s="189" t="s">
        <v>253</v>
      </c>
      <c r="T37" s="189" t="s">
        <v>261</v>
      </c>
      <c r="U37" s="189" t="s">
        <v>253</v>
      </c>
      <c r="V37" s="189" t="s">
        <v>253</v>
      </c>
      <c r="W37" s="189" t="s">
        <v>253</v>
      </c>
      <c r="X37" s="189" t="s">
        <v>1030</v>
      </c>
      <c r="Y37" s="189" t="s">
        <v>1031</v>
      </c>
    </row>
    <row r="38" spans="1:25" x14ac:dyDescent="0.2">
      <c r="A38" s="189">
        <v>294</v>
      </c>
      <c r="B38" s="189" t="s">
        <v>1032</v>
      </c>
      <c r="C38" s="189" t="s">
        <v>253</v>
      </c>
      <c r="D38" s="189" t="s">
        <v>253</v>
      </c>
      <c r="E38" s="189" t="s">
        <v>940</v>
      </c>
      <c r="F38" s="189" t="s">
        <v>941</v>
      </c>
      <c r="G38" s="189" t="s">
        <v>522</v>
      </c>
      <c r="H38" s="189" t="s">
        <v>521</v>
      </c>
      <c r="I38" s="189">
        <v>4961</v>
      </c>
      <c r="J38" s="189">
        <v>1390.8264974337801</v>
      </c>
      <c r="K38" s="189">
        <v>625.826468290506</v>
      </c>
      <c r="L38" s="189">
        <v>-27.36</v>
      </c>
      <c r="M38" s="189">
        <v>19.920000000000002</v>
      </c>
      <c r="N38" s="189">
        <v>52</v>
      </c>
      <c r="O38" s="189" t="s">
        <v>564</v>
      </c>
      <c r="P38" s="189" t="s">
        <v>565</v>
      </c>
      <c r="Q38" s="189" t="s">
        <v>253</v>
      </c>
      <c r="R38" s="189" t="s">
        <v>253</v>
      </c>
      <c r="S38" s="189" t="s">
        <v>253</v>
      </c>
      <c r="T38" s="189" t="s">
        <v>253</v>
      </c>
      <c r="U38" s="189" t="s">
        <v>253</v>
      </c>
      <c r="V38" s="189" t="s">
        <v>253</v>
      </c>
      <c r="W38" s="189" t="s">
        <v>253</v>
      </c>
      <c r="X38" s="189" t="s">
        <v>1033</v>
      </c>
      <c r="Y38" s="189" t="s">
        <v>1034</v>
      </c>
    </row>
    <row r="39" spans="1:25" x14ac:dyDescent="0.2">
      <c r="A39" s="189">
        <v>296</v>
      </c>
      <c r="B39" s="189" t="s">
        <v>1035</v>
      </c>
      <c r="C39" s="189" t="s">
        <v>253</v>
      </c>
      <c r="D39" s="189" t="s">
        <v>253</v>
      </c>
      <c r="E39" s="189" t="s">
        <v>940</v>
      </c>
      <c r="F39" s="189" t="s">
        <v>941</v>
      </c>
      <c r="G39" s="189" t="s">
        <v>340</v>
      </c>
      <c r="H39" s="189" t="s">
        <v>521</v>
      </c>
      <c r="I39" s="189">
        <v>3083</v>
      </c>
      <c r="J39" s="189">
        <v>1397</v>
      </c>
      <c r="K39" s="189">
        <v>722</v>
      </c>
      <c r="L39" s="189">
        <v>-30.48</v>
      </c>
      <c r="M39" s="189">
        <v>20.12</v>
      </c>
      <c r="N39" s="189">
        <v>13</v>
      </c>
      <c r="O39" s="189" t="s">
        <v>550</v>
      </c>
      <c r="P39" s="189" t="s">
        <v>551</v>
      </c>
      <c r="Q39" s="189" t="s">
        <v>253</v>
      </c>
      <c r="R39" s="189" t="s">
        <v>259</v>
      </c>
      <c r="S39" s="189" t="s">
        <v>253</v>
      </c>
      <c r="T39" s="189" t="s">
        <v>261</v>
      </c>
      <c r="U39" s="189" t="s">
        <v>258</v>
      </c>
      <c r="V39" s="189" t="s">
        <v>253</v>
      </c>
      <c r="W39" s="189" t="s">
        <v>253</v>
      </c>
      <c r="X39" s="189" t="s">
        <v>1036</v>
      </c>
      <c r="Y39" s="189" t="s">
        <v>1037</v>
      </c>
    </row>
    <row r="40" spans="1:25" x14ac:dyDescent="0.2">
      <c r="A40" s="189">
        <v>314</v>
      </c>
      <c r="B40" s="189" t="s">
        <v>1038</v>
      </c>
      <c r="C40" s="189" t="s">
        <v>253</v>
      </c>
      <c r="D40" s="189" t="s">
        <v>253</v>
      </c>
      <c r="E40" s="189" t="s">
        <v>940</v>
      </c>
      <c r="F40" s="189" t="s">
        <v>941</v>
      </c>
      <c r="G40" s="189" t="s">
        <v>340</v>
      </c>
      <c r="H40" s="189" t="s">
        <v>521</v>
      </c>
      <c r="I40" s="189">
        <v>5643</v>
      </c>
      <c r="J40" s="189">
        <v>1461</v>
      </c>
      <c r="K40" s="189">
        <v>443.5</v>
      </c>
      <c r="L40" s="189">
        <v>-21.46</v>
      </c>
      <c r="M40" s="189">
        <v>22.19</v>
      </c>
      <c r="N40" s="189">
        <v>52</v>
      </c>
      <c r="O40" s="189" t="s">
        <v>945</v>
      </c>
      <c r="P40" s="189" t="s">
        <v>946</v>
      </c>
      <c r="Q40" s="189" t="s">
        <v>253</v>
      </c>
      <c r="R40" s="189" t="s">
        <v>259</v>
      </c>
      <c r="S40" s="189" t="s">
        <v>257</v>
      </c>
      <c r="T40" s="189" t="s">
        <v>253</v>
      </c>
      <c r="U40" s="189" t="s">
        <v>253</v>
      </c>
      <c r="V40" s="189" t="s">
        <v>253</v>
      </c>
      <c r="W40" s="189" t="s">
        <v>253</v>
      </c>
      <c r="X40" s="189" t="s">
        <v>1039</v>
      </c>
      <c r="Y40" s="189" t="s">
        <v>1040</v>
      </c>
    </row>
    <row r="41" spans="1:25" x14ac:dyDescent="0.2">
      <c r="A41" s="189">
        <v>316</v>
      </c>
      <c r="B41" s="189" t="s">
        <v>283</v>
      </c>
      <c r="C41" s="189" t="s">
        <v>253</v>
      </c>
      <c r="D41" s="189" t="s">
        <v>253</v>
      </c>
      <c r="E41" s="189" t="s">
        <v>940</v>
      </c>
      <c r="F41" s="189" t="s">
        <v>941</v>
      </c>
      <c r="G41" s="189" t="s">
        <v>340</v>
      </c>
      <c r="H41" s="189" t="s">
        <v>521</v>
      </c>
      <c r="I41" s="189">
        <v>1618</v>
      </c>
      <c r="J41" s="189">
        <v>1416.1852237641201</v>
      </c>
      <c r="K41" s="189">
        <v>799.62034866646798</v>
      </c>
      <c r="L41" s="189">
        <v>-32.99</v>
      </c>
      <c r="M41" s="189">
        <v>20.74</v>
      </c>
      <c r="N41" s="189">
        <v>840</v>
      </c>
      <c r="O41" s="189" t="s">
        <v>542</v>
      </c>
      <c r="P41" s="189" t="s">
        <v>543</v>
      </c>
      <c r="Q41" s="189" t="s">
        <v>253</v>
      </c>
      <c r="R41" s="189" t="s">
        <v>253</v>
      </c>
      <c r="S41" s="189" t="s">
        <v>253</v>
      </c>
      <c r="T41" s="189" t="s">
        <v>253</v>
      </c>
      <c r="U41" s="189" t="s">
        <v>253</v>
      </c>
      <c r="V41" s="189" t="s">
        <v>253</v>
      </c>
      <c r="W41" s="189" t="s">
        <v>253</v>
      </c>
      <c r="X41" s="189" t="s">
        <v>1041</v>
      </c>
      <c r="Y41" s="189" t="s">
        <v>1042</v>
      </c>
    </row>
    <row r="42" spans="1:25" x14ac:dyDescent="0.2">
      <c r="A42" s="189">
        <v>321</v>
      </c>
      <c r="B42" s="189" t="s">
        <v>1043</v>
      </c>
      <c r="C42" s="189" t="s">
        <v>253</v>
      </c>
      <c r="D42" s="189" t="s">
        <v>253</v>
      </c>
      <c r="E42" s="189" t="s">
        <v>940</v>
      </c>
      <c r="F42" s="189" t="s">
        <v>941</v>
      </c>
      <c r="G42" s="189" t="s">
        <v>340</v>
      </c>
      <c r="H42" s="189" t="s">
        <v>521</v>
      </c>
      <c r="I42" s="189">
        <v>16553</v>
      </c>
      <c r="J42" s="189">
        <v>1435.29671206526</v>
      </c>
      <c r="K42" s="189">
        <v>430.83868693700498</v>
      </c>
      <c r="L42" s="189">
        <v>-21.05</v>
      </c>
      <c r="M42" s="189">
        <v>21.36</v>
      </c>
      <c r="N42" s="189">
        <v>52</v>
      </c>
      <c r="O42" s="189" t="s">
        <v>945</v>
      </c>
      <c r="P42" s="189" t="s">
        <v>946</v>
      </c>
      <c r="Q42" s="189" t="s">
        <v>253</v>
      </c>
      <c r="R42" s="189" t="s">
        <v>253</v>
      </c>
      <c r="S42" s="189" t="s">
        <v>253</v>
      </c>
      <c r="T42" s="189" t="s">
        <v>253</v>
      </c>
      <c r="U42" s="189" t="s">
        <v>258</v>
      </c>
      <c r="V42" s="189" t="s">
        <v>253</v>
      </c>
      <c r="W42" s="189" t="s">
        <v>253</v>
      </c>
      <c r="X42" s="189" t="s">
        <v>1044</v>
      </c>
      <c r="Y42" s="189" t="s">
        <v>1045</v>
      </c>
    </row>
    <row r="43" spans="1:25" x14ac:dyDescent="0.2">
      <c r="A43" s="189">
        <v>322</v>
      </c>
      <c r="B43" s="189" t="s">
        <v>1046</v>
      </c>
      <c r="C43" s="189" t="s">
        <v>253</v>
      </c>
      <c r="D43" s="189" t="s">
        <v>253</v>
      </c>
      <c r="E43" s="189" t="s">
        <v>940</v>
      </c>
      <c r="F43" s="189" t="s">
        <v>941</v>
      </c>
      <c r="G43" s="189" t="s">
        <v>340</v>
      </c>
      <c r="H43" s="189" t="s">
        <v>521</v>
      </c>
      <c r="I43" s="189">
        <v>15249</v>
      </c>
      <c r="J43" s="189">
        <v>1415</v>
      </c>
      <c r="K43" s="189">
        <v>909.5</v>
      </c>
      <c r="L43" s="189">
        <v>-36.549999999999997</v>
      </c>
      <c r="M43" s="189">
        <v>20.7</v>
      </c>
      <c r="N43" s="189">
        <v>52</v>
      </c>
      <c r="O43" s="189" t="s">
        <v>542</v>
      </c>
      <c r="P43" s="189" t="s">
        <v>543</v>
      </c>
      <c r="Q43" s="189" t="s">
        <v>253</v>
      </c>
      <c r="R43" s="189" t="s">
        <v>259</v>
      </c>
      <c r="S43" s="189" t="s">
        <v>253</v>
      </c>
      <c r="T43" s="189" t="s">
        <v>253</v>
      </c>
      <c r="U43" s="189" t="s">
        <v>258</v>
      </c>
      <c r="V43" s="189" t="s">
        <v>253</v>
      </c>
      <c r="W43" s="189" t="s">
        <v>253</v>
      </c>
      <c r="X43" s="189" t="s">
        <v>1047</v>
      </c>
      <c r="Y43" s="189" t="s">
        <v>1048</v>
      </c>
    </row>
    <row r="44" spans="1:25" x14ac:dyDescent="0.2">
      <c r="A44" s="189">
        <v>348</v>
      </c>
      <c r="B44" s="189" t="s">
        <v>1049</v>
      </c>
      <c r="C44" s="189" t="s">
        <v>253</v>
      </c>
      <c r="D44" s="189" t="s">
        <v>253</v>
      </c>
      <c r="E44" s="189" t="s">
        <v>940</v>
      </c>
      <c r="F44" s="189" t="s">
        <v>941</v>
      </c>
      <c r="G44" s="189" t="s">
        <v>340</v>
      </c>
      <c r="H44" s="189" t="s">
        <v>521</v>
      </c>
      <c r="I44" s="189">
        <v>22583</v>
      </c>
      <c r="J44" s="189">
        <v>1476.2638025682199</v>
      </c>
      <c r="K44" s="189">
        <v>830.50622639957601</v>
      </c>
      <c r="L44" s="189">
        <v>-33.99</v>
      </c>
      <c r="M44" s="189">
        <v>22.68</v>
      </c>
      <c r="N44" s="189">
        <v>210</v>
      </c>
      <c r="O44" s="189" t="s">
        <v>542</v>
      </c>
      <c r="P44" s="189" t="s">
        <v>543</v>
      </c>
      <c r="Q44" s="189" t="s">
        <v>253</v>
      </c>
      <c r="R44" s="189" t="s">
        <v>253</v>
      </c>
      <c r="S44" s="189" t="s">
        <v>253</v>
      </c>
      <c r="T44" s="189" t="s">
        <v>261</v>
      </c>
      <c r="U44" s="189" t="s">
        <v>258</v>
      </c>
      <c r="V44" s="189" t="s">
        <v>297</v>
      </c>
      <c r="W44" s="189" t="s">
        <v>266</v>
      </c>
      <c r="X44" s="189" t="s">
        <v>1050</v>
      </c>
      <c r="Y44" s="189" t="s">
        <v>1051</v>
      </c>
    </row>
    <row r="45" spans="1:25" x14ac:dyDescent="0.2">
      <c r="A45" s="189">
        <v>368</v>
      </c>
      <c r="B45" s="189" t="s">
        <v>1052</v>
      </c>
      <c r="C45" s="189" t="s">
        <v>253</v>
      </c>
      <c r="D45" s="189" t="s">
        <v>253</v>
      </c>
      <c r="E45" s="189" t="s">
        <v>940</v>
      </c>
      <c r="F45" s="189" t="s">
        <v>941</v>
      </c>
      <c r="G45" s="189" t="s">
        <v>340</v>
      </c>
      <c r="H45" s="189" t="s">
        <v>521</v>
      </c>
      <c r="I45" s="189">
        <v>11606</v>
      </c>
      <c r="J45" s="189">
        <v>1347.5239908451499</v>
      </c>
      <c r="K45" s="189">
        <v>878.77149217028</v>
      </c>
      <c r="L45" s="189">
        <v>-35.56</v>
      </c>
      <c r="M45" s="189">
        <v>18.52</v>
      </c>
      <c r="N45" s="189">
        <v>118</v>
      </c>
      <c r="O45" s="189" t="s">
        <v>542</v>
      </c>
      <c r="P45" s="189" t="s">
        <v>543</v>
      </c>
      <c r="Q45" s="189" t="s">
        <v>253</v>
      </c>
      <c r="R45" s="189" t="s">
        <v>253</v>
      </c>
      <c r="S45" s="189" t="s">
        <v>253</v>
      </c>
      <c r="T45" s="189" t="s">
        <v>253</v>
      </c>
      <c r="U45" s="189" t="s">
        <v>253</v>
      </c>
      <c r="V45" s="189" t="s">
        <v>253</v>
      </c>
      <c r="W45" s="189" t="s">
        <v>253</v>
      </c>
      <c r="X45" s="189" t="s">
        <v>1053</v>
      </c>
      <c r="Y45" s="189" t="s">
        <v>1054</v>
      </c>
    </row>
    <row r="46" spans="1:25" x14ac:dyDescent="0.2">
      <c r="A46" s="189">
        <v>371</v>
      </c>
      <c r="B46" s="189" t="s">
        <v>1055</v>
      </c>
      <c r="C46" s="189" t="s">
        <v>253</v>
      </c>
      <c r="D46" s="189" t="s">
        <v>253</v>
      </c>
      <c r="E46" s="189" t="s">
        <v>940</v>
      </c>
      <c r="F46" s="189" t="s">
        <v>941</v>
      </c>
      <c r="G46" s="189" t="s">
        <v>340</v>
      </c>
      <c r="H46" s="189" t="s">
        <v>521</v>
      </c>
      <c r="I46" s="189">
        <v>2401</v>
      </c>
      <c r="J46" s="189">
        <v>1395.28324979729</v>
      </c>
      <c r="K46" s="189">
        <v>54.739388139080397</v>
      </c>
      <c r="L46" s="189">
        <v>-8.8699999999999992</v>
      </c>
      <c r="M46" s="189">
        <v>20.07</v>
      </c>
      <c r="N46" s="189">
        <v>82</v>
      </c>
      <c r="O46" s="189" t="s">
        <v>987</v>
      </c>
      <c r="P46" s="189" t="s">
        <v>988</v>
      </c>
      <c r="Q46" s="189" t="s">
        <v>253</v>
      </c>
      <c r="R46" s="189" t="s">
        <v>253</v>
      </c>
      <c r="S46" s="189" t="s">
        <v>253</v>
      </c>
      <c r="T46" s="189" t="s">
        <v>253</v>
      </c>
      <c r="U46" s="189" t="s">
        <v>253</v>
      </c>
      <c r="V46" s="189" t="s">
        <v>253</v>
      </c>
      <c r="W46" s="189" t="s">
        <v>253</v>
      </c>
      <c r="X46" s="189" t="s">
        <v>1056</v>
      </c>
      <c r="Y46" s="189" t="s">
        <v>1057</v>
      </c>
    </row>
    <row r="47" spans="1:25" x14ac:dyDescent="0.2">
      <c r="A47" s="189">
        <v>373</v>
      </c>
      <c r="B47" s="189" t="s">
        <v>1058</v>
      </c>
      <c r="C47" s="189" t="s">
        <v>253</v>
      </c>
      <c r="D47" s="189" t="s">
        <v>253</v>
      </c>
      <c r="E47" s="189" t="s">
        <v>940</v>
      </c>
      <c r="F47" s="189" t="s">
        <v>941</v>
      </c>
      <c r="G47" s="189" t="s">
        <v>340</v>
      </c>
      <c r="H47" s="189" t="s">
        <v>521</v>
      </c>
      <c r="I47" s="189">
        <v>14365</v>
      </c>
      <c r="J47" s="189">
        <v>1413.5773424684401</v>
      </c>
      <c r="K47" s="189">
        <v>121.045743171656</v>
      </c>
      <c r="L47" s="189">
        <v>-11.02</v>
      </c>
      <c r="M47" s="189">
        <v>20.66</v>
      </c>
      <c r="N47" s="189">
        <v>840</v>
      </c>
      <c r="O47" s="189" t="s">
        <v>904</v>
      </c>
      <c r="P47" s="189" t="s">
        <v>905</v>
      </c>
      <c r="Q47" s="189" t="s">
        <v>253</v>
      </c>
      <c r="R47" s="189" t="s">
        <v>253</v>
      </c>
      <c r="S47" s="189" t="s">
        <v>257</v>
      </c>
      <c r="T47" s="189" t="s">
        <v>261</v>
      </c>
      <c r="U47" s="189" t="s">
        <v>258</v>
      </c>
      <c r="V47" s="189" t="s">
        <v>253</v>
      </c>
      <c r="W47" s="189" t="s">
        <v>253</v>
      </c>
      <c r="X47" s="189" t="s">
        <v>1059</v>
      </c>
      <c r="Y47" s="189" t="s">
        <v>1060</v>
      </c>
    </row>
    <row r="48" spans="1:25" x14ac:dyDescent="0.2">
      <c r="A48" s="189">
        <v>375</v>
      </c>
      <c r="B48" s="189" t="s">
        <v>1061</v>
      </c>
      <c r="C48" s="189" t="s">
        <v>253</v>
      </c>
      <c r="D48" s="189" t="s">
        <v>253</v>
      </c>
      <c r="E48" s="189" t="s">
        <v>940</v>
      </c>
      <c r="F48" s="189" t="s">
        <v>941</v>
      </c>
      <c r="G48" s="189" t="s">
        <v>522</v>
      </c>
      <c r="H48" s="189" t="s">
        <v>521</v>
      </c>
      <c r="I48" s="189">
        <v>14693</v>
      </c>
      <c r="J48" s="189">
        <v>1361.1861749463701</v>
      </c>
      <c r="K48" s="189">
        <v>458.99991257015301</v>
      </c>
      <c r="L48" s="189">
        <v>-21.96</v>
      </c>
      <c r="M48" s="189">
        <v>18.97</v>
      </c>
      <c r="N48" s="189">
        <v>738</v>
      </c>
      <c r="O48" s="189" t="s">
        <v>602</v>
      </c>
      <c r="P48" s="189" t="s">
        <v>603</v>
      </c>
      <c r="Q48" s="189" t="s">
        <v>253</v>
      </c>
      <c r="R48" s="189" t="s">
        <v>253</v>
      </c>
      <c r="S48" s="189" t="s">
        <v>257</v>
      </c>
      <c r="T48" s="189" t="s">
        <v>253</v>
      </c>
      <c r="U48" s="189" t="s">
        <v>253</v>
      </c>
      <c r="V48" s="189" t="s">
        <v>253</v>
      </c>
      <c r="W48" s="189" t="s">
        <v>253</v>
      </c>
      <c r="X48" s="189" t="s">
        <v>1062</v>
      </c>
      <c r="Y48" s="189" t="s">
        <v>1063</v>
      </c>
    </row>
    <row r="49" spans="1:25" x14ac:dyDescent="0.2">
      <c r="A49" s="189">
        <v>394</v>
      </c>
      <c r="B49" s="189" t="s">
        <v>1064</v>
      </c>
      <c r="C49" s="189" t="s">
        <v>253</v>
      </c>
      <c r="D49" s="189" t="s">
        <v>253</v>
      </c>
      <c r="E49" s="189" t="s">
        <v>940</v>
      </c>
      <c r="F49" s="189" t="s">
        <v>941</v>
      </c>
      <c r="G49" s="189" t="s">
        <v>340</v>
      </c>
      <c r="H49" s="189" t="s">
        <v>521</v>
      </c>
      <c r="I49" s="189">
        <v>6337</v>
      </c>
      <c r="J49" s="189">
        <v>1539.2421896787</v>
      </c>
      <c r="K49" s="189">
        <v>540.19454514893403</v>
      </c>
      <c r="L49" s="189">
        <v>-24.59</v>
      </c>
      <c r="M49" s="189">
        <v>24.72</v>
      </c>
      <c r="N49" s="189">
        <v>82</v>
      </c>
      <c r="O49" s="189" t="s">
        <v>602</v>
      </c>
      <c r="P49" s="189" t="s">
        <v>603</v>
      </c>
      <c r="Q49" s="189" t="s">
        <v>253</v>
      </c>
      <c r="R49" s="189" t="s">
        <v>253</v>
      </c>
      <c r="S49" s="189" t="s">
        <v>257</v>
      </c>
      <c r="T49" s="189" t="s">
        <v>253</v>
      </c>
      <c r="U49" s="189" t="s">
        <v>253</v>
      </c>
      <c r="V49" s="189" t="s">
        <v>253</v>
      </c>
      <c r="W49" s="189" t="s">
        <v>253</v>
      </c>
      <c r="X49" s="189" t="s">
        <v>1065</v>
      </c>
      <c r="Y49" s="189" t="s">
        <v>1066</v>
      </c>
    </row>
    <row r="50" spans="1:25" x14ac:dyDescent="0.2">
      <c r="A50" s="189">
        <v>408</v>
      </c>
      <c r="B50" s="189" t="s">
        <v>1067</v>
      </c>
      <c r="C50" s="189" t="s">
        <v>253</v>
      </c>
      <c r="D50" s="189" t="s">
        <v>253</v>
      </c>
      <c r="E50" s="189" t="s">
        <v>940</v>
      </c>
      <c r="F50" s="189" t="s">
        <v>941</v>
      </c>
      <c r="G50" s="189" t="s">
        <v>340</v>
      </c>
      <c r="H50" s="189" t="s">
        <v>521</v>
      </c>
      <c r="I50" s="189">
        <v>5290</v>
      </c>
      <c r="J50" s="189">
        <v>1438.3522147773599</v>
      </c>
      <c r="K50" s="189">
        <v>379.10922063920998</v>
      </c>
      <c r="L50" s="189">
        <v>-19.38</v>
      </c>
      <c r="M50" s="189">
        <v>21.46</v>
      </c>
      <c r="N50" s="189">
        <v>161</v>
      </c>
      <c r="O50" s="189" t="s">
        <v>967</v>
      </c>
      <c r="P50" s="189" t="s">
        <v>968</v>
      </c>
      <c r="Q50" s="189" t="s">
        <v>253</v>
      </c>
      <c r="R50" s="189" t="s">
        <v>253</v>
      </c>
      <c r="S50" s="189" t="s">
        <v>257</v>
      </c>
      <c r="T50" s="189" t="s">
        <v>253</v>
      </c>
      <c r="U50" s="189" t="s">
        <v>258</v>
      </c>
      <c r="V50" s="189" t="s">
        <v>253</v>
      </c>
      <c r="W50" s="189" t="s">
        <v>253</v>
      </c>
      <c r="X50" s="189" t="s">
        <v>1068</v>
      </c>
      <c r="Y50" s="189" t="s">
        <v>1069</v>
      </c>
    </row>
    <row r="51" spans="1:25" x14ac:dyDescent="0.2">
      <c r="A51" s="189">
        <v>424</v>
      </c>
      <c r="B51" s="189" t="s">
        <v>1070</v>
      </c>
      <c r="C51" s="189" t="s">
        <v>253</v>
      </c>
      <c r="D51" s="189" t="s">
        <v>253</v>
      </c>
      <c r="E51" s="189" t="s">
        <v>940</v>
      </c>
      <c r="F51" s="189" t="s">
        <v>941</v>
      </c>
      <c r="G51" s="189" t="s">
        <v>522</v>
      </c>
      <c r="H51" s="189" t="s">
        <v>521</v>
      </c>
      <c r="I51" s="189">
        <v>14585</v>
      </c>
      <c r="J51" s="189">
        <v>1376.8334627204199</v>
      </c>
      <c r="K51" s="189">
        <v>378.42805761421999</v>
      </c>
      <c r="L51" s="189">
        <v>-19.350000000000001</v>
      </c>
      <c r="M51" s="189">
        <v>19.47</v>
      </c>
      <c r="N51" s="189">
        <v>472</v>
      </c>
      <c r="O51" s="189" t="s">
        <v>945</v>
      </c>
      <c r="P51" s="189" t="s">
        <v>946</v>
      </c>
      <c r="Q51" s="189" t="s">
        <v>253</v>
      </c>
      <c r="R51" s="189" t="s">
        <v>253</v>
      </c>
      <c r="S51" s="189" t="s">
        <v>253</v>
      </c>
      <c r="T51" s="189" t="s">
        <v>261</v>
      </c>
      <c r="U51" s="189" t="s">
        <v>253</v>
      </c>
      <c r="V51" s="189" t="s">
        <v>253</v>
      </c>
      <c r="W51" s="189" t="s">
        <v>253</v>
      </c>
      <c r="X51" s="189" t="s">
        <v>1071</v>
      </c>
      <c r="Y51" s="189" t="s">
        <v>1072</v>
      </c>
    </row>
    <row r="52" spans="1:25" x14ac:dyDescent="0.2">
      <c r="A52" s="189">
        <v>430</v>
      </c>
      <c r="B52" s="189" t="s">
        <v>1073</v>
      </c>
      <c r="C52" s="189" t="s">
        <v>253</v>
      </c>
      <c r="D52" s="189" t="s">
        <v>253</v>
      </c>
      <c r="E52" s="189" t="s">
        <v>940</v>
      </c>
      <c r="F52" s="189" t="s">
        <v>941</v>
      </c>
      <c r="G52" s="189" t="s">
        <v>340</v>
      </c>
      <c r="H52" s="189" t="s">
        <v>521</v>
      </c>
      <c r="I52" s="189">
        <v>20955</v>
      </c>
      <c r="J52" s="189">
        <v>1501.6419906992601</v>
      </c>
      <c r="K52" s="189">
        <v>651.78851044297301</v>
      </c>
      <c r="L52" s="189">
        <v>-28.21</v>
      </c>
      <c r="M52" s="189">
        <v>23.5</v>
      </c>
      <c r="N52" s="189">
        <v>82</v>
      </c>
      <c r="O52" s="189" t="s">
        <v>564</v>
      </c>
      <c r="P52" s="189" t="s">
        <v>565</v>
      </c>
      <c r="Q52" s="189" t="s">
        <v>253</v>
      </c>
      <c r="R52" s="189" t="s">
        <v>253</v>
      </c>
      <c r="S52" s="189" t="s">
        <v>257</v>
      </c>
      <c r="T52" s="189" t="s">
        <v>261</v>
      </c>
      <c r="U52" s="189" t="s">
        <v>258</v>
      </c>
      <c r="V52" s="189" t="s">
        <v>297</v>
      </c>
      <c r="W52" s="189" t="s">
        <v>253</v>
      </c>
      <c r="X52" s="189" t="s">
        <v>1074</v>
      </c>
      <c r="Y52" s="189" t="s">
        <v>1075</v>
      </c>
    </row>
    <row r="53" spans="1:25" x14ac:dyDescent="0.2">
      <c r="A53" s="189">
        <v>446</v>
      </c>
      <c r="B53" s="189" t="s">
        <v>1076</v>
      </c>
      <c r="C53" s="189" t="s">
        <v>253</v>
      </c>
      <c r="D53" s="189" t="s">
        <v>253</v>
      </c>
      <c r="E53" s="189" t="s">
        <v>940</v>
      </c>
      <c r="F53" s="189" t="s">
        <v>941</v>
      </c>
      <c r="G53" s="189" t="s">
        <v>522</v>
      </c>
      <c r="H53" s="189" t="s">
        <v>521</v>
      </c>
      <c r="I53" s="189">
        <v>4759</v>
      </c>
      <c r="J53" s="189">
        <v>1373.71957460618</v>
      </c>
      <c r="K53" s="189">
        <v>115.88836598244799</v>
      </c>
      <c r="L53" s="189">
        <v>-10.85</v>
      </c>
      <c r="M53" s="189">
        <v>19.37</v>
      </c>
      <c r="N53" s="189">
        <v>2392</v>
      </c>
      <c r="O53" s="189" t="s">
        <v>913</v>
      </c>
      <c r="P53" s="189" t="s">
        <v>914</v>
      </c>
      <c r="Q53" s="189" t="s">
        <v>253</v>
      </c>
      <c r="R53" s="189" t="s">
        <v>253</v>
      </c>
      <c r="S53" s="189" t="s">
        <v>257</v>
      </c>
      <c r="T53" s="189" t="s">
        <v>253</v>
      </c>
      <c r="U53" s="189" t="s">
        <v>253</v>
      </c>
      <c r="V53" s="189" t="s">
        <v>253</v>
      </c>
      <c r="W53" s="189" t="s">
        <v>253</v>
      </c>
      <c r="X53" s="189" t="s">
        <v>1077</v>
      </c>
      <c r="Y53" s="189" t="s">
        <v>1078</v>
      </c>
    </row>
    <row r="54" spans="1:25" x14ac:dyDescent="0.2">
      <c r="A54" s="189">
        <v>465</v>
      </c>
      <c r="B54" s="189" t="s">
        <v>1079</v>
      </c>
      <c r="C54" s="189" t="s">
        <v>253</v>
      </c>
      <c r="D54" s="189" t="s">
        <v>253</v>
      </c>
      <c r="E54" s="189" t="s">
        <v>940</v>
      </c>
      <c r="F54" s="189" t="s">
        <v>941</v>
      </c>
      <c r="G54" s="189" t="s">
        <v>340</v>
      </c>
      <c r="H54" s="189" t="s">
        <v>521</v>
      </c>
      <c r="I54" s="189">
        <v>12579</v>
      </c>
      <c r="J54" s="189">
        <v>1414.68666510914</v>
      </c>
      <c r="K54" s="189">
        <v>892.84237408649699</v>
      </c>
      <c r="L54" s="189">
        <v>-36.01</v>
      </c>
      <c r="M54" s="189">
        <v>20.69</v>
      </c>
      <c r="N54" s="189">
        <v>82</v>
      </c>
      <c r="O54" s="189" t="s">
        <v>542</v>
      </c>
      <c r="P54" s="189" t="s">
        <v>543</v>
      </c>
      <c r="Q54" s="189" t="s">
        <v>253</v>
      </c>
      <c r="R54" s="189" t="s">
        <v>253</v>
      </c>
      <c r="S54" s="189" t="s">
        <v>257</v>
      </c>
      <c r="T54" s="189" t="s">
        <v>253</v>
      </c>
      <c r="U54" s="189" t="s">
        <v>253</v>
      </c>
      <c r="V54" s="189" t="s">
        <v>253</v>
      </c>
      <c r="W54" s="189" t="s">
        <v>253</v>
      </c>
      <c r="X54" s="189" t="s">
        <v>1080</v>
      </c>
      <c r="Y54" s="189" t="s">
        <v>1081</v>
      </c>
    </row>
    <row r="55" spans="1:25" x14ac:dyDescent="0.2">
      <c r="A55" s="189">
        <v>491</v>
      </c>
      <c r="B55" s="189" t="s">
        <v>1082</v>
      </c>
      <c r="C55" s="189" t="s">
        <v>253</v>
      </c>
      <c r="D55" s="189" t="s">
        <v>253</v>
      </c>
      <c r="E55" s="189" t="s">
        <v>940</v>
      </c>
      <c r="F55" s="189" t="s">
        <v>941</v>
      </c>
      <c r="G55" s="189" t="s">
        <v>340</v>
      </c>
      <c r="H55" s="189" t="s">
        <v>521</v>
      </c>
      <c r="I55" s="189">
        <v>8667</v>
      </c>
      <c r="J55" s="189">
        <v>1478.6965276574599</v>
      </c>
      <c r="K55" s="189">
        <v>330.39633345208398</v>
      </c>
      <c r="L55" s="189">
        <v>-17.8</v>
      </c>
      <c r="M55" s="189">
        <v>22.76</v>
      </c>
      <c r="N55" s="189">
        <v>328</v>
      </c>
      <c r="O55" s="189" t="s">
        <v>913</v>
      </c>
      <c r="P55" s="189" t="s">
        <v>914</v>
      </c>
      <c r="Q55" s="189" t="s">
        <v>253</v>
      </c>
      <c r="R55" s="189" t="s">
        <v>253</v>
      </c>
      <c r="S55" s="189" t="s">
        <v>257</v>
      </c>
      <c r="T55" s="189" t="s">
        <v>253</v>
      </c>
      <c r="U55" s="189" t="s">
        <v>253</v>
      </c>
      <c r="V55" s="189" t="s">
        <v>253</v>
      </c>
      <c r="W55" s="189" t="s">
        <v>253</v>
      </c>
      <c r="X55" s="189" t="s">
        <v>1083</v>
      </c>
      <c r="Y55" s="189" t="s">
        <v>1084</v>
      </c>
    </row>
    <row r="56" spans="1:25" x14ac:dyDescent="0.2">
      <c r="A56" s="189">
        <v>498</v>
      </c>
      <c r="B56" s="189" t="s">
        <v>1085</v>
      </c>
      <c r="C56" s="189" t="s">
        <v>253</v>
      </c>
      <c r="D56" s="189" t="s">
        <v>253</v>
      </c>
      <c r="E56" s="189" t="s">
        <v>940</v>
      </c>
      <c r="F56" s="189" t="s">
        <v>941</v>
      </c>
      <c r="G56" s="189" t="s">
        <v>522</v>
      </c>
      <c r="H56" s="189" t="s">
        <v>521</v>
      </c>
      <c r="I56" s="189">
        <v>3731</v>
      </c>
      <c r="J56" s="189">
        <v>1327.32264170402</v>
      </c>
      <c r="K56" s="189">
        <v>81.285284312967605</v>
      </c>
      <c r="L56" s="189">
        <v>-9.73</v>
      </c>
      <c r="M56" s="189">
        <v>17.87</v>
      </c>
      <c r="N56" s="189">
        <v>397</v>
      </c>
      <c r="O56" s="189" t="s">
        <v>1086</v>
      </c>
      <c r="P56" s="189" t="s">
        <v>1087</v>
      </c>
      <c r="Q56" s="189" t="s">
        <v>253</v>
      </c>
      <c r="R56" s="189" t="s">
        <v>253</v>
      </c>
      <c r="S56" s="189" t="s">
        <v>257</v>
      </c>
      <c r="T56" s="189" t="s">
        <v>261</v>
      </c>
      <c r="U56" s="189" t="s">
        <v>258</v>
      </c>
      <c r="V56" s="189" t="s">
        <v>253</v>
      </c>
      <c r="W56" s="189" t="s">
        <v>253</v>
      </c>
      <c r="X56" s="189" t="s">
        <v>1088</v>
      </c>
      <c r="Y56" s="189" t="s">
        <v>1089</v>
      </c>
    </row>
    <row r="57" spans="1:25" x14ac:dyDescent="0.2">
      <c r="A57" s="189">
        <v>501</v>
      </c>
      <c r="B57" s="189" t="s">
        <v>1090</v>
      </c>
      <c r="C57" s="189" t="s">
        <v>253</v>
      </c>
      <c r="D57" s="189" t="s">
        <v>253</v>
      </c>
      <c r="E57" s="189" t="s">
        <v>940</v>
      </c>
      <c r="F57" s="189" t="s">
        <v>941</v>
      </c>
      <c r="G57" s="189" t="s">
        <v>522</v>
      </c>
      <c r="H57" s="189" t="s">
        <v>521</v>
      </c>
      <c r="I57" s="189">
        <v>16941</v>
      </c>
      <c r="J57" s="189">
        <v>1391.17680984664</v>
      </c>
      <c r="K57" s="189">
        <v>337.324734506266</v>
      </c>
      <c r="L57" s="189">
        <v>-18.02</v>
      </c>
      <c r="M57" s="189">
        <v>19.93</v>
      </c>
      <c r="N57" s="189">
        <v>738</v>
      </c>
      <c r="O57" s="189" t="s">
        <v>967</v>
      </c>
      <c r="P57" s="189" t="s">
        <v>968</v>
      </c>
      <c r="Q57" s="189" t="s">
        <v>253</v>
      </c>
      <c r="R57" s="189" t="s">
        <v>253</v>
      </c>
      <c r="S57" s="189" t="s">
        <v>257</v>
      </c>
      <c r="T57" s="189" t="s">
        <v>261</v>
      </c>
      <c r="U57" s="189" t="s">
        <v>258</v>
      </c>
      <c r="V57" s="189" t="s">
        <v>253</v>
      </c>
      <c r="W57" s="189" t="s">
        <v>253</v>
      </c>
      <c r="X57" s="189" t="s">
        <v>1091</v>
      </c>
      <c r="Y57" s="189" t="s">
        <v>1092</v>
      </c>
    </row>
    <row r="58" spans="1:25" x14ac:dyDescent="0.2">
      <c r="A58" s="189">
        <v>517</v>
      </c>
      <c r="B58" s="189" t="s">
        <v>1093</v>
      </c>
      <c r="C58" s="189" t="s">
        <v>253</v>
      </c>
      <c r="D58" s="189" t="s">
        <v>253</v>
      </c>
      <c r="E58" s="189" t="s">
        <v>940</v>
      </c>
      <c r="F58" s="189" t="s">
        <v>941</v>
      </c>
      <c r="G58" s="189" t="s">
        <v>340</v>
      </c>
      <c r="H58" s="189" t="s">
        <v>521</v>
      </c>
      <c r="I58" s="189">
        <v>15671</v>
      </c>
      <c r="J58" s="189">
        <v>1503</v>
      </c>
      <c r="K58" s="189">
        <v>382</v>
      </c>
      <c r="L58" s="189">
        <v>-19.47</v>
      </c>
      <c r="M58" s="189">
        <v>23.55</v>
      </c>
      <c r="N58" s="189">
        <v>52</v>
      </c>
      <c r="O58" s="189" t="s">
        <v>967</v>
      </c>
      <c r="P58" s="189" t="s">
        <v>968</v>
      </c>
      <c r="Q58" s="189" t="s">
        <v>253</v>
      </c>
      <c r="R58" s="189" t="s">
        <v>259</v>
      </c>
      <c r="S58" s="189" t="s">
        <v>253</v>
      </c>
      <c r="T58" s="189" t="s">
        <v>261</v>
      </c>
      <c r="U58" s="189" t="s">
        <v>258</v>
      </c>
      <c r="V58" s="189" t="s">
        <v>253</v>
      </c>
      <c r="W58" s="189" t="s">
        <v>253</v>
      </c>
      <c r="X58" s="189" t="s">
        <v>1094</v>
      </c>
      <c r="Y58" s="189" t="s">
        <v>1095</v>
      </c>
    </row>
    <row r="59" spans="1:25" x14ac:dyDescent="0.2">
      <c r="A59" s="189">
        <v>520</v>
      </c>
      <c r="B59" s="189" t="s">
        <v>1096</v>
      </c>
      <c r="C59" s="189" t="s">
        <v>253</v>
      </c>
      <c r="D59" s="189" t="s">
        <v>253</v>
      </c>
      <c r="E59" s="189" t="s">
        <v>940</v>
      </c>
      <c r="F59" s="189" t="s">
        <v>941</v>
      </c>
      <c r="G59" s="189" t="s">
        <v>522</v>
      </c>
      <c r="H59" s="189" t="s">
        <v>521</v>
      </c>
      <c r="I59" s="189">
        <v>13036</v>
      </c>
      <c r="J59" s="189">
        <v>1398.0662872993901</v>
      </c>
      <c r="K59" s="189">
        <v>595.757986187386</v>
      </c>
      <c r="L59" s="189">
        <v>-26.39</v>
      </c>
      <c r="M59" s="189">
        <v>20.16</v>
      </c>
      <c r="N59" s="189">
        <v>2953</v>
      </c>
      <c r="O59" s="189" t="s">
        <v>538</v>
      </c>
      <c r="P59" s="189" t="s">
        <v>539</v>
      </c>
      <c r="Q59" s="189" t="s">
        <v>253</v>
      </c>
      <c r="R59" s="189" t="s">
        <v>253</v>
      </c>
      <c r="S59" s="189" t="s">
        <v>253</v>
      </c>
      <c r="T59" s="189" t="s">
        <v>253</v>
      </c>
      <c r="U59" s="189" t="s">
        <v>253</v>
      </c>
      <c r="V59" s="189" t="s">
        <v>253</v>
      </c>
      <c r="W59" s="189" t="s">
        <v>253</v>
      </c>
      <c r="X59" s="189" t="s">
        <v>1097</v>
      </c>
      <c r="Y59" s="189" t="s">
        <v>1098</v>
      </c>
    </row>
    <row r="60" spans="1:25" x14ac:dyDescent="0.2">
      <c r="A60" s="189">
        <v>534</v>
      </c>
      <c r="B60" s="189" t="s">
        <v>1099</v>
      </c>
      <c r="C60" s="189" t="s">
        <v>253</v>
      </c>
      <c r="D60" s="189" t="s">
        <v>253</v>
      </c>
      <c r="E60" s="189" t="s">
        <v>940</v>
      </c>
      <c r="F60" s="189" t="s">
        <v>941</v>
      </c>
      <c r="G60" s="189" t="s">
        <v>522</v>
      </c>
      <c r="H60" s="189" t="s">
        <v>521</v>
      </c>
      <c r="I60" s="189">
        <v>6789</v>
      </c>
      <c r="J60" s="189">
        <v>1417.5086262126699</v>
      </c>
      <c r="K60" s="189">
        <v>273.70410797222098</v>
      </c>
      <c r="L60" s="189">
        <v>-15.96</v>
      </c>
      <c r="M60" s="189">
        <v>20.79</v>
      </c>
      <c r="N60" s="189">
        <v>397</v>
      </c>
      <c r="O60" s="189" t="s">
        <v>913</v>
      </c>
      <c r="P60" s="189" t="s">
        <v>914</v>
      </c>
      <c r="Q60" s="189" t="s">
        <v>253</v>
      </c>
      <c r="R60" s="189" t="s">
        <v>253</v>
      </c>
      <c r="S60" s="189" t="s">
        <v>257</v>
      </c>
      <c r="T60" s="189" t="s">
        <v>253</v>
      </c>
      <c r="U60" s="189" t="s">
        <v>253</v>
      </c>
      <c r="V60" s="189" t="s">
        <v>253</v>
      </c>
      <c r="W60" s="189" t="s">
        <v>253</v>
      </c>
      <c r="X60" s="189" t="s">
        <v>1100</v>
      </c>
      <c r="Y60" s="189" t="s">
        <v>1101</v>
      </c>
    </row>
    <row r="61" spans="1:25" x14ac:dyDescent="0.2">
      <c r="A61" s="189">
        <v>535</v>
      </c>
      <c r="B61" s="189" t="s">
        <v>1102</v>
      </c>
      <c r="C61" s="189" t="s">
        <v>253</v>
      </c>
      <c r="D61" s="189" t="s">
        <v>253</v>
      </c>
      <c r="E61" s="189" t="s">
        <v>940</v>
      </c>
      <c r="F61" s="189" t="s">
        <v>941</v>
      </c>
      <c r="G61" s="189" t="s">
        <v>522</v>
      </c>
      <c r="H61" s="189" t="s">
        <v>521</v>
      </c>
      <c r="I61" s="189">
        <v>6760</v>
      </c>
      <c r="J61" s="189">
        <v>1391.5855076616299</v>
      </c>
      <c r="K61" s="189">
        <v>291.78412083552098</v>
      </c>
      <c r="L61" s="189">
        <v>-16.55</v>
      </c>
      <c r="M61" s="189">
        <v>19.95</v>
      </c>
      <c r="N61" s="189">
        <v>1063</v>
      </c>
      <c r="O61" s="189" t="s">
        <v>967</v>
      </c>
      <c r="P61" s="189" t="s">
        <v>968</v>
      </c>
      <c r="Q61" s="189" t="s">
        <v>253</v>
      </c>
      <c r="R61" s="189" t="s">
        <v>253</v>
      </c>
      <c r="S61" s="189" t="s">
        <v>257</v>
      </c>
      <c r="T61" s="189" t="s">
        <v>253</v>
      </c>
      <c r="U61" s="189" t="s">
        <v>253</v>
      </c>
      <c r="V61" s="189" t="s">
        <v>253</v>
      </c>
      <c r="W61" s="189" t="s">
        <v>253</v>
      </c>
      <c r="X61" s="189" t="s">
        <v>1103</v>
      </c>
      <c r="Y61" s="189" t="s">
        <v>1104</v>
      </c>
    </row>
    <row r="62" spans="1:25" x14ac:dyDescent="0.2">
      <c r="A62" s="189">
        <v>539</v>
      </c>
      <c r="B62" s="189" t="s">
        <v>1105</v>
      </c>
      <c r="C62" s="189" t="s">
        <v>253</v>
      </c>
      <c r="D62" s="189" t="s">
        <v>253</v>
      </c>
      <c r="E62" s="189" t="s">
        <v>940</v>
      </c>
      <c r="F62" s="189" t="s">
        <v>941</v>
      </c>
      <c r="G62" s="189" t="s">
        <v>340</v>
      </c>
      <c r="H62" s="189" t="s">
        <v>521</v>
      </c>
      <c r="I62" s="189">
        <v>1896</v>
      </c>
      <c r="J62" s="189">
        <v>1333.08333471536</v>
      </c>
      <c r="K62" s="189">
        <v>738.72437423238205</v>
      </c>
      <c r="L62" s="189">
        <v>-31.02</v>
      </c>
      <c r="M62" s="189">
        <v>18.059999999999999</v>
      </c>
      <c r="N62" s="189">
        <v>1447</v>
      </c>
      <c r="O62" s="189" t="s">
        <v>542</v>
      </c>
      <c r="P62" s="189" t="s">
        <v>543</v>
      </c>
      <c r="Q62" s="189" t="s">
        <v>253</v>
      </c>
      <c r="R62" s="189" t="s">
        <v>253</v>
      </c>
      <c r="S62" s="189" t="s">
        <v>253</v>
      </c>
      <c r="T62" s="189" t="s">
        <v>253</v>
      </c>
      <c r="U62" s="189" t="s">
        <v>253</v>
      </c>
      <c r="V62" s="189" t="s">
        <v>253</v>
      </c>
      <c r="W62" s="189" t="s">
        <v>253</v>
      </c>
      <c r="X62" s="189" t="s">
        <v>1106</v>
      </c>
      <c r="Y62" s="189" t="s">
        <v>1107</v>
      </c>
    </row>
    <row r="63" spans="1:25" x14ac:dyDescent="0.2">
      <c r="A63" s="189">
        <v>540</v>
      </c>
      <c r="B63" s="189" t="s">
        <v>1108</v>
      </c>
      <c r="C63" s="189" t="s">
        <v>253</v>
      </c>
      <c r="D63" s="189" t="s">
        <v>253</v>
      </c>
      <c r="E63" s="189" t="s">
        <v>940</v>
      </c>
      <c r="F63" s="189" t="s">
        <v>941</v>
      </c>
      <c r="G63" s="189" t="s">
        <v>340</v>
      </c>
      <c r="H63" s="189" t="s">
        <v>521</v>
      </c>
      <c r="I63" s="189">
        <v>19012</v>
      </c>
      <c r="J63" s="189">
        <v>1357.58574181428</v>
      </c>
      <c r="K63" s="189">
        <v>762.95431612130403</v>
      </c>
      <c r="L63" s="189">
        <v>-31.81</v>
      </c>
      <c r="M63" s="189">
        <v>18.850000000000001</v>
      </c>
      <c r="N63" s="189">
        <v>1063</v>
      </c>
      <c r="O63" s="189" t="s">
        <v>538</v>
      </c>
      <c r="P63" s="189" t="s">
        <v>539</v>
      </c>
      <c r="Q63" s="189" t="s">
        <v>253</v>
      </c>
      <c r="R63" s="189" t="s">
        <v>253</v>
      </c>
      <c r="S63" s="189" t="s">
        <v>253</v>
      </c>
      <c r="T63" s="189" t="s">
        <v>261</v>
      </c>
      <c r="U63" s="189" t="s">
        <v>258</v>
      </c>
      <c r="V63" s="189" t="s">
        <v>253</v>
      </c>
      <c r="W63" s="189" t="s">
        <v>253</v>
      </c>
      <c r="X63" s="189" t="s">
        <v>1109</v>
      </c>
      <c r="Y63" s="189" t="s">
        <v>1110</v>
      </c>
    </row>
    <row r="64" spans="1:25" x14ac:dyDescent="0.2">
      <c r="A64" s="189">
        <v>558</v>
      </c>
      <c r="B64" s="189" t="s">
        <v>1111</v>
      </c>
      <c r="C64" s="189" t="s">
        <v>253</v>
      </c>
      <c r="D64" s="189" t="s">
        <v>253</v>
      </c>
      <c r="E64" s="189" t="s">
        <v>940</v>
      </c>
      <c r="F64" s="189" t="s">
        <v>941</v>
      </c>
      <c r="G64" s="189" t="s">
        <v>340</v>
      </c>
      <c r="H64" s="189" t="s">
        <v>521</v>
      </c>
      <c r="I64" s="189">
        <v>4047</v>
      </c>
      <c r="J64" s="189">
        <v>1464.4894131362501</v>
      </c>
      <c r="K64" s="189">
        <v>206.63874271179901</v>
      </c>
      <c r="L64" s="189">
        <v>-13.79</v>
      </c>
      <c r="M64" s="189">
        <v>22.3</v>
      </c>
      <c r="N64" s="189">
        <v>472</v>
      </c>
      <c r="O64" s="189" t="s">
        <v>918</v>
      </c>
      <c r="P64" s="189" t="s">
        <v>919</v>
      </c>
      <c r="Q64" s="189" t="s">
        <v>253</v>
      </c>
      <c r="R64" s="189" t="s">
        <v>253</v>
      </c>
      <c r="S64" s="189" t="s">
        <v>253</v>
      </c>
      <c r="T64" s="189" t="s">
        <v>253</v>
      </c>
      <c r="U64" s="189" t="s">
        <v>253</v>
      </c>
      <c r="V64" s="189" t="s">
        <v>253</v>
      </c>
      <c r="W64" s="189" t="s">
        <v>253</v>
      </c>
      <c r="X64" s="189" t="s">
        <v>1112</v>
      </c>
      <c r="Y64" s="189" t="s">
        <v>1113</v>
      </c>
    </row>
    <row r="65" spans="1:25" x14ac:dyDescent="0.2">
      <c r="A65" s="189">
        <v>571</v>
      </c>
      <c r="B65" s="189" t="s">
        <v>1114</v>
      </c>
      <c r="C65" s="189" t="s">
        <v>253</v>
      </c>
      <c r="D65" s="189" t="s">
        <v>253</v>
      </c>
      <c r="E65" s="189" t="s">
        <v>940</v>
      </c>
      <c r="F65" s="189" t="s">
        <v>941</v>
      </c>
      <c r="G65" s="189" t="s">
        <v>340</v>
      </c>
      <c r="H65" s="189" t="s">
        <v>521</v>
      </c>
      <c r="I65" s="189">
        <v>13544</v>
      </c>
      <c r="J65" s="189">
        <v>1499.8320432328601</v>
      </c>
      <c r="K65" s="189">
        <v>147.24132693269101</v>
      </c>
      <c r="L65" s="189">
        <v>-11.87</v>
      </c>
      <c r="M65" s="189">
        <v>23.44</v>
      </c>
      <c r="N65" s="189">
        <v>210</v>
      </c>
      <c r="O65" s="189" t="s">
        <v>1086</v>
      </c>
      <c r="P65" s="189" t="s">
        <v>1087</v>
      </c>
      <c r="Q65" s="189" t="s">
        <v>253</v>
      </c>
      <c r="R65" s="189" t="s">
        <v>253</v>
      </c>
      <c r="S65" s="189" t="s">
        <v>253</v>
      </c>
      <c r="T65" s="189" t="s">
        <v>261</v>
      </c>
      <c r="U65" s="189" t="s">
        <v>258</v>
      </c>
      <c r="V65" s="189" t="s">
        <v>253</v>
      </c>
      <c r="W65" s="189" t="s">
        <v>253</v>
      </c>
      <c r="X65" s="189" t="s">
        <v>1115</v>
      </c>
      <c r="Y65" s="189" t="s">
        <v>1116</v>
      </c>
    </row>
    <row r="66" spans="1:25" x14ac:dyDescent="0.2">
      <c r="A66" s="189">
        <v>579</v>
      </c>
      <c r="B66" s="189" t="s">
        <v>1117</v>
      </c>
      <c r="C66" s="189" t="s">
        <v>253</v>
      </c>
      <c r="D66" s="189" t="s">
        <v>253</v>
      </c>
      <c r="E66" s="189" t="s">
        <v>940</v>
      </c>
      <c r="F66" s="189" t="s">
        <v>941</v>
      </c>
      <c r="G66" s="189" t="s">
        <v>522</v>
      </c>
      <c r="H66" s="189" t="s">
        <v>521</v>
      </c>
      <c r="I66" s="189">
        <v>1893</v>
      </c>
      <c r="J66" s="189">
        <v>1419.8440422983499</v>
      </c>
      <c r="K66" s="189">
        <v>579.37114998620302</v>
      </c>
      <c r="L66" s="189">
        <v>-25.86</v>
      </c>
      <c r="M66" s="189">
        <v>20.86</v>
      </c>
      <c r="N66" s="189">
        <v>1588</v>
      </c>
      <c r="O66" s="189" t="s">
        <v>554</v>
      </c>
      <c r="P66" s="189" t="s">
        <v>555</v>
      </c>
      <c r="Q66" s="189" t="s">
        <v>253</v>
      </c>
      <c r="R66" s="189" t="s">
        <v>253</v>
      </c>
      <c r="S66" s="189" t="s">
        <v>257</v>
      </c>
      <c r="T66" s="189" t="s">
        <v>253</v>
      </c>
      <c r="U66" s="189" t="s">
        <v>253</v>
      </c>
      <c r="V66" s="189" t="s">
        <v>253</v>
      </c>
      <c r="W66" s="189" t="s">
        <v>253</v>
      </c>
      <c r="X66" s="189" t="s">
        <v>1118</v>
      </c>
      <c r="Y66" s="189" t="s">
        <v>1119</v>
      </c>
    </row>
    <row r="67" spans="1:25" x14ac:dyDescent="0.2">
      <c r="A67" s="189">
        <v>591</v>
      </c>
      <c r="B67" s="189" t="s">
        <v>1120</v>
      </c>
      <c r="C67" s="189" t="s">
        <v>253</v>
      </c>
      <c r="D67" s="189" t="s">
        <v>253</v>
      </c>
      <c r="E67" s="189" t="s">
        <v>940</v>
      </c>
      <c r="F67" s="189" t="s">
        <v>941</v>
      </c>
      <c r="G67" s="189" t="s">
        <v>340</v>
      </c>
      <c r="H67" s="189" t="s">
        <v>521</v>
      </c>
      <c r="I67" s="189">
        <v>8852</v>
      </c>
      <c r="J67" s="189">
        <v>1403.6712859050201</v>
      </c>
      <c r="K67" s="189">
        <v>37.515694507196102</v>
      </c>
      <c r="L67" s="189">
        <v>-8.31</v>
      </c>
      <c r="M67" s="189">
        <v>20.34</v>
      </c>
      <c r="N67" s="189">
        <v>82</v>
      </c>
      <c r="O67" s="189" t="s">
        <v>987</v>
      </c>
      <c r="P67" s="189" t="s">
        <v>988</v>
      </c>
      <c r="Q67" s="189" t="s">
        <v>253</v>
      </c>
      <c r="R67" s="189" t="s">
        <v>253</v>
      </c>
      <c r="S67" s="189" t="s">
        <v>253</v>
      </c>
      <c r="T67" s="189" t="s">
        <v>253</v>
      </c>
      <c r="U67" s="189" t="s">
        <v>253</v>
      </c>
      <c r="V67" s="189" t="s">
        <v>253</v>
      </c>
      <c r="W67" s="189" t="s">
        <v>253</v>
      </c>
      <c r="X67" s="189" t="s">
        <v>1121</v>
      </c>
      <c r="Y67" s="189" t="s">
        <v>1122</v>
      </c>
    </row>
    <row r="68" spans="1:25" x14ac:dyDescent="0.2">
      <c r="A68" s="189">
        <v>592</v>
      </c>
      <c r="B68" s="189" t="s">
        <v>1123</v>
      </c>
      <c r="C68" s="189" t="s">
        <v>253</v>
      </c>
      <c r="D68" s="189" t="s">
        <v>253</v>
      </c>
      <c r="E68" s="189" t="s">
        <v>940</v>
      </c>
      <c r="F68" s="189" t="s">
        <v>941</v>
      </c>
      <c r="G68" s="189" t="s">
        <v>340</v>
      </c>
      <c r="H68" s="189" t="s">
        <v>521</v>
      </c>
      <c r="I68" s="189">
        <v>6909</v>
      </c>
      <c r="J68" s="189">
        <v>1381.8351455039201</v>
      </c>
      <c r="K68" s="189">
        <v>48.667306316314402</v>
      </c>
      <c r="L68" s="189">
        <v>-8.68</v>
      </c>
      <c r="M68" s="189">
        <v>19.63</v>
      </c>
      <c r="N68" s="189">
        <v>13</v>
      </c>
      <c r="O68" s="189" t="s">
        <v>987</v>
      </c>
      <c r="P68" s="189" t="s">
        <v>988</v>
      </c>
      <c r="Q68" s="189" t="s">
        <v>253</v>
      </c>
      <c r="R68" s="189" t="s">
        <v>253</v>
      </c>
      <c r="S68" s="189" t="s">
        <v>257</v>
      </c>
      <c r="T68" s="189" t="s">
        <v>253</v>
      </c>
      <c r="U68" s="189" t="s">
        <v>253</v>
      </c>
      <c r="V68" s="189" t="s">
        <v>253</v>
      </c>
      <c r="W68" s="189" t="s">
        <v>253</v>
      </c>
      <c r="X68" s="189" t="s">
        <v>1124</v>
      </c>
      <c r="Y68" s="189" t="s">
        <v>1125</v>
      </c>
    </row>
    <row r="69" spans="1:25" x14ac:dyDescent="0.2">
      <c r="A69" s="189">
        <v>600</v>
      </c>
      <c r="B69" s="189" t="s">
        <v>1126</v>
      </c>
      <c r="C69" s="189" t="s">
        <v>253</v>
      </c>
      <c r="D69" s="189" t="s">
        <v>253</v>
      </c>
      <c r="E69" s="189" t="s">
        <v>940</v>
      </c>
      <c r="F69" s="189" t="s">
        <v>941</v>
      </c>
      <c r="G69" s="189" t="s">
        <v>340</v>
      </c>
      <c r="H69" s="189" t="s">
        <v>521</v>
      </c>
      <c r="I69" s="189">
        <v>4011</v>
      </c>
      <c r="J69" s="189">
        <v>1484.6518386759501</v>
      </c>
      <c r="K69" s="189">
        <v>589.86106057104598</v>
      </c>
      <c r="L69" s="189">
        <v>-26.2</v>
      </c>
      <c r="M69" s="189">
        <v>22.95</v>
      </c>
      <c r="N69" s="189">
        <v>161</v>
      </c>
      <c r="O69" s="189" t="s">
        <v>568</v>
      </c>
      <c r="P69" s="189" t="s">
        <v>569</v>
      </c>
      <c r="Q69" s="189" t="s">
        <v>253</v>
      </c>
      <c r="R69" s="189" t="s">
        <v>253</v>
      </c>
      <c r="S69" s="189" t="s">
        <v>253</v>
      </c>
      <c r="T69" s="189" t="s">
        <v>253</v>
      </c>
      <c r="U69" s="189" t="s">
        <v>253</v>
      </c>
      <c r="V69" s="189" t="s">
        <v>253</v>
      </c>
      <c r="W69" s="189" t="s">
        <v>253</v>
      </c>
      <c r="X69" s="189" t="s">
        <v>1127</v>
      </c>
      <c r="Y69" s="189" t="s">
        <v>1128</v>
      </c>
    </row>
    <row r="70" spans="1:25" x14ac:dyDescent="0.2">
      <c r="A70" s="189">
        <v>601</v>
      </c>
      <c r="B70" s="189" t="s">
        <v>1129</v>
      </c>
      <c r="C70" s="189" t="s">
        <v>253</v>
      </c>
      <c r="D70" s="189" t="s">
        <v>253</v>
      </c>
      <c r="E70" s="189" t="s">
        <v>940</v>
      </c>
      <c r="F70" s="189" t="s">
        <v>941</v>
      </c>
      <c r="G70" s="189" t="s">
        <v>340</v>
      </c>
      <c r="H70" s="189" t="s">
        <v>521</v>
      </c>
      <c r="I70" s="189">
        <v>16393</v>
      </c>
      <c r="J70" s="189">
        <v>1294.84089631237</v>
      </c>
      <c r="K70" s="189">
        <v>761.82553167989295</v>
      </c>
      <c r="L70" s="189">
        <v>-31.77</v>
      </c>
      <c r="M70" s="189">
        <v>16.82</v>
      </c>
      <c r="N70" s="189">
        <v>554</v>
      </c>
      <c r="O70" s="189" t="s">
        <v>542</v>
      </c>
      <c r="P70" s="189" t="s">
        <v>543</v>
      </c>
      <c r="Q70" s="189" t="s">
        <v>253</v>
      </c>
      <c r="R70" s="189" t="s">
        <v>253</v>
      </c>
      <c r="S70" s="189" t="s">
        <v>257</v>
      </c>
      <c r="T70" s="189" t="s">
        <v>253</v>
      </c>
      <c r="U70" s="189" t="s">
        <v>258</v>
      </c>
      <c r="V70" s="189" t="s">
        <v>253</v>
      </c>
      <c r="W70" s="189" t="s">
        <v>253</v>
      </c>
      <c r="X70" s="189" t="s">
        <v>1130</v>
      </c>
      <c r="Y70" s="189" t="s">
        <v>1131</v>
      </c>
    </row>
    <row r="71" spans="1:25" x14ac:dyDescent="0.2">
      <c r="A71" s="189">
        <v>605</v>
      </c>
      <c r="B71" s="189" t="s">
        <v>1132</v>
      </c>
      <c r="C71" s="189" t="s">
        <v>253</v>
      </c>
      <c r="D71" s="189" t="s">
        <v>253</v>
      </c>
      <c r="E71" s="189" t="s">
        <v>940</v>
      </c>
      <c r="F71" s="189" t="s">
        <v>941</v>
      </c>
      <c r="G71" s="189" t="s">
        <v>340</v>
      </c>
      <c r="H71" s="189" t="s">
        <v>521</v>
      </c>
      <c r="I71" s="189">
        <v>2159</v>
      </c>
      <c r="J71" s="189">
        <v>1471.16481078115</v>
      </c>
      <c r="K71" s="189">
        <v>888.11315651299606</v>
      </c>
      <c r="L71" s="189">
        <v>-35.86</v>
      </c>
      <c r="M71" s="189">
        <v>22.52</v>
      </c>
      <c r="N71" s="189">
        <v>13</v>
      </c>
      <c r="O71" s="189" t="s">
        <v>542</v>
      </c>
      <c r="P71" s="189" t="s">
        <v>543</v>
      </c>
      <c r="Q71" s="189" t="s">
        <v>253</v>
      </c>
      <c r="R71" s="189" t="s">
        <v>253</v>
      </c>
      <c r="S71" s="189" t="s">
        <v>257</v>
      </c>
      <c r="T71" s="189" t="s">
        <v>261</v>
      </c>
      <c r="U71" s="189" t="s">
        <v>253</v>
      </c>
      <c r="V71" s="189" t="s">
        <v>253</v>
      </c>
      <c r="W71" s="189" t="s">
        <v>253</v>
      </c>
      <c r="X71" s="189" t="s">
        <v>1133</v>
      </c>
      <c r="Y71" s="189" t="s">
        <v>1134</v>
      </c>
    </row>
    <row r="72" spans="1:25" x14ac:dyDescent="0.2">
      <c r="A72" s="189">
        <v>623</v>
      </c>
      <c r="B72" s="189" t="s">
        <v>1135</v>
      </c>
      <c r="C72" s="189" t="s">
        <v>253</v>
      </c>
      <c r="D72" s="189" t="s">
        <v>253</v>
      </c>
      <c r="E72" s="189" t="s">
        <v>940</v>
      </c>
      <c r="F72" s="189" t="s">
        <v>941</v>
      </c>
      <c r="G72" s="189" t="s">
        <v>522</v>
      </c>
      <c r="H72" s="189" t="s">
        <v>521</v>
      </c>
      <c r="I72" s="189">
        <v>19351</v>
      </c>
      <c r="J72" s="189">
        <v>1420.01919850477</v>
      </c>
      <c r="K72" s="189">
        <v>713.38510970276297</v>
      </c>
      <c r="L72" s="189">
        <v>-30.2</v>
      </c>
      <c r="M72" s="189">
        <v>20.87</v>
      </c>
      <c r="N72" s="189">
        <v>52</v>
      </c>
      <c r="O72" s="189" t="s">
        <v>550</v>
      </c>
      <c r="P72" s="189" t="s">
        <v>551</v>
      </c>
      <c r="Q72" s="189" t="s">
        <v>253</v>
      </c>
      <c r="R72" s="189" t="s">
        <v>253</v>
      </c>
      <c r="S72" s="189" t="s">
        <v>257</v>
      </c>
      <c r="T72" s="189" t="s">
        <v>261</v>
      </c>
      <c r="U72" s="189" t="s">
        <v>253</v>
      </c>
      <c r="V72" s="189" t="s">
        <v>253</v>
      </c>
      <c r="W72" s="189" t="s">
        <v>253</v>
      </c>
      <c r="X72" s="189" t="s">
        <v>1136</v>
      </c>
      <c r="Y72" s="189" t="s">
        <v>1137</v>
      </c>
    </row>
    <row r="73" spans="1:25" x14ac:dyDescent="0.2">
      <c r="A73" s="189">
        <v>632</v>
      </c>
      <c r="B73" s="189" t="s">
        <v>1138</v>
      </c>
      <c r="C73" s="189" t="s">
        <v>253</v>
      </c>
      <c r="D73" s="189" t="s">
        <v>253</v>
      </c>
      <c r="E73" s="189" t="s">
        <v>940</v>
      </c>
      <c r="F73" s="189" t="s">
        <v>941</v>
      </c>
      <c r="G73" s="189" t="s">
        <v>522</v>
      </c>
      <c r="H73" s="189" t="s">
        <v>521</v>
      </c>
      <c r="I73" s="189">
        <v>6348</v>
      </c>
      <c r="J73" s="189">
        <v>1236.5722649746699</v>
      </c>
      <c r="K73" s="189">
        <v>37.068073090774398</v>
      </c>
      <c r="L73" s="189">
        <v>-8.3000000000000007</v>
      </c>
      <c r="M73" s="189">
        <v>14.94</v>
      </c>
      <c r="N73" s="189">
        <v>643</v>
      </c>
      <c r="O73" s="189" t="s">
        <v>956</v>
      </c>
      <c r="P73" s="189" t="s">
        <v>957</v>
      </c>
      <c r="Q73" s="189" t="s">
        <v>253</v>
      </c>
      <c r="R73" s="189" t="s">
        <v>253</v>
      </c>
      <c r="S73" s="189" t="s">
        <v>253</v>
      </c>
      <c r="T73" s="189" t="s">
        <v>253</v>
      </c>
      <c r="U73" s="189" t="s">
        <v>253</v>
      </c>
      <c r="V73" s="189" t="s">
        <v>253</v>
      </c>
      <c r="W73" s="189" t="s">
        <v>253</v>
      </c>
      <c r="X73" s="189" t="s">
        <v>1139</v>
      </c>
      <c r="Y73" s="189" t="s">
        <v>1140</v>
      </c>
    </row>
    <row r="74" spans="1:25" x14ac:dyDescent="0.2">
      <c r="A74" s="189">
        <v>639</v>
      </c>
      <c r="B74" s="189" t="s">
        <v>1141</v>
      </c>
      <c r="C74" s="189" t="s">
        <v>253</v>
      </c>
      <c r="D74" s="189" t="s">
        <v>253</v>
      </c>
      <c r="E74" s="189" t="s">
        <v>940</v>
      </c>
      <c r="F74" s="189" t="s">
        <v>941</v>
      </c>
      <c r="G74" s="189" t="s">
        <v>522</v>
      </c>
      <c r="H74" s="189" t="s">
        <v>521</v>
      </c>
      <c r="I74" s="189">
        <v>23709</v>
      </c>
      <c r="J74" s="189">
        <v>1327.6340305154499</v>
      </c>
      <c r="K74" s="189">
        <v>416.164489198654</v>
      </c>
      <c r="L74" s="189">
        <v>-20.58</v>
      </c>
      <c r="M74" s="189">
        <v>17.88</v>
      </c>
      <c r="N74" s="189">
        <v>210</v>
      </c>
      <c r="O74" s="189" t="s">
        <v>967</v>
      </c>
      <c r="P74" s="189" t="s">
        <v>968</v>
      </c>
      <c r="Q74" s="189" t="s">
        <v>253</v>
      </c>
      <c r="R74" s="189" t="s">
        <v>253</v>
      </c>
      <c r="S74" s="189" t="s">
        <v>253</v>
      </c>
      <c r="T74" s="189" t="s">
        <v>261</v>
      </c>
      <c r="U74" s="189" t="s">
        <v>258</v>
      </c>
      <c r="V74" s="189" t="s">
        <v>297</v>
      </c>
      <c r="W74" s="189" t="s">
        <v>253</v>
      </c>
      <c r="X74" s="189" t="s">
        <v>1142</v>
      </c>
      <c r="Y74" s="189" t="s">
        <v>1143</v>
      </c>
    </row>
    <row r="75" spans="1:25" x14ac:dyDescent="0.2">
      <c r="A75" s="189">
        <v>643</v>
      </c>
      <c r="B75" s="189" t="s">
        <v>1144</v>
      </c>
      <c r="C75" s="189" t="s">
        <v>253</v>
      </c>
      <c r="D75" s="189" t="s">
        <v>253</v>
      </c>
      <c r="E75" s="189" t="s">
        <v>940</v>
      </c>
      <c r="F75" s="189" t="s">
        <v>941</v>
      </c>
      <c r="G75" s="189" t="s">
        <v>340</v>
      </c>
      <c r="H75" s="189" t="s">
        <v>521</v>
      </c>
      <c r="I75" s="189">
        <v>13635</v>
      </c>
      <c r="J75" s="189">
        <v>1432.3969037588699</v>
      </c>
      <c r="K75" s="189">
        <v>614.86947448852698</v>
      </c>
      <c r="L75" s="189">
        <v>-27.01</v>
      </c>
      <c r="M75" s="189">
        <v>21.27</v>
      </c>
      <c r="N75" s="189">
        <v>840</v>
      </c>
      <c r="O75" s="189" t="s">
        <v>550</v>
      </c>
      <c r="P75" s="189" t="s">
        <v>551</v>
      </c>
      <c r="Q75" s="189" t="s">
        <v>253</v>
      </c>
      <c r="R75" s="189" t="s">
        <v>253</v>
      </c>
      <c r="S75" s="189" t="s">
        <v>257</v>
      </c>
      <c r="T75" s="189" t="s">
        <v>253</v>
      </c>
      <c r="U75" s="189" t="s">
        <v>253</v>
      </c>
      <c r="V75" s="189" t="s">
        <v>253</v>
      </c>
      <c r="W75" s="189" t="s">
        <v>253</v>
      </c>
      <c r="X75" s="189" t="s">
        <v>1145</v>
      </c>
      <c r="Y75" s="189" t="s">
        <v>1146</v>
      </c>
    </row>
    <row r="76" spans="1:25" x14ac:dyDescent="0.2">
      <c r="A76" s="189">
        <v>683</v>
      </c>
      <c r="B76" s="189" t="s">
        <v>1147</v>
      </c>
      <c r="C76" s="189" t="s">
        <v>253</v>
      </c>
      <c r="D76" s="189" t="s">
        <v>253</v>
      </c>
      <c r="E76" s="189" t="s">
        <v>940</v>
      </c>
      <c r="F76" s="189" t="s">
        <v>941</v>
      </c>
      <c r="G76" s="189" t="s">
        <v>340</v>
      </c>
      <c r="H76" s="189" t="s">
        <v>521</v>
      </c>
      <c r="I76" s="189">
        <v>1996</v>
      </c>
      <c r="J76" s="189">
        <v>1451.4500066578701</v>
      </c>
      <c r="K76" s="189">
        <v>810.71357507344396</v>
      </c>
      <c r="L76" s="189">
        <v>-33.35</v>
      </c>
      <c r="M76" s="189">
        <v>21.88</v>
      </c>
      <c r="N76" s="189">
        <v>13</v>
      </c>
      <c r="O76" s="189" t="s">
        <v>554</v>
      </c>
      <c r="P76" s="189" t="s">
        <v>555</v>
      </c>
      <c r="Q76" s="189" t="s">
        <v>253</v>
      </c>
      <c r="R76" s="189" t="s">
        <v>253</v>
      </c>
      <c r="S76" s="189" t="s">
        <v>253</v>
      </c>
      <c r="T76" s="189" t="s">
        <v>253</v>
      </c>
      <c r="U76" s="189" t="s">
        <v>253</v>
      </c>
      <c r="V76" s="189" t="s">
        <v>253</v>
      </c>
      <c r="W76" s="189" t="s">
        <v>253</v>
      </c>
      <c r="X76" s="189" t="s">
        <v>1148</v>
      </c>
      <c r="Y76" s="189" t="s">
        <v>1149</v>
      </c>
    </row>
    <row r="77" spans="1:25" x14ac:dyDescent="0.2">
      <c r="A77" s="189">
        <v>684</v>
      </c>
      <c r="B77" s="189" t="s">
        <v>1046</v>
      </c>
      <c r="C77" s="189" t="s">
        <v>253</v>
      </c>
      <c r="D77" s="189" t="s">
        <v>253</v>
      </c>
      <c r="E77" s="189" t="s">
        <v>940</v>
      </c>
      <c r="F77" s="189" t="s">
        <v>941</v>
      </c>
      <c r="G77" s="189" t="s">
        <v>340</v>
      </c>
      <c r="H77" s="189" t="s">
        <v>521</v>
      </c>
      <c r="I77" s="189">
        <v>1897</v>
      </c>
      <c r="J77" s="189">
        <v>1356.30126296716</v>
      </c>
      <c r="K77" s="189">
        <v>901.21094839351395</v>
      </c>
      <c r="L77" s="189">
        <v>-36.28</v>
      </c>
      <c r="M77" s="189">
        <v>18.809999999999999</v>
      </c>
      <c r="N77" s="189">
        <v>82</v>
      </c>
      <c r="O77" s="189" t="s">
        <v>542</v>
      </c>
      <c r="P77" s="189" t="s">
        <v>543</v>
      </c>
      <c r="Q77" s="189" t="s">
        <v>253</v>
      </c>
      <c r="R77" s="189" t="s">
        <v>253</v>
      </c>
      <c r="S77" s="189" t="s">
        <v>253</v>
      </c>
      <c r="T77" s="189" t="s">
        <v>253</v>
      </c>
      <c r="U77" s="189" t="s">
        <v>258</v>
      </c>
      <c r="V77" s="189" t="s">
        <v>253</v>
      </c>
      <c r="W77" s="189" t="s">
        <v>253</v>
      </c>
      <c r="X77" s="189" t="s">
        <v>1150</v>
      </c>
      <c r="Y77" s="189" t="s">
        <v>1151</v>
      </c>
    </row>
    <row r="78" spans="1:25" x14ac:dyDescent="0.2">
      <c r="A78" s="189">
        <v>686</v>
      </c>
      <c r="B78" s="189" t="s">
        <v>1152</v>
      </c>
      <c r="C78" s="189" t="s">
        <v>253</v>
      </c>
      <c r="D78" s="189" t="s">
        <v>253</v>
      </c>
      <c r="E78" s="189" t="s">
        <v>940</v>
      </c>
      <c r="F78" s="189" t="s">
        <v>941</v>
      </c>
      <c r="G78" s="189" t="s">
        <v>522</v>
      </c>
      <c r="H78" s="189" t="s">
        <v>521</v>
      </c>
      <c r="I78" s="189">
        <v>2005</v>
      </c>
      <c r="J78" s="189">
        <v>1265.3951918321</v>
      </c>
      <c r="K78" s="189">
        <v>9.2376980697636402</v>
      </c>
      <c r="L78" s="189">
        <v>-7.4</v>
      </c>
      <c r="M78" s="189">
        <v>15.87</v>
      </c>
      <c r="N78" s="189">
        <v>738</v>
      </c>
      <c r="O78" s="189" t="s">
        <v>987</v>
      </c>
      <c r="P78" s="189" t="s">
        <v>988</v>
      </c>
      <c r="Q78" s="189" t="s">
        <v>253</v>
      </c>
      <c r="R78" s="189" t="s">
        <v>253</v>
      </c>
      <c r="S78" s="189" t="s">
        <v>253</v>
      </c>
      <c r="T78" s="189" t="s">
        <v>253</v>
      </c>
      <c r="U78" s="189" t="s">
        <v>253</v>
      </c>
      <c r="V78" s="189" t="s">
        <v>253</v>
      </c>
      <c r="W78" s="189" t="s">
        <v>253</v>
      </c>
      <c r="X78" s="189" t="s">
        <v>1153</v>
      </c>
      <c r="Y78" s="189" t="s">
        <v>1154</v>
      </c>
    </row>
    <row r="79" spans="1:25" x14ac:dyDescent="0.2">
      <c r="A79" s="189">
        <v>709</v>
      </c>
      <c r="B79" s="189" t="s">
        <v>1155</v>
      </c>
      <c r="C79" s="189" t="s">
        <v>253</v>
      </c>
      <c r="D79" s="189" t="s">
        <v>253</v>
      </c>
      <c r="E79" s="189" t="s">
        <v>940</v>
      </c>
      <c r="F79" s="189" t="s">
        <v>941</v>
      </c>
      <c r="G79" s="189" t="s">
        <v>522</v>
      </c>
      <c r="H79" s="189" t="s">
        <v>521</v>
      </c>
      <c r="I79" s="189">
        <v>6531</v>
      </c>
      <c r="J79" s="189">
        <v>1309.67078845643</v>
      </c>
      <c r="K79" s="189">
        <v>95.103162819903005</v>
      </c>
      <c r="L79" s="189">
        <v>-10.18</v>
      </c>
      <c r="M79" s="189">
        <v>17.3</v>
      </c>
      <c r="N79" s="189">
        <v>948</v>
      </c>
      <c r="O79" s="189" t="s">
        <v>1086</v>
      </c>
      <c r="P79" s="189" t="s">
        <v>1087</v>
      </c>
      <c r="Q79" s="189" t="s">
        <v>253</v>
      </c>
      <c r="R79" s="189" t="s">
        <v>253</v>
      </c>
      <c r="S79" s="189" t="s">
        <v>257</v>
      </c>
      <c r="T79" s="189" t="s">
        <v>253</v>
      </c>
      <c r="U79" s="189" t="s">
        <v>253</v>
      </c>
      <c r="V79" s="189" t="s">
        <v>253</v>
      </c>
      <c r="W79" s="189" t="s">
        <v>253</v>
      </c>
      <c r="X79" s="189" t="s">
        <v>1156</v>
      </c>
      <c r="Y79" s="189" t="s">
        <v>1157</v>
      </c>
    </row>
    <row r="80" spans="1:25" x14ac:dyDescent="0.2">
      <c r="A80" s="189">
        <v>715</v>
      </c>
      <c r="B80" s="189" t="s">
        <v>1158</v>
      </c>
      <c r="C80" s="189" t="s">
        <v>253</v>
      </c>
      <c r="D80" s="189" t="s">
        <v>253</v>
      </c>
      <c r="E80" s="189" t="s">
        <v>940</v>
      </c>
      <c r="F80" s="189" t="s">
        <v>941</v>
      </c>
      <c r="G80" s="189" t="s">
        <v>340</v>
      </c>
      <c r="H80" s="189" t="s">
        <v>521</v>
      </c>
      <c r="I80" s="189">
        <v>19269</v>
      </c>
      <c r="J80" s="189">
        <v>1453.2599541242701</v>
      </c>
      <c r="K80" s="189">
        <v>248.676232254025</v>
      </c>
      <c r="L80" s="189">
        <v>-15.15</v>
      </c>
      <c r="M80" s="189">
        <v>21.94</v>
      </c>
      <c r="N80" s="189">
        <v>328</v>
      </c>
      <c r="O80" s="189" t="s">
        <v>929</v>
      </c>
      <c r="P80" s="189" t="s">
        <v>930</v>
      </c>
      <c r="Q80" s="189" t="s">
        <v>253</v>
      </c>
      <c r="R80" s="189" t="s">
        <v>253</v>
      </c>
      <c r="S80" s="189" t="s">
        <v>257</v>
      </c>
      <c r="T80" s="189" t="s">
        <v>261</v>
      </c>
      <c r="U80" s="189" t="s">
        <v>253</v>
      </c>
      <c r="V80" s="189" t="s">
        <v>253</v>
      </c>
      <c r="W80" s="189" t="s">
        <v>253</v>
      </c>
      <c r="X80" s="189" t="s">
        <v>1159</v>
      </c>
      <c r="Y80" s="189" t="s">
        <v>1160</v>
      </c>
    </row>
    <row r="81" spans="1:25" x14ac:dyDescent="0.2">
      <c r="A81" s="189">
        <v>716</v>
      </c>
      <c r="B81" s="189" t="s">
        <v>1161</v>
      </c>
      <c r="C81" s="189" t="s">
        <v>253</v>
      </c>
      <c r="D81" s="189" t="s">
        <v>253</v>
      </c>
      <c r="E81" s="189" t="s">
        <v>940</v>
      </c>
      <c r="F81" s="189" t="s">
        <v>941</v>
      </c>
      <c r="G81" s="189" t="s">
        <v>340</v>
      </c>
      <c r="H81" s="189" t="s">
        <v>521</v>
      </c>
      <c r="I81" s="189">
        <v>2948</v>
      </c>
      <c r="J81" s="189">
        <v>1505.9041250556299</v>
      </c>
      <c r="K81" s="189">
        <v>267.96287676159301</v>
      </c>
      <c r="L81" s="189">
        <v>-15.78</v>
      </c>
      <c r="M81" s="189">
        <v>23.64</v>
      </c>
      <c r="N81" s="189">
        <v>52</v>
      </c>
      <c r="O81" s="189" t="s">
        <v>918</v>
      </c>
      <c r="P81" s="189" t="s">
        <v>919</v>
      </c>
      <c r="Q81" s="189" t="s">
        <v>253</v>
      </c>
      <c r="R81" s="189" t="s">
        <v>253</v>
      </c>
      <c r="S81" s="189" t="s">
        <v>253</v>
      </c>
      <c r="T81" s="189" t="s">
        <v>253</v>
      </c>
      <c r="U81" s="189" t="s">
        <v>253</v>
      </c>
      <c r="V81" s="189" t="s">
        <v>253</v>
      </c>
      <c r="W81" s="189" t="s">
        <v>253</v>
      </c>
      <c r="X81" s="189" t="s">
        <v>1162</v>
      </c>
      <c r="Y81" s="189" t="s">
        <v>1163</v>
      </c>
    </row>
    <row r="82" spans="1:25" x14ac:dyDescent="0.2">
      <c r="A82" s="189">
        <v>731</v>
      </c>
      <c r="B82" s="189" t="s">
        <v>1164</v>
      </c>
      <c r="C82" s="189" t="s">
        <v>253</v>
      </c>
      <c r="D82" s="189" t="s">
        <v>253</v>
      </c>
      <c r="E82" s="189" t="s">
        <v>940</v>
      </c>
      <c r="F82" s="189" t="s">
        <v>941</v>
      </c>
      <c r="G82" s="189" t="s">
        <v>340</v>
      </c>
      <c r="H82" s="189" t="s">
        <v>521</v>
      </c>
      <c r="I82" s="189">
        <v>3002</v>
      </c>
      <c r="J82" s="189">
        <v>1519</v>
      </c>
      <c r="K82" s="189">
        <v>436</v>
      </c>
      <c r="L82" s="189">
        <v>-21.22</v>
      </c>
      <c r="M82" s="189">
        <v>24.06</v>
      </c>
      <c r="N82" s="189">
        <v>13</v>
      </c>
      <c r="O82" s="189" t="s">
        <v>945</v>
      </c>
      <c r="P82" s="189" t="s">
        <v>946</v>
      </c>
      <c r="Q82" s="189" t="s">
        <v>253</v>
      </c>
      <c r="R82" s="189" t="s">
        <v>259</v>
      </c>
      <c r="S82" s="189" t="s">
        <v>257</v>
      </c>
      <c r="T82" s="189" t="s">
        <v>253</v>
      </c>
      <c r="U82" s="189" t="s">
        <v>253</v>
      </c>
      <c r="V82" s="189" t="s">
        <v>253</v>
      </c>
      <c r="W82" s="189" t="s">
        <v>253</v>
      </c>
      <c r="X82" s="189" t="s">
        <v>1165</v>
      </c>
      <c r="Y82" s="189" t="s">
        <v>1166</v>
      </c>
    </row>
    <row r="83" spans="1:25" x14ac:dyDescent="0.2">
      <c r="A83" s="189">
        <v>733</v>
      </c>
      <c r="B83" s="189" t="s">
        <v>1167</v>
      </c>
      <c r="C83" s="189" t="s">
        <v>253</v>
      </c>
      <c r="D83" s="189" t="s">
        <v>253</v>
      </c>
      <c r="E83" s="189" t="s">
        <v>940</v>
      </c>
      <c r="F83" s="189" t="s">
        <v>941</v>
      </c>
      <c r="G83" s="189" t="s">
        <v>522</v>
      </c>
      <c r="H83" s="189" t="s">
        <v>521</v>
      </c>
      <c r="I83" s="189">
        <v>4069</v>
      </c>
      <c r="J83" s="189">
        <v>1395.03024638801</v>
      </c>
      <c r="K83" s="189">
        <v>640.42281882600105</v>
      </c>
      <c r="L83" s="189">
        <v>-27.84</v>
      </c>
      <c r="M83" s="189">
        <v>20.059999999999999</v>
      </c>
      <c r="N83" s="189">
        <v>118</v>
      </c>
      <c r="O83" s="189" t="s">
        <v>564</v>
      </c>
      <c r="P83" s="189" t="s">
        <v>565</v>
      </c>
      <c r="Q83" s="189" t="s">
        <v>253</v>
      </c>
      <c r="R83" s="189" t="s">
        <v>253</v>
      </c>
      <c r="S83" s="189" t="s">
        <v>257</v>
      </c>
      <c r="T83" s="189" t="s">
        <v>253</v>
      </c>
      <c r="U83" s="189" t="s">
        <v>253</v>
      </c>
      <c r="V83" s="189" t="s">
        <v>253</v>
      </c>
      <c r="W83" s="189" t="s">
        <v>253</v>
      </c>
      <c r="X83" s="189" t="s">
        <v>1168</v>
      </c>
      <c r="Y83" s="189" t="s">
        <v>1169</v>
      </c>
    </row>
    <row r="84" spans="1:25" x14ac:dyDescent="0.2">
      <c r="A84" s="189">
        <v>743</v>
      </c>
      <c r="B84" s="189" t="s">
        <v>1170</v>
      </c>
      <c r="C84" s="189" t="s">
        <v>253</v>
      </c>
      <c r="D84" s="189" t="s">
        <v>253</v>
      </c>
      <c r="E84" s="189" t="s">
        <v>940</v>
      </c>
      <c r="F84" s="189" t="s">
        <v>941</v>
      </c>
      <c r="G84" s="189" t="s">
        <v>522</v>
      </c>
      <c r="H84" s="189" t="s">
        <v>521</v>
      </c>
      <c r="I84" s="189">
        <v>18691</v>
      </c>
      <c r="J84" s="189">
        <v>1255.19720825796</v>
      </c>
      <c r="K84" s="189">
        <v>76.1279071237593</v>
      </c>
      <c r="L84" s="189">
        <v>-9.57</v>
      </c>
      <c r="M84" s="189">
        <v>15.54</v>
      </c>
      <c r="N84" s="189">
        <v>1447</v>
      </c>
      <c r="O84" s="189" t="s">
        <v>904</v>
      </c>
      <c r="P84" s="189" t="s">
        <v>905</v>
      </c>
      <c r="Q84" s="189" t="s">
        <v>253</v>
      </c>
      <c r="R84" s="189" t="s">
        <v>253</v>
      </c>
      <c r="S84" s="189" t="s">
        <v>253</v>
      </c>
      <c r="T84" s="189" t="s">
        <v>253</v>
      </c>
      <c r="U84" s="189" t="s">
        <v>258</v>
      </c>
      <c r="V84" s="189" t="s">
        <v>253</v>
      </c>
      <c r="W84" s="189" t="s">
        <v>253</v>
      </c>
      <c r="X84" s="189" t="s">
        <v>1171</v>
      </c>
      <c r="Y84" s="189" t="s">
        <v>1172</v>
      </c>
    </row>
    <row r="85" spans="1:25" x14ac:dyDescent="0.2">
      <c r="A85" s="189">
        <v>744</v>
      </c>
      <c r="B85" s="189" t="s">
        <v>1173</v>
      </c>
      <c r="C85" s="189" t="s">
        <v>253</v>
      </c>
      <c r="D85" s="189" t="s">
        <v>253</v>
      </c>
      <c r="E85" s="189" t="s">
        <v>940</v>
      </c>
      <c r="F85" s="189" t="s">
        <v>941</v>
      </c>
      <c r="G85" s="189" t="s">
        <v>522</v>
      </c>
      <c r="H85" s="189" t="s">
        <v>521</v>
      </c>
      <c r="I85" s="189">
        <v>29136</v>
      </c>
      <c r="J85" s="189">
        <v>1298.2272496365999</v>
      </c>
      <c r="K85" s="189">
        <v>116.76414701457701</v>
      </c>
      <c r="L85" s="189">
        <v>-10.88</v>
      </c>
      <c r="M85" s="189">
        <v>16.93</v>
      </c>
      <c r="N85" s="189">
        <v>2953</v>
      </c>
      <c r="O85" s="189" t="s">
        <v>967</v>
      </c>
      <c r="P85" s="189" t="s">
        <v>968</v>
      </c>
      <c r="Q85" s="189" t="s">
        <v>253</v>
      </c>
      <c r="R85" s="189" t="s">
        <v>253</v>
      </c>
      <c r="S85" s="189" t="s">
        <v>253</v>
      </c>
      <c r="T85" s="189" t="s">
        <v>261</v>
      </c>
      <c r="U85" s="189" t="s">
        <v>258</v>
      </c>
      <c r="V85" s="189" t="s">
        <v>253</v>
      </c>
      <c r="W85" s="189" t="s">
        <v>253</v>
      </c>
      <c r="X85" s="189" t="s">
        <v>1174</v>
      </c>
      <c r="Y85" s="189" t="s">
        <v>1175</v>
      </c>
    </row>
    <row r="86" spans="1:25" x14ac:dyDescent="0.2">
      <c r="A86" s="189">
        <v>762</v>
      </c>
      <c r="B86" s="189" t="s">
        <v>1176</v>
      </c>
      <c r="C86" s="189" t="s">
        <v>253</v>
      </c>
      <c r="D86" s="189" t="s">
        <v>253</v>
      </c>
      <c r="E86" s="189" t="s">
        <v>940</v>
      </c>
      <c r="F86" s="189" t="s">
        <v>941</v>
      </c>
      <c r="G86" s="189" t="s">
        <v>340</v>
      </c>
      <c r="H86" s="189" t="s">
        <v>521</v>
      </c>
      <c r="I86" s="189">
        <v>13551</v>
      </c>
      <c r="J86" s="189">
        <v>1378.8769517953899</v>
      </c>
      <c r="K86" s="189">
        <v>837.434627453757</v>
      </c>
      <c r="L86" s="189">
        <v>-34.22</v>
      </c>
      <c r="M86" s="189">
        <v>19.54</v>
      </c>
      <c r="N86" s="189">
        <v>82</v>
      </c>
      <c r="O86" s="189" t="s">
        <v>542</v>
      </c>
      <c r="P86" s="189" t="s">
        <v>543</v>
      </c>
      <c r="Q86" s="189" t="s">
        <v>253</v>
      </c>
      <c r="R86" s="189" t="s">
        <v>253</v>
      </c>
      <c r="S86" s="189" t="s">
        <v>257</v>
      </c>
      <c r="T86" s="189" t="s">
        <v>261</v>
      </c>
      <c r="U86" s="189" t="s">
        <v>258</v>
      </c>
      <c r="V86" s="189" t="s">
        <v>253</v>
      </c>
      <c r="W86" s="189" t="s">
        <v>253</v>
      </c>
      <c r="X86" s="189" t="s">
        <v>1177</v>
      </c>
      <c r="Y86" s="189" t="s">
        <v>1178</v>
      </c>
    </row>
    <row r="87" spans="1:25" x14ac:dyDescent="0.2">
      <c r="A87" s="189">
        <v>764</v>
      </c>
      <c r="B87" s="189" t="s">
        <v>1179</v>
      </c>
      <c r="C87" s="189" t="s">
        <v>253</v>
      </c>
      <c r="D87" s="189" t="s">
        <v>253</v>
      </c>
      <c r="E87" s="189" t="s">
        <v>940</v>
      </c>
      <c r="F87" s="189" t="s">
        <v>941</v>
      </c>
      <c r="G87" s="189" t="s">
        <v>340</v>
      </c>
      <c r="H87" s="189" t="s">
        <v>521</v>
      </c>
      <c r="I87" s="189">
        <v>3004</v>
      </c>
      <c r="J87" s="189">
        <v>1319.5</v>
      </c>
      <c r="K87" s="189">
        <v>897</v>
      </c>
      <c r="L87" s="189">
        <v>-36.15</v>
      </c>
      <c r="M87" s="189">
        <v>17.62</v>
      </c>
      <c r="N87" s="189">
        <v>82</v>
      </c>
      <c r="O87" s="189" t="s">
        <v>542</v>
      </c>
      <c r="P87" s="189" t="s">
        <v>543</v>
      </c>
      <c r="Q87" s="189" t="s">
        <v>253</v>
      </c>
      <c r="R87" s="189" t="s">
        <v>259</v>
      </c>
      <c r="S87" s="189" t="s">
        <v>253</v>
      </c>
      <c r="T87" s="189" t="s">
        <v>261</v>
      </c>
      <c r="U87" s="189" t="s">
        <v>253</v>
      </c>
      <c r="V87" s="189" t="s">
        <v>253</v>
      </c>
      <c r="W87" s="189" t="s">
        <v>253</v>
      </c>
      <c r="X87" s="189" t="s">
        <v>1180</v>
      </c>
      <c r="Y87" s="189" t="s">
        <v>1181</v>
      </c>
    </row>
    <row r="88" spans="1:25" x14ac:dyDescent="0.2">
      <c r="A88" s="189">
        <v>775</v>
      </c>
      <c r="B88" s="189" t="s">
        <v>1182</v>
      </c>
      <c r="C88" s="189" t="s">
        <v>253</v>
      </c>
      <c r="D88" s="189" t="s">
        <v>253</v>
      </c>
      <c r="E88" s="189" t="s">
        <v>940</v>
      </c>
      <c r="F88" s="189" t="s">
        <v>941</v>
      </c>
      <c r="G88" s="189" t="s">
        <v>340</v>
      </c>
      <c r="H88" s="189" t="s">
        <v>521</v>
      </c>
      <c r="I88" s="189">
        <v>8659</v>
      </c>
      <c r="J88" s="189">
        <v>1482.1218045831299</v>
      </c>
      <c r="K88" s="189">
        <v>492.70775140679001</v>
      </c>
      <c r="L88" s="189">
        <v>-23.05</v>
      </c>
      <c r="M88" s="189">
        <v>22.87</v>
      </c>
      <c r="N88" s="189">
        <v>13</v>
      </c>
      <c r="O88" s="189" t="s">
        <v>602</v>
      </c>
      <c r="P88" s="189" t="s">
        <v>603</v>
      </c>
      <c r="Q88" s="189" t="s">
        <v>253</v>
      </c>
      <c r="R88" s="189" t="s">
        <v>253</v>
      </c>
      <c r="S88" s="189" t="s">
        <v>257</v>
      </c>
      <c r="T88" s="189" t="s">
        <v>253</v>
      </c>
      <c r="U88" s="189" t="s">
        <v>258</v>
      </c>
      <c r="V88" s="189" t="s">
        <v>253</v>
      </c>
      <c r="W88" s="189" t="s">
        <v>253</v>
      </c>
      <c r="X88" s="189" t="s">
        <v>1183</v>
      </c>
      <c r="Y88" s="189" t="s">
        <v>1184</v>
      </c>
    </row>
    <row r="89" spans="1:25" x14ac:dyDescent="0.2">
      <c r="A89" s="189">
        <v>796</v>
      </c>
      <c r="B89" s="189" t="s">
        <v>1185</v>
      </c>
      <c r="C89" s="189" t="s">
        <v>253</v>
      </c>
      <c r="D89" s="189" t="s">
        <v>253</v>
      </c>
      <c r="E89" s="189" t="s">
        <v>940</v>
      </c>
      <c r="F89" s="189" t="s">
        <v>941</v>
      </c>
      <c r="G89" s="189" t="s">
        <v>522</v>
      </c>
      <c r="H89" s="189" t="s">
        <v>521</v>
      </c>
      <c r="I89" s="189">
        <v>18438</v>
      </c>
      <c r="J89" s="189">
        <v>1435.04370865598</v>
      </c>
      <c r="K89" s="189">
        <v>205.315340263248</v>
      </c>
      <c r="L89" s="189">
        <v>-13.75</v>
      </c>
      <c r="M89" s="189">
        <v>21.35</v>
      </c>
      <c r="N89" s="189">
        <v>266</v>
      </c>
      <c r="O89" s="189" t="s">
        <v>929</v>
      </c>
      <c r="P89" s="189" t="s">
        <v>930</v>
      </c>
      <c r="Q89" s="189" t="s">
        <v>253</v>
      </c>
      <c r="R89" s="189" t="s">
        <v>253</v>
      </c>
      <c r="S89" s="189" t="s">
        <v>257</v>
      </c>
      <c r="T89" s="189" t="s">
        <v>253</v>
      </c>
      <c r="U89" s="189" t="s">
        <v>253</v>
      </c>
      <c r="V89" s="189" t="s">
        <v>253</v>
      </c>
      <c r="W89" s="189" t="s">
        <v>253</v>
      </c>
      <c r="X89" s="189" t="s">
        <v>1186</v>
      </c>
      <c r="Y89" s="189" t="s">
        <v>1187</v>
      </c>
    </row>
    <row r="90" spans="1:25" x14ac:dyDescent="0.2">
      <c r="A90" s="189">
        <v>801</v>
      </c>
      <c r="B90" s="189" t="s">
        <v>1188</v>
      </c>
      <c r="C90" s="189" t="s">
        <v>253</v>
      </c>
      <c r="D90" s="189" t="s">
        <v>253</v>
      </c>
      <c r="E90" s="189" t="s">
        <v>940</v>
      </c>
      <c r="F90" s="189" t="s">
        <v>941</v>
      </c>
      <c r="G90" s="189" t="s">
        <v>340</v>
      </c>
      <c r="H90" s="189" t="s">
        <v>521</v>
      </c>
      <c r="I90" s="189">
        <v>1907</v>
      </c>
      <c r="J90" s="189">
        <v>1494.6357424422199</v>
      </c>
      <c r="K90" s="189">
        <v>582.19311108973204</v>
      </c>
      <c r="L90" s="189">
        <v>-25.95</v>
      </c>
      <c r="M90" s="189">
        <v>23.28</v>
      </c>
      <c r="N90" s="189">
        <v>472</v>
      </c>
      <c r="O90" s="189" t="s">
        <v>564</v>
      </c>
      <c r="P90" s="189" t="s">
        <v>565</v>
      </c>
      <c r="Q90" s="189" t="s">
        <v>253</v>
      </c>
      <c r="R90" s="189" t="s">
        <v>253</v>
      </c>
      <c r="S90" s="189" t="s">
        <v>253</v>
      </c>
      <c r="T90" s="189" t="s">
        <v>253</v>
      </c>
      <c r="U90" s="189" t="s">
        <v>253</v>
      </c>
      <c r="V90" s="189" t="s">
        <v>253</v>
      </c>
      <c r="W90" s="189" t="s">
        <v>253</v>
      </c>
      <c r="X90" s="189" t="s">
        <v>1189</v>
      </c>
      <c r="Y90" s="189" t="s">
        <v>1190</v>
      </c>
    </row>
    <row r="91" spans="1:25" x14ac:dyDescent="0.2">
      <c r="A91" s="189">
        <v>815</v>
      </c>
      <c r="B91" s="189" t="s">
        <v>1191</v>
      </c>
      <c r="C91" s="189" t="s">
        <v>253</v>
      </c>
      <c r="D91" s="189" t="s">
        <v>253</v>
      </c>
      <c r="E91" s="189" t="s">
        <v>940</v>
      </c>
      <c r="F91" s="189" t="s">
        <v>941</v>
      </c>
      <c r="G91" s="189" t="s">
        <v>522</v>
      </c>
      <c r="H91" s="189" t="s">
        <v>521</v>
      </c>
      <c r="I91" s="189">
        <v>2128</v>
      </c>
      <c r="J91" s="189">
        <v>1224.6421811369901</v>
      </c>
      <c r="K91" s="189">
        <v>50.827566195567798</v>
      </c>
      <c r="L91" s="189">
        <v>-8.75</v>
      </c>
      <c r="M91" s="189">
        <v>14.56</v>
      </c>
      <c r="N91" s="189">
        <v>738</v>
      </c>
      <c r="O91" s="189" t="s">
        <v>956</v>
      </c>
      <c r="P91" s="189" t="s">
        <v>957</v>
      </c>
      <c r="Q91" s="189" t="s">
        <v>253</v>
      </c>
      <c r="R91" s="189" t="s">
        <v>253</v>
      </c>
      <c r="S91" s="189" t="s">
        <v>257</v>
      </c>
      <c r="T91" s="189" t="s">
        <v>253</v>
      </c>
      <c r="U91" s="189" t="s">
        <v>253</v>
      </c>
      <c r="V91" s="189" t="s">
        <v>253</v>
      </c>
      <c r="W91" s="189" t="s">
        <v>253</v>
      </c>
      <c r="X91" s="189" t="s">
        <v>1192</v>
      </c>
      <c r="Y91" s="189" t="s">
        <v>1193</v>
      </c>
    </row>
    <row r="92" spans="1:25" x14ac:dyDescent="0.2">
      <c r="A92" s="189">
        <v>824</v>
      </c>
      <c r="B92" s="189" t="s">
        <v>1194</v>
      </c>
      <c r="C92" s="189" t="s">
        <v>253</v>
      </c>
      <c r="D92" s="189" t="s">
        <v>253</v>
      </c>
      <c r="E92" s="189" t="s">
        <v>940</v>
      </c>
      <c r="F92" s="189" t="s">
        <v>941</v>
      </c>
      <c r="G92" s="189" t="s">
        <v>522</v>
      </c>
      <c r="H92" s="189" t="s">
        <v>521</v>
      </c>
      <c r="I92" s="189">
        <v>7051</v>
      </c>
      <c r="J92" s="189">
        <v>1418.57902525194</v>
      </c>
      <c r="K92" s="189">
        <v>609.98456250931497</v>
      </c>
      <c r="L92" s="189">
        <v>-26.85</v>
      </c>
      <c r="M92" s="189">
        <v>20.82</v>
      </c>
      <c r="N92" s="189">
        <v>840</v>
      </c>
      <c r="O92" s="189" t="s">
        <v>564</v>
      </c>
      <c r="P92" s="189" t="s">
        <v>565</v>
      </c>
      <c r="Q92" s="189" t="s">
        <v>253</v>
      </c>
      <c r="R92" s="189" t="s">
        <v>253</v>
      </c>
      <c r="S92" s="189" t="s">
        <v>253</v>
      </c>
      <c r="T92" s="189" t="s">
        <v>261</v>
      </c>
      <c r="U92" s="189" t="s">
        <v>253</v>
      </c>
      <c r="V92" s="189" t="s">
        <v>253</v>
      </c>
      <c r="W92" s="189" t="s">
        <v>253</v>
      </c>
      <c r="X92" s="189" t="s">
        <v>1195</v>
      </c>
      <c r="Y92" s="189" t="s">
        <v>1196</v>
      </c>
    </row>
    <row r="93" spans="1:25" x14ac:dyDescent="0.2">
      <c r="A93" s="189">
        <v>827</v>
      </c>
      <c r="B93" s="189" t="s">
        <v>1197</v>
      </c>
      <c r="C93" s="189" t="s">
        <v>253</v>
      </c>
      <c r="D93" s="189" t="s">
        <v>253</v>
      </c>
      <c r="E93" s="189" t="s">
        <v>940</v>
      </c>
      <c r="F93" s="189" t="s">
        <v>941</v>
      </c>
      <c r="G93" s="189" t="s">
        <v>340</v>
      </c>
      <c r="H93" s="189" t="s">
        <v>521</v>
      </c>
      <c r="I93" s="189">
        <v>13175</v>
      </c>
      <c r="J93" s="189">
        <v>1251.8887021365799</v>
      </c>
      <c r="K93" s="189">
        <v>797.94663380506495</v>
      </c>
      <c r="L93" s="189">
        <v>-32.94</v>
      </c>
      <c r="M93" s="189">
        <v>15.44</v>
      </c>
      <c r="N93" s="189">
        <v>738</v>
      </c>
      <c r="O93" s="189" t="s">
        <v>542</v>
      </c>
      <c r="P93" s="189" t="s">
        <v>543</v>
      </c>
      <c r="Q93" s="189" t="s">
        <v>253</v>
      </c>
      <c r="R93" s="189" t="s">
        <v>253</v>
      </c>
      <c r="S93" s="189" t="s">
        <v>253</v>
      </c>
      <c r="T93" s="189" t="s">
        <v>261</v>
      </c>
      <c r="U93" s="189" t="s">
        <v>258</v>
      </c>
      <c r="V93" s="189" t="s">
        <v>253</v>
      </c>
      <c r="W93" s="189" t="s">
        <v>253</v>
      </c>
      <c r="X93" s="189" t="s">
        <v>1198</v>
      </c>
      <c r="Y93" s="189" t="s">
        <v>1199</v>
      </c>
    </row>
    <row r="94" spans="1:25" x14ac:dyDescent="0.2">
      <c r="A94" s="189">
        <v>839</v>
      </c>
      <c r="B94" s="189" t="s">
        <v>1200</v>
      </c>
      <c r="C94" s="189" t="s">
        <v>253</v>
      </c>
      <c r="D94" s="189" t="s">
        <v>253</v>
      </c>
      <c r="E94" s="189" t="s">
        <v>940</v>
      </c>
      <c r="F94" s="189" t="s">
        <v>941</v>
      </c>
      <c r="G94" s="189" t="s">
        <v>340</v>
      </c>
      <c r="H94" s="189" t="s">
        <v>521</v>
      </c>
      <c r="I94" s="189">
        <v>28252</v>
      </c>
      <c r="J94" s="189">
        <v>1430.72318889747</v>
      </c>
      <c r="K94" s="189">
        <v>36.0949830550747</v>
      </c>
      <c r="L94" s="189">
        <v>-8.27</v>
      </c>
      <c r="M94" s="189">
        <v>21.21</v>
      </c>
      <c r="N94" s="189">
        <v>82</v>
      </c>
      <c r="O94" s="189" t="s">
        <v>987</v>
      </c>
      <c r="P94" s="189" t="s">
        <v>988</v>
      </c>
      <c r="Q94" s="189" t="s">
        <v>253</v>
      </c>
      <c r="R94" s="189" t="s">
        <v>253</v>
      </c>
      <c r="S94" s="189" t="s">
        <v>253</v>
      </c>
      <c r="T94" s="189" t="s">
        <v>261</v>
      </c>
      <c r="U94" s="189" t="s">
        <v>258</v>
      </c>
      <c r="V94" s="189" t="s">
        <v>297</v>
      </c>
      <c r="W94" s="189" t="s">
        <v>266</v>
      </c>
      <c r="X94" s="189" t="s">
        <v>1201</v>
      </c>
      <c r="Y94" s="189" t="s">
        <v>1202</v>
      </c>
    </row>
    <row r="95" spans="1:25" x14ac:dyDescent="0.2">
      <c r="A95" s="189">
        <v>841</v>
      </c>
      <c r="B95" s="189" t="s">
        <v>1203</v>
      </c>
      <c r="C95" s="189" t="s">
        <v>253</v>
      </c>
      <c r="D95" s="189" t="s">
        <v>253</v>
      </c>
      <c r="E95" s="189" t="s">
        <v>940</v>
      </c>
      <c r="F95" s="189" t="s">
        <v>941</v>
      </c>
      <c r="G95" s="189" t="s">
        <v>340</v>
      </c>
      <c r="H95" s="189" t="s">
        <v>521</v>
      </c>
      <c r="I95" s="189">
        <v>2057</v>
      </c>
      <c r="J95" s="189">
        <v>1370.25537407909</v>
      </c>
      <c r="K95" s="189">
        <v>79.8256492594181</v>
      </c>
      <c r="L95" s="189">
        <v>-9.68</v>
      </c>
      <c r="M95" s="189">
        <v>19.260000000000002</v>
      </c>
      <c r="N95" s="189">
        <v>161</v>
      </c>
      <c r="O95" s="189" t="s">
        <v>956</v>
      </c>
      <c r="P95" s="189" t="s">
        <v>957</v>
      </c>
      <c r="Q95" s="189" t="s">
        <v>253</v>
      </c>
      <c r="R95" s="189" t="s">
        <v>253</v>
      </c>
      <c r="S95" s="189" t="s">
        <v>257</v>
      </c>
      <c r="T95" s="189" t="s">
        <v>253</v>
      </c>
      <c r="U95" s="189" t="s">
        <v>253</v>
      </c>
      <c r="V95" s="189" t="s">
        <v>253</v>
      </c>
      <c r="W95" s="189" t="s">
        <v>253</v>
      </c>
      <c r="X95" s="189" t="s">
        <v>1204</v>
      </c>
      <c r="Y95" s="189" t="s">
        <v>1205</v>
      </c>
    </row>
    <row r="96" spans="1:25" x14ac:dyDescent="0.2">
      <c r="A96" s="189">
        <v>844</v>
      </c>
      <c r="B96" s="189" t="s">
        <v>1206</v>
      </c>
      <c r="C96" s="189" t="s">
        <v>253</v>
      </c>
      <c r="D96" s="189" t="s">
        <v>253</v>
      </c>
      <c r="E96" s="189" t="s">
        <v>940</v>
      </c>
      <c r="F96" s="189" t="s">
        <v>941</v>
      </c>
      <c r="G96" s="189" t="s">
        <v>522</v>
      </c>
      <c r="H96" s="189" t="s">
        <v>521</v>
      </c>
      <c r="I96" s="189">
        <v>3505</v>
      </c>
      <c r="J96" s="189">
        <v>1341.4908326238101</v>
      </c>
      <c r="K96" s="189">
        <v>454.07607698951301</v>
      </c>
      <c r="L96" s="189">
        <v>-21.8</v>
      </c>
      <c r="M96" s="189">
        <v>18.329999999999998</v>
      </c>
      <c r="N96" s="189">
        <v>266</v>
      </c>
      <c r="O96" s="189" t="s">
        <v>602</v>
      </c>
      <c r="P96" s="189" t="s">
        <v>603</v>
      </c>
      <c r="Q96" s="189" t="s">
        <v>253</v>
      </c>
      <c r="R96" s="189" t="s">
        <v>253</v>
      </c>
      <c r="S96" s="189" t="s">
        <v>253</v>
      </c>
      <c r="T96" s="189" t="s">
        <v>253</v>
      </c>
      <c r="U96" s="189" t="s">
        <v>258</v>
      </c>
      <c r="V96" s="189" t="s">
        <v>253</v>
      </c>
      <c r="W96" s="189" t="s">
        <v>253</v>
      </c>
      <c r="X96" s="189" t="s">
        <v>1207</v>
      </c>
      <c r="Y96" s="189" t="s">
        <v>1208</v>
      </c>
    </row>
    <row r="97" spans="1:25" x14ac:dyDescent="0.2">
      <c r="A97" s="189">
        <v>869</v>
      </c>
      <c r="B97" s="189" t="s">
        <v>412</v>
      </c>
      <c r="C97" s="189" t="s">
        <v>253</v>
      </c>
      <c r="D97" s="189" t="s">
        <v>253</v>
      </c>
      <c r="E97" s="189" t="s">
        <v>940</v>
      </c>
      <c r="F97" s="189" t="s">
        <v>941</v>
      </c>
      <c r="G97" s="189" t="s">
        <v>340</v>
      </c>
      <c r="H97" s="189" t="s">
        <v>521</v>
      </c>
      <c r="I97" s="189">
        <v>31455</v>
      </c>
      <c r="J97" s="189">
        <v>1397.6575894844</v>
      </c>
      <c r="K97" s="189">
        <v>471.12461441497101</v>
      </c>
      <c r="L97" s="189">
        <v>-22.36</v>
      </c>
      <c r="M97" s="189">
        <v>20.14</v>
      </c>
      <c r="N97" s="189">
        <v>472</v>
      </c>
      <c r="O97" s="189" t="s">
        <v>602</v>
      </c>
      <c r="P97" s="189" t="s">
        <v>603</v>
      </c>
      <c r="Q97" s="189" t="s">
        <v>253</v>
      </c>
      <c r="R97" s="189" t="s">
        <v>253</v>
      </c>
      <c r="S97" s="189" t="s">
        <v>253</v>
      </c>
      <c r="T97" s="189" t="s">
        <v>261</v>
      </c>
      <c r="U97" s="189" t="s">
        <v>258</v>
      </c>
      <c r="V97" s="189" t="s">
        <v>297</v>
      </c>
      <c r="W97" s="189" t="s">
        <v>266</v>
      </c>
      <c r="X97" s="189" t="s">
        <v>1209</v>
      </c>
      <c r="Y97" s="189" t="s">
        <v>1210</v>
      </c>
    </row>
    <row r="98" spans="1:25" x14ac:dyDescent="0.2">
      <c r="A98" s="189">
        <v>874</v>
      </c>
      <c r="B98" s="189" t="s">
        <v>1211</v>
      </c>
      <c r="C98" s="189" t="s">
        <v>253</v>
      </c>
      <c r="D98" s="189" t="s">
        <v>253</v>
      </c>
      <c r="E98" s="189" t="s">
        <v>940</v>
      </c>
      <c r="F98" s="189" t="s">
        <v>941</v>
      </c>
      <c r="G98" s="189" t="s">
        <v>340</v>
      </c>
      <c r="H98" s="189" t="s">
        <v>521</v>
      </c>
      <c r="I98" s="189">
        <v>2117</v>
      </c>
      <c r="J98" s="189">
        <v>1260.9579012693</v>
      </c>
      <c r="K98" s="189">
        <v>839.51704013015501</v>
      </c>
      <c r="L98" s="189">
        <v>-34.28</v>
      </c>
      <c r="M98" s="189">
        <v>15.73</v>
      </c>
      <c r="N98" s="189">
        <v>328</v>
      </c>
      <c r="O98" s="189" t="s">
        <v>542</v>
      </c>
      <c r="P98" s="189" t="s">
        <v>543</v>
      </c>
      <c r="Q98" s="189" t="s">
        <v>253</v>
      </c>
      <c r="R98" s="189" t="s">
        <v>253</v>
      </c>
      <c r="S98" s="189" t="s">
        <v>253</v>
      </c>
      <c r="T98" s="189" t="s">
        <v>253</v>
      </c>
      <c r="U98" s="189" t="s">
        <v>253</v>
      </c>
      <c r="V98" s="189" t="s">
        <v>253</v>
      </c>
      <c r="W98" s="189" t="s">
        <v>253</v>
      </c>
      <c r="X98" s="189" t="s">
        <v>1212</v>
      </c>
      <c r="Y98" s="189" t="s">
        <v>1213</v>
      </c>
    </row>
    <row r="99" spans="1:25" x14ac:dyDescent="0.2">
      <c r="A99" s="189">
        <v>875</v>
      </c>
      <c r="B99" s="189" t="s">
        <v>1214</v>
      </c>
      <c r="C99" s="189" t="s">
        <v>253</v>
      </c>
      <c r="D99" s="189" t="s">
        <v>253</v>
      </c>
      <c r="E99" s="189" t="s">
        <v>940</v>
      </c>
      <c r="F99" s="189" t="s">
        <v>941</v>
      </c>
      <c r="G99" s="189" t="s">
        <v>340</v>
      </c>
      <c r="H99" s="189" t="s">
        <v>521</v>
      </c>
      <c r="I99" s="189">
        <v>15080</v>
      </c>
      <c r="J99" s="189">
        <v>1329.6580577897</v>
      </c>
      <c r="K99" s="189">
        <v>844.518722913651</v>
      </c>
      <c r="L99" s="189">
        <v>-34.450000000000003</v>
      </c>
      <c r="M99" s="189">
        <v>17.95</v>
      </c>
      <c r="N99" s="189">
        <v>643</v>
      </c>
      <c r="O99" s="189" t="s">
        <v>538</v>
      </c>
      <c r="P99" s="189" t="s">
        <v>539</v>
      </c>
      <c r="Q99" s="189" t="s">
        <v>253</v>
      </c>
      <c r="R99" s="189" t="s">
        <v>253</v>
      </c>
      <c r="S99" s="189" t="s">
        <v>257</v>
      </c>
      <c r="T99" s="189" t="s">
        <v>253</v>
      </c>
      <c r="U99" s="189" t="s">
        <v>258</v>
      </c>
      <c r="V99" s="189" t="s">
        <v>253</v>
      </c>
      <c r="W99" s="189" t="s">
        <v>253</v>
      </c>
      <c r="X99" s="189" t="s">
        <v>1215</v>
      </c>
      <c r="Y99" s="189" t="s">
        <v>1216</v>
      </c>
    </row>
    <row r="100" spans="1:25" x14ac:dyDescent="0.2">
      <c r="A100" s="189">
        <v>896</v>
      </c>
      <c r="B100" s="189" t="s">
        <v>1217</v>
      </c>
      <c r="C100" s="189" t="s">
        <v>253</v>
      </c>
      <c r="D100" s="189" t="s">
        <v>253</v>
      </c>
      <c r="E100" s="189" t="s">
        <v>940</v>
      </c>
      <c r="F100" s="189" t="s">
        <v>941</v>
      </c>
      <c r="G100" s="189" t="s">
        <v>294</v>
      </c>
      <c r="H100" s="189" t="s">
        <v>521</v>
      </c>
      <c r="I100" s="189">
        <v>10072</v>
      </c>
      <c r="J100" s="189">
        <v>1355.1530167250301</v>
      </c>
      <c r="K100" s="189">
        <v>713.85219291989802</v>
      </c>
      <c r="L100" s="189">
        <v>-30.22</v>
      </c>
      <c r="M100" s="189">
        <v>18.77</v>
      </c>
      <c r="N100" s="189">
        <v>840</v>
      </c>
      <c r="O100" s="189" t="s">
        <v>554</v>
      </c>
      <c r="P100" s="189" t="s">
        <v>555</v>
      </c>
      <c r="Q100" s="189" t="s">
        <v>253</v>
      </c>
      <c r="R100" s="189" t="s">
        <v>253</v>
      </c>
      <c r="S100" s="189" t="s">
        <v>257</v>
      </c>
      <c r="T100" s="189" t="s">
        <v>253</v>
      </c>
      <c r="U100" s="189" t="s">
        <v>258</v>
      </c>
      <c r="V100" s="189" t="s">
        <v>253</v>
      </c>
      <c r="W100" s="189" t="s">
        <v>253</v>
      </c>
      <c r="X100" s="189" t="s">
        <v>1218</v>
      </c>
      <c r="Y100" s="189" t="s">
        <v>1219</v>
      </c>
    </row>
    <row r="101" spans="1:25" x14ac:dyDescent="0.2">
      <c r="A101" s="189">
        <v>898</v>
      </c>
      <c r="B101" s="189" t="s">
        <v>405</v>
      </c>
      <c r="C101" s="189" t="s">
        <v>253</v>
      </c>
      <c r="D101" s="189" t="s">
        <v>253</v>
      </c>
      <c r="E101" s="189" t="s">
        <v>940</v>
      </c>
      <c r="F101" s="189" t="s">
        <v>941</v>
      </c>
      <c r="G101" s="189" t="s">
        <v>340</v>
      </c>
      <c r="H101" s="189" t="s">
        <v>521</v>
      </c>
      <c r="I101" s="189">
        <v>11249</v>
      </c>
      <c r="J101" s="189">
        <v>1418.96826126622</v>
      </c>
      <c r="K101" s="189">
        <v>868.70974120114499</v>
      </c>
      <c r="L101" s="189">
        <v>-35.229999999999997</v>
      </c>
      <c r="M101" s="189">
        <v>20.83</v>
      </c>
      <c r="N101" s="189">
        <v>13</v>
      </c>
      <c r="O101" s="189" t="s">
        <v>542</v>
      </c>
      <c r="P101" s="189" t="s">
        <v>543</v>
      </c>
      <c r="Q101" s="189" t="s">
        <v>253</v>
      </c>
      <c r="R101" s="189" t="s">
        <v>253</v>
      </c>
      <c r="S101" s="189" t="s">
        <v>253</v>
      </c>
      <c r="T101" s="189" t="s">
        <v>261</v>
      </c>
      <c r="U101" s="189" t="s">
        <v>253</v>
      </c>
      <c r="V101" s="189" t="s">
        <v>253</v>
      </c>
      <c r="W101" s="189" t="s">
        <v>253</v>
      </c>
      <c r="X101" s="189" t="s">
        <v>1220</v>
      </c>
      <c r="Y101" s="189" t="s">
        <v>1221</v>
      </c>
    </row>
    <row r="102" spans="1:25" x14ac:dyDescent="0.2">
      <c r="A102" s="189">
        <v>911</v>
      </c>
      <c r="B102" s="189" t="s">
        <v>1222</v>
      </c>
      <c r="C102" s="189" t="s">
        <v>253</v>
      </c>
      <c r="D102" s="189" t="s">
        <v>253</v>
      </c>
      <c r="E102" s="189" t="s">
        <v>940</v>
      </c>
      <c r="F102" s="189" t="s">
        <v>941</v>
      </c>
      <c r="G102" s="189" t="s">
        <v>340</v>
      </c>
      <c r="H102" s="189" t="s">
        <v>521</v>
      </c>
      <c r="I102" s="189">
        <v>25335</v>
      </c>
      <c r="J102" s="189">
        <v>1448.1609623372101</v>
      </c>
      <c r="K102" s="189">
        <v>152.61278392975299</v>
      </c>
      <c r="L102" s="189">
        <v>-12.04</v>
      </c>
      <c r="M102" s="189">
        <v>21.78</v>
      </c>
      <c r="N102" s="189">
        <v>266</v>
      </c>
      <c r="O102" s="189" t="s">
        <v>904</v>
      </c>
      <c r="P102" s="189" t="s">
        <v>905</v>
      </c>
      <c r="Q102" s="189" t="s">
        <v>253</v>
      </c>
      <c r="R102" s="189" t="s">
        <v>253</v>
      </c>
      <c r="S102" s="189" t="s">
        <v>257</v>
      </c>
      <c r="T102" s="189" t="s">
        <v>261</v>
      </c>
      <c r="U102" s="189" t="s">
        <v>253</v>
      </c>
      <c r="V102" s="189" t="s">
        <v>253</v>
      </c>
      <c r="W102" s="189" t="s">
        <v>266</v>
      </c>
      <c r="X102" s="189" t="s">
        <v>1223</v>
      </c>
      <c r="Y102" s="189" t="s">
        <v>1224</v>
      </c>
    </row>
    <row r="103" spans="1:25" x14ac:dyDescent="0.2">
      <c r="A103" s="189">
        <v>915</v>
      </c>
      <c r="B103" s="189" t="s">
        <v>1225</v>
      </c>
      <c r="C103" s="189" t="s">
        <v>253</v>
      </c>
      <c r="D103" s="189" t="s">
        <v>253</v>
      </c>
      <c r="E103" s="189" t="s">
        <v>940</v>
      </c>
      <c r="F103" s="189" t="s">
        <v>941</v>
      </c>
      <c r="G103" s="189" t="s">
        <v>340</v>
      </c>
      <c r="H103" s="189" t="s">
        <v>521</v>
      </c>
      <c r="I103" s="189">
        <v>10534</v>
      </c>
      <c r="J103" s="189">
        <v>1484.04852285381</v>
      </c>
      <c r="K103" s="189">
        <v>636.90023289676799</v>
      </c>
      <c r="L103" s="189">
        <v>-27.72</v>
      </c>
      <c r="M103" s="189">
        <v>22.93</v>
      </c>
      <c r="N103" s="189">
        <v>397</v>
      </c>
      <c r="O103" s="189" t="s">
        <v>550</v>
      </c>
      <c r="P103" s="189" t="s">
        <v>551</v>
      </c>
      <c r="Q103" s="189" t="s">
        <v>253</v>
      </c>
      <c r="R103" s="189" t="s">
        <v>253</v>
      </c>
      <c r="S103" s="189" t="s">
        <v>257</v>
      </c>
      <c r="T103" s="189" t="s">
        <v>253</v>
      </c>
      <c r="U103" s="189" t="s">
        <v>258</v>
      </c>
      <c r="V103" s="189" t="s">
        <v>253</v>
      </c>
      <c r="W103" s="189" t="s">
        <v>253</v>
      </c>
      <c r="X103" s="189" t="s">
        <v>1226</v>
      </c>
      <c r="Y103" s="189" t="s">
        <v>1227</v>
      </c>
    </row>
    <row r="104" spans="1:25" x14ac:dyDescent="0.2">
      <c r="A104" s="189">
        <v>919</v>
      </c>
      <c r="B104" s="189" t="s">
        <v>1228</v>
      </c>
      <c r="C104" s="189" t="s">
        <v>253</v>
      </c>
      <c r="D104" s="189" t="s">
        <v>253</v>
      </c>
      <c r="E104" s="189" t="s">
        <v>940</v>
      </c>
      <c r="F104" s="189" t="s">
        <v>941</v>
      </c>
      <c r="G104" s="189" t="s">
        <v>294</v>
      </c>
      <c r="H104" s="189" t="s">
        <v>521</v>
      </c>
      <c r="I104" s="189">
        <v>10006</v>
      </c>
      <c r="J104" s="189">
        <v>1306.0119699222</v>
      </c>
      <c r="K104" s="189">
        <v>706.55401765215095</v>
      </c>
      <c r="L104" s="189">
        <v>-29.98</v>
      </c>
      <c r="M104" s="189">
        <v>17.18</v>
      </c>
      <c r="N104" s="189">
        <v>1312</v>
      </c>
      <c r="O104" s="189" t="s">
        <v>542</v>
      </c>
      <c r="P104" s="189" t="s">
        <v>543</v>
      </c>
      <c r="Q104" s="189" t="s">
        <v>253</v>
      </c>
      <c r="R104" s="189" t="s">
        <v>253</v>
      </c>
      <c r="S104" s="189" t="s">
        <v>253</v>
      </c>
      <c r="T104" s="189" t="s">
        <v>253</v>
      </c>
      <c r="U104" s="189" t="s">
        <v>253</v>
      </c>
      <c r="V104" s="189" t="s">
        <v>253</v>
      </c>
      <c r="W104" s="189" t="s">
        <v>253</v>
      </c>
      <c r="X104" s="189" t="s">
        <v>1229</v>
      </c>
      <c r="Y104" s="189" t="s">
        <v>1230</v>
      </c>
    </row>
    <row r="105" spans="1:25" x14ac:dyDescent="0.2">
      <c r="A105" s="189">
        <v>928</v>
      </c>
      <c r="B105" s="189" t="s">
        <v>1231</v>
      </c>
      <c r="C105" s="189" t="s">
        <v>253</v>
      </c>
      <c r="D105" s="189" t="s">
        <v>253</v>
      </c>
      <c r="E105" s="189" t="s">
        <v>940</v>
      </c>
      <c r="F105" s="189" t="s">
        <v>941</v>
      </c>
      <c r="G105" s="189" t="s">
        <v>340</v>
      </c>
      <c r="H105" s="189" t="s">
        <v>521</v>
      </c>
      <c r="I105" s="189">
        <v>17256</v>
      </c>
      <c r="J105" s="189">
        <v>1398.12467270153</v>
      </c>
      <c r="K105" s="189">
        <v>902.55381264278003</v>
      </c>
      <c r="L105" s="189">
        <v>-36.33</v>
      </c>
      <c r="M105" s="189">
        <v>20.16</v>
      </c>
      <c r="N105" s="189">
        <v>210</v>
      </c>
      <c r="O105" s="189" t="s">
        <v>542</v>
      </c>
      <c r="P105" s="189" t="s">
        <v>543</v>
      </c>
      <c r="Q105" s="189" t="s">
        <v>253</v>
      </c>
      <c r="R105" s="189" t="s">
        <v>253</v>
      </c>
      <c r="S105" s="189" t="s">
        <v>257</v>
      </c>
      <c r="T105" s="189" t="s">
        <v>261</v>
      </c>
      <c r="U105" s="189" t="s">
        <v>258</v>
      </c>
      <c r="V105" s="189" t="s">
        <v>253</v>
      </c>
      <c r="W105" s="189" t="s">
        <v>253</v>
      </c>
      <c r="X105" s="189" t="s">
        <v>1232</v>
      </c>
      <c r="Y105" s="189" t="s">
        <v>1233</v>
      </c>
    </row>
    <row r="106" spans="1:25" x14ac:dyDescent="0.2">
      <c r="A106" s="189">
        <v>946</v>
      </c>
      <c r="B106" s="189" t="s">
        <v>412</v>
      </c>
      <c r="C106" s="189" t="s">
        <v>253</v>
      </c>
      <c r="D106" s="189" t="s">
        <v>253</v>
      </c>
      <c r="E106" s="189" t="s">
        <v>940</v>
      </c>
      <c r="F106" s="189" t="s">
        <v>941</v>
      </c>
      <c r="G106" s="189" t="s">
        <v>340</v>
      </c>
      <c r="H106" s="189" t="s">
        <v>521</v>
      </c>
      <c r="I106" s="189">
        <v>2067</v>
      </c>
      <c r="J106" s="189">
        <v>1530.77630636811</v>
      </c>
      <c r="K106" s="189">
        <v>275.183204826485</v>
      </c>
      <c r="L106" s="189">
        <v>-16.010000000000002</v>
      </c>
      <c r="M106" s="189">
        <v>24.44</v>
      </c>
      <c r="N106" s="189">
        <v>161</v>
      </c>
      <c r="O106" s="189" t="s">
        <v>918</v>
      </c>
      <c r="P106" s="189" t="s">
        <v>919</v>
      </c>
      <c r="Q106" s="189" t="s">
        <v>253</v>
      </c>
      <c r="R106" s="189" t="s">
        <v>253</v>
      </c>
      <c r="S106" s="189" t="s">
        <v>257</v>
      </c>
      <c r="T106" s="189" t="s">
        <v>253</v>
      </c>
      <c r="U106" s="189" t="s">
        <v>253</v>
      </c>
      <c r="V106" s="189" t="s">
        <v>253</v>
      </c>
      <c r="W106" s="189" t="s">
        <v>253</v>
      </c>
      <c r="X106" s="189" t="s">
        <v>1234</v>
      </c>
      <c r="Y106" s="189" t="s">
        <v>1235</v>
      </c>
    </row>
    <row r="107" spans="1:25" x14ac:dyDescent="0.2">
      <c r="A107" s="189">
        <v>948</v>
      </c>
      <c r="B107" s="189" t="s">
        <v>1236</v>
      </c>
      <c r="C107" s="189" t="s">
        <v>253</v>
      </c>
      <c r="D107" s="189" t="s">
        <v>253</v>
      </c>
      <c r="E107" s="189" t="s">
        <v>940</v>
      </c>
      <c r="F107" s="189" t="s">
        <v>941</v>
      </c>
      <c r="G107" s="189" t="s">
        <v>340</v>
      </c>
      <c r="H107" s="189" t="s">
        <v>521</v>
      </c>
      <c r="I107" s="189">
        <v>2068</v>
      </c>
      <c r="J107" s="189">
        <v>1463.0297780827</v>
      </c>
      <c r="K107" s="189">
        <v>388.27572877550102</v>
      </c>
      <c r="L107" s="189">
        <v>-19.670000000000002</v>
      </c>
      <c r="M107" s="189">
        <v>22.26</v>
      </c>
      <c r="N107" s="189">
        <v>52</v>
      </c>
      <c r="O107" s="189" t="s">
        <v>967</v>
      </c>
      <c r="P107" s="189" t="s">
        <v>968</v>
      </c>
      <c r="Q107" s="189" t="s">
        <v>253</v>
      </c>
      <c r="R107" s="189" t="s">
        <v>253</v>
      </c>
      <c r="S107" s="189" t="s">
        <v>257</v>
      </c>
      <c r="T107" s="189" t="s">
        <v>253</v>
      </c>
      <c r="U107" s="189" t="s">
        <v>253</v>
      </c>
      <c r="V107" s="189" t="s">
        <v>253</v>
      </c>
      <c r="W107" s="189" t="s">
        <v>253</v>
      </c>
      <c r="X107" s="189" t="s">
        <v>1237</v>
      </c>
      <c r="Y107" s="189" t="s">
        <v>1238</v>
      </c>
    </row>
    <row r="108" spans="1:25" x14ac:dyDescent="0.2">
      <c r="A108" s="189">
        <v>949</v>
      </c>
      <c r="B108" s="189" t="s">
        <v>1239</v>
      </c>
      <c r="C108" s="189" t="s">
        <v>253</v>
      </c>
      <c r="D108" s="189" t="s">
        <v>253</v>
      </c>
      <c r="E108" s="189" t="s">
        <v>940</v>
      </c>
      <c r="F108" s="189" t="s">
        <v>941</v>
      </c>
      <c r="G108" s="189" t="s">
        <v>340</v>
      </c>
      <c r="H108" s="189" t="s">
        <v>521</v>
      </c>
      <c r="I108" s="189">
        <v>2066</v>
      </c>
      <c r="J108" s="189">
        <v>1447.0516396965099</v>
      </c>
      <c r="K108" s="189">
        <v>464.85791458506498</v>
      </c>
      <c r="L108" s="189">
        <v>-22.15</v>
      </c>
      <c r="M108" s="189">
        <v>21.74</v>
      </c>
      <c r="N108" s="189">
        <v>52</v>
      </c>
      <c r="O108" s="189" t="s">
        <v>945</v>
      </c>
      <c r="P108" s="189" t="s">
        <v>946</v>
      </c>
      <c r="Q108" s="189" t="s">
        <v>253</v>
      </c>
      <c r="R108" s="189" t="s">
        <v>253</v>
      </c>
      <c r="S108" s="189" t="s">
        <v>253</v>
      </c>
      <c r="T108" s="189" t="s">
        <v>253</v>
      </c>
      <c r="U108" s="189" t="s">
        <v>253</v>
      </c>
      <c r="V108" s="189" t="s">
        <v>253</v>
      </c>
      <c r="W108" s="189" t="s">
        <v>253</v>
      </c>
      <c r="X108" s="189" t="s">
        <v>1240</v>
      </c>
      <c r="Y108" s="189" t="s">
        <v>1241</v>
      </c>
    </row>
    <row r="109" spans="1:25" x14ac:dyDescent="0.2">
      <c r="A109" s="189">
        <v>951</v>
      </c>
      <c r="B109" s="189" t="s">
        <v>1242</v>
      </c>
      <c r="C109" s="189" t="s">
        <v>253</v>
      </c>
      <c r="D109" s="189" t="s">
        <v>253</v>
      </c>
      <c r="E109" s="189" t="s">
        <v>940</v>
      </c>
      <c r="F109" s="189" t="s">
        <v>941</v>
      </c>
      <c r="G109" s="189" t="s">
        <v>340</v>
      </c>
      <c r="H109" s="189" t="s">
        <v>521</v>
      </c>
      <c r="I109" s="189">
        <v>16306</v>
      </c>
      <c r="J109" s="189">
        <v>1545.1585770957499</v>
      </c>
      <c r="K109" s="189">
        <v>644.937956591648</v>
      </c>
      <c r="L109" s="189">
        <v>-27.98</v>
      </c>
      <c r="M109" s="189">
        <v>24.91</v>
      </c>
      <c r="N109" s="189">
        <v>161</v>
      </c>
      <c r="O109" s="189" t="s">
        <v>564</v>
      </c>
      <c r="P109" s="189" t="s">
        <v>565</v>
      </c>
      <c r="Q109" s="189" t="s">
        <v>253</v>
      </c>
      <c r="R109" s="189" t="s">
        <v>253</v>
      </c>
      <c r="S109" s="189" t="s">
        <v>257</v>
      </c>
      <c r="T109" s="189" t="s">
        <v>261</v>
      </c>
      <c r="U109" s="189" t="s">
        <v>258</v>
      </c>
      <c r="V109" s="189" t="s">
        <v>253</v>
      </c>
      <c r="W109" s="189" t="s">
        <v>253</v>
      </c>
      <c r="X109" s="189" t="s">
        <v>1243</v>
      </c>
      <c r="Y109" s="189" t="s">
        <v>1244</v>
      </c>
    </row>
    <row r="110" spans="1:25" x14ac:dyDescent="0.2">
      <c r="A110" s="189">
        <v>967</v>
      </c>
      <c r="B110" s="189" t="s">
        <v>1245</v>
      </c>
      <c r="C110" s="189" t="s">
        <v>253</v>
      </c>
      <c r="D110" s="189" t="s">
        <v>253</v>
      </c>
      <c r="E110" s="189" t="s">
        <v>940</v>
      </c>
      <c r="F110" s="189" t="s">
        <v>941</v>
      </c>
      <c r="G110" s="189" t="s">
        <v>340</v>
      </c>
      <c r="H110" s="189" t="s">
        <v>521</v>
      </c>
      <c r="I110" s="189">
        <v>12798</v>
      </c>
      <c r="J110" s="189">
        <v>1352.4283646250699</v>
      </c>
      <c r="K110" s="189">
        <v>41.991908671414699</v>
      </c>
      <c r="L110" s="189">
        <v>-8.4600000000000009</v>
      </c>
      <c r="M110" s="189">
        <v>18.68</v>
      </c>
      <c r="N110" s="189">
        <v>118</v>
      </c>
      <c r="O110" s="189" t="s">
        <v>987</v>
      </c>
      <c r="P110" s="189" t="s">
        <v>988</v>
      </c>
      <c r="Q110" s="189" t="s">
        <v>253</v>
      </c>
      <c r="R110" s="189" t="s">
        <v>253</v>
      </c>
      <c r="S110" s="189" t="s">
        <v>257</v>
      </c>
      <c r="T110" s="189" t="s">
        <v>261</v>
      </c>
      <c r="U110" s="189" t="s">
        <v>253</v>
      </c>
      <c r="V110" s="189" t="s">
        <v>253</v>
      </c>
      <c r="W110" s="189" t="s">
        <v>253</v>
      </c>
      <c r="X110" s="189" t="s">
        <v>1246</v>
      </c>
      <c r="Y110" s="189" t="s">
        <v>1247</v>
      </c>
    </row>
    <row r="111" spans="1:25" x14ac:dyDescent="0.2">
      <c r="A111" s="189">
        <v>974</v>
      </c>
      <c r="B111" s="189" t="s">
        <v>1248</v>
      </c>
      <c r="C111" s="189" t="s">
        <v>253</v>
      </c>
      <c r="D111" s="189" t="s">
        <v>253</v>
      </c>
      <c r="E111" s="189" t="s">
        <v>940</v>
      </c>
      <c r="F111" s="189" t="s">
        <v>941</v>
      </c>
      <c r="G111" s="189" t="s">
        <v>522</v>
      </c>
      <c r="H111" s="189" t="s">
        <v>521</v>
      </c>
      <c r="I111" s="189">
        <v>16988</v>
      </c>
      <c r="J111" s="189">
        <v>1434.05115681956</v>
      </c>
      <c r="K111" s="189">
        <v>304.41482949890298</v>
      </c>
      <c r="L111" s="189">
        <v>-16.96</v>
      </c>
      <c r="M111" s="189">
        <v>21.32</v>
      </c>
      <c r="N111" s="189">
        <v>472</v>
      </c>
      <c r="O111" s="189" t="s">
        <v>967</v>
      </c>
      <c r="P111" s="189" t="s">
        <v>968</v>
      </c>
      <c r="Q111" s="189" t="s">
        <v>253</v>
      </c>
      <c r="R111" s="189" t="s">
        <v>253</v>
      </c>
      <c r="S111" s="189" t="s">
        <v>253</v>
      </c>
      <c r="T111" s="189" t="s">
        <v>261</v>
      </c>
      <c r="U111" s="189" t="s">
        <v>258</v>
      </c>
      <c r="V111" s="189" t="s">
        <v>253</v>
      </c>
      <c r="W111" s="189" t="s">
        <v>253</v>
      </c>
      <c r="X111" s="189" t="s">
        <v>1249</v>
      </c>
      <c r="Y111" s="189" t="s">
        <v>1250</v>
      </c>
    </row>
    <row r="112" spans="1:25" x14ac:dyDescent="0.2">
      <c r="A112" s="189">
        <v>981</v>
      </c>
      <c r="B112" s="189" t="s">
        <v>1251</v>
      </c>
      <c r="C112" s="189" t="s">
        <v>1252</v>
      </c>
      <c r="D112" s="189" t="s">
        <v>1253</v>
      </c>
      <c r="E112" s="189" t="s">
        <v>940</v>
      </c>
      <c r="F112" s="189" t="s">
        <v>941</v>
      </c>
      <c r="G112" s="189" t="s">
        <v>294</v>
      </c>
      <c r="H112" s="189" t="s">
        <v>521</v>
      </c>
      <c r="I112" s="189">
        <v>4681</v>
      </c>
      <c r="J112" s="189">
        <v>1271.36996465129</v>
      </c>
      <c r="K112" s="189">
        <v>710.52422499780596</v>
      </c>
      <c r="L112" s="189">
        <v>-30.11</v>
      </c>
      <c r="M112" s="189">
        <v>16.059999999999999</v>
      </c>
      <c r="N112" s="189">
        <v>472</v>
      </c>
      <c r="O112" s="189" t="s">
        <v>554</v>
      </c>
      <c r="P112" s="189" t="s">
        <v>555</v>
      </c>
      <c r="Q112" s="189" t="s">
        <v>253</v>
      </c>
      <c r="R112" s="189" t="s">
        <v>253</v>
      </c>
      <c r="S112" s="189" t="s">
        <v>253</v>
      </c>
      <c r="T112" s="189" t="s">
        <v>253</v>
      </c>
      <c r="U112" s="189" t="s">
        <v>258</v>
      </c>
      <c r="V112" s="189" t="s">
        <v>253</v>
      </c>
      <c r="W112" s="189" t="s">
        <v>253</v>
      </c>
      <c r="X112" s="189" t="s">
        <v>1254</v>
      </c>
      <c r="Y112" s="189" t="s">
        <v>1255</v>
      </c>
    </row>
    <row r="113" spans="1:25" x14ac:dyDescent="0.2">
      <c r="A113" s="189">
        <v>982</v>
      </c>
      <c r="B113" s="189" t="s">
        <v>1256</v>
      </c>
      <c r="C113" s="189" t="s">
        <v>253</v>
      </c>
      <c r="D113" s="189" t="s">
        <v>253</v>
      </c>
      <c r="E113" s="189" t="s">
        <v>940</v>
      </c>
      <c r="F113" s="189" t="s">
        <v>941</v>
      </c>
      <c r="G113" s="189" t="s">
        <v>294</v>
      </c>
      <c r="H113" s="189" t="s">
        <v>521</v>
      </c>
      <c r="I113" s="189">
        <v>2084</v>
      </c>
      <c r="J113" s="189">
        <v>1286.3360894003499</v>
      </c>
      <c r="K113" s="189">
        <v>709.72629116853204</v>
      </c>
      <c r="L113" s="189">
        <v>-30.08</v>
      </c>
      <c r="M113" s="189">
        <v>16.55</v>
      </c>
      <c r="N113" s="189">
        <v>840</v>
      </c>
      <c r="O113" s="189" t="s">
        <v>554</v>
      </c>
      <c r="P113" s="189" t="s">
        <v>555</v>
      </c>
      <c r="Q113" s="189" t="s">
        <v>253</v>
      </c>
      <c r="R113" s="189" t="s">
        <v>253</v>
      </c>
      <c r="S113" s="189" t="s">
        <v>253</v>
      </c>
      <c r="T113" s="189" t="s">
        <v>261</v>
      </c>
      <c r="U113" s="189" t="s">
        <v>258</v>
      </c>
      <c r="V113" s="189" t="s">
        <v>253</v>
      </c>
      <c r="W113" s="189" t="s">
        <v>253</v>
      </c>
      <c r="X113" s="189" t="s">
        <v>1257</v>
      </c>
      <c r="Y113" s="189" t="s">
        <v>1258</v>
      </c>
    </row>
    <row r="114" spans="1:25" x14ac:dyDescent="0.2">
      <c r="A114" s="189">
        <v>986</v>
      </c>
      <c r="B114" s="189" t="s">
        <v>1259</v>
      </c>
      <c r="C114" s="189" t="s">
        <v>253</v>
      </c>
      <c r="D114" s="189" t="s">
        <v>253</v>
      </c>
      <c r="E114" s="189" t="s">
        <v>940</v>
      </c>
      <c r="F114" s="189" t="s">
        <v>941</v>
      </c>
      <c r="G114" s="189" t="s">
        <v>340</v>
      </c>
      <c r="H114" s="189" t="s">
        <v>521</v>
      </c>
      <c r="I114" s="189">
        <v>14982</v>
      </c>
      <c r="J114" s="189">
        <v>1306.5569003421899</v>
      </c>
      <c r="K114" s="189">
        <v>828.56004632817599</v>
      </c>
      <c r="L114" s="189">
        <v>-33.93</v>
      </c>
      <c r="M114" s="189">
        <v>17.2</v>
      </c>
      <c r="N114" s="189">
        <v>738</v>
      </c>
      <c r="O114" s="189" t="s">
        <v>538</v>
      </c>
      <c r="P114" s="189" t="s">
        <v>539</v>
      </c>
      <c r="Q114" s="189" t="s">
        <v>253</v>
      </c>
      <c r="R114" s="189" t="s">
        <v>253</v>
      </c>
      <c r="S114" s="189" t="s">
        <v>253</v>
      </c>
      <c r="T114" s="189" t="s">
        <v>261</v>
      </c>
      <c r="U114" s="189" t="s">
        <v>253</v>
      </c>
      <c r="V114" s="189" t="s">
        <v>253</v>
      </c>
      <c r="W114" s="189" t="s">
        <v>253</v>
      </c>
      <c r="X114" s="189" t="s">
        <v>1260</v>
      </c>
      <c r="Y114" s="189" t="s">
        <v>1261</v>
      </c>
    </row>
    <row r="115" spans="1:25" x14ac:dyDescent="0.2">
      <c r="A115" s="189">
        <v>1005</v>
      </c>
      <c r="B115" s="189" t="s">
        <v>1262</v>
      </c>
      <c r="C115" s="189" t="s">
        <v>253</v>
      </c>
      <c r="D115" s="189" t="s">
        <v>253</v>
      </c>
      <c r="E115" s="189" t="s">
        <v>940</v>
      </c>
      <c r="F115" s="189" t="s">
        <v>941</v>
      </c>
      <c r="G115" s="189" t="s">
        <v>522</v>
      </c>
      <c r="H115" s="189" t="s">
        <v>521</v>
      </c>
      <c r="I115" s="189">
        <v>11609</v>
      </c>
      <c r="J115" s="189">
        <v>1314.4583914320699</v>
      </c>
      <c r="K115" s="189">
        <v>451.44873389312397</v>
      </c>
      <c r="L115" s="189">
        <v>-21.72</v>
      </c>
      <c r="M115" s="189">
        <v>17.46</v>
      </c>
      <c r="N115" s="189">
        <v>328</v>
      </c>
      <c r="O115" s="189" t="s">
        <v>945</v>
      </c>
      <c r="P115" s="189" t="s">
        <v>946</v>
      </c>
      <c r="Q115" s="189" t="s">
        <v>253</v>
      </c>
      <c r="R115" s="189" t="s">
        <v>253</v>
      </c>
      <c r="S115" s="189" t="s">
        <v>257</v>
      </c>
      <c r="T115" s="189" t="s">
        <v>253</v>
      </c>
      <c r="U115" s="189" t="s">
        <v>258</v>
      </c>
      <c r="V115" s="189" t="s">
        <v>253</v>
      </c>
      <c r="W115" s="189" t="s">
        <v>253</v>
      </c>
      <c r="X115" s="189" t="s">
        <v>1263</v>
      </c>
      <c r="Y115" s="189" t="s">
        <v>1264</v>
      </c>
    </row>
    <row r="116" spans="1:25" x14ac:dyDescent="0.2">
      <c r="A116" s="189">
        <v>1031</v>
      </c>
      <c r="B116" s="189" t="s">
        <v>1265</v>
      </c>
      <c r="C116" s="189" t="s">
        <v>253</v>
      </c>
      <c r="D116" s="189" t="s">
        <v>253</v>
      </c>
      <c r="E116" s="189" t="s">
        <v>940</v>
      </c>
      <c r="F116" s="189" t="s">
        <v>941</v>
      </c>
      <c r="G116" s="189" t="s">
        <v>340</v>
      </c>
      <c r="H116" s="189" t="s">
        <v>521</v>
      </c>
      <c r="I116" s="189">
        <v>25101</v>
      </c>
      <c r="J116" s="189">
        <v>1533.5398820695</v>
      </c>
      <c r="K116" s="189">
        <v>166.177659027407</v>
      </c>
      <c r="L116" s="189">
        <v>-12.48</v>
      </c>
      <c r="M116" s="189">
        <v>24.53</v>
      </c>
      <c r="N116" s="189">
        <v>161</v>
      </c>
      <c r="O116" s="189" t="s">
        <v>904</v>
      </c>
      <c r="P116" s="189" t="s">
        <v>905</v>
      </c>
      <c r="Q116" s="189" t="s">
        <v>253</v>
      </c>
      <c r="R116" s="189" t="s">
        <v>253</v>
      </c>
      <c r="S116" s="189" t="s">
        <v>253</v>
      </c>
      <c r="T116" s="189" t="s">
        <v>261</v>
      </c>
      <c r="U116" s="189" t="s">
        <v>253</v>
      </c>
      <c r="V116" s="189" t="s">
        <v>253</v>
      </c>
      <c r="W116" s="189" t="s">
        <v>266</v>
      </c>
      <c r="X116" s="189" t="s">
        <v>1266</v>
      </c>
      <c r="Y116" s="189" t="s">
        <v>1267</v>
      </c>
    </row>
    <row r="117" spans="1:25" x14ac:dyDescent="0.2">
      <c r="A117" s="189">
        <v>112</v>
      </c>
      <c r="B117" s="189" t="s">
        <v>1268</v>
      </c>
      <c r="C117" s="189" t="s">
        <v>253</v>
      </c>
      <c r="D117" s="189" t="s">
        <v>253</v>
      </c>
      <c r="E117" s="189" t="s">
        <v>1269</v>
      </c>
      <c r="F117" s="189" t="s">
        <v>1270</v>
      </c>
      <c r="G117" s="189" t="s">
        <v>903</v>
      </c>
      <c r="H117" s="189" t="s">
        <v>521</v>
      </c>
      <c r="I117" s="189">
        <v>6955</v>
      </c>
      <c r="J117" s="189">
        <v>744.79202273277303</v>
      </c>
      <c r="K117" s="189">
        <v>146.03469528842399</v>
      </c>
      <c r="L117" s="189">
        <v>-11.83</v>
      </c>
      <c r="M117" s="189">
        <v>-0.94</v>
      </c>
      <c r="N117" s="189">
        <v>328</v>
      </c>
      <c r="O117" s="189" t="s">
        <v>1086</v>
      </c>
      <c r="P117" s="189" t="s">
        <v>1087</v>
      </c>
      <c r="Q117" s="189" t="s">
        <v>253</v>
      </c>
      <c r="R117" s="189" t="s">
        <v>253</v>
      </c>
      <c r="S117" s="189" t="s">
        <v>257</v>
      </c>
      <c r="T117" s="189" t="s">
        <v>253</v>
      </c>
      <c r="U117" s="189" t="s">
        <v>253</v>
      </c>
      <c r="V117" s="189" t="s">
        <v>253</v>
      </c>
      <c r="W117" s="189" t="s">
        <v>253</v>
      </c>
      <c r="X117" s="189" t="s">
        <v>1271</v>
      </c>
      <c r="Y117" s="189" t="s">
        <v>1272</v>
      </c>
    </row>
    <row r="118" spans="1:25" x14ac:dyDescent="0.2">
      <c r="A118" s="189">
        <v>149</v>
      </c>
      <c r="B118" s="189" t="s">
        <v>1273</v>
      </c>
      <c r="C118" s="189" t="s">
        <v>253</v>
      </c>
      <c r="D118" s="189" t="s">
        <v>253</v>
      </c>
      <c r="E118" s="189" t="s">
        <v>1269</v>
      </c>
      <c r="F118" s="189" t="s">
        <v>1270</v>
      </c>
      <c r="G118" s="189" t="s">
        <v>903</v>
      </c>
      <c r="H118" s="189" t="s">
        <v>521</v>
      </c>
      <c r="I118" s="189">
        <v>9063</v>
      </c>
      <c r="J118" s="189">
        <v>720.67885164813504</v>
      </c>
      <c r="K118" s="189">
        <v>139.78745725923201</v>
      </c>
      <c r="L118" s="189">
        <v>-11.63</v>
      </c>
      <c r="M118" s="189">
        <v>-1.72</v>
      </c>
      <c r="N118" s="189">
        <v>948</v>
      </c>
      <c r="O118" s="189" t="s">
        <v>904</v>
      </c>
      <c r="P118" s="189" t="s">
        <v>905</v>
      </c>
      <c r="Q118" s="189" t="s">
        <v>253</v>
      </c>
      <c r="R118" s="189" t="s">
        <v>253</v>
      </c>
      <c r="S118" s="189" t="s">
        <v>257</v>
      </c>
      <c r="T118" s="189" t="s">
        <v>253</v>
      </c>
      <c r="U118" s="189" t="s">
        <v>253</v>
      </c>
      <c r="V118" s="189" t="s">
        <v>253</v>
      </c>
      <c r="W118" s="189" t="s">
        <v>253</v>
      </c>
      <c r="X118" s="189" t="s">
        <v>1274</v>
      </c>
      <c r="Y118" s="189" t="s">
        <v>1275</v>
      </c>
    </row>
    <row r="119" spans="1:25" x14ac:dyDescent="0.2">
      <c r="A119" s="189">
        <v>277</v>
      </c>
      <c r="B119" s="189" t="s">
        <v>1276</v>
      </c>
      <c r="C119" s="189" t="s">
        <v>253</v>
      </c>
      <c r="D119" s="189" t="s">
        <v>253</v>
      </c>
      <c r="E119" s="189" t="s">
        <v>1269</v>
      </c>
      <c r="F119" s="189" t="s">
        <v>1270</v>
      </c>
      <c r="G119" s="189" t="s">
        <v>903</v>
      </c>
      <c r="H119" s="189" t="s">
        <v>521</v>
      </c>
      <c r="I119" s="189">
        <v>4966</v>
      </c>
      <c r="J119" s="189">
        <v>730.68221721512805</v>
      </c>
      <c r="K119" s="189">
        <v>168.376842508088</v>
      </c>
      <c r="L119" s="189">
        <v>-12.55</v>
      </c>
      <c r="M119" s="189">
        <v>-1.4</v>
      </c>
      <c r="N119" s="189">
        <v>397</v>
      </c>
      <c r="O119" s="189" t="s">
        <v>929</v>
      </c>
      <c r="P119" s="189" t="s">
        <v>930</v>
      </c>
      <c r="Q119" s="189" t="s">
        <v>253</v>
      </c>
      <c r="R119" s="189" t="s">
        <v>253</v>
      </c>
      <c r="S119" s="189" t="s">
        <v>257</v>
      </c>
      <c r="T119" s="189" t="s">
        <v>253</v>
      </c>
      <c r="U119" s="189" t="s">
        <v>253</v>
      </c>
      <c r="V119" s="189" t="s">
        <v>253</v>
      </c>
      <c r="W119" s="189" t="s">
        <v>253</v>
      </c>
      <c r="X119" s="189" t="s">
        <v>1277</v>
      </c>
      <c r="Y119" s="189" t="s">
        <v>1278</v>
      </c>
    </row>
    <row r="120" spans="1:25" x14ac:dyDescent="0.2">
      <c r="A120" s="189">
        <v>300</v>
      </c>
      <c r="B120" s="189" t="s">
        <v>1279</v>
      </c>
      <c r="C120" s="189" t="s">
        <v>253</v>
      </c>
      <c r="D120" s="189" t="s">
        <v>253</v>
      </c>
      <c r="E120" s="189" t="s">
        <v>1269</v>
      </c>
      <c r="F120" s="189" t="s">
        <v>1270</v>
      </c>
      <c r="G120" s="189" t="s">
        <v>903</v>
      </c>
      <c r="H120" s="189" t="s">
        <v>521</v>
      </c>
      <c r="I120" s="189">
        <v>26031</v>
      </c>
      <c r="J120" s="189">
        <v>714.5</v>
      </c>
      <c r="K120" s="189">
        <v>180</v>
      </c>
      <c r="L120" s="189">
        <v>-12.93</v>
      </c>
      <c r="M120" s="189">
        <v>-1.92</v>
      </c>
      <c r="N120" s="189">
        <v>52</v>
      </c>
      <c r="O120" s="189" t="s">
        <v>904</v>
      </c>
      <c r="P120" s="189" t="s">
        <v>905</v>
      </c>
      <c r="Q120" s="189" t="s">
        <v>332</v>
      </c>
      <c r="R120" s="189" t="s">
        <v>259</v>
      </c>
      <c r="S120" s="189" t="s">
        <v>257</v>
      </c>
      <c r="T120" s="189" t="s">
        <v>261</v>
      </c>
      <c r="U120" s="189" t="s">
        <v>253</v>
      </c>
      <c r="V120" s="189" t="s">
        <v>253</v>
      </c>
      <c r="W120" s="189" t="s">
        <v>253</v>
      </c>
      <c r="X120" s="189" t="s">
        <v>1280</v>
      </c>
      <c r="Y120" s="189" t="s">
        <v>1281</v>
      </c>
    </row>
    <row r="121" spans="1:25" x14ac:dyDescent="0.2">
      <c r="A121" s="189">
        <v>557</v>
      </c>
      <c r="B121" s="189" t="s">
        <v>1282</v>
      </c>
      <c r="C121" s="189" t="s">
        <v>253</v>
      </c>
      <c r="D121" s="189" t="s">
        <v>253</v>
      </c>
      <c r="E121" s="189" t="s">
        <v>1269</v>
      </c>
      <c r="F121" s="189" t="s">
        <v>1270</v>
      </c>
      <c r="G121" s="189" t="s">
        <v>903</v>
      </c>
      <c r="H121" s="189" t="s">
        <v>521</v>
      </c>
      <c r="I121" s="189">
        <v>8888</v>
      </c>
      <c r="J121" s="189">
        <v>751.50634397910096</v>
      </c>
      <c r="K121" s="189">
        <v>161.604135859618</v>
      </c>
      <c r="L121" s="189">
        <v>-12.33</v>
      </c>
      <c r="M121" s="189">
        <v>-0.73</v>
      </c>
      <c r="N121" s="189">
        <v>472</v>
      </c>
      <c r="O121" s="189" t="s">
        <v>929</v>
      </c>
      <c r="P121" s="189" t="s">
        <v>930</v>
      </c>
      <c r="Q121" s="189" t="s">
        <v>253</v>
      </c>
      <c r="R121" s="189" t="s">
        <v>253</v>
      </c>
      <c r="S121" s="189" t="s">
        <v>257</v>
      </c>
      <c r="T121" s="189" t="s">
        <v>253</v>
      </c>
      <c r="U121" s="189" t="s">
        <v>258</v>
      </c>
      <c r="V121" s="189" t="s">
        <v>253</v>
      </c>
      <c r="W121" s="189" t="s">
        <v>253</v>
      </c>
      <c r="X121" s="189" t="s">
        <v>1283</v>
      </c>
      <c r="Y121" s="189" t="s">
        <v>1284</v>
      </c>
    </row>
    <row r="122" spans="1:25" x14ac:dyDescent="0.2">
      <c r="A122" s="189">
        <v>615</v>
      </c>
      <c r="B122" s="189" t="s">
        <v>1285</v>
      </c>
      <c r="C122" s="189" t="s">
        <v>253</v>
      </c>
      <c r="D122" s="189" t="s">
        <v>253</v>
      </c>
      <c r="E122" s="189" t="s">
        <v>1269</v>
      </c>
      <c r="F122" s="189" t="s">
        <v>1270</v>
      </c>
      <c r="G122" s="189" t="s">
        <v>903</v>
      </c>
      <c r="H122" s="189" t="s">
        <v>521</v>
      </c>
      <c r="I122" s="189">
        <v>19389</v>
      </c>
      <c r="J122" s="189">
        <v>767.71802397385795</v>
      </c>
      <c r="K122" s="189">
        <v>167.831912088096</v>
      </c>
      <c r="L122" s="189">
        <v>-12.53</v>
      </c>
      <c r="M122" s="189">
        <v>-0.2</v>
      </c>
      <c r="N122" s="189">
        <v>554</v>
      </c>
      <c r="O122" s="189" t="s">
        <v>929</v>
      </c>
      <c r="P122" s="189" t="s">
        <v>930</v>
      </c>
      <c r="Q122" s="189" t="s">
        <v>253</v>
      </c>
      <c r="R122" s="189" t="s">
        <v>253</v>
      </c>
      <c r="S122" s="189" t="s">
        <v>257</v>
      </c>
      <c r="T122" s="189" t="s">
        <v>253</v>
      </c>
      <c r="U122" s="189" t="s">
        <v>253</v>
      </c>
      <c r="V122" s="189" t="s">
        <v>253</v>
      </c>
      <c r="W122" s="189" t="s">
        <v>253</v>
      </c>
      <c r="X122" s="189" t="s">
        <v>1286</v>
      </c>
      <c r="Y122" s="189" t="s">
        <v>1287</v>
      </c>
    </row>
    <row r="123" spans="1:25" x14ac:dyDescent="0.2">
      <c r="A123" s="189">
        <v>144</v>
      </c>
      <c r="B123" s="189" t="s">
        <v>1288</v>
      </c>
      <c r="C123" s="189" t="s">
        <v>253</v>
      </c>
      <c r="D123" s="189" t="s">
        <v>253</v>
      </c>
      <c r="E123" s="189" t="s">
        <v>1289</v>
      </c>
      <c r="F123" s="189" t="s">
        <v>1290</v>
      </c>
      <c r="G123" s="189" t="s">
        <v>1291</v>
      </c>
      <c r="H123" s="189" t="s">
        <v>256</v>
      </c>
      <c r="I123" s="189">
        <v>4701</v>
      </c>
      <c r="J123" s="189">
        <v>11.5</v>
      </c>
      <c r="K123" s="189">
        <v>31</v>
      </c>
      <c r="L123" s="189">
        <v>-8.1</v>
      </c>
      <c r="M123" s="189">
        <v>-24.63</v>
      </c>
      <c r="N123" s="189">
        <v>52</v>
      </c>
      <c r="O123" s="189" t="s">
        <v>1292</v>
      </c>
      <c r="P123" s="189" t="s">
        <v>1293</v>
      </c>
      <c r="Q123" s="189" t="s">
        <v>332</v>
      </c>
      <c r="R123" s="189" t="s">
        <v>259</v>
      </c>
      <c r="S123" s="189" t="s">
        <v>253</v>
      </c>
      <c r="T123" s="189" t="s">
        <v>253</v>
      </c>
      <c r="U123" s="189" t="s">
        <v>258</v>
      </c>
      <c r="V123" s="189" t="s">
        <v>253</v>
      </c>
      <c r="W123" s="189" t="s">
        <v>253</v>
      </c>
      <c r="X123" s="189" t="s">
        <v>1294</v>
      </c>
      <c r="Y123" s="189" t="s">
        <v>1295</v>
      </c>
    </row>
    <row r="124" spans="1:25" x14ac:dyDescent="0.2">
      <c r="A124" s="189">
        <v>359</v>
      </c>
      <c r="B124" s="189" t="s">
        <v>1296</v>
      </c>
      <c r="C124" s="189" t="s">
        <v>253</v>
      </c>
      <c r="D124" s="189" t="s">
        <v>253</v>
      </c>
      <c r="E124" s="189" t="s">
        <v>1289</v>
      </c>
      <c r="F124" s="189" t="s">
        <v>1290</v>
      </c>
      <c r="G124" s="189" t="s">
        <v>903</v>
      </c>
      <c r="H124" s="189" t="s">
        <v>256</v>
      </c>
      <c r="I124" s="189">
        <v>1737</v>
      </c>
      <c r="J124" s="189">
        <v>274.82845909125803</v>
      </c>
      <c r="K124" s="189">
        <v>52.287201249117302</v>
      </c>
      <c r="L124" s="189">
        <v>-8.7899999999999991</v>
      </c>
      <c r="M124" s="189">
        <v>-16.12</v>
      </c>
      <c r="N124" s="189">
        <v>82</v>
      </c>
      <c r="O124" s="189" t="s">
        <v>987</v>
      </c>
      <c r="P124" s="189" t="s">
        <v>988</v>
      </c>
      <c r="Q124" s="189" t="s">
        <v>253</v>
      </c>
      <c r="R124" s="189" t="s">
        <v>253</v>
      </c>
      <c r="S124" s="189" t="s">
        <v>253</v>
      </c>
      <c r="T124" s="189" t="s">
        <v>261</v>
      </c>
      <c r="U124" s="189" t="s">
        <v>253</v>
      </c>
      <c r="V124" s="189" t="s">
        <v>253</v>
      </c>
      <c r="W124" s="189" t="s">
        <v>253</v>
      </c>
      <c r="X124" s="189" t="s">
        <v>1297</v>
      </c>
      <c r="Y124" s="189" t="s">
        <v>1298</v>
      </c>
    </row>
    <row r="125" spans="1:25" x14ac:dyDescent="0.2">
      <c r="A125" s="189">
        <v>404</v>
      </c>
      <c r="B125" s="189" t="s">
        <v>1299</v>
      </c>
      <c r="C125" s="189" t="s">
        <v>253</v>
      </c>
      <c r="D125" s="189" t="s">
        <v>253</v>
      </c>
      <c r="E125" s="189" t="s">
        <v>1289</v>
      </c>
      <c r="F125" s="189" t="s">
        <v>1290</v>
      </c>
      <c r="G125" s="189" t="s">
        <v>1291</v>
      </c>
      <c r="H125" s="189" t="s">
        <v>256</v>
      </c>
      <c r="I125" s="189">
        <v>3004</v>
      </c>
      <c r="J125" s="189">
        <v>23.5</v>
      </c>
      <c r="K125" s="189">
        <v>69</v>
      </c>
      <c r="L125" s="189">
        <v>-9.33</v>
      </c>
      <c r="M125" s="189">
        <v>-24.24</v>
      </c>
      <c r="N125" s="189">
        <v>13</v>
      </c>
      <c r="O125" s="189" t="s">
        <v>987</v>
      </c>
      <c r="P125" s="189" t="s">
        <v>988</v>
      </c>
      <c r="Q125" s="189" t="s">
        <v>253</v>
      </c>
      <c r="R125" s="189" t="s">
        <v>259</v>
      </c>
      <c r="S125" s="189" t="s">
        <v>257</v>
      </c>
      <c r="T125" s="189" t="s">
        <v>253</v>
      </c>
      <c r="U125" s="189" t="s">
        <v>253</v>
      </c>
      <c r="V125" s="189" t="s">
        <v>253</v>
      </c>
      <c r="W125" s="189" t="s">
        <v>253</v>
      </c>
      <c r="X125" s="189" t="s">
        <v>1300</v>
      </c>
      <c r="Y125" s="189" t="s">
        <v>1301</v>
      </c>
    </row>
    <row r="126" spans="1:25" x14ac:dyDescent="0.2">
      <c r="A126" s="189">
        <v>497</v>
      </c>
      <c r="B126" s="189" t="s">
        <v>1302</v>
      </c>
      <c r="C126" s="189" t="s">
        <v>253</v>
      </c>
      <c r="D126" s="189" t="s">
        <v>253</v>
      </c>
      <c r="E126" s="189" t="s">
        <v>1289</v>
      </c>
      <c r="F126" s="189" t="s">
        <v>1290</v>
      </c>
      <c r="G126" s="189" t="s">
        <v>903</v>
      </c>
      <c r="H126" s="189" t="s">
        <v>256</v>
      </c>
      <c r="I126" s="189">
        <v>1863</v>
      </c>
      <c r="J126" s="189">
        <v>295.47742964880501</v>
      </c>
      <c r="K126" s="189">
        <v>31.365765481574201</v>
      </c>
      <c r="L126" s="189">
        <v>-8.1199999999999992</v>
      </c>
      <c r="M126" s="189">
        <v>-15.46</v>
      </c>
      <c r="N126" s="189">
        <v>472</v>
      </c>
      <c r="O126" s="189" t="s">
        <v>956</v>
      </c>
      <c r="P126" s="189" t="s">
        <v>957</v>
      </c>
      <c r="Q126" s="189" t="s">
        <v>253</v>
      </c>
      <c r="R126" s="189" t="s">
        <v>253</v>
      </c>
      <c r="S126" s="189" t="s">
        <v>257</v>
      </c>
      <c r="T126" s="189" t="s">
        <v>253</v>
      </c>
      <c r="U126" s="189" t="s">
        <v>253</v>
      </c>
      <c r="V126" s="189" t="s">
        <v>253</v>
      </c>
      <c r="W126" s="189" t="s">
        <v>253</v>
      </c>
      <c r="X126" s="189" t="s">
        <v>1303</v>
      </c>
      <c r="Y126" s="189" t="s">
        <v>1304</v>
      </c>
    </row>
    <row r="127" spans="1:25" x14ac:dyDescent="0.2">
      <c r="A127" s="189">
        <v>687</v>
      </c>
      <c r="B127" s="189" t="s">
        <v>1305</v>
      </c>
      <c r="C127" s="189" t="s">
        <v>253</v>
      </c>
      <c r="D127" s="189" t="s">
        <v>253</v>
      </c>
      <c r="E127" s="189" t="s">
        <v>1289</v>
      </c>
      <c r="F127" s="189" t="s">
        <v>1290</v>
      </c>
      <c r="G127" s="189" t="s">
        <v>1291</v>
      </c>
      <c r="H127" s="189" t="s">
        <v>256</v>
      </c>
      <c r="I127" s="189">
        <v>29588</v>
      </c>
      <c r="J127" s="189">
        <v>10.556667195940101</v>
      </c>
      <c r="K127" s="189">
        <v>87.007053722881693</v>
      </c>
      <c r="L127" s="189">
        <v>-9.92</v>
      </c>
      <c r="M127" s="189">
        <v>-24.66</v>
      </c>
      <c r="N127" s="189">
        <v>554</v>
      </c>
      <c r="O127" s="189" t="s">
        <v>1086</v>
      </c>
      <c r="P127" s="189" t="s">
        <v>1087</v>
      </c>
      <c r="Q127" s="189" t="s">
        <v>253</v>
      </c>
      <c r="R127" s="189" t="s">
        <v>253</v>
      </c>
      <c r="S127" s="189" t="s">
        <v>257</v>
      </c>
      <c r="T127" s="189" t="s">
        <v>261</v>
      </c>
      <c r="U127" s="189" t="s">
        <v>253</v>
      </c>
      <c r="V127" s="189" t="s">
        <v>253</v>
      </c>
      <c r="W127" s="189" t="s">
        <v>253</v>
      </c>
      <c r="X127" s="189" t="s">
        <v>1306</v>
      </c>
      <c r="Y127" s="189" t="s">
        <v>1307</v>
      </c>
    </row>
    <row r="128" spans="1:25" x14ac:dyDescent="0.2">
      <c r="A128" s="189">
        <v>814</v>
      </c>
      <c r="B128" s="189" t="s">
        <v>1064</v>
      </c>
      <c r="C128" s="189" t="s">
        <v>253</v>
      </c>
      <c r="D128" s="189" t="s">
        <v>253</v>
      </c>
      <c r="E128" s="189" t="s">
        <v>1289</v>
      </c>
      <c r="F128" s="189" t="s">
        <v>1290</v>
      </c>
      <c r="G128" s="189" t="s">
        <v>1291</v>
      </c>
      <c r="H128" s="189" t="s">
        <v>256</v>
      </c>
      <c r="I128" s="189">
        <v>3079</v>
      </c>
      <c r="J128" s="189">
        <v>34</v>
      </c>
      <c r="K128" s="189">
        <v>45.5</v>
      </c>
      <c r="L128" s="189">
        <v>-8.57</v>
      </c>
      <c r="M128" s="189">
        <v>-23.9</v>
      </c>
      <c r="N128" s="189">
        <v>82</v>
      </c>
      <c r="O128" s="189" t="s">
        <v>987</v>
      </c>
      <c r="P128" s="189" t="s">
        <v>988</v>
      </c>
      <c r="Q128" s="189" t="s">
        <v>253</v>
      </c>
      <c r="R128" s="189" t="s">
        <v>259</v>
      </c>
      <c r="S128" s="189" t="s">
        <v>253</v>
      </c>
      <c r="T128" s="189" t="s">
        <v>253</v>
      </c>
      <c r="U128" s="189" t="s">
        <v>253</v>
      </c>
      <c r="V128" s="189" t="s">
        <v>253</v>
      </c>
      <c r="W128" s="189" t="s">
        <v>253</v>
      </c>
      <c r="X128" s="189" t="s">
        <v>1308</v>
      </c>
      <c r="Y128" s="189" t="s">
        <v>1309</v>
      </c>
    </row>
    <row r="129" spans="1:25" x14ac:dyDescent="0.2">
      <c r="A129" s="189">
        <v>816</v>
      </c>
      <c r="B129" s="189" t="s">
        <v>1310</v>
      </c>
      <c r="C129" s="189" t="s">
        <v>253</v>
      </c>
      <c r="D129" s="189" t="s">
        <v>253</v>
      </c>
      <c r="E129" s="189" t="s">
        <v>1289</v>
      </c>
      <c r="F129" s="189" t="s">
        <v>1290</v>
      </c>
      <c r="G129" s="189" t="s">
        <v>903</v>
      </c>
      <c r="H129" s="189" t="s">
        <v>256</v>
      </c>
      <c r="I129" s="189">
        <v>2413</v>
      </c>
      <c r="J129" s="189">
        <v>292.558159541706</v>
      </c>
      <c r="K129" s="189">
        <v>60.558466552564497</v>
      </c>
      <c r="L129" s="189">
        <v>-9.06</v>
      </c>
      <c r="M129" s="189">
        <v>-15.55</v>
      </c>
      <c r="N129" s="189">
        <v>328</v>
      </c>
      <c r="O129" s="189" t="s">
        <v>987</v>
      </c>
      <c r="P129" s="189" t="s">
        <v>988</v>
      </c>
      <c r="Q129" s="189" t="s">
        <v>253</v>
      </c>
      <c r="R129" s="189" t="s">
        <v>253</v>
      </c>
      <c r="S129" s="189" t="s">
        <v>253</v>
      </c>
      <c r="T129" s="189" t="s">
        <v>253</v>
      </c>
      <c r="U129" s="189" t="s">
        <v>258</v>
      </c>
      <c r="V129" s="189" t="s">
        <v>253</v>
      </c>
      <c r="W129" s="189" t="s">
        <v>253</v>
      </c>
      <c r="X129" s="189" t="s">
        <v>1311</v>
      </c>
      <c r="Y129" s="189" t="s">
        <v>1312</v>
      </c>
    </row>
    <row r="130" spans="1:25" x14ac:dyDescent="0.2">
      <c r="A130" s="189">
        <v>842</v>
      </c>
      <c r="B130" s="189" t="s">
        <v>1313</v>
      </c>
      <c r="C130" s="189" t="s">
        <v>253</v>
      </c>
      <c r="D130" s="189" t="s">
        <v>253</v>
      </c>
      <c r="E130" s="189" t="s">
        <v>1289</v>
      </c>
      <c r="F130" s="189" t="s">
        <v>1290</v>
      </c>
      <c r="G130" s="189" t="s">
        <v>1291</v>
      </c>
      <c r="H130" s="189" t="s">
        <v>256</v>
      </c>
      <c r="I130" s="189">
        <v>13507</v>
      </c>
      <c r="J130" s="189">
        <v>36.518709348407498</v>
      </c>
      <c r="K130" s="189">
        <v>93.857607574207407</v>
      </c>
      <c r="L130" s="189">
        <v>-10.14</v>
      </c>
      <c r="M130" s="189">
        <v>-23.82</v>
      </c>
      <c r="N130" s="189">
        <v>3573</v>
      </c>
      <c r="O130" s="189" t="s">
        <v>967</v>
      </c>
      <c r="P130" s="189" t="s">
        <v>968</v>
      </c>
      <c r="Q130" s="189" t="s">
        <v>253</v>
      </c>
      <c r="R130" s="189" t="s">
        <v>253</v>
      </c>
      <c r="S130" s="189" t="s">
        <v>257</v>
      </c>
      <c r="T130" s="189" t="s">
        <v>261</v>
      </c>
      <c r="U130" s="189" t="s">
        <v>258</v>
      </c>
      <c r="V130" s="189" t="s">
        <v>253</v>
      </c>
      <c r="W130" s="189" t="s">
        <v>253</v>
      </c>
      <c r="X130" s="189" t="s">
        <v>1314</v>
      </c>
      <c r="Y130" s="189" t="s">
        <v>1315</v>
      </c>
    </row>
    <row r="131" spans="1:25" x14ac:dyDescent="0.2">
      <c r="A131" s="189">
        <v>909</v>
      </c>
      <c r="B131" s="189" t="s">
        <v>1316</v>
      </c>
      <c r="C131" s="189" t="s">
        <v>253</v>
      </c>
      <c r="D131" s="189" t="s">
        <v>253</v>
      </c>
      <c r="E131" s="189" t="s">
        <v>1289</v>
      </c>
      <c r="F131" s="189" t="s">
        <v>1290</v>
      </c>
      <c r="G131" s="189" t="s">
        <v>903</v>
      </c>
      <c r="H131" s="189" t="s">
        <v>256</v>
      </c>
      <c r="I131" s="189">
        <v>39951</v>
      </c>
      <c r="J131" s="189">
        <v>243.76742515172401</v>
      </c>
      <c r="K131" s="189">
        <v>3.9246264748433699</v>
      </c>
      <c r="L131" s="189">
        <v>-7.23</v>
      </c>
      <c r="M131" s="189">
        <v>-17.13</v>
      </c>
      <c r="N131" s="189">
        <v>118</v>
      </c>
      <c r="O131" s="189" t="s">
        <v>1292</v>
      </c>
      <c r="P131" s="189" t="s">
        <v>1293</v>
      </c>
      <c r="Q131" s="189" t="s">
        <v>253</v>
      </c>
      <c r="R131" s="189" t="s">
        <v>253</v>
      </c>
      <c r="S131" s="189" t="s">
        <v>253</v>
      </c>
      <c r="T131" s="189" t="s">
        <v>261</v>
      </c>
      <c r="U131" s="189" t="s">
        <v>258</v>
      </c>
      <c r="V131" s="189" t="s">
        <v>297</v>
      </c>
      <c r="W131" s="189" t="s">
        <v>266</v>
      </c>
      <c r="X131" s="189" t="s">
        <v>1317</v>
      </c>
      <c r="Y131" s="189" t="s">
        <v>1318</v>
      </c>
    </row>
    <row r="132" spans="1:25" x14ac:dyDescent="0.2">
      <c r="A132" s="189">
        <v>164</v>
      </c>
      <c r="B132" s="189" t="s">
        <v>1319</v>
      </c>
      <c r="C132" s="189" t="s">
        <v>253</v>
      </c>
      <c r="D132" s="189" t="s">
        <v>253</v>
      </c>
      <c r="E132" s="189" t="s">
        <v>1320</v>
      </c>
      <c r="F132" s="189" t="s">
        <v>1321</v>
      </c>
      <c r="G132" s="189" t="s">
        <v>903</v>
      </c>
      <c r="H132" s="189" t="s">
        <v>521</v>
      </c>
      <c r="I132" s="189">
        <v>1653</v>
      </c>
      <c r="J132" s="189">
        <v>785.62288063073197</v>
      </c>
      <c r="K132" s="189">
        <v>149.557281217656</v>
      </c>
      <c r="L132" s="189">
        <v>-11.94</v>
      </c>
      <c r="M132" s="189">
        <v>0.38</v>
      </c>
      <c r="N132" s="189">
        <v>161</v>
      </c>
      <c r="O132" s="189" t="s">
        <v>904</v>
      </c>
      <c r="P132" s="189" t="s">
        <v>905</v>
      </c>
      <c r="Q132" s="189" t="s">
        <v>253</v>
      </c>
      <c r="R132" s="189" t="s">
        <v>253</v>
      </c>
      <c r="S132" s="189" t="s">
        <v>257</v>
      </c>
      <c r="T132" s="189" t="s">
        <v>261</v>
      </c>
      <c r="U132" s="189" t="s">
        <v>253</v>
      </c>
      <c r="V132" s="189" t="s">
        <v>253</v>
      </c>
      <c r="W132" s="189" t="s">
        <v>253</v>
      </c>
      <c r="X132" s="189" t="s">
        <v>1322</v>
      </c>
      <c r="Y132" s="189" t="s">
        <v>1323</v>
      </c>
    </row>
    <row r="133" spans="1:25" x14ac:dyDescent="0.2">
      <c r="A133" s="189">
        <v>676</v>
      </c>
      <c r="B133" s="189" t="s">
        <v>1320</v>
      </c>
      <c r="C133" s="189" t="s">
        <v>253</v>
      </c>
      <c r="D133" s="189" t="s">
        <v>253</v>
      </c>
      <c r="E133" s="189" t="s">
        <v>1320</v>
      </c>
      <c r="F133" s="189" t="s">
        <v>1321</v>
      </c>
      <c r="G133" s="189" t="s">
        <v>903</v>
      </c>
      <c r="H133" s="189" t="s">
        <v>521</v>
      </c>
      <c r="I133" s="189">
        <v>9540</v>
      </c>
      <c r="J133" s="189">
        <v>839.22</v>
      </c>
      <c r="K133" s="189">
        <v>129.94999999999999</v>
      </c>
      <c r="L133" s="189">
        <v>-11.31</v>
      </c>
      <c r="M133" s="189">
        <v>2.11</v>
      </c>
      <c r="N133" s="189">
        <v>118</v>
      </c>
      <c r="O133" s="189" t="s">
        <v>1086</v>
      </c>
      <c r="P133" s="189" t="s">
        <v>1087</v>
      </c>
      <c r="Q133" s="189" t="s">
        <v>332</v>
      </c>
      <c r="R133" s="189" t="s">
        <v>259</v>
      </c>
      <c r="S133" s="189" t="s">
        <v>253</v>
      </c>
      <c r="T133" s="189" t="s">
        <v>253</v>
      </c>
      <c r="U133" s="189" t="s">
        <v>253</v>
      </c>
      <c r="V133" s="189" t="s">
        <v>253</v>
      </c>
      <c r="W133" s="189" t="s">
        <v>253</v>
      </c>
      <c r="X133" s="189" t="s">
        <v>1324</v>
      </c>
      <c r="Y133" s="189" t="s">
        <v>1325</v>
      </c>
    </row>
    <row r="134" spans="1:25" x14ac:dyDescent="0.2">
      <c r="A134" s="189">
        <v>26</v>
      </c>
      <c r="B134" s="189" t="s">
        <v>1326</v>
      </c>
      <c r="C134" s="189" t="s">
        <v>1327</v>
      </c>
      <c r="D134" s="189" t="s">
        <v>1328</v>
      </c>
      <c r="E134" s="189" t="s">
        <v>1329</v>
      </c>
      <c r="F134" s="189" t="s">
        <v>1330</v>
      </c>
      <c r="G134" s="189" t="s">
        <v>314</v>
      </c>
      <c r="H134" s="189" t="s">
        <v>256</v>
      </c>
      <c r="I134" s="189">
        <v>25848</v>
      </c>
      <c r="J134" s="189">
        <v>198.36304408597701</v>
      </c>
      <c r="K134" s="189">
        <v>573.06552655486905</v>
      </c>
      <c r="L134" s="189">
        <v>-25.66</v>
      </c>
      <c r="M134" s="189">
        <v>-18.59</v>
      </c>
      <c r="N134" s="189">
        <v>52</v>
      </c>
      <c r="O134" s="189" t="s">
        <v>568</v>
      </c>
      <c r="P134" s="189" t="s">
        <v>569</v>
      </c>
      <c r="Q134" s="189" t="s">
        <v>332</v>
      </c>
      <c r="R134" s="189" t="s">
        <v>253</v>
      </c>
      <c r="S134" s="189" t="s">
        <v>257</v>
      </c>
      <c r="T134" s="189" t="s">
        <v>253</v>
      </c>
      <c r="U134" s="189" t="s">
        <v>253</v>
      </c>
      <c r="V134" s="189" t="s">
        <v>297</v>
      </c>
      <c r="W134" s="189" t="s">
        <v>253</v>
      </c>
      <c r="X134" s="189" t="s">
        <v>1331</v>
      </c>
      <c r="Y134" s="189" t="s">
        <v>1332</v>
      </c>
    </row>
    <row r="135" spans="1:25" x14ac:dyDescent="0.2">
      <c r="A135" s="189">
        <v>31</v>
      </c>
      <c r="B135" s="189" t="s">
        <v>1333</v>
      </c>
      <c r="C135" s="189" t="s">
        <v>1327</v>
      </c>
      <c r="D135" s="189" t="s">
        <v>1328</v>
      </c>
      <c r="E135" s="189" t="s">
        <v>1329</v>
      </c>
      <c r="F135" s="189" t="s">
        <v>1330</v>
      </c>
      <c r="G135" s="189" t="s">
        <v>306</v>
      </c>
      <c r="H135" s="189" t="s">
        <v>256</v>
      </c>
      <c r="I135" s="189">
        <v>9150</v>
      </c>
      <c r="J135" s="189">
        <v>200</v>
      </c>
      <c r="K135" s="189">
        <v>770.5</v>
      </c>
      <c r="L135" s="189">
        <v>-32.049999999999997</v>
      </c>
      <c r="M135" s="189">
        <v>-18.54</v>
      </c>
      <c r="N135" s="189">
        <v>52</v>
      </c>
      <c r="O135" s="189" t="s">
        <v>554</v>
      </c>
      <c r="P135" s="189" t="s">
        <v>555</v>
      </c>
      <c r="Q135" s="189" t="s">
        <v>253</v>
      </c>
      <c r="R135" s="189" t="s">
        <v>259</v>
      </c>
      <c r="S135" s="189" t="s">
        <v>257</v>
      </c>
      <c r="T135" s="189" t="s">
        <v>253</v>
      </c>
      <c r="U135" s="189" t="s">
        <v>253</v>
      </c>
      <c r="V135" s="189" t="s">
        <v>253</v>
      </c>
      <c r="W135" s="189" t="s">
        <v>253</v>
      </c>
      <c r="X135" s="189" t="s">
        <v>1334</v>
      </c>
      <c r="Y135" s="189" t="s">
        <v>1335</v>
      </c>
    </row>
    <row r="136" spans="1:25" x14ac:dyDescent="0.2">
      <c r="A136" s="189">
        <v>56</v>
      </c>
      <c r="B136" s="189" t="s">
        <v>1336</v>
      </c>
      <c r="C136" s="189" t="s">
        <v>1327</v>
      </c>
      <c r="D136" s="189" t="s">
        <v>1328</v>
      </c>
      <c r="E136" s="189" t="s">
        <v>1329</v>
      </c>
      <c r="F136" s="189" t="s">
        <v>1330</v>
      </c>
      <c r="G136" s="189" t="s">
        <v>314</v>
      </c>
      <c r="H136" s="189" t="s">
        <v>256</v>
      </c>
      <c r="I136" s="189">
        <v>2206</v>
      </c>
      <c r="J136" s="189">
        <v>61.118425450895302</v>
      </c>
      <c r="K136" s="189">
        <v>698.61360296084194</v>
      </c>
      <c r="L136" s="189">
        <v>-29.72</v>
      </c>
      <c r="M136" s="189">
        <v>-23.03</v>
      </c>
      <c r="N136" s="189">
        <v>13</v>
      </c>
      <c r="O136" s="189" t="s">
        <v>550</v>
      </c>
      <c r="P136" s="189" t="s">
        <v>551</v>
      </c>
      <c r="Q136" s="189" t="s">
        <v>253</v>
      </c>
      <c r="R136" s="189" t="s">
        <v>253</v>
      </c>
      <c r="S136" s="189" t="s">
        <v>257</v>
      </c>
      <c r="T136" s="189" t="s">
        <v>253</v>
      </c>
      <c r="U136" s="189" t="s">
        <v>253</v>
      </c>
      <c r="V136" s="189" t="s">
        <v>253</v>
      </c>
      <c r="W136" s="189" t="s">
        <v>253</v>
      </c>
      <c r="X136" s="189" t="s">
        <v>1337</v>
      </c>
      <c r="Y136" s="189" t="s">
        <v>1338</v>
      </c>
    </row>
    <row r="137" spans="1:25" x14ac:dyDescent="0.2">
      <c r="A137" s="189">
        <v>77</v>
      </c>
      <c r="B137" s="189" t="s">
        <v>1339</v>
      </c>
      <c r="C137" s="189" t="s">
        <v>1340</v>
      </c>
      <c r="D137" s="189" t="s">
        <v>1341</v>
      </c>
      <c r="E137" s="189" t="s">
        <v>1329</v>
      </c>
      <c r="F137" s="189" t="s">
        <v>1330</v>
      </c>
      <c r="G137" s="189" t="s">
        <v>314</v>
      </c>
      <c r="H137" s="189" t="s">
        <v>256</v>
      </c>
      <c r="I137" s="189">
        <v>10273</v>
      </c>
      <c r="J137" s="189">
        <v>60.398338824477499</v>
      </c>
      <c r="K137" s="189">
        <v>427.33556280848597</v>
      </c>
      <c r="L137" s="189">
        <v>-20.94</v>
      </c>
      <c r="M137" s="189">
        <v>-23.05</v>
      </c>
      <c r="N137" s="189">
        <v>210</v>
      </c>
      <c r="O137" s="189" t="s">
        <v>945</v>
      </c>
      <c r="P137" s="189" t="s">
        <v>946</v>
      </c>
      <c r="Q137" s="189" t="s">
        <v>253</v>
      </c>
      <c r="R137" s="189" t="s">
        <v>253</v>
      </c>
      <c r="S137" s="189" t="s">
        <v>253</v>
      </c>
      <c r="T137" s="189" t="s">
        <v>261</v>
      </c>
      <c r="U137" s="189" t="s">
        <v>258</v>
      </c>
      <c r="V137" s="189" t="s">
        <v>253</v>
      </c>
      <c r="W137" s="189" t="s">
        <v>253</v>
      </c>
      <c r="X137" s="189" t="s">
        <v>1342</v>
      </c>
      <c r="Y137" s="189" t="s">
        <v>1343</v>
      </c>
    </row>
    <row r="138" spans="1:25" x14ac:dyDescent="0.2">
      <c r="A138" s="189">
        <v>98</v>
      </c>
      <c r="B138" s="189" t="s">
        <v>1344</v>
      </c>
      <c r="C138" s="189" t="s">
        <v>1340</v>
      </c>
      <c r="D138" s="189" t="s">
        <v>1341</v>
      </c>
      <c r="E138" s="189" t="s">
        <v>1329</v>
      </c>
      <c r="F138" s="189" t="s">
        <v>1330</v>
      </c>
      <c r="G138" s="189" t="s">
        <v>1345</v>
      </c>
      <c r="H138" s="189" t="s">
        <v>256</v>
      </c>
      <c r="I138" s="189">
        <v>5166</v>
      </c>
      <c r="J138" s="189">
        <v>7.2092374731331796</v>
      </c>
      <c r="K138" s="189">
        <v>434.76997068123097</v>
      </c>
      <c r="L138" s="189">
        <v>-21.18</v>
      </c>
      <c r="M138" s="189">
        <v>-24.77</v>
      </c>
      <c r="N138" s="189">
        <v>1588</v>
      </c>
      <c r="O138" s="189" t="s">
        <v>564</v>
      </c>
      <c r="P138" s="189" t="s">
        <v>565</v>
      </c>
      <c r="Q138" s="189" t="s">
        <v>253</v>
      </c>
      <c r="R138" s="189" t="s">
        <v>253</v>
      </c>
      <c r="S138" s="189" t="s">
        <v>257</v>
      </c>
      <c r="T138" s="189" t="s">
        <v>261</v>
      </c>
      <c r="U138" s="189" t="s">
        <v>253</v>
      </c>
      <c r="V138" s="189" t="s">
        <v>253</v>
      </c>
      <c r="W138" s="189" t="s">
        <v>253</v>
      </c>
      <c r="X138" s="189" t="s">
        <v>1346</v>
      </c>
      <c r="Y138" s="189" t="s">
        <v>1347</v>
      </c>
    </row>
    <row r="139" spans="1:25" x14ac:dyDescent="0.2">
      <c r="A139" s="189">
        <v>165</v>
      </c>
      <c r="B139" s="189" t="s">
        <v>1348</v>
      </c>
      <c r="C139" s="189" t="s">
        <v>1327</v>
      </c>
      <c r="D139" s="189" t="s">
        <v>1328</v>
      </c>
      <c r="E139" s="189" t="s">
        <v>1329</v>
      </c>
      <c r="F139" s="189" t="s">
        <v>1330</v>
      </c>
      <c r="G139" s="189" t="s">
        <v>314</v>
      </c>
      <c r="H139" s="189" t="s">
        <v>256</v>
      </c>
      <c r="I139" s="189">
        <v>8750</v>
      </c>
      <c r="J139" s="189">
        <v>63.084067323008597</v>
      </c>
      <c r="K139" s="189">
        <v>558.00209280223805</v>
      </c>
      <c r="L139" s="189">
        <v>-25.17</v>
      </c>
      <c r="M139" s="189">
        <v>-22.96</v>
      </c>
      <c r="N139" s="189">
        <v>1063</v>
      </c>
      <c r="O139" s="189" t="s">
        <v>550</v>
      </c>
      <c r="P139" s="189" t="s">
        <v>551</v>
      </c>
      <c r="Q139" s="189" t="s">
        <v>253</v>
      </c>
      <c r="R139" s="189" t="s">
        <v>253</v>
      </c>
      <c r="S139" s="189" t="s">
        <v>253</v>
      </c>
      <c r="T139" s="189" t="s">
        <v>253</v>
      </c>
      <c r="U139" s="189" t="s">
        <v>253</v>
      </c>
      <c r="V139" s="189" t="s">
        <v>253</v>
      </c>
      <c r="W139" s="189" t="s">
        <v>253</v>
      </c>
      <c r="X139" s="189" t="s">
        <v>1349</v>
      </c>
      <c r="Y139" s="189" t="s">
        <v>1350</v>
      </c>
    </row>
    <row r="140" spans="1:25" x14ac:dyDescent="0.2">
      <c r="A140" s="189">
        <v>168</v>
      </c>
      <c r="B140" s="189" t="s">
        <v>1351</v>
      </c>
      <c r="C140" s="189" t="s">
        <v>1352</v>
      </c>
      <c r="D140" s="189" t="s">
        <v>1353</v>
      </c>
      <c r="E140" s="189" t="s">
        <v>1329</v>
      </c>
      <c r="F140" s="189" t="s">
        <v>1330</v>
      </c>
      <c r="G140" s="189" t="s">
        <v>1291</v>
      </c>
      <c r="H140" s="189" t="s">
        <v>256</v>
      </c>
      <c r="I140" s="189">
        <v>3624</v>
      </c>
      <c r="J140" s="189">
        <v>7.7152442916970001</v>
      </c>
      <c r="K140" s="189">
        <v>271.91362230653402</v>
      </c>
      <c r="L140" s="189">
        <v>-15.9</v>
      </c>
      <c r="M140" s="189">
        <v>-24.75</v>
      </c>
      <c r="N140" s="189">
        <v>840</v>
      </c>
      <c r="O140" s="189" t="s">
        <v>913</v>
      </c>
      <c r="P140" s="189" t="s">
        <v>914</v>
      </c>
      <c r="Q140" s="189" t="s">
        <v>253</v>
      </c>
      <c r="R140" s="189" t="s">
        <v>253</v>
      </c>
      <c r="S140" s="189" t="s">
        <v>253</v>
      </c>
      <c r="T140" s="189" t="s">
        <v>261</v>
      </c>
      <c r="U140" s="189" t="s">
        <v>253</v>
      </c>
      <c r="V140" s="189" t="s">
        <v>253</v>
      </c>
      <c r="W140" s="189" t="s">
        <v>253</v>
      </c>
      <c r="X140" s="189" t="s">
        <v>1354</v>
      </c>
      <c r="Y140" s="189" t="s">
        <v>1355</v>
      </c>
    </row>
    <row r="141" spans="1:25" x14ac:dyDescent="0.2">
      <c r="A141" s="189">
        <v>179</v>
      </c>
      <c r="B141" s="189" t="s">
        <v>1356</v>
      </c>
      <c r="C141" s="189" t="s">
        <v>1352</v>
      </c>
      <c r="D141" s="189" t="s">
        <v>1353</v>
      </c>
      <c r="E141" s="189" t="s">
        <v>1329</v>
      </c>
      <c r="F141" s="189" t="s">
        <v>1330</v>
      </c>
      <c r="G141" s="189" t="s">
        <v>1291</v>
      </c>
      <c r="H141" s="189" t="s">
        <v>256</v>
      </c>
      <c r="I141" s="189">
        <v>2563</v>
      </c>
      <c r="J141" s="189">
        <v>163</v>
      </c>
      <c r="K141" s="189">
        <v>199.5</v>
      </c>
      <c r="L141" s="189">
        <v>-13.56</v>
      </c>
      <c r="M141" s="189">
        <v>-19.739999999999998</v>
      </c>
      <c r="N141" s="189">
        <v>118</v>
      </c>
      <c r="O141" s="189" t="s">
        <v>904</v>
      </c>
      <c r="P141" s="189" t="s">
        <v>905</v>
      </c>
      <c r="Q141" s="189" t="s">
        <v>253</v>
      </c>
      <c r="R141" s="189" t="s">
        <v>259</v>
      </c>
      <c r="S141" s="189" t="s">
        <v>257</v>
      </c>
      <c r="T141" s="189" t="s">
        <v>253</v>
      </c>
      <c r="U141" s="189" t="s">
        <v>258</v>
      </c>
      <c r="V141" s="189" t="s">
        <v>253</v>
      </c>
      <c r="W141" s="189" t="s">
        <v>253</v>
      </c>
      <c r="X141" s="189" t="s">
        <v>1357</v>
      </c>
      <c r="Y141" s="189" t="s">
        <v>1358</v>
      </c>
    </row>
    <row r="142" spans="1:25" x14ac:dyDescent="0.2">
      <c r="A142" s="189">
        <v>191</v>
      </c>
      <c r="B142" s="189" t="s">
        <v>1359</v>
      </c>
      <c r="C142" s="189" t="s">
        <v>1327</v>
      </c>
      <c r="D142" s="189" t="s">
        <v>1328</v>
      </c>
      <c r="E142" s="189" t="s">
        <v>1329</v>
      </c>
      <c r="F142" s="189" t="s">
        <v>1330</v>
      </c>
      <c r="G142" s="189" t="s">
        <v>314</v>
      </c>
      <c r="H142" s="189" t="s">
        <v>256</v>
      </c>
      <c r="I142" s="189">
        <v>12594</v>
      </c>
      <c r="J142" s="189">
        <v>102.00766875099499</v>
      </c>
      <c r="K142" s="189">
        <v>541.73202740533998</v>
      </c>
      <c r="L142" s="189">
        <v>-24.64</v>
      </c>
      <c r="M142" s="189">
        <v>-21.71</v>
      </c>
      <c r="N142" s="189">
        <v>397</v>
      </c>
      <c r="O142" s="189" t="s">
        <v>568</v>
      </c>
      <c r="P142" s="189" t="s">
        <v>569</v>
      </c>
      <c r="Q142" s="189" t="s">
        <v>253</v>
      </c>
      <c r="R142" s="189" t="s">
        <v>253</v>
      </c>
      <c r="S142" s="189" t="s">
        <v>257</v>
      </c>
      <c r="T142" s="189" t="s">
        <v>261</v>
      </c>
      <c r="U142" s="189" t="s">
        <v>258</v>
      </c>
      <c r="V142" s="189" t="s">
        <v>253</v>
      </c>
      <c r="W142" s="189" t="s">
        <v>253</v>
      </c>
      <c r="X142" s="189" t="s">
        <v>1360</v>
      </c>
      <c r="Y142" s="189" t="s">
        <v>1361</v>
      </c>
    </row>
    <row r="143" spans="1:25" x14ac:dyDescent="0.2">
      <c r="A143" s="189">
        <v>207</v>
      </c>
      <c r="B143" s="189" t="s">
        <v>1362</v>
      </c>
      <c r="C143" s="189" t="s">
        <v>1327</v>
      </c>
      <c r="D143" s="189" t="s">
        <v>1328</v>
      </c>
      <c r="E143" s="189" t="s">
        <v>1329</v>
      </c>
      <c r="F143" s="189" t="s">
        <v>1330</v>
      </c>
      <c r="G143" s="189" t="s">
        <v>314</v>
      </c>
      <c r="H143" s="189" t="s">
        <v>256</v>
      </c>
      <c r="I143" s="189">
        <v>14000</v>
      </c>
      <c r="J143" s="189">
        <v>199.18043971596501</v>
      </c>
      <c r="K143" s="189">
        <v>672.02878318552598</v>
      </c>
      <c r="L143" s="189">
        <v>-28.86</v>
      </c>
      <c r="M143" s="189">
        <v>-18.57</v>
      </c>
      <c r="N143" s="189">
        <v>161</v>
      </c>
      <c r="O143" s="189" t="s">
        <v>564</v>
      </c>
      <c r="P143" s="189" t="s">
        <v>565</v>
      </c>
      <c r="Q143" s="189" t="s">
        <v>253</v>
      </c>
      <c r="R143" s="189" t="s">
        <v>253</v>
      </c>
      <c r="S143" s="189" t="s">
        <v>253</v>
      </c>
      <c r="T143" s="189" t="s">
        <v>253</v>
      </c>
      <c r="U143" s="189" t="s">
        <v>253</v>
      </c>
      <c r="V143" s="189" t="s">
        <v>253</v>
      </c>
      <c r="W143" s="189" t="s">
        <v>253</v>
      </c>
      <c r="X143" s="189" t="s">
        <v>1363</v>
      </c>
      <c r="Y143" s="189" t="s">
        <v>1364</v>
      </c>
    </row>
    <row r="144" spans="1:25" x14ac:dyDescent="0.2">
      <c r="A144" s="189">
        <v>233</v>
      </c>
      <c r="B144" s="189" t="s">
        <v>1365</v>
      </c>
      <c r="C144" s="189" t="s">
        <v>1352</v>
      </c>
      <c r="D144" s="189" t="s">
        <v>1353</v>
      </c>
      <c r="E144" s="189" t="s">
        <v>1329</v>
      </c>
      <c r="F144" s="189" t="s">
        <v>1330</v>
      </c>
      <c r="G144" s="189" t="s">
        <v>1291</v>
      </c>
      <c r="H144" s="189" t="s">
        <v>256</v>
      </c>
      <c r="I144" s="189">
        <v>1554</v>
      </c>
      <c r="J144" s="189">
        <v>63.492765138002497</v>
      </c>
      <c r="K144" s="189">
        <v>301.04793797538201</v>
      </c>
      <c r="L144" s="189">
        <v>-16.850000000000001</v>
      </c>
      <c r="M144" s="189">
        <v>-22.95</v>
      </c>
      <c r="N144" s="189">
        <v>554</v>
      </c>
      <c r="O144" s="189" t="s">
        <v>967</v>
      </c>
      <c r="P144" s="189" t="s">
        <v>968</v>
      </c>
      <c r="Q144" s="189" t="s">
        <v>253</v>
      </c>
      <c r="R144" s="189" t="s">
        <v>253</v>
      </c>
      <c r="S144" s="189" t="s">
        <v>253</v>
      </c>
      <c r="T144" s="189" t="s">
        <v>253</v>
      </c>
      <c r="U144" s="189" t="s">
        <v>258</v>
      </c>
      <c r="V144" s="189" t="s">
        <v>253</v>
      </c>
      <c r="W144" s="189" t="s">
        <v>253</v>
      </c>
      <c r="X144" s="189" t="s">
        <v>1366</v>
      </c>
      <c r="Y144" s="189" t="s">
        <v>1367</v>
      </c>
    </row>
    <row r="145" spans="1:25" x14ac:dyDescent="0.2">
      <c r="A145" s="189">
        <v>273</v>
      </c>
      <c r="B145" s="189" t="s">
        <v>1368</v>
      </c>
      <c r="C145" s="189" t="s">
        <v>1327</v>
      </c>
      <c r="D145" s="189" t="s">
        <v>1328</v>
      </c>
      <c r="E145" s="189" t="s">
        <v>1329</v>
      </c>
      <c r="F145" s="189" t="s">
        <v>1330</v>
      </c>
      <c r="G145" s="189" t="s">
        <v>306</v>
      </c>
      <c r="H145" s="189" t="s">
        <v>256</v>
      </c>
      <c r="I145" s="189">
        <v>3675</v>
      </c>
      <c r="J145" s="189">
        <v>238.45435355680399</v>
      </c>
      <c r="K145" s="189">
        <v>868.94328280971297</v>
      </c>
      <c r="L145" s="189">
        <v>-35.24</v>
      </c>
      <c r="M145" s="189">
        <v>-17.3</v>
      </c>
      <c r="N145" s="189">
        <v>30</v>
      </c>
      <c r="O145" s="189" t="s">
        <v>542</v>
      </c>
      <c r="P145" s="189" t="s">
        <v>543</v>
      </c>
      <c r="Q145" s="189" t="s">
        <v>253</v>
      </c>
      <c r="R145" s="189" t="s">
        <v>253</v>
      </c>
      <c r="S145" s="189" t="s">
        <v>257</v>
      </c>
      <c r="T145" s="189" t="s">
        <v>253</v>
      </c>
      <c r="U145" s="189" t="s">
        <v>253</v>
      </c>
      <c r="V145" s="189" t="s">
        <v>253</v>
      </c>
      <c r="W145" s="189" t="s">
        <v>253</v>
      </c>
      <c r="X145" s="189" t="s">
        <v>1369</v>
      </c>
      <c r="Y145" s="189" t="s">
        <v>1370</v>
      </c>
    </row>
    <row r="146" spans="1:25" x14ac:dyDescent="0.2">
      <c r="A146" s="189">
        <v>304</v>
      </c>
      <c r="B146" s="189" t="s">
        <v>1371</v>
      </c>
      <c r="C146" s="189" t="s">
        <v>1327</v>
      </c>
      <c r="D146" s="189" t="s">
        <v>1328</v>
      </c>
      <c r="E146" s="189" t="s">
        <v>1329</v>
      </c>
      <c r="F146" s="189" t="s">
        <v>1330</v>
      </c>
      <c r="G146" s="189" t="s">
        <v>314</v>
      </c>
      <c r="H146" s="189" t="s">
        <v>256</v>
      </c>
      <c r="I146" s="189">
        <v>2226</v>
      </c>
      <c r="J146" s="189">
        <v>85.2315965355332</v>
      </c>
      <c r="K146" s="189">
        <v>682.92739158536301</v>
      </c>
      <c r="L146" s="189">
        <v>-29.21</v>
      </c>
      <c r="M146" s="189">
        <v>-22.25</v>
      </c>
      <c r="N146" s="189">
        <v>118</v>
      </c>
      <c r="O146" s="189" t="s">
        <v>550</v>
      </c>
      <c r="P146" s="189" t="s">
        <v>551</v>
      </c>
      <c r="Q146" s="189" t="s">
        <v>253</v>
      </c>
      <c r="R146" s="189" t="s">
        <v>253</v>
      </c>
      <c r="S146" s="189" t="s">
        <v>253</v>
      </c>
      <c r="T146" s="189" t="s">
        <v>253</v>
      </c>
      <c r="U146" s="189" t="s">
        <v>258</v>
      </c>
      <c r="V146" s="189" t="s">
        <v>253</v>
      </c>
      <c r="W146" s="189" t="s">
        <v>253</v>
      </c>
      <c r="X146" s="189" t="s">
        <v>1372</v>
      </c>
      <c r="Y146" s="189" t="s">
        <v>1373</v>
      </c>
    </row>
    <row r="147" spans="1:25" x14ac:dyDescent="0.2">
      <c r="A147" s="189">
        <v>336</v>
      </c>
      <c r="B147" s="189" t="s">
        <v>1374</v>
      </c>
      <c r="C147" s="189" t="s">
        <v>1327</v>
      </c>
      <c r="D147" s="189" t="s">
        <v>1328</v>
      </c>
      <c r="E147" s="189" t="s">
        <v>1329</v>
      </c>
      <c r="F147" s="189" t="s">
        <v>1330</v>
      </c>
      <c r="G147" s="189" t="s">
        <v>314</v>
      </c>
      <c r="H147" s="189" t="s">
        <v>256</v>
      </c>
      <c r="I147" s="189">
        <v>1817</v>
      </c>
      <c r="J147" s="189">
        <v>69.467537957198402</v>
      </c>
      <c r="K147" s="189">
        <v>626.00162449693198</v>
      </c>
      <c r="L147" s="189">
        <v>-27.37</v>
      </c>
      <c r="M147" s="189">
        <v>-22.76</v>
      </c>
      <c r="N147" s="189">
        <v>472</v>
      </c>
      <c r="O147" s="189" t="s">
        <v>550</v>
      </c>
      <c r="P147" s="189" t="s">
        <v>551</v>
      </c>
      <c r="Q147" s="189" t="s">
        <v>253</v>
      </c>
      <c r="R147" s="189" t="s">
        <v>253</v>
      </c>
      <c r="S147" s="189" t="s">
        <v>253</v>
      </c>
      <c r="T147" s="189" t="s">
        <v>253</v>
      </c>
      <c r="U147" s="189" t="s">
        <v>253</v>
      </c>
      <c r="V147" s="189" t="s">
        <v>253</v>
      </c>
      <c r="W147" s="189" t="s">
        <v>253</v>
      </c>
      <c r="X147" s="189" t="s">
        <v>1375</v>
      </c>
      <c r="Y147" s="189" t="s">
        <v>1376</v>
      </c>
    </row>
    <row r="148" spans="1:25" x14ac:dyDescent="0.2">
      <c r="A148" s="189">
        <v>339</v>
      </c>
      <c r="B148" s="189" t="s">
        <v>1377</v>
      </c>
      <c r="C148" s="189" t="s">
        <v>1327</v>
      </c>
      <c r="D148" s="189" t="s">
        <v>1328</v>
      </c>
      <c r="E148" s="189" t="s">
        <v>1329</v>
      </c>
      <c r="F148" s="189" t="s">
        <v>1330</v>
      </c>
      <c r="G148" s="189" t="s">
        <v>306</v>
      </c>
      <c r="H148" s="189" t="s">
        <v>256</v>
      </c>
      <c r="I148" s="189">
        <v>10169</v>
      </c>
      <c r="J148" s="189">
        <v>206.24507337514501</v>
      </c>
      <c r="K148" s="189">
        <v>818.32313915261602</v>
      </c>
      <c r="L148" s="189">
        <v>-33.6</v>
      </c>
      <c r="M148" s="189">
        <v>-18.34</v>
      </c>
      <c r="N148" s="189">
        <v>82</v>
      </c>
      <c r="O148" s="189" t="s">
        <v>554</v>
      </c>
      <c r="P148" s="189" t="s">
        <v>555</v>
      </c>
      <c r="Q148" s="189" t="s">
        <v>253</v>
      </c>
      <c r="R148" s="189" t="s">
        <v>253</v>
      </c>
      <c r="S148" s="189" t="s">
        <v>257</v>
      </c>
      <c r="T148" s="189" t="s">
        <v>253</v>
      </c>
      <c r="U148" s="189" t="s">
        <v>258</v>
      </c>
      <c r="V148" s="189" t="s">
        <v>253</v>
      </c>
      <c r="W148" s="189" t="s">
        <v>253</v>
      </c>
      <c r="X148" s="189" t="s">
        <v>1378</v>
      </c>
      <c r="Y148" s="189" t="s">
        <v>1379</v>
      </c>
    </row>
    <row r="149" spans="1:25" x14ac:dyDescent="0.2">
      <c r="A149" s="189">
        <v>346</v>
      </c>
      <c r="B149" s="189" t="s">
        <v>1380</v>
      </c>
      <c r="C149" s="189" t="s">
        <v>1327</v>
      </c>
      <c r="D149" s="189" t="s">
        <v>1328</v>
      </c>
      <c r="E149" s="189" t="s">
        <v>1329</v>
      </c>
      <c r="F149" s="189" t="s">
        <v>1330</v>
      </c>
      <c r="G149" s="189" t="s">
        <v>314</v>
      </c>
      <c r="H149" s="189" t="s">
        <v>256</v>
      </c>
      <c r="I149" s="189">
        <v>1704</v>
      </c>
      <c r="J149" s="189">
        <v>117.8690363329</v>
      </c>
      <c r="K149" s="189">
        <v>559.75365486649798</v>
      </c>
      <c r="L149" s="189">
        <v>-25.23</v>
      </c>
      <c r="M149" s="189">
        <v>-21.19</v>
      </c>
      <c r="N149" s="189">
        <v>161</v>
      </c>
      <c r="O149" s="189" t="s">
        <v>568</v>
      </c>
      <c r="P149" s="189" t="s">
        <v>569</v>
      </c>
      <c r="Q149" s="189" t="s">
        <v>253</v>
      </c>
      <c r="R149" s="189" t="s">
        <v>253</v>
      </c>
      <c r="S149" s="189" t="s">
        <v>253</v>
      </c>
      <c r="T149" s="189" t="s">
        <v>261</v>
      </c>
      <c r="U149" s="189" t="s">
        <v>253</v>
      </c>
      <c r="V149" s="189" t="s">
        <v>253</v>
      </c>
      <c r="W149" s="189" t="s">
        <v>253</v>
      </c>
      <c r="X149" s="189" t="s">
        <v>1381</v>
      </c>
      <c r="Y149" s="189" t="s">
        <v>1382</v>
      </c>
    </row>
    <row r="150" spans="1:25" x14ac:dyDescent="0.2">
      <c r="A150" s="189">
        <v>377</v>
      </c>
      <c r="B150" s="189" t="s">
        <v>1383</v>
      </c>
      <c r="C150" s="189" t="s">
        <v>1327</v>
      </c>
      <c r="D150" s="189" t="s">
        <v>1328</v>
      </c>
      <c r="E150" s="189" t="s">
        <v>1329</v>
      </c>
      <c r="F150" s="189" t="s">
        <v>1330</v>
      </c>
      <c r="G150" s="189" t="s">
        <v>314</v>
      </c>
      <c r="H150" s="189" t="s">
        <v>256</v>
      </c>
      <c r="I150" s="189">
        <v>4959</v>
      </c>
      <c r="J150" s="189">
        <v>93.035778621844599</v>
      </c>
      <c r="K150" s="189">
        <v>630.789227472574</v>
      </c>
      <c r="L150" s="189">
        <v>-27.53</v>
      </c>
      <c r="M150" s="189">
        <v>-21.99</v>
      </c>
      <c r="N150" s="189">
        <v>328</v>
      </c>
      <c r="O150" s="189" t="s">
        <v>564</v>
      </c>
      <c r="P150" s="189" t="s">
        <v>565</v>
      </c>
      <c r="Q150" s="189" t="s">
        <v>253</v>
      </c>
      <c r="R150" s="189" t="s">
        <v>253</v>
      </c>
      <c r="S150" s="189" t="s">
        <v>257</v>
      </c>
      <c r="T150" s="189" t="s">
        <v>253</v>
      </c>
      <c r="U150" s="189" t="s">
        <v>258</v>
      </c>
      <c r="V150" s="189" t="s">
        <v>253</v>
      </c>
      <c r="W150" s="189" t="s">
        <v>253</v>
      </c>
      <c r="X150" s="189" t="s">
        <v>1384</v>
      </c>
      <c r="Y150" s="189" t="s">
        <v>1385</v>
      </c>
    </row>
    <row r="151" spans="1:25" x14ac:dyDescent="0.2">
      <c r="A151" s="189">
        <v>379</v>
      </c>
      <c r="B151" s="189" t="s">
        <v>1386</v>
      </c>
      <c r="C151" s="189" t="s">
        <v>1327</v>
      </c>
      <c r="D151" s="189" t="s">
        <v>1328</v>
      </c>
      <c r="E151" s="189" t="s">
        <v>1329</v>
      </c>
      <c r="F151" s="189" t="s">
        <v>1330</v>
      </c>
      <c r="G151" s="189" t="s">
        <v>314</v>
      </c>
      <c r="H151" s="189" t="s">
        <v>256</v>
      </c>
      <c r="I151" s="189">
        <v>14685</v>
      </c>
      <c r="J151" s="189">
        <v>4.4261999710322097</v>
      </c>
      <c r="K151" s="189">
        <v>818.96537857617795</v>
      </c>
      <c r="L151" s="189">
        <v>-33.619999999999997</v>
      </c>
      <c r="M151" s="189">
        <v>-24.86</v>
      </c>
      <c r="N151" s="189">
        <v>118</v>
      </c>
      <c r="O151" s="189" t="s">
        <v>554</v>
      </c>
      <c r="P151" s="189" t="s">
        <v>555</v>
      </c>
      <c r="Q151" s="189" t="s">
        <v>253</v>
      </c>
      <c r="R151" s="189" t="s">
        <v>253</v>
      </c>
      <c r="S151" s="189" t="s">
        <v>253</v>
      </c>
      <c r="T151" s="189" t="s">
        <v>261</v>
      </c>
      <c r="U151" s="189" t="s">
        <v>253</v>
      </c>
      <c r="V151" s="189" t="s">
        <v>253</v>
      </c>
      <c r="W151" s="189" t="s">
        <v>253</v>
      </c>
      <c r="X151" s="189" t="s">
        <v>1387</v>
      </c>
      <c r="Y151" s="189" t="s">
        <v>1388</v>
      </c>
    </row>
    <row r="152" spans="1:25" x14ac:dyDescent="0.2">
      <c r="A152" s="189">
        <v>399</v>
      </c>
      <c r="B152" s="189" t="s">
        <v>1389</v>
      </c>
      <c r="C152" s="189" t="s">
        <v>1327</v>
      </c>
      <c r="D152" s="189" t="s">
        <v>1328</v>
      </c>
      <c r="E152" s="189" t="s">
        <v>1329</v>
      </c>
      <c r="F152" s="189" t="s">
        <v>1330</v>
      </c>
      <c r="G152" s="189" t="s">
        <v>314</v>
      </c>
      <c r="H152" s="189" t="s">
        <v>256</v>
      </c>
      <c r="I152" s="189">
        <v>5151</v>
      </c>
      <c r="J152" s="189">
        <v>4.59</v>
      </c>
      <c r="K152" s="189">
        <v>787.27</v>
      </c>
      <c r="L152" s="189">
        <v>-32.590000000000003</v>
      </c>
      <c r="M152" s="189">
        <v>-24.85</v>
      </c>
      <c r="N152" s="189">
        <v>30</v>
      </c>
      <c r="O152" s="189" t="s">
        <v>554</v>
      </c>
      <c r="P152" s="189" t="s">
        <v>555</v>
      </c>
      <c r="Q152" s="189" t="s">
        <v>253</v>
      </c>
      <c r="R152" s="189" t="s">
        <v>253</v>
      </c>
      <c r="S152" s="189" t="s">
        <v>257</v>
      </c>
      <c r="T152" s="189" t="s">
        <v>253</v>
      </c>
      <c r="U152" s="189" t="s">
        <v>253</v>
      </c>
      <c r="V152" s="189" t="s">
        <v>253</v>
      </c>
      <c r="W152" s="189" t="s">
        <v>253</v>
      </c>
      <c r="X152" s="189" t="s">
        <v>1390</v>
      </c>
      <c r="Y152" s="189" t="s">
        <v>1391</v>
      </c>
    </row>
    <row r="153" spans="1:25" x14ac:dyDescent="0.2">
      <c r="A153" s="189">
        <v>409</v>
      </c>
      <c r="B153" s="189" t="s">
        <v>1392</v>
      </c>
      <c r="C153" s="189" t="s">
        <v>1393</v>
      </c>
      <c r="D153" s="189" t="s">
        <v>1394</v>
      </c>
      <c r="E153" s="189" t="s">
        <v>1329</v>
      </c>
      <c r="F153" s="189" t="s">
        <v>1330</v>
      </c>
      <c r="G153" s="189" t="s">
        <v>1345</v>
      </c>
      <c r="H153" s="189" t="s">
        <v>256</v>
      </c>
      <c r="I153" s="189">
        <v>7974</v>
      </c>
      <c r="J153" s="189">
        <v>23.2262994607498</v>
      </c>
      <c r="K153" s="189">
        <v>429.43743728559701</v>
      </c>
      <c r="L153" s="189">
        <v>-21.01</v>
      </c>
      <c r="M153" s="189">
        <v>-24.25</v>
      </c>
      <c r="N153" s="189">
        <v>266</v>
      </c>
      <c r="O153" s="189" t="s">
        <v>945</v>
      </c>
      <c r="P153" s="189" t="s">
        <v>946</v>
      </c>
      <c r="Q153" s="189" t="s">
        <v>253</v>
      </c>
      <c r="R153" s="189" t="s">
        <v>253</v>
      </c>
      <c r="S153" s="189" t="s">
        <v>253</v>
      </c>
      <c r="T153" s="189" t="s">
        <v>253</v>
      </c>
      <c r="U153" s="189" t="s">
        <v>258</v>
      </c>
      <c r="V153" s="189" t="s">
        <v>253</v>
      </c>
      <c r="W153" s="189" t="s">
        <v>253</v>
      </c>
      <c r="X153" s="189" t="s">
        <v>1395</v>
      </c>
      <c r="Y153" s="189" t="s">
        <v>1396</v>
      </c>
    </row>
    <row r="154" spans="1:25" x14ac:dyDescent="0.2">
      <c r="A154" s="189">
        <v>427</v>
      </c>
      <c r="B154" s="189" t="s">
        <v>1397</v>
      </c>
      <c r="C154" s="189" t="s">
        <v>1327</v>
      </c>
      <c r="D154" s="189" t="s">
        <v>1328</v>
      </c>
      <c r="E154" s="189" t="s">
        <v>1329</v>
      </c>
      <c r="F154" s="189" t="s">
        <v>1330</v>
      </c>
      <c r="G154" s="189" t="s">
        <v>314</v>
      </c>
      <c r="H154" s="189" t="s">
        <v>256</v>
      </c>
      <c r="I154" s="189">
        <v>1742</v>
      </c>
      <c r="J154" s="189">
        <v>91.362063760441103</v>
      </c>
      <c r="K154" s="189">
        <v>547.10348440240205</v>
      </c>
      <c r="L154" s="189">
        <v>-24.82</v>
      </c>
      <c r="M154" s="189">
        <v>-22.05</v>
      </c>
      <c r="N154" s="189">
        <v>266</v>
      </c>
      <c r="O154" s="189" t="s">
        <v>568</v>
      </c>
      <c r="P154" s="189" t="s">
        <v>569</v>
      </c>
      <c r="Q154" s="189" t="s">
        <v>253</v>
      </c>
      <c r="R154" s="189" t="s">
        <v>253</v>
      </c>
      <c r="S154" s="189" t="s">
        <v>253</v>
      </c>
      <c r="T154" s="189" t="s">
        <v>253</v>
      </c>
      <c r="U154" s="189" t="s">
        <v>258</v>
      </c>
      <c r="V154" s="189" t="s">
        <v>253</v>
      </c>
      <c r="W154" s="189" t="s">
        <v>253</v>
      </c>
      <c r="X154" s="189" t="s">
        <v>1398</v>
      </c>
      <c r="Y154" s="189" t="s">
        <v>1399</v>
      </c>
    </row>
    <row r="155" spans="1:25" x14ac:dyDescent="0.2">
      <c r="A155" s="189">
        <v>433</v>
      </c>
      <c r="B155" s="189" t="s">
        <v>1400</v>
      </c>
      <c r="C155" s="189" t="s">
        <v>1327</v>
      </c>
      <c r="D155" s="189" t="s">
        <v>1328</v>
      </c>
      <c r="E155" s="189" t="s">
        <v>1329</v>
      </c>
      <c r="F155" s="189" t="s">
        <v>1330</v>
      </c>
      <c r="G155" s="189" t="s">
        <v>314</v>
      </c>
      <c r="H155" s="189" t="s">
        <v>256</v>
      </c>
      <c r="I155" s="189">
        <v>13799</v>
      </c>
      <c r="J155" s="189">
        <v>44.7121274489988</v>
      </c>
      <c r="K155" s="189">
        <v>723.64147867903705</v>
      </c>
      <c r="L155" s="189">
        <v>-30.53</v>
      </c>
      <c r="M155" s="189">
        <v>-23.56</v>
      </c>
      <c r="N155" s="189">
        <v>161</v>
      </c>
      <c r="O155" s="189" t="s">
        <v>550</v>
      </c>
      <c r="P155" s="189" t="s">
        <v>551</v>
      </c>
      <c r="Q155" s="189" t="s">
        <v>253</v>
      </c>
      <c r="R155" s="189" t="s">
        <v>253</v>
      </c>
      <c r="S155" s="189" t="s">
        <v>253</v>
      </c>
      <c r="T155" s="189" t="s">
        <v>261</v>
      </c>
      <c r="U155" s="189" t="s">
        <v>258</v>
      </c>
      <c r="V155" s="189" t="s">
        <v>253</v>
      </c>
      <c r="W155" s="189" t="s">
        <v>253</v>
      </c>
      <c r="X155" s="189" t="s">
        <v>1401</v>
      </c>
      <c r="Y155" s="189" t="s">
        <v>1402</v>
      </c>
    </row>
    <row r="156" spans="1:25" x14ac:dyDescent="0.2">
      <c r="A156" s="189">
        <v>452</v>
      </c>
      <c r="B156" s="189" t="s">
        <v>1403</v>
      </c>
      <c r="C156" s="189" t="s">
        <v>1327</v>
      </c>
      <c r="D156" s="189" t="s">
        <v>1328</v>
      </c>
      <c r="E156" s="189" t="s">
        <v>1329</v>
      </c>
      <c r="F156" s="189" t="s">
        <v>1330</v>
      </c>
      <c r="G156" s="189" t="s">
        <v>306</v>
      </c>
      <c r="H156" s="189" t="s">
        <v>256</v>
      </c>
      <c r="I156" s="189">
        <v>18516</v>
      </c>
      <c r="J156" s="189">
        <v>204.66866751731101</v>
      </c>
      <c r="K156" s="189">
        <v>885.19388640589705</v>
      </c>
      <c r="L156" s="189">
        <v>-35.76</v>
      </c>
      <c r="M156" s="189">
        <v>-18.39</v>
      </c>
      <c r="N156" s="189">
        <v>52</v>
      </c>
      <c r="O156" s="189" t="s">
        <v>542</v>
      </c>
      <c r="P156" s="189" t="s">
        <v>543</v>
      </c>
      <c r="Q156" s="189" t="s">
        <v>253</v>
      </c>
      <c r="R156" s="189" t="s">
        <v>253</v>
      </c>
      <c r="S156" s="189" t="s">
        <v>253</v>
      </c>
      <c r="T156" s="189" t="s">
        <v>261</v>
      </c>
      <c r="U156" s="189" t="s">
        <v>253</v>
      </c>
      <c r="V156" s="189" t="s">
        <v>253</v>
      </c>
      <c r="W156" s="189" t="s">
        <v>253</v>
      </c>
      <c r="X156" s="189" t="s">
        <v>1404</v>
      </c>
      <c r="Y156" s="189" t="s">
        <v>1405</v>
      </c>
    </row>
    <row r="157" spans="1:25" x14ac:dyDescent="0.2">
      <c r="A157" s="189">
        <v>459</v>
      </c>
      <c r="B157" s="189" t="s">
        <v>1406</v>
      </c>
      <c r="C157" s="189" t="s">
        <v>1352</v>
      </c>
      <c r="D157" s="189" t="s">
        <v>1353</v>
      </c>
      <c r="E157" s="189" t="s">
        <v>1329</v>
      </c>
      <c r="F157" s="189" t="s">
        <v>1330</v>
      </c>
      <c r="G157" s="189" t="s">
        <v>1291</v>
      </c>
      <c r="H157" s="189" t="s">
        <v>256</v>
      </c>
      <c r="I157" s="189">
        <v>21797</v>
      </c>
      <c r="J157" s="189">
        <v>84.608818912685507</v>
      </c>
      <c r="K157" s="189">
        <v>280.39896741783502</v>
      </c>
      <c r="L157" s="189">
        <v>-16.18</v>
      </c>
      <c r="M157" s="189">
        <v>-22.27</v>
      </c>
      <c r="N157" s="189">
        <v>738</v>
      </c>
      <c r="O157" s="189" t="s">
        <v>913</v>
      </c>
      <c r="P157" s="189" t="s">
        <v>914</v>
      </c>
      <c r="Q157" s="189" t="s">
        <v>253</v>
      </c>
      <c r="R157" s="189" t="s">
        <v>253</v>
      </c>
      <c r="S157" s="189" t="s">
        <v>253</v>
      </c>
      <c r="T157" s="189" t="s">
        <v>253</v>
      </c>
      <c r="U157" s="189" t="s">
        <v>253</v>
      </c>
      <c r="V157" s="189" t="s">
        <v>297</v>
      </c>
      <c r="W157" s="189" t="s">
        <v>253</v>
      </c>
      <c r="X157" s="189" t="s">
        <v>1407</v>
      </c>
      <c r="Y157" s="189" t="s">
        <v>1408</v>
      </c>
    </row>
    <row r="158" spans="1:25" x14ac:dyDescent="0.2">
      <c r="A158" s="189">
        <v>503</v>
      </c>
      <c r="B158" s="189" t="s">
        <v>1409</v>
      </c>
      <c r="C158" s="189" t="s">
        <v>1327</v>
      </c>
      <c r="D158" s="189" t="s">
        <v>1328</v>
      </c>
      <c r="E158" s="189" t="s">
        <v>1329</v>
      </c>
      <c r="F158" s="189" t="s">
        <v>1330</v>
      </c>
      <c r="G158" s="189" t="s">
        <v>314</v>
      </c>
      <c r="H158" s="189" t="s">
        <v>256</v>
      </c>
      <c r="I158" s="189">
        <v>1801</v>
      </c>
      <c r="J158" s="189">
        <v>225.95987749842001</v>
      </c>
      <c r="K158" s="189">
        <v>546.422321377412</v>
      </c>
      <c r="L158" s="189">
        <v>-24.79</v>
      </c>
      <c r="M158" s="189">
        <v>-17.7</v>
      </c>
      <c r="N158" s="189">
        <v>161</v>
      </c>
      <c r="O158" s="189" t="s">
        <v>568</v>
      </c>
      <c r="P158" s="189" t="s">
        <v>569</v>
      </c>
      <c r="Q158" s="189" t="s">
        <v>253</v>
      </c>
      <c r="R158" s="189" t="s">
        <v>253</v>
      </c>
      <c r="S158" s="189" t="s">
        <v>257</v>
      </c>
      <c r="T158" s="189" t="s">
        <v>253</v>
      </c>
      <c r="U158" s="189" t="s">
        <v>258</v>
      </c>
      <c r="V158" s="189" t="s">
        <v>253</v>
      </c>
      <c r="W158" s="189" t="s">
        <v>253</v>
      </c>
      <c r="X158" s="189" t="s">
        <v>1410</v>
      </c>
      <c r="Y158" s="189" t="s">
        <v>1411</v>
      </c>
    </row>
    <row r="159" spans="1:25" x14ac:dyDescent="0.2">
      <c r="A159" s="189">
        <v>518</v>
      </c>
      <c r="B159" s="189" t="s">
        <v>1412</v>
      </c>
      <c r="C159" s="189" t="s">
        <v>1340</v>
      </c>
      <c r="D159" s="189" t="s">
        <v>1341</v>
      </c>
      <c r="E159" s="189" t="s">
        <v>1329</v>
      </c>
      <c r="F159" s="189" t="s">
        <v>1330</v>
      </c>
      <c r="G159" s="189" t="s">
        <v>314</v>
      </c>
      <c r="H159" s="189" t="s">
        <v>256</v>
      </c>
      <c r="I159" s="189">
        <v>26127</v>
      </c>
      <c r="J159" s="189">
        <v>72.795505879291397</v>
      </c>
      <c r="K159" s="189">
        <v>438.83748703045597</v>
      </c>
      <c r="L159" s="189">
        <v>-21.31</v>
      </c>
      <c r="M159" s="189">
        <v>-22.65</v>
      </c>
      <c r="N159" s="189">
        <v>210</v>
      </c>
      <c r="O159" s="189" t="s">
        <v>945</v>
      </c>
      <c r="P159" s="189" t="s">
        <v>946</v>
      </c>
      <c r="Q159" s="189" t="s">
        <v>253</v>
      </c>
      <c r="R159" s="189" t="s">
        <v>253</v>
      </c>
      <c r="S159" s="189" t="s">
        <v>257</v>
      </c>
      <c r="T159" s="189" t="s">
        <v>261</v>
      </c>
      <c r="U159" s="189" t="s">
        <v>253</v>
      </c>
      <c r="V159" s="189" t="s">
        <v>253</v>
      </c>
      <c r="W159" s="189" t="s">
        <v>266</v>
      </c>
      <c r="X159" s="189" t="s">
        <v>1413</v>
      </c>
      <c r="Y159" s="189" t="s">
        <v>1414</v>
      </c>
    </row>
    <row r="160" spans="1:25" x14ac:dyDescent="0.2">
      <c r="A160" s="189">
        <v>537</v>
      </c>
      <c r="B160" s="189" t="s">
        <v>1415</v>
      </c>
      <c r="C160" s="189" t="s">
        <v>1327</v>
      </c>
      <c r="D160" s="189" t="s">
        <v>1328</v>
      </c>
      <c r="E160" s="189" t="s">
        <v>1329</v>
      </c>
      <c r="F160" s="189" t="s">
        <v>1330</v>
      </c>
      <c r="G160" s="189" t="s">
        <v>314</v>
      </c>
      <c r="H160" s="189" t="s">
        <v>256</v>
      </c>
      <c r="I160" s="189">
        <v>1868</v>
      </c>
      <c r="J160" s="189">
        <v>197.83757546669901</v>
      </c>
      <c r="K160" s="189">
        <v>619.773848268454</v>
      </c>
      <c r="L160" s="189">
        <v>-27.17</v>
      </c>
      <c r="M160" s="189">
        <v>-18.61</v>
      </c>
      <c r="N160" s="189">
        <v>948</v>
      </c>
      <c r="O160" s="189" t="s">
        <v>550</v>
      </c>
      <c r="P160" s="189" t="s">
        <v>551</v>
      </c>
      <c r="Q160" s="189" t="s">
        <v>253</v>
      </c>
      <c r="R160" s="189" t="s">
        <v>253</v>
      </c>
      <c r="S160" s="189" t="s">
        <v>257</v>
      </c>
      <c r="T160" s="189" t="s">
        <v>253</v>
      </c>
      <c r="U160" s="189" t="s">
        <v>253</v>
      </c>
      <c r="V160" s="189" t="s">
        <v>253</v>
      </c>
      <c r="W160" s="189" t="s">
        <v>253</v>
      </c>
      <c r="X160" s="189" t="s">
        <v>1416</v>
      </c>
      <c r="Y160" s="189" t="s">
        <v>1417</v>
      </c>
    </row>
    <row r="161" spans="1:25" x14ac:dyDescent="0.2">
      <c r="A161" s="189">
        <v>575</v>
      </c>
      <c r="B161" s="189" t="s">
        <v>1418</v>
      </c>
      <c r="C161" s="189" t="s">
        <v>1340</v>
      </c>
      <c r="D161" s="189" t="s">
        <v>1341</v>
      </c>
      <c r="E161" s="189" t="s">
        <v>1329</v>
      </c>
      <c r="F161" s="189" t="s">
        <v>1330</v>
      </c>
      <c r="G161" s="189" t="s">
        <v>314</v>
      </c>
      <c r="H161" s="189" t="s">
        <v>256</v>
      </c>
      <c r="I161" s="189">
        <v>8895</v>
      </c>
      <c r="J161" s="189">
        <v>45.704679285412503</v>
      </c>
      <c r="K161" s="189">
        <v>444.69548904536799</v>
      </c>
      <c r="L161" s="189">
        <v>-21.5</v>
      </c>
      <c r="M161" s="189">
        <v>-23.52</v>
      </c>
      <c r="N161" s="189">
        <v>397</v>
      </c>
      <c r="O161" s="189" t="s">
        <v>602</v>
      </c>
      <c r="P161" s="189" t="s">
        <v>603</v>
      </c>
      <c r="Q161" s="189" t="s">
        <v>253</v>
      </c>
      <c r="R161" s="189" t="s">
        <v>253</v>
      </c>
      <c r="S161" s="189" t="s">
        <v>257</v>
      </c>
      <c r="T161" s="189" t="s">
        <v>261</v>
      </c>
      <c r="U161" s="189" t="s">
        <v>253</v>
      </c>
      <c r="V161" s="189" t="s">
        <v>253</v>
      </c>
      <c r="W161" s="189" t="s">
        <v>253</v>
      </c>
      <c r="X161" s="189" t="s">
        <v>1419</v>
      </c>
      <c r="Y161" s="189" t="s">
        <v>1420</v>
      </c>
    </row>
    <row r="162" spans="1:25" x14ac:dyDescent="0.2">
      <c r="A162" s="189">
        <v>577</v>
      </c>
      <c r="B162" s="189" t="s">
        <v>1421</v>
      </c>
      <c r="C162" s="189" t="s">
        <v>1327</v>
      </c>
      <c r="D162" s="189" t="s">
        <v>1328</v>
      </c>
      <c r="E162" s="189" t="s">
        <v>1329</v>
      </c>
      <c r="F162" s="189" t="s">
        <v>1330</v>
      </c>
      <c r="G162" s="189" t="s">
        <v>314</v>
      </c>
      <c r="H162" s="189" t="s">
        <v>256</v>
      </c>
      <c r="I162" s="189">
        <v>12048</v>
      </c>
      <c r="J162" s="189">
        <v>205.233059738017</v>
      </c>
      <c r="K162" s="189">
        <v>541.5374093982</v>
      </c>
      <c r="L162" s="189">
        <v>-24.64</v>
      </c>
      <c r="M162" s="189">
        <v>-18.37</v>
      </c>
      <c r="N162" s="189">
        <v>210</v>
      </c>
      <c r="O162" s="189" t="s">
        <v>602</v>
      </c>
      <c r="P162" s="189" t="s">
        <v>603</v>
      </c>
      <c r="Q162" s="189" t="s">
        <v>253</v>
      </c>
      <c r="R162" s="189" t="s">
        <v>253</v>
      </c>
      <c r="S162" s="189" t="s">
        <v>257</v>
      </c>
      <c r="T162" s="189" t="s">
        <v>261</v>
      </c>
      <c r="U162" s="189" t="s">
        <v>258</v>
      </c>
      <c r="V162" s="189" t="s">
        <v>253</v>
      </c>
      <c r="W162" s="189" t="s">
        <v>253</v>
      </c>
      <c r="X162" s="189" t="s">
        <v>1422</v>
      </c>
      <c r="Y162" s="189" t="s">
        <v>1423</v>
      </c>
    </row>
    <row r="163" spans="1:25" x14ac:dyDescent="0.2">
      <c r="A163" s="189">
        <v>578</v>
      </c>
      <c r="B163" s="189" t="s">
        <v>1424</v>
      </c>
      <c r="C163" s="189" t="s">
        <v>1327</v>
      </c>
      <c r="D163" s="189" t="s">
        <v>1328</v>
      </c>
      <c r="E163" s="189" t="s">
        <v>1329</v>
      </c>
      <c r="F163" s="189" t="s">
        <v>1330</v>
      </c>
      <c r="G163" s="189" t="s">
        <v>314</v>
      </c>
      <c r="H163" s="189" t="s">
        <v>256</v>
      </c>
      <c r="I163" s="189">
        <v>11527</v>
      </c>
      <c r="J163" s="189">
        <v>62.169362689450899</v>
      </c>
      <c r="K163" s="189">
        <v>572.81252314558697</v>
      </c>
      <c r="L163" s="189">
        <v>-25.65</v>
      </c>
      <c r="M163" s="189">
        <v>-22.99</v>
      </c>
      <c r="N163" s="189">
        <v>1447</v>
      </c>
      <c r="O163" s="189" t="s">
        <v>550</v>
      </c>
      <c r="P163" s="189" t="s">
        <v>551</v>
      </c>
      <c r="Q163" s="189" t="s">
        <v>253</v>
      </c>
      <c r="R163" s="189" t="s">
        <v>253</v>
      </c>
      <c r="S163" s="189" t="s">
        <v>253</v>
      </c>
      <c r="T163" s="189" t="s">
        <v>253</v>
      </c>
      <c r="U163" s="189" t="s">
        <v>258</v>
      </c>
      <c r="V163" s="189" t="s">
        <v>253</v>
      </c>
      <c r="W163" s="189" t="s">
        <v>253</v>
      </c>
      <c r="X163" s="189" t="s">
        <v>1425</v>
      </c>
      <c r="Y163" s="189" t="s">
        <v>1426</v>
      </c>
    </row>
    <row r="164" spans="1:25" x14ac:dyDescent="0.2">
      <c r="A164" s="189">
        <v>580</v>
      </c>
      <c r="B164" s="189" t="s">
        <v>1427</v>
      </c>
      <c r="C164" s="189" t="s">
        <v>1327</v>
      </c>
      <c r="D164" s="189" t="s">
        <v>1328</v>
      </c>
      <c r="E164" s="189" t="s">
        <v>1329</v>
      </c>
      <c r="F164" s="189" t="s">
        <v>1330</v>
      </c>
      <c r="G164" s="189" t="s">
        <v>314</v>
      </c>
      <c r="H164" s="189" t="s">
        <v>256</v>
      </c>
      <c r="I164" s="189">
        <v>8596</v>
      </c>
      <c r="J164" s="189">
        <v>71.705645039307896</v>
      </c>
      <c r="K164" s="189">
        <v>582.91319771614997</v>
      </c>
      <c r="L164" s="189">
        <v>-25.98</v>
      </c>
      <c r="M164" s="189">
        <v>-22.68</v>
      </c>
      <c r="N164" s="189">
        <v>1312</v>
      </c>
      <c r="O164" s="189" t="s">
        <v>550</v>
      </c>
      <c r="P164" s="189" t="s">
        <v>551</v>
      </c>
      <c r="Q164" s="189" t="s">
        <v>253</v>
      </c>
      <c r="R164" s="189" t="s">
        <v>253</v>
      </c>
      <c r="S164" s="189" t="s">
        <v>253</v>
      </c>
      <c r="T164" s="189" t="s">
        <v>253</v>
      </c>
      <c r="U164" s="189" t="s">
        <v>253</v>
      </c>
      <c r="V164" s="189" t="s">
        <v>253</v>
      </c>
      <c r="W164" s="189" t="s">
        <v>253</v>
      </c>
      <c r="X164" s="189" t="s">
        <v>1428</v>
      </c>
      <c r="Y164" s="189" t="s">
        <v>1429</v>
      </c>
    </row>
    <row r="165" spans="1:25" x14ac:dyDescent="0.2">
      <c r="A165" s="189">
        <v>586</v>
      </c>
      <c r="B165" s="189" t="s">
        <v>1430</v>
      </c>
      <c r="C165" s="189" t="s">
        <v>1327</v>
      </c>
      <c r="D165" s="189" t="s">
        <v>1328</v>
      </c>
      <c r="E165" s="189" t="s">
        <v>1329</v>
      </c>
      <c r="F165" s="189" t="s">
        <v>1330</v>
      </c>
      <c r="G165" s="189" t="s">
        <v>314</v>
      </c>
      <c r="H165" s="189" t="s">
        <v>256</v>
      </c>
      <c r="I165" s="189">
        <v>9442</v>
      </c>
      <c r="J165" s="189">
        <v>8.5326399216848703</v>
      </c>
      <c r="K165" s="189">
        <v>880.54251603525302</v>
      </c>
      <c r="L165" s="189">
        <v>-35.61</v>
      </c>
      <c r="M165" s="189">
        <v>-24.72</v>
      </c>
      <c r="N165" s="189">
        <v>52</v>
      </c>
      <c r="O165" s="189" t="s">
        <v>542</v>
      </c>
      <c r="P165" s="189" t="s">
        <v>543</v>
      </c>
      <c r="Q165" s="189" t="s">
        <v>253</v>
      </c>
      <c r="R165" s="189" t="s">
        <v>253</v>
      </c>
      <c r="S165" s="189" t="s">
        <v>257</v>
      </c>
      <c r="T165" s="189" t="s">
        <v>253</v>
      </c>
      <c r="U165" s="189" t="s">
        <v>253</v>
      </c>
      <c r="V165" s="189" t="s">
        <v>253</v>
      </c>
      <c r="W165" s="189" t="s">
        <v>253</v>
      </c>
      <c r="X165" s="189" t="s">
        <v>1431</v>
      </c>
      <c r="Y165" s="189" t="s">
        <v>1432</v>
      </c>
    </row>
    <row r="166" spans="1:25" x14ac:dyDescent="0.2">
      <c r="A166" s="189">
        <v>602</v>
      </c>
      <c r="B166" s="189" t="s">
        <v>1433</v>
      </c>
      <c r="C166" s="189" t="s">
        <v>1327</v>
      </c>
      <c r="D166" s="189" t="s">
        <v>1328</v>
      </c>
      <c r="E166" s="189" t="s">
        <v>1329</v>
      </c>
      <c r="F166" s="189" t="s">
        <v>1330</v>
      </c>
      <c r="G166" s="189" t="s">
        <v>306</v>
      </c>
      <c r="H166" s="189" t="s">
        <v>256</v>
      </c>
      <c r="I166" s="189">
        <v>6160</v>
      </c>
      <c r="J166" s="189">
        <v>142.35</v>
      </c>
      <c r="K166" s="189">
        <v>823.98</v>
      </c>
      <c r="L166" s="189">
        <v>-33.78</v>
      </c>
      <c r="M166" s="189">
        <v>-20.399999999999999</v>
      </c>
      <c r="N166" s="189">
        <v>52</v>
      </c>
      <c r="O166" s="189" t="s">
        <v>554</v>
      </c>
      <c r="P166" s="189" t="s">
        <v>555</v>
      </c>
      <c r="Q166" s="189" t="s">
        <v>253</v>
      </c>
      <c r="R166" s="189" t="s">
        <v>253</v>
      </c>
      <c r="S166" s="189" t="s">
        <v>257</v>
      </c>
      <c r="T166" s="189" t="s">
        <v>253</v>
      </c>
      <c r="U166" s="189" t="s">
        <v>253</v>
      </c>
      <c r="V166" s="189" t="s">
        <v>253</v>
      </c>
      <c r="W166" s="189" t="s">
        <v>253</v>
      </c>
      <c r="X166" s="189" t="s">
        <v>1434</v>
      </c>
      <c r="Y166" s="189" t="s">
        <v>1435</v>
      </c>
    </row>
    <row r="167" spans="1:25" x14ac:dyDescent="0.2">
      <c r="A167" s="189">
        <v>621</v>
      </c>
      <c r="B167" s="189" t="s">
        <v>1436</v>
      </c>
      <c r="C167" s="189" t="s">
        <v>1327</v>
      </c>
      <c r="D167" s="189" t="s">
        <v>1328</v>
      </c>
      <c r="E167" s="189" t="s">
        <v>1329</v>
      </c>
      <c r="F167" s="189" t="s">
        <v>1330</v>
      </c>
      <c r="G167" s="189" t="s">
        <v>314</v>
      </c>
      <c r="H167" s="189" t="s">
        <v>256</v>
      </c>
      <c r="I167" s="189">
        <v>8655</v>
      </c>
      <c r="J167" s="189">
        <v>202.13863342449201</v>
      </c>
      <c r="K167" s="189">
        <v>657.841130465025</v>
      </c>
      <c r="L167" s="189">
        <v>-28.4</v>
      </c>
      <c r="M167" s="189">
        <v>-18.47</v>
      </c>
      <c r="N167" s="189">
        <v>266</v>
      </c>
      <c r="O167" s="189" t="s">
        <v>550</v>
      </c>
      <c r="P167" s="189" t="s">
        <v>551</v>
      </c>
      <c r="Q167" s="189" t="s">
        <v>253</v>
      </c>
      <c r="R167" s="189" t="s">
        <v>253</v>
      </c>
      <c r="S167" s="189" t="s">
        <v>253</v>
      </c>
      <c r="T167" s="189" t="s">
        <v>253</v>
      </c>
      <c r="U167" s="189" t="s">
        <v>253</v>
      </c>
      <c r="V167" s="189" t="s">
        <v>253</v>
      </c>
      <c r="W167" s="189" t="s">
        <v>253</v>
      </c>
      <c r="X167" s="189" t="s">
        <v>1437</v>
      </c>
      <c r="Y167" s="189" t="s">
        <v>1438</v>
      </c>
    </row>
    <row r="168" spans="1:25" x14ac:dyDescent="0.2">
      <c r="A168" s="189">
        <v>641</v>
      </c>
      <c r="B168" s="189" t="s">
        <v>1439</v>
      </c>
      <c r="C168" s="189" t="s">
        <v>1327</v>
      </c>
      <c r="D168" s="189" t="s">
        <v>1328</v>
      </c>
      <c r="E168" s="189" t="s">
        <v>1329</v>
      </c>
      <c r="F168" s="189" t="s">
        <v>1330</v>
      </c>
      <c r="G168" s="189" t="s">
        <v>314</v>
      </c>
      <c r="H168" s="189" t="s">
        <v>256</v>
      </c>
      <c r="I168" s="189">
        <v>7278</v>
      </c>
      <c r="J168" s="189">
        <v>130.75274840556401</v>
      </c>
      <c r="K168" s="189">
        <v>539.22145511323504</v>
      </c>
      <c r="L168" s="189">
        <v>-24.56</v>
      </c>
      <c r="M168" s="189">
        <v>-20.78</v>
      </c>
      <c r="N168" s="189">
        <v>210</v>
      </c>
      <c r="O168" s="189" t="s">
        <v>602</v>
      </c>
      <c r="P168" s="189" t="s">
        <v>603</v>
      </c>
      <c r="Q168" s="189" t="s">
        <v>253</v>
      </c>
      <c r="R168" s="189" t="s">
        <v>253</v>
      </c>
      <c r="S168" s="189" t="s">
        <v>253</v>
      </c>
      <c r="T168" s="189" t="s">
        <v>261</v>
      </c>
      <c r="U168" s="189" t="s">
        <v>253</v>
      </c>
      <c r="V168" s="189" t="s">
        <v>253</v>
      </c>
      <c r="W168" s="189" t="s">
        <v>253</v>
      </c>
      <c r="X168" s="189" t="s">
        <v>1440</v>
      </c>
      <c r="Y168" s="189" t="s">
        <v>1441</v>
      </c>
    </row>
    <row r="169" spans="1:25" x14ac:dyDescent="0.2">
      <c r="A169" s="189">
        <v>644</v>
      </c>
      <c r="B169" s="189" t="s">
        <v>1442</v>
      </c>
      <c r="C169" s="189" t="s">
        <v>1327</v>
      </c>
      <c r="D169" s="189" t="s">
        <v>1328</v>
      </c>
      <c r="E169" s="189" t="s">
        <v>1329</v>
      </c>
      <c r="F169" s="189" t="s">
        <v>1330</v>
      </c>
      <c r="G169" s="189" t="s">
        <v>314</v>
      </c>
      <c r="H169" s="189" t="s">
        <v>256</v>
      </c>
      <c r="I169" s="189">
        <v>6603</v>
      </c>
      <c r="J169" s="189">
        <v>161.5</v>
      </c>
      <c r="K169" s="189">
        <v>679</v>
      </c>
      <c r="L169" s="189">
        <v>-29.09</v>
      </c>
      <c r="M169" s="189">
        <v>-19.78</v>
      </c>
      <c r="N169" s="189">
        <v>52</v>
      </c>
      <c r="O169" s="189" t="s">
        <v>564</v>
      </c>
      <c r="P169" s="189" t="s">
        <v>565</v>
      </c>
      <c r="Q169" s="189" t="s">
        <v>253</v>
      </c>
      <c r="R169" s="189" t="s">
        <v>259</v>
      </c>
      <c r="S169" s="189" t="s">
        <v>257</v>
      </c>
      <c r="T169" s="189" t="s">
        <v>253</v>
      </c>
      <c r="U169" s="189" t="s">
        <v>253</v>
      </c>
      <c r="V169" s="189" t="s">
        <v>253</v>
      </c>
      <c r="W169" s="189" t="s">
        <v>253</v>
      </c>
      <c r="X169" s="189" t="s">
        <v>1443</v>
      </c>
      <c r="Y169" s="189" t="s">
        <v>1444</v>
      </c>
    </row>
    <row r="170" spans="1:25" x14ac:dyDescent="0.2">
      <c r="A170" s="189">
        <v>681</v>
      </c>
      <c r="B170" s="189" t="s">
        <v>1445</v>
      </c>
      <c r="C170" s="189" t="s">
        <v>1327</v>
      </c>
      <c r="D170" s="189" t="s">
        <v>1328</v>
      </c>
      <c r="E170" s="189" t="s">
        <v>1329</v>
      </c>
      <c r="F170" s="189" t="s">
        <v>1330</v>
      </c>
      <c r="G170" s="189" t="s">
        <v>314</v>
      </c>
      <c r="H170" s="189" t="s">
        <v>256</v>
      </c>
      <c r="I170" s="189">
        <v>3804</v>
      </c>
      <c r="J170" s="189">
        <v>89.688348899037706</v>
      </c>
      <c r="K170" s="189">
        <v>702.93412271934801</v>
      </c>
      <c r="L170" s="189">
        <v>-29.86</v>
      </c>
      <c r="M170" s="189">
        <v>-22.1</v>
      </c>
      <c r="N170" s="189">
        <v>82</v>
      </c>
      <c r="O170" s="189" t="s">
        <v>550</v>
      </c>
      <c r="P170" s="189" t="s">
        <v>551</v>
      </c>
      <c r="Q170" s="189" t="s">
        <v>253</v>
      </c>
      <c r="R170" s="189" t="s">
        <v>253</v>
      </c>
      <c r="S170" s="189" t="s">
        <v>253</v>
      </c>
      <c r="T170" s="189" t="s">
        <v>253</v>
      </c>
      <c r="U170" s="189" t="s">
        <v>253</v>
      </c>
      <c r="V170" s="189" t="s">
        <v>253</v>
      </c>
      <c r="W170" s="189" t="s">
        <v>253</v>
      </c>
      <c r="X170" s="189" t="s">
        <v>1446</v>
      </c>
      <c r="Y170" s="189" t="s">
        <v>1447</v>
      </c>
    </row>
    <row r="171" spans="1:25" x14ac:dyDescent="0.2">
      <c r="A171" s="189">
        <v>729</v>
      </c>
      <c r="B171" s="189" t="s">
        <v>1448</v>
      </c>
      <c r="C171" s="189" t="s">
        <v>1352</v>
      </c>
      <c r="D171" s="189" t="s">
        <v>1353</v>
      </c>
      <c r="E171" s="189" t="s">
        <v>1329</v>
      </c>
      <c r="F171" s="189" t="s">
        <v>1330</v>
      </c>
      <c r="G171" s="189" t="s">
        <v>1291</v>
      </c>
      <c r="H171" s="189" t="s">
        <v>256</v>
      </c>
      <c r="I171" s="189">
        <v>2007</v>
      </c>
      <c r="J171" s="189">
        <v>51.2123688874725</v>
      </c>
      <c r="K171" s="189">
        <v>202.78530617042901</v>
      </c>
      <c r="L171" s="189">
        <v>-13.67</v>
      </c>
      <c r="M171" s="189">
        <v>-23.35</v>
      </c>
      <c r="N171" s="189">
        <v>266</v>
      </c>
      <c r="O171" s="189" t="s">
        <v>918</v>
      </c>
      <c r="P171" s="189" t="s">
        <v>919</v>
      </c>
      <c r="Q171" s="189" t="s">
        <v>253</v>
      </c>
      <c r="R171" s="189" t="s">
        <v>253</v>
      </c>
      <c r="S171" s="189" t="s">
        <v>257</v>
      </c>
      <c r="T171" s="189" t="s">
        <v>253</v>
      </c>
      <c r="U171" s="189" t="s">
        <v>253</v>
      </c>
      <c r="V171" s="189" t="s">
        <v>253</v>
      </c>
      <c r="W171" s="189" t="s">
        <v>253</v>
      </c>
      <c r="X171" s="189" t="s">
        <v>1449</v>
      </c>
      <c r="Y171" s="189" t="s">
        <v>1450</v>
      </c>
    </row>
    <row r="172" spans="1:25" x14ac:dyDescent="0.2">
      <c r="A172" s="189">
        <v>730</v>
      </c>
      <c r="B172" s="189" t="s">
        <v>283</v>
      </c>
      <c r="C172" s="189" t="s">
        <v>1352</v>
      </c>
      <c r="D172" s="189" t="s">
        <v>1353</v>
      </c>
      <c r="E172" s="189" t="s">
        <v>1329</v>
      </c>
      <c r="F172" s="189" t="s">
        <v>1330</v>
      </c>
      <c r="G172" s="189" t="s">
        <v>1291</v>
      </c>
      <c r="H172" s="189" t="s">
        <v>256</v>
      </c>
      <c r="I172" s="189">
        <v>1979</v>
      </c>
      <c r="J172" s="189">
        <v>11.121059416645799</v>
      </c>
      <c r="K172" s="189">
        <v>363.22839125659101</v>
      </c>
      <c r="L172" s="189">
        <v>-18.86</v>
      </c>
      <c r="M172" s="189">
        <v>-24.64</v>
      </c>
      <c r="N172" s="189">
        <v>948</v>
      </c>
      <c r="O172" s="189" t="s">
        <v>945</v>
      </c>
      <c r="P172" s="189" t="s">
        <v>946</v>
      </c>
      <c r="Q172" s="189" t="s">
        <v>253</v>
      </c>
      <c r="R172" s="189" t="s">
        <v>253</v>
      </c>
      <c r="S172" s="189" t="s">
        <v>253</v>
      </c>
      <c r="T172" s="189" t="s">
        <v>253</v>
      </c>
      <c r="U172" s="189" t="s">
        <v>253</v>
      </c>
      <c r="V172" s="189" t="s">
        <v>253</v>
      </c>
      <c r="W172" s="189" t="s">
        <v>253</v>
      </c>
      <c r="X172" s="189" t="s">
        <v>1451</v>
      </c>
      <c r="Y172" s="189" t="s">
        <v>1452</v>
      </c>
    </row>
    <row r="173" spans="1:25" x14ac:dyDescent="0.2">
      <c r="A173" s="189">
        <v>753</v>
      </c>
      <c r="B173" s="189" t="s">
        <v>1453</v>
      </c>
      <c r="C173" s="189" t="s">
        <v>1327</v>
      </c>
      <c r="D173" s="189" t="s">
        <v>1328</v>
      </c>
      <c r="E173" s="189" t="s">
        <v>1329</v>
      </c>
      <c r="F173" s="189" t="s">
        <v>1330</v>
      </c>
      <c r="G173" s="189" t="s">
        <v>314</v>
      </c>
      <c r="H173" s="189" t="s">
        <v>256</v>
      </c>
      <c r="I173" s="189">
        <v>7217</v>
      </c>
      <c r="J173" s="189">
        <v>150.05885471384499</v>
      </c>
      <c r="K173" s="189">
        <v>598.85241250091099</v>
      </c>
      <c r="L173" s="189">
        <v>-26.49</v>
      </c>
      <c r="M173" s="189">
        <v>-20.149999999999999</v>
      </c>
      <c r="N173" s="189">
        <v>1184</v>
      </c>
      <c r="O173" s="189" t="s">
        <v>550</v>
      </c>
      <c r="P173" s="189" t="s">
        <v>551</v>
      </c>
      <c r="Q173" s="189" t="s">
        <v>253</v>
      </c>
      <c r="R173" s="189" t="s">
        <v>253</v>
      </c>
      <c r="S173" s="189" t="s">
        <v>253</v>
      </c>
      <c r="T173" s="189" t="s">
        <v>253</v>
      </c>
      <c r="U173" s="189" t="s">
        <v>253</v>
      </c>
      <c r="V173" s="189" t="s">
        <v>253</v>
      </c>
      <c r="W173" s="189" t="s">
        <v>253</v>
      </c>
      <c r="X173" s="189" t="s">
        <v>1454</v>
      </c>
      <c r="Y173" s="189" t="s">
        <v>1455</v>
      </c>
    </row>
    <row r="174" spans="1:25" x14ac:dyDescent="0.2">
      <c r="A174" s="189">
        <v>776</v>
      </c>
      <c r="B174" s="189" t="s">
        <v>1456</v>
      </c>
      <c r="C174" s="189" t="s">
        <v>1327</v>
      </c>
      <c r="D174" s="189" t="s">
        <v>1328</v>
      </c>
      <c r="E174" s="189" t="s">
        <v>1329</v>
      </c>
      <c r="F174" s="189" t="s">
        <v>1330</v>
      </c>
      <c r="G174" s="189" t="s">
        <v>314</v>
      </c>
      <c r="H174" s="189" t="s">
        <v>256</v>
      </c>
      <c r="I174" s="189">
        <v>4926</v>
      </c>
      <c r="J174" s="189">
        <v>211.94738098434499</v>
      </c>
      <c r="K174" s="189">
        <v>516.25653027072201</v>
      </c>
      <c r="L174" s="189">
        <v>-23.82</v>
      </c>
      <c r="M174" s="189">
        <v>-18.149999999999999</v>
      </c>
      <c r="N174" s="189">
        <v>118</v>
      </c>
      <c r="O174" s="189" t="s">
        <v>602</v>
      </c>
      <c r="P174" s="189" t="s">
        <v>603</v>
      </c>
      <c r="Q174" s="189" t="s">
        <v>253</v>
      </c>
      <c r="R174" s="189" t="s">
        <v>253</v>
      </c>
      <c r="S174" s="189" t="s">
        <v>257</v>
      </c>
      <c r="T174" s="189" t="s">
        <v>253</v>
      </c>
      <c r="U174" s="189" t="s">
        <v>253</v>
      </c>
      <c r="V174" s="189" t="s">
        <v>253</v>
      </c>
      <c r="W174" s="189" t="s">
        <v>253</v>
      </c>
      <c r="X174" s="189" t="s">
        <v>1457</v>
      </c>
      <c r="Y174" s="189" t="s">
        <v>1458</v>
      </c>
    </row>
    <row r="175" spans="1:25" x14ac:dyDescent="0.2">
      <c r="A175" s="189">
        <v>795</v>
      </c>
      <c r="B175" s="189" t="s">
        <v>1459</v>
      </c>
      <c r="C175" s="189" t="s">
        <v>1352</v>
      </c>
      <c r="D175" s="189" t="s">
        <v>1353</v>
      </c>
      <c r="E175" s="189" t="s">
        <v>1329</v>
      </c>
      <c r="F175" s="189" t="s">
        <v>1330</v>
      </c>
      <c r="G175" s="189" t="s">
        <v>1291</v>
      </c>
      <c r="H175" s="189" t="s">
        <v>256</v>
      </c>
      <c r="I175" s="189">
        <v>8209</v>
      </c>
      <c r="J175" s="189">
        <v>70.615784199324096</v>
      </c>
      <c r="K175" s="189">
        <v>176.72595501439099</v>
      </c>
      <c r="L175" s="189">
        <v>-12.82</v>
      </c>
      <c r="M175" s="189">
        <v>-22.72</v>
      </c>
      <c r="N175" s="189">
        <v>118</v>
      </c>
      <c r="O175" s="189" t="s">
        <v>904</v>
      </c>
      <c r="P175" s="189" t="s">
        <v>905</v>
      </c>
      <c r="Q175" s="189" t="s">
        <v>253</v>
      </c>
      <c r="R175" s="189" t="s">
        <v>253</v>
      </c>
      <c r="S175" s="189" t="s">
        <v>257</v>
      </c>
      <c r="T175" s="189" t="s">
        <v>261</v>
      </c>
      <c r="U175" s="189" t="s">
        <v>253</v>
      </c>
      <c r="V175" s="189" t="s">
        <v>253</v>
      </c>
      <c r="W175" s="189" t="s">
        <v>253</v>
      </c>
      <c r="X175" s="189" t="s">
        <v>1460</v>
      </c>
      <c r="Y175" s="189" t="s">
        <v>1461</v>
      </c>
    </row>
    <row r="176" spans="1:25" x14ac:dyDescent="0.2">
      <c r="A176" s="189">
        <v>825</v>
      </c>
      <c r="B176" s="189" t="s">
        <v>1462</v>
      </c>
      <c r="C176" s="189" t="s">
        <v>1327</v>
      </c>
      <c r="D176" s="189" t="s">
        <v>1328</v>
      </c>
      <c r="E176" s="189" t="s">
        <v>1329</v>
      </c>
      <c r="F176" s="189" t="s">
        <v>1330</v>
      </c>
      <c r="G176" s="189" t="s">
        <v>314</v>
      </c>
      <c r="H176" s="189" t="s">
        <v>256</v>
      </c>
      <c r="I176" s="189">
        <v>10125</v>
      </c>
      <c r="J176" s="189">
        <v>49.947351841063004</v>
      </c>
      <c r="K176" s="189">
        <v>618.91752903703798</v>
      </c>
      <c r="L176" s="189">
        <v>-27.14</v>
      </c>
      <c r="M176" s="189">
        <v>-23.39</v>
      </c>
      <c r="N176" s="189">
        <v>328</v>
      </c>
      <c r="O176" s="189" t="s">
        <v>564</v>
      </c>
      <c r="P176" s="189" t="s">
        <v>565</v>
      </c>
      <c r="Q176" s="189" t="s">
        <v>253</v>
      </c>
      <c r="R176" s="189" t="s">
        <v>253</v>
      </c>
      <c r="S176" s="189" t="s">
        <v>257</v>
      </c>
      <c r="T176" s="189" t="s">
        <v>253</v>
      </c>
      <c r="U176" s="189" t="s">
        <v>258</v>
      </c>
      <c r="V176" s="189" t="s">
        <v>253</v>
      </c>
      <c r="W176" s="189" t="s">
        <v>253</v>
      </c>
      <c r="X176" s="189" t="s">
        <v>1463</v>
      </c>
      <c r="Y176" s="189" t="s">
        <v>1464</v>
      </c>
    </row>
    <row r="177" spans="1:25" x14ac:dyDescent="0.2">
      <c r="A177" s="189">
        <v>845</v>
      </c>
      <c r="B177" s="189" t="s">
        <v>1465</v>
      </c>
      <c r="C177" s="189" t="s">
        <v>1327</v>
      </c>
      <c r="D177" s="189" t="s">
        <v>1328</v>
      </c>
      <c r="E177" s="189" t="s">
        <v>1329</v>
      </c>
      <c r="F177" s="189" t="s">
        <v>1330</v>
      </c>
      <c r="G177" s="189" t="s">
        <v>314</v>
      </c>
      <c r="H177" s="189" t="s">
        <v>256</v>
      </c>
      <c r="I177" s="189">
        <v>14286</v>
      </c>
      <c r="J177" s="189">
        <v>126.840926462051</v>
      </c>
      <c r="K177" s="189">
        <v>518.78656436354197</v>
      </c>
      <c r="L177" s="189">
        <v>-23.9</v>
      </c>
      <c r="M177" s="189">
        <v>-20.9</v>
      </c>
      <c r="N177" s="189">
        <v>210</v>
      </c>
      <c r="O177" s="189" t="s">
        <v>602</v>
      </c>
      <c r="P177" s="189" t="s">
        <v>603</v>
      </c>
      <c r="Q177" s="189" t="s">
        <v>253</v>
      </c>
      <c r="R177" s="189" t="s">
        <v>253</v>
      </c>
      <c r="S177" s="189" t="s">
        <v>253</v>
      </c>
      <c r="T177" s="189" t="s">
        <v>261</v>
      </c>
      <c r="U177" s="189" t="s">
        <v>258</v>
      </c>
      <c r="V177" s="189" t="s">
        <v>253</v>
      </c>
      <c r="W177" s="189" t="s">
        <v>253</v>
      </c>
      <c r="X177" s="189" t="s">
        <v>1467</v>
      </c>
      <c r="Y177" s="189" t="s">
        <v>1469</v>
      </c>
    </row>
    <row r="178" spans="1:25" x14ac:dyDescent="0.2">
      <c r="A178" s="189">
        <v>870</v>
      </c>
      <c r="B178" s="189" t="s">
        <v>1470</v>
      </c>
      <c r="C178" s="189" t="s">
        <v>1327</v>
      </c>
      <c r="D178" s="189" t="s">
        <v>1328</v>
      </c>
      <c r="E178" s="189" t="s">
        <v>1329</v>
      </c>
      <c r="F178" s="189" t="s">
        <v>1330</v>
      </c>
      <c r="G178" s="189" t="s">
        <v>314</v>
      </c>
      <c r="H178" s="189" t="s">
        <v>256</v>
      </c>
      <c r="I178" s="189">
        <v>5862</v>
      </c>
      <c r="J178" s="189">
        <v>53.839711983861697</v>
      </c>
      <c r="K178" s="189">
        <v>631.48985229827804</v>
      </c>
      <c r="L178" s="189">
        <v>-27.55</v>
      </c>
      <c r="M178" s="189">
        <v>-23.26</v>
      </c>
      <c r="N178" s="189">
        <v>210</v>
      </c>
      <c r="O178" s="189" t="s">
        <v>564</v>
      </c>
      <c r="P178" s="189" t="s">
        <v>565</v>
      </c>
      <c r="Q178" s="189" t="s">
        <v>253</v>
      </c>
      <c r="R178" s="189" t="s">
        <v>253</v>
      </c>
      <c r="S178" s="189" t="s">
        <v>253</v>
      </c>
      <c r="T178" s="189" t="s">
        <v>253</v>
      </c>
      <c r="U178" s="189" t="s">
        <v>258</v>
      </c>
      <c r="V178" s="189" t="s">
        <v>253</v>
      </c>
      <c r="W178" s="189" t="s">
        <v>253</v>
      </c>
      <c r="X178" s="189" t="s">
        <v>1473</v>
      </c>
      <c r="Y178" s="189" t="s">
        <v>1474</v>
      </c>
    </row>
    <row r="179" spans="1:25" x14ac:dyDescent="0.2">
      <c r="A179" s="189">
        <v>871</v>
      </c>
      <c r="B179" s="189" t="s">
        <v>1475</v>
      </c>
      <c r="C179" s="189" t="s">
        <v>1327</v>
      </c>
      <c r="D179" s="189" t="s">
        <v>1328</v>
      </c>
      <c r="E179" s="189" t="s">
        <v>1329</v>
      </c>
      <c r="F179" s="189" t="s">
        <v>1330</v>
      </c>
      <c r="G179" s="189" t="s">
        <v>314</v>
      </c>
      <c r="H179" s="189" t="s">
        <v>256</v>
      </c>
      <c r="I179" s="189">
        <v>24081</v>
      </c>
      <c r="J179" s="189">
        <v>28.909145269236099</v>
      </c>
      <c r="K179" s="189">
        <v>670.12152671555498</v>
      </c>
      <c r="L179" s="189">
        <v>-28.8</v>
      </c>
      <c r="M179" s="189">
        <v>-24.07</v>
      </c>
      <c r="N179" s="189">
        <v>1312</v>
      </c>
      <c r="O179" s="189" t="s">
        <v>554</v>
      </c>
      <c r="P179" s="189" t="s">
        <v>555</v>
      </c>
      <c r="Q179" s="189" t="s">
        <v>253</v>
      </c>
      <c r="R179" s="189" t="s">
        <v>253</v>
      </c>
      <c r="S179" s="189" t="s">
        <v>257</v>
      </c>
      <c r="T179" s="189" t="s">
        <v>261</v>
      </c>
      <c r="U179" s="189" t="s">
        <v>258</v>
      </c>
      <c r="V179" s="189" t="s">
        <v>253</v>
      </c>
      <c r="W179" s="189" t="s">
        <v>253</v>
      </c>
      <c r="X179" s="189" t="s">
        <v>1476</v>
      </c>
      <c r="Y179" s="189" t="s">
        <v>1477</v>
      </c>
    </row>
    <row r="180" spans="1:25" x14ac:dyDescent="0.2">
      <c r="A180" s="189">
        <v>872</v>
      </c>
      <c r="B180" s="189" t="s">
        <v>1478</v>
      </c>
      <c r="C180" s="189" t="s">
        <v>1327</v>
      </c>
      <c r="D180" s="189" t="s">
        <v>1328</v>
      </c>
      <c r="E180" s="189" t="s">
        <v>1329</v>
      </c>
      <c r="F180" s="189" t="s">
        <v>1330</v>
      </c>
      <c r="G180" s="189" t="s">
        <v>314</v>
      </c>
      <c r="H180" s="189" t="s">
        <v>256</v>
      </c>
      <c r="I180" s="189">
        <v>12695</v>
      </c>
      <c r="J180" s="189">
        <v>63.492765138002497</v>
      </c>
      <c r="K180" s="189">
        <v>714.92259195916802</v>
      </c>
      <c r="L180" s="189">
        <v>-30.25</v>
      </c>
      <c r="M180" s="189">
        <v>-22.95</v>
      </c>
      <c r="N180" s="189">
        <v>13</v>
      </c>
      <c r="O180" s="189" t="s">
        <v>550</v>
      </c>
      <c r="P180" s="189" t="s">
        <v>551</v>
      </c>
      <c r="Q180" s="189" t="s">
        <v>253</v>
      </c>
      <c r="R180" s="189" t="s">
        <v>253</v>
      </c>
      <c r="S180" s="189" t="s">
        <v>257</v>
      </c>
      <c r="T180" s="189" t="s">
        <v>261</v>
      </c>
      <c r="U180" s="189" t="s">
        <v>253</v>
      </c>
      <c r="V180" s="189" t="s">
        <v>253</v>
      </c>
      <c r="W180" s="189" t="s">
        <v>253</v>
      </c>
      <c r="X180" s="189" t="s">
        <v>1479</v>
      </c>
      <c r="Y180" s="189" t="s">
        <v>1480</v>
      </c>
    </row>
    <row r="181" spans="1:25" x14ac:dyDescent="0.2">
      <c r="A181" s="189">
        <v>886</v>
      </c>
      <c r="B181" s="189" t="s">
        <v>1481</v>
      </c>
      <c r="C181" s="189" t="s">
        <v>1352</v>
      </c>
      <c r="D181" s="189" t="s">
        <v>1353</v>
      </c>
      <c r="E181" s="189" t="s">
        <v>1329</v>
      </c>
      <c r="F181" s="189" t="s">
        <v>1330</v>
      </c>
      <c r="G181" s="189" t="s">
        <v>1291</v>
      </c>
      <c r="H181" s="189" t="s">
        <v>256</v>
      </c>
      <c r="I181" s="189">
        <v>15318</v>
      </c>
      <c r="J181" s="189">
        <v>113.80151998367501</v>
      </c>
      <c r="K181" s="189">
        <v>231.141149810717</v>
      </c>
      <c r="L181" s="189">
        <v>-14.58</v>
      </c>
      <c r="M181" s="189">
        <v>-21.32</v>
      </c>
      <c r="N181" s="189">
        <v>266</v>
      </c>
      <c r="O181" s="189" t="s">
        <v>929</v>
      </c>
      <c r="P181" s="189" t="s">
        <v>930</v>
      </c>
      <c r="Q181" s="189" t="s">
        <v>253</v>
      </c>
      <c r="R181" s="189" t="s">
        <v>253</v>
      </c>
      <c r="S181" s="189" t="s">
        <v>253</v>
      </c>
      <c r="T181" s="189" t="s">
        <v>261</v>
      </c>
      <c r="U181" s="189" t="s">
        <v>258</v>
      </c>
      <c r="V181" s="189" t="s">
        <v>253</v>
      </c>
      <c r="W181" s="189" t="s">
        <v>253</v>
      </c>
      <c r="X181" s="189" t="s">
        <v>1482</v>
      </c>
      <c r="Y181" s="189" t="s">
        <v>1483</v>
      </c>
    </row>
    <row r="182" spans="1:25" x14ac:dyDescent="0.2">
      <c r="A182" s="189">
        <v>889</v>
      </c>
      <c r="B182" s="189" t="s">
        <v>1484</v>
      </c>
      <c r="C182" s="189" t="s">
        <v>1352</v>
      </c>
      <c r="D182" s="189" t="s">
        <v>1353</v>
      </c>
      <c r="E182" s="189" t="s">
        <v>1329</v>
      </c>
      <c r="F182" s="189" t="s">
        <v>1330</v>
      </c>
      <c r="G182" s="189" t="s">
        <v>1291</v>
      </c>
      <c r="H182" s="189" t="s">
        <v>256</v>
      </c>
      <c r="I182" s="189">
        <v>12135</v>
      </c>
      <c r="J182" s="189">
        <v>120.399070425719</v>
      </c>
      <c r="K182" s="189">
        <v>266.81463051946702</v>
      </c>
      <c r="L182" s="189">
        <v>-15.74</v>
      </c>
      <c r="M182" s="189">
        <v>-21.11</v>
      </c>
      <c r="N182" s="189">
        <v>472</v>
      </c>
      <c r="O182" s="189" t="s">
        <v>913</v>
      </c>
      <c r="P182" s="189" t="s">
        <v>914</v>
      </c>
      <c r="Q182" s="189" t="s">
        <v>253</v>
      </c>
      <c r="R182" s="189" t="s">
        <v>253</v>
      </c>
      <c r="S182" s="189" t="s">
        <v>253</v>
      </c>
      <c r="T182" s="189" t="s">
        <v>261</v>
      </c>
      <c r="U182" s="189" t="s">
        <v>253</v>
      </c>
      <c r="V182" s="189" t="s">
        <v>253</v>
      </c>
      <c r="W182" s="189" t="s">
        <v>253</v>
      </c>
      <c r="X182" s="189" t="s">
        <v>1485</v>
      </c>
      <c r="Y182" s="189" t="s">
        <v>1486</v>
      </c>
    </row>
    <row r="183" spans="1:25" x14ac:dyDescent="0.2">
      <c r="A183" s="189">
        <v>894</v>
      </c>
      <c r="B183" s="189" t="s">
        <v>1487</v>
      </c>
      <c r="C183" s="189" t="s">
        <v>1327</v>
      </c>
      <c r="D183" s="189" t="s">
        <v>1328</v>
      </c>
      <c r="E183" s="189" t="s">
        <v>1329</v>
      </c>
      <c r="F183" s="189" t="s">
        <v>1330</v>
      </c>
      <c r="G183" s="189" t="s">
        <v>314</v>
      </c>
      <c r="H183" s="189" t="s">
        <v>256</v>
      </c>
      <c r="I183" s="189">
        <v>25129</v>
      </c>
      <c r="J183" s="189">
        <v>82.176093823436403</v>
      </c>
      <c r="K183" s="189">
        <v>655.77817958934202</v>
      </c>
      <c r="L183" s="189">
        <v>-28.33</v>
      </c>
      <c r="M183" s="189">
        <v>-22.35</v>
      </c>
      <c r="N183" s="189">
        <v>161</v>
      </c>
      <c r="O183" s="189" t="s">
        <v>564</v>
      </c>
      <c r="P183" s="189" t="s">
        <v>565</v>
      </c>
      <c r="Q183" s="189" t="s">
        <v>253</v>
      </c>
      <c r="R183" s="189" t="s">
        <v>253</v>
      </c>
      <c r="S183" s="189" t="s">
        <v>257</v>
      </c>
      <c r="T183" s="189" t="s">
        <v>261</v>
      </c>
      <c r="U183" s="189" t="s">
        <v>253</v>
      </c>
      <c r="V183" s="189" t="s">
        <v>297</v>
      </c>
      <c r="W183" s="189" t="s">
        <v>253</v>
      </c>
      <c r="X183" s="189" t="s">
        <v>1488</v>
      </c>
      <c r="Y183" s="189" t="s">
        <v>1489</v>
      </c>
    </row>
    <row r="184" spans="1:25" x14ac:dyDescent="0.2">
      <c r="A184" s="189">
        <v>895</v>
      </c>
      <c r="B184" s="189" t="s">
        <v>1490</v>
      </c>
      <c r="C184" s="189" t="s">
        <v>1327</v>
      </c>
      <c r="D184" s="189" t="s">
        <v>1328</v>
      </c>
      <c r="E184" s="189" t="s">
        <v>1329</v>
      </c>
      <c r="F184" s="189" t="s">
        <v>1330</v>
      </c>
      <c r="G184" s="189" t="s">
        <v>314</v>
      </c>
      <c r="H184" s="189" t="s">
        <v>256</v>
      </c>
      <c r="I184" s="189">
        <v>2506</v>
      </c>
      <c r="J184" s="189">
        <v>57.226065308096601</v>
      </c>
      <c r="K184" s="189">
        <v>702.31134509649996</v>
      </c>
      <c r="L184" s="189">
        <v>-29.84</v>
      </c>
      <c r="M184" s="189">
        <v>-23.15</v>
      </c>
      <c r="N184" s="189">
        <v>13</v>
      </c>
      <c r="O184" s="189" t="s">
        <v>550</v>
      </c>
      <c r="P184" s="189" t="s">
        <v>551</v>
      </c>
      <c r="Q184" s="189" t="s">
        <v>253</v>
      </c>
      <c r="R184" s="189" t="s">
        <v>253</v>
      </c>
      <c r="S184" s="189" t="s">
        <v>253</v>
      </c>
      <c r="T184" s="189" t="s">
        <v>253</v>
      </c>
      <c r="U184" s="189" t="s">
        <v>253</v>
      </c>
      <c r="V184" s="189" t="s">
        <v>253</v>
      </c>
      <c r="W184" s="189" t="s">
        <v>253</v>
      </c>
      <c r="X184" s="189" t="s">
        <v>1491</v>
      </c>
      <c r="Y184" s="189" t="s">
        <v>1492</v>
      </c>
    </row>
    <row r="185" spans="1:25" x14ac:dyDescent="0.2">
      <c r="A185" s="189">
        <v>917</v>
      </c>
      <c r="B185" s="189" t="s">
        <v>1493</v>
      </c>
      <c r="C185" s="189" t="s">
        <v>1327</v>
      </c>
      <c r="D185" s="189" t="s">
        <v>1328</v>
      </c>
      <c r="E185" s="189" t="s">
        <v>1329</v>
      </c>
      <c r="F185" s="189" t="s">
        <v>1330</v>
      </c>
      <c r="G185" s="189" t="s">
        <v>314</v>
      </c>
      <c r="H185" s="189" t="s">
        <v>256</v>
      </c>
      <c r="I185" s="189">
        <v>2284</v>
      </c>
      <c r="J185" s="189">
        <v>14.234947530884799</v>
      </c>
      <c r="K185" s="189">
        <v>659.69000153285401</v>
      </c>
      <c r="L185" s="189">
        <v>-28.46</v>
      </c>
      <c r="M185" s="189">
        <v>-24.54</v>
      </c>
      <c r="N185" s="189">
        <v>52</v>
      </c>
      <c r="O185" s="189" t="s">
        <v>564</v>
      </c>
      <c r="P185" s="189" t="s">
        <v>565</v>
      </c>
      <c r="Q185" s="189" t="s">
        <v>253</v>
      </c>
      <c r="R185" s="189" t="s">
        <v>253</v>
      </c>
      <c r="S185" s="189" t="s">
        <v>257</v>
      </c>
      <c r="T185" s="189" t="s">
        <v>253</v>
      </c>
      <c r="U185" s="189" t="s">
        <v>253</v>
      </c>
      <c r="V185" s="189" t="s">
        <v>253</v>
      </c>
      <c r="W185" s="189" t="s">
        <v>253</v>
      </c>
      <c r="X185" s="189" t="s">
        <v>1494</v>
      </c>
      <c r="Y185" s="189" t="s">
        <v>1495</v>
      </c>
    </row>
    <row r="186" spans="1:25" x14ac:dyDescent="0.2">
      <c r="A186" s="189">
        <v>944</v>
      </c>
      <c r="B186" s="189" t="s">
        <v>1496</v>
      </c>
      <c r="C186" s="189" t="s">
        <v>1352</v>
      </c>
      <c r="D186" s="189" t="s">
        <v>1353</v>
      </c>
      <c r="E186" s="189" t="s">
        <v>1329</v>
      </c>
      <c r="F186" s="189" t="s">
        <v>1330</v>
      </c>
      <c r="G186" s="189" t="s">
        <v>1291</v>
      </c>
      <c r="H186" s="189" t="s">
        <v>256</v>
      </c>
      <c r="I186" s="189">
        <v>6296</v>
      </c>
      <c r="J186" s="189">
        <v>68.319291715073007</v>
      </c>
      <c r="K186" s="189">
        <v>211.19280407887399</v>
      </c>
      <c r="L186" s="189">
        <v>-13.94</v>
      </c>
      <c r="M186" s="189">
        <v>-22.79</v>
      </c>
      <c r="N186" s="189">
        <v>643</v>
      </c>
      <c r="O186" s="189" t="s">
        <v>918</v>
      </c>
      <c r="P186" s="189" t="s">
        <v>919</v>
      </c>
      <c r="Q186" s="189" t="s">
        <v>253</v>
      </c>
      <c r="R186" s="189" t="s">
        <v>253</v>
      </c>
      <c r="S186" s="189" t="s">
        <v>253</v>
      </c>
      <c r="T186" s="189" t="s">
        <v>253</v>
      </c>
      <c r="U186" s="189" t="s">
        <v>253</v>
      </c>
      <c r="V186" s="189" t="s">
        <v>253</v>
      </c>
      <c r="W186" s="189" t="s">
        <v>253</v>
      </c>
      <c r="X186" s="189" t="s">
        <v>1497</v>
      </c>
      <c r="Y186" s="189" t="s">
        <v>1498</v>
      </c>
    </row>
    <row r="187" spans="1:25" x14ac:dyDescent="0.2">
      <c r="A187" s="189">
        <v>950</v>
      </c>
      <c r="B187" s="189" t="s">
        <v>1499</v>
      </c>
      <c r="C187" s="189" t="s">
        <v>1327</v>
      </c>
      <c r="D187" s="189" t="s">
        <v>1328</v>
      </c>
      <c r="E187" s="189" t="s">
        <v>1329</v>
      </c>
      <c r="F187" s="189" t="s">
        <v>1330</v>
      </c>
      <c r="G187" s="189" t="s">
        <v>314</v>
      </c>
      <c r="H187" s="189" t="s">
        <v>256</v>
      </c>
      <c r="I187" s="189">
        <v>2164</v>
      </c>
      <c r="J187" s="189">
        <v>126.91877366490699</v>
      </c>
      <c r="K187" s="189">
        <v>609.80940630288899</v>
      </c>
      <c r="L187" s="189">
        <v>-26.85</v>
      </c>
      <c r="M187" s="189">
        <v>-20.9</v>
      </c>
      <c r="N187" s="189">
        <v>1736</v>
      </c>
      <c r="O187" s="189" t="s">
        <v>554</v>
      </c>
      <c r="P187" s="189" t="s">
        <v>555</v>
      </c>
      <c r="Q187" s="189" t="s">
        <v>253</v>
      </c>
      <c r="R187" s="189" t="s">
        <v>253</v>
      </c>
      <c r="S187" s="189" t="s">
        <v>253</v>
      </c>
      <c r="T187" s="189" t="s">
        <v>253</v>
      </c>
      <c r="U187" s="189" t="s">
        <v>253</v>
      </c>
      <c r="V187" s="189" t="s">
        <v>253</v>
      </c>
      <c r="W187" s="189" t="s">
        <v>253</v>
      </c>
      <c r="X187" s="189" t="s">
        <v>1500</v>
      </c>
      <c r="Y187" s="189" t="s">
        <v>1501</v>
      </c>
    </row>
    <row r="188" spans="1:25" x14ac:dyDescent="0.2">
      <c r="A188" s="189">
        <v>969</v>
      </c>
      <c r="B188" s="189" t="s">
        <v>1017</v>
      </c>
      <c r="C188" s="189" t="s">
        <v>1352</v>
      </c>
      <c r="D188" s="189" t="s">
        <v>1353</v>
      </c>
      <c r="E188" s="189" t="s">
        <v>1329</v>
      </c>
      <c r="F188" s="189" t="s">
        <v>1330</v>
      </c>
      <c r="G188" s="189" t="s">
        <v>1291</v>
      </c>
      <c r="H188" s="189" t="s">
        <v>256</v>
      </c>
      <c r="I188" s="189">
        <v>2149</v>
      </c>
      <c r="J188" s="189">
        <v>22.136438620766299</v>
      </c>
      <c r="K188" s="189">
        <v>172.09404644446099</v>
      </c>
      <c r="L188" s="189">
        <v>-12.67</v>
      </c>
      <c r="M188" s="189">
        <v>-24.28</v>
      </c>
      <c r="N188" s="189">
        <v>738</v>
      </c>
      <c r="O188" s="189" t="s">
        <v>929</v>
      </c>
      <c r="P188" s="189" t="s">
        <v>930</v>
      </c>
      <c r="Q188" s="189" t="s">
        <v>253</v>
      </c>
      <c r="R188" s="189" t="s">
        <v>253</v>
      </c>
      <c r="S188" s="189" t="s">
        <v>257</v>
      </c>
      <c r="T188" s="189" t="s">
        <v>253</v>
      </c>
      <c r="U188" s="189" t="s">
        <v>253</v>
      </c>
      <c r="V188" s="189" t="s">
        <v>253</v>
      </c>
      <c r="W188" s="189" t="s">
        <v>253</v>
      </c>
      <c r="X188" s="189" t="s">
        <v>1502</v>
      </c>
      <c r="Y188" s="189" t="s">
        <v>1503</v>
      </c>
    </row>
    <row r="189" spans="1:25" x14ac:dyDescent="0.2">
      <c r="A189" s="189">
        <v>970</v>
      </c>
      <c r="B189" s="189" t="s">
        <v>1504</v>
      </c>
      <c r="C189" s="189" t="s">
        <v>1352</v>
      </c>
      <c r="D189" s="189" t="s">
        <v>1353</v>
      </c>
      <c r="E189" s="189" t="s">
        <v>1329</v>
      </c>
      <c r="F189" s="189" t="s">
        <v>1330</v>
      </c>
      <c r="G189" s="189" t="s">
        <v>1291</v>
      </c>
      <c r="H189" s="189" t="s">
        <v>256</v>
      </c>
      <c r="I189" s="189">
        <v>2206</v>
      </c>
      <c r="J189" s="189">
        <v>11.782760640921699</v>
      </c>
      <c r="K189" s="189">
        <v>189.84320869562299</v>
      </c>
      <c r="L189" s="189">
        <v>-13.25</v>
      </c>
      <c r="M189" s="189">
        <v>-24.62</v>
      </c>
      <c r="N189" s="189">
        <v>328</v>
      </c>
      <c r="O189" s="189" t="s">
        <v>929</v>
      </c>
      <c r="P189" s="189" t="s">
        <v>930</v>
      </c>
      <c r="Q189" s="189" t="s">
        <v>253</v>
      </c>
      <c r="R189" s="189" t="s">
        <v>253</v>
      </c>
      <c r="S189" s="189" t="s">
        <v>253</v>
      </c>
      <c r="T189" s="189" t="s">
        <v>253</v>
      </c>
      <c r="U189" s="189" t="s">
        <v>253</v>
      </c>
      <c r="V189" s="189" t="s">
        <v>253</v>
      </c>
      <c r="W189" s="189" t="s">
        <v>253</v>
      </c>
      <c r="X189" s="189" t="s">
        <v>1505</v>
      </c>
      <c r="Y189" s="189" t="s">
        <v>1506</v>
      </c>
    </row>
    <row r="190" spans="1:25" x14ac:dyDescent="0.2">
      <c r="A190" s="189">
        <v>971</v>
      </c>
      <c r="B190" s="189" t="s">
        <v>1507</v>
      </c>
      <c r="C190" s="189" t="s">
        <v>1352</v>
      </c>
      <c r="D190" s="189" t="s">
        <v>1353</v>
      </c>
      <c r="E190" s="189" t="s">
        <v>1329</v>
      </c>
      <c r="F190" s="189" t="s">
        <v>1330</v>
      </c>
      <c r="G190" s="189" t="s">
        <v>1291</v>
      </c>
      <c r="H190" s="189" t="s">
        <v>256</v>
      </c>
      <c r="I190" s="189">
        <v>2155</v>
      </c>
      <c r="J190" s="189">
        <v>14.1376385273149</v>
      </c>
      <c r="K190" s="189">
        <v>237.680314850619</v>
      </c>
      <c r="L190" s="189">
        <v>-14.8</v>
      </c>
      <c r="M190" s="189">
        <v>-24.54</v>
      </c>
      <c r="N190" s="189">
        <v>738</v>
      </c>
      <c r="O190" s="189" t="s">
        <v>918</v>
      </c>
      <c r="P190" s="189" t="s">
        <v>919</v>
      </c>
      <c r="Q190" s="189" t="s">
        <v>253</v>
      </c>
      <c r="R190" s="189" t="s">
        <v>253</v>
      </c>
      <c r="S190" s="189" t="s">
        <v>253</v>
      </c>
      <c r="T190" s="189" t="s">
        <v>253</v>
      </c>
      <c r="U190" s="189" t="s">
        <v>253</v>
      </c>
      <c r="V190" s="189" t="s">
        <v>253</v>
      </c>
      <c r="W190" s="189" t="s">
        <v>253</v>
      </c>
      <c r="X190" s="189" t="s">
        <v>1508</v>
      </c>
      <c r="Y190" s="189" t="s">
        <v>1509</v>
      </c>
    </row>
    <row r="191" spans="1:25" x14ac:dyDescent="0.2">
      <c r="A191" s="189">
        <v>978</v>
      </c>
      <c r="B191" s="189" t="s">
        <v>1510</v>
      </c>
      <c r="C191" s="189" t="s">
        <v>1340</v>
      </c>
      <c r="D191" s="189" t="s">
        <v>1341</v>
      </c>
      <c r="E191" s="189" t="s">
        <v>1329</v>
      </c>
      <c r="F191" s="189" t="s">
        <v>1330</v>
      </c>
      <c r="G191" s="189" t="s">
        <v>314</v>
      </c>
      <c r="H191" s="189" t="s">
        <v>256</v>
      </c>
      <c r="I191" s="189">
        <v>2062</v>
      </c>
      <c r="J191" s="189">
        <v>63.337070732290499</v>
      </c>
      <c r="K191" s="189">
        <v>455.90548625662802</v>
      </c>
      <c r="L191" s="189">
        <v>-21.86</v>
      </c>
      <c r="M191" s="189">
        <v>-22.95</v>
      </c>
      <c r="N191" s="189">
        <v>266</v>
      </c>
      <c r="O191" s="189" t="s">
        <v>945</v>
      </c>
      <c r="P191" s="189" t="s">
        <v>946</v>
      </c>
      <c r="Q191" s="189" t="s">
        <v>253</v>
      </c>
      <c r="R191" s="189" t="s">
        <v>253</v>
      </c>
      <c r="S191" s="189" t="s">
        <v>253</v>
      </c>
      <c r="T191" s="189" t="s">
        <v>253</v>
      </c>
      <c r="U191" s="189" t="s">
        <v>253</v>
      </c>
      <c r="V191" s="189" t="s">
        <v>253</v>
      </c>
      <c r="W191" s="189" t="s">
        <v>253</v>
      </c>
      <c r="X191" s="189" t="s">
        <v>1511</v>
      </c>
      <c r="Y191" s="189" t="s">
        <v>1512</v>
      </c>
    </row>
    <row r="192" spans="1:25" x14ac:dyDescent="0.2">
      <c r="A192" s="189">
        <v>980</v>
      </c>
      <c r="B192" s="189" t="s">
        <v>1513</v>
      </c>
      <c r="C192" s="189" t="s">
        <v>1327</v>
      </c>
      <c r="D192" s="189" t="s">
        <v>1328</v>
      </c>
      <c r="E192" s="189" t="s">
        <v>1329</v>
      </c>
      <c r="F192" s="189" t="s">
        <v>1330</v>
      </c>
      <c r="G192" s="189" t="s">
        <v>314</v>
      </c>
      <c r="H192" s="189" t="s">
        <v>256</v>
      </c>
      <c r="I192" s="189">
        <v>5076</v>
      </c>
      <c r="J192" s="189">
        <v>146.80873399460799</v>
      </c>
      <c r="K192" s="189">
        <v>611.91128078000099</v>
      </c>
      <c r="L192" s="189">
        <v>-26.91</v>
      </c>
      <c r="M192" s="189">
        <v>-20.260000000000002</v>
      </c>
      <c r="N192" s="189">
        <v>1447</v>
      </c>
      <c r="O192" s="189" t="s">
        <v>554</v>
      </c>
      <c r="P192" s="189" t="s">
        <v>555</v>
      </c>
      <c r="Q192" s="189" t="s">
        <v>253</v>
      </c>
      <c r="R192" s="189" t="s">
        <v>253</v>
      </c>
      <c r="S192" s="189" t="s">
        <v>257</v>
      </c>
      <c r="T192" s="189" t="s">
        <v>253</v>
      </c>
      <c r="U192" s="189" t="s">
        <v>253</v>
      </c>
      <c r="V192" s="189" t="s">
        <v>253</v>
      </c>
      <c r="W192" s="189" t="s">
        <v>253</v>
      </c>
      <c r="X192" s="189" t="s">
        <v>1514</v>
      </c>
      <c r="Y192" s="189" t="s">
        <v>1515</v>
      </c>
    </row>
    <row r="193" spans="1:25" x14ac:dyDescent="0.2">
      <c r="A193" s="189">
        <v>1000</v>
      </c>
      <c r="B193" s="189" t="s">
        <v>1352</v>
      </c>
      <c r="C193" s="189" t="s">
        <v>1352</v>
      </c>
      <c r="D193" s="189" t="s">
        <v>1353</v>
      </c>
      <c r="E193" s="189" t="s">
        <v>1329</v>
      </c>
      <c r="F193" s="189" t="s">
        <v>1330</v>
      </c>
      <c r="G193" s="189" t="s">
        <v>1291</v>
      </c>
      <c r="H193" s="189" t="s">
        <v>256</v>
      </c>
      <c r="I193" s="189">
        <v>39565</v>
      </c>
      <c r="J193" s="189">
        <v>1.9740130810690399</v>
      </c>
      <c r="K193" s="189">
        <v>249.57147508686899</v>
      </c>
      <c r="L193" s="189">
        <v>-15.18</v>
      </c>
      <c r="M193" s="189">
        <v>-24.94</v>
      </c>
      <c r="N193" s="189">
        <v>643</v>
      </c>
      <c r="O193" s="189" t="s">
        <v>918</v>
      </c>
      <c r="P193" s="189" t="s">
        <v>919</v>
      </c>
      <c r="Q193" s="189" t="s">
        <v>253</v>
      </c>
      <c r="R193" s="189" t="s">
        <v>253</v>
      </c>
      <c r="S193" s="189" t="s">
        <v>253</v>
      </c>
      <c r="T193" s="189" t="s">
        <v>261</v>
      </c>
      <c r="U193" s="189" t="s">
        <v>258</v>
      </c>
      <c r="V193" s="189" t="s">
        <v>297</v>
      </c>
      <c r="W193" s="189" t="s">
        <v>253</v>
      </c>
      <c r="X193" s="189" t="s">
        <v>1516</v>
      </c>
      <c r="Y193" s="189" t="s">
        <v>1517</v>
      </c>
    </row>
    <row r="194" spans="1:25" x14ac:dyDescent="0.2">
      <c r="A194" s="189">
        <v>1002</v>
      </c>
      <c r="B194" s="189" t="s">
        <v>1518</v>
      </c>
      <c r="C194" s="189" t="s">
        <v>1352</v>
      </c>
      <c r="D194" s="189" t="s">
        <v>1353</v>
      </c>
      <c r="E194" s="189" t="s">
        <v>1329</v>
      </c>
      <c r="F194" s="189" t="s">
        <v>1330</v>
      </c>
      <c r="G194" s="189" t="s">
        <v>1291</v>
      </c>
      <c r="H194" s="189" t="s">
        <v>256</v>
      </c>
      <c r="I194" s="189">
        <v>2098</v>
      </c>
      <c r="J194" s="189">
        <v>39.223899647652601</v>
      </c>
      <c r="K194" s="189">
        <v>326.38720250500199</v>
      </c>
      <c r="L194" s="189">
        <v>-17.670000000000002</v>
      </c>
      <c r="M194" s="189">
        <v>-23.73</v>
      </c>
      <c r="N194" s="189">
        <v>328</v>
      </c>
      <c r="O194" s="189" t="s">
        <v>967</v>
      </c>
      <c r="P194" s="189" t="s">
        <v>968</v>
      </c>
      <c r="Q194" s="189" t="s">
        <v>253</v>
      </c>
      <c r="R194" s="189" t="s">
        <v>253</v>
      </c>
      <c r="S194" s="189" t="s">
        <v>257</v>
      </c>
      <c r="T194" s="189" t="s">
        <v>253</v>
      </c>
      <c r="U194" s="189" t="s">
        <v>253</v>
      </c>
      <c r="V194" s="189" t="s">
        <v>253</v>
      </c>
      <c r="W194" s="189" t="s">
        <v>253</v>
      </c>
      <c r="X194" s="189" t="s">
        <v>1519</v>
      </c>
      <c r="Y194" s="189" t="s">
        <v>1520</v>
      </c>
    </row>
    <row r="195" spans="1:25" x14ac:dyDescent="0.2">
      <c r="A195" s="189">
        <v>1007</v>
      </c>
      <c r="B195" s="189" t="s">
        <v>1521</v>
      </c>
      <c r="C195" s="189" t="s">
        <v>1340</v>
      </c>
      <c r="D195" s="189" t="s">
        <v>1341</v>
      </c>
      <c r="E195" s="189" t="s">
        <v>1329</v>
      </c>
      <c r="F195" s="189" t="s">
        <v>1330</v>
      </c>
      <c r="G195" s="189" t="s">
        <v>314</v>
      </c>
      <c r="H195" s="189" t="s">
        <v>256</v>
      </c>
      <c r="I195" s="189">
        <v>2042</v>
      </c>
      <c r="J195" s="189">
        <v>3.2779537289065299</v>
      </c>
      <c r="K195" s="189">
        <v>517.24908210713602</v>
      </c>
      <c r="L195" s="189">
        <v>-23.85</v>
      </c>
      <c r="M195" s="189">
        <v>-24.89</v>
      </c>
      <c r="N195" s="189">
        <v>1063</v>
      </c>
      <c r="O195" s="189" t="s">
        <v>564</v>
      </c>
      <c r="P195" s="189" t="s">
        <v>565</v>
      </c>
      <c r="Q195" s="189" t="s">
        <v>253</v>
      </c>
      <c r="R195" s="189" t="s">
        <v>253</v>
      </c>
      <c r="S195" s="189" t="s">
        <v>257</v>
      </c>
      <c r="T195" s="189" t="s">
        <v>253</v>
      </c>
      <c r="U195" s="189" t="s">
        <v>253</v>
      </c>
      <c r="V195" s="189" t="s">
        <v>253</v>
      </c>
      <c r="W195" s="189" t="s">
        <v>253</v>
      </c>
      <c r="X195" s="189" t="s">
        <v>1522</v>
      </c>
      <c r="Y195" s="189" t="s">
        <v>1523</v>
      </c>
    </row>
    <row r="196" spans="1:25" x14ac:dyDescent="0.2">
      <c r="A196" s="189">
        <v>1009</v>
      </c>
      <c r="B196" s="189" t="s">
        <v>1524</v>
      </c>
      <c r="C196" s="189" t="s">
        <v>1327</v>
      </c>
      <c r="D196" s="189" t="s">
        <v>1328</v>
      </c>
      <c r="E196" s="189" t="s">
        <v>1329</v>
      </c>
      <c r="F196" s="189" t="s">
        <v>1330</v>
      </c>
      <c r="G196" s="189" t="s">
        <v>314</v>
      </c>
      <c r="H196" s="189" t="s">
        <v>256</v>
      </c>
      <c r="I196" s="189">
        <v>27378</v>
      </c>
      <c r="J196" s="189">
        <v>200.44545676237499</v>
      </c>
      <c r="K196" s="189">
        <v>594.53189274240401</v>
      </c>
      <c r="L196" s="189">
        <v>-26.35</v>
      </c>
      <c r="M196" s="189">
        <v>-18.53</v>
      </c>
      <c r="N196" s="189">
        <v>397</v>
      </c>
      <c r="O196" s="189" t="s">
        <v>564</v>
      </c>
      <c r="P196" s="189" t="s">
        <v>565</v>
      </c>
      <c r="Q196" s="189" t="s">
        <v>253</v>
      </c>
      <c r="R196" s="189" t="s">
        <v>253</v>
      </c>
      <c r="S196" s="189" t="s">
        <v>257</v>
      </c>
      <c r="T196" s="189" t="s">
        <v>261</v>
      </c>
      <c r="U196" s="189" t="s">
        <v>253</v>
      </c>
      <c r="V196" s="189" t="s">
        <v>253</v>
      </c>
      <c r="W196" s="189" t="s">
        <v>253</v>
      </c>
      <c r="X196" s="189" t="s">
        <v>1525</v>
      </c>
      <c r="Y196" s="189" t="s">
        <v>1526</v>
      </c>
    </row>
    <row r="197" spans="1:25" x14ac:dyDescent="0.2">
      <c r="A197" s="189">
        <v>288</v>
      </c>
      <c r="B197" s="189" t="s">
        <v>1527</v>
      </c>
      <c r="C197" s="189" t="s">
        <v>253</v>
      </c>
      <c r="D197" s="189" t="s">
        <v>253</v>
      </c>
      <c r="E197" s="189" t="s">
        <v>1528</v>
      </c>
      <c r="F197" s="189" t="s">
        <v>1529</v>
      </c>
      <c r="G197" s="189" t="s">
        <v>903</v>
      </c>
      <c r="H197" s="189" t="s">
        <v>521</v>
      </c>
      <c r="I197" s="189">
        <v>2345</v>
      </c>
      <c r="J197" s="189">
        <v>670.25332599817796</v>
      </c>
      <c r="K197" s="189">
        <v>138.035895194972</v>
      </c>
      <c r="L197" s="189">
        <v>-11.57</v>
      </c>
      <c r="M197" s="189">
        <v>-3.35</v>
      </c>
      <c r="N197" s="189">
        <v>266</v>
      </c>
      <c r="O197" s="189" t="s">
        <v>1086</v>
      </c>
      <c r="P197" s="189" t="s">
        <v>1087</v>
      </c>
      <c r="Q197" s="189" t="s">
        <v>253</v>
      </c>
      <c r="R197" s="189" t="s">
        <v>253</v>
      </c>
      <c r="S197" s="189" t="s">
        <v>253</v>
      </c>
      <c r="T197" s="189" t="s">
        <v>261</v>
      </c>
      <c r="U197" s="189" t="s">
        <v>258</v>
      </c>
      <c r="V197" s="189" t="s">
        <v>253</v>
      </c>
      <c r="W197" s="189" t="s">
        <v>253</v>
      </c>
      <c r="X197" s="189" t="s">
        <v>1530</v>
      </c>
      <c r="Y197" s="189" t="s">
        <v>1531</v>
      </c>
    </row>
    <row r="198" spans="1:25" x14ac:dyDescent="0.2">
      <c r="A198" s="189">
        <v>360</v>
      </c>
      <c r="B198" s="189" t="s">
        <v>1532</v>
      </c>
      <c r="C198" s="189" t="s">
        <v>253</v>
      </c>
      <c r="D198" s="189" t="s">
        <v>253</v>
      </c>
      <c r="E198" s="189" t="s">
        <v>1528</v>
      </c>
      <c r="F198" s="189" t="s">
        <v>1529</v>
      </c>
      <c r="G198" s="189" t="s">
        <v>903</v>
      </c>
      <c r="H198" s="189" t="s">
        <v>521</v>
      </c>
      <c r="I198" s="189">
        <v>5652</v>
      </c>
      <c r="J198" s="189">
        <v>710.30571186757697</v>
      </c>
      <c r="K198" s="189">
        <v>122.38860742092101</v>
      </c>
      <c r="L198" s="189">
        <v>-11.06</v>
      </c>
      <c r="M198" s="189">
        <v>-2.06</v>
      </c>
      <c r="N198" s="189">
        <v>210</v>
      </c>
      <c r="O198" s="189" t="s">
        <v>1086</v>
      </c>
      <c r="P198" s="189" t="s">
        <v>1087</v>
      </c>
      <c r="Q198" s="189" t="s">
        <v>253</v>
      </c>
      <c r="R198" s="189" t="s">
        <v>253</v>
      </c>
      <c r="S198" s="189" t="s">
        <v>257</v>
      </c>
      <c r="T198" s="189" t="s">
        <v>253</v>
      </c>
      <c r="U198" s="189" t="s">
        <v>253</v>
      </c>
      <c r="V198" s="189" t="s">
        <v>253</v>
      </c>
      <c r="W198" s="189" t="s">
        <v>253</v>
      </c>
      <c r="X198" s="189" t="s">
        <v>1533</v>
      </c>
      <c r="Y198" s="189" t="s">
        <v>1534</v>
      </c>
    </row>
    <row r="199" spans="1:25" x14ac:dyDescent="0.2">
      <c r="A199" s="189">
        <v>488</v>
      </c>
      <c r="B199" s="189" t="s">
        <v>1535</v>
      </c>
      <c r="C199" s="189" t="s">
        <v>253</v>
      </c>
      <c r="D199" s="189" t="s">
        <v>253</v>
      </c>
      <c r="E199" s="189" t="s">
        <v>1528</v>
      </c>
      <c r="F199" s="189" t="s">
        <v>1529</v>
      </c>
      <c r="G199" s="189" t="s">
        <v>903</v>
      </c>
      <c r="H199" s="189" t="s">
        <v>521</v>
      </c>
      <c r="I199" s="189">
        <v>23019</v>
      </c>
      <c r="J199" s="189">
        <v>688.95</v>
      </c>
      <c r="K199" s="189">
        <v>145.99</v>
      </c>
      <c r="L199" s="189">
        <v>-11.83</v>
      </c>
      <c r="M199" s="189">
        <v>-2.75</v>
      </c>
      <c r="N199" s="189">
        <v>82</v>
      </c>
      <c r="O199" s="189" t="s">
        <v>1086</v>
      </c>
      <c r="P199" s="189" t="s">
        <v>1087</v>
      </c>
      <c r="Q199" s="189" t="s">
        <v>332</v>
      </c>
      <c r="R199" s="189" t="s">
        <v>259</v>
      </c>
      <c r="S199" s="189" t="s">
        <v>257</v>
      </c>
      <c r="T199" s="189" t="s">
        <v>261</v>
      </c>
      <c r="U199" s="189" t="s">
        <v>258</v>
      </c>
      <c r="V199" s="189" t="s">
        <v>253</v>
      </c>
      <c r="W199" s="189" t="s">
        <v>253</v>
      </c>
      <c r="X199" s="189" t="s">
        <v>1536</v>
      </c>
      <c r="Y199" s="189" t="s">
        <v>1537</v>
      </c>
    </row>
    <row r="200" spans="1:25" x14ac:dyDescent="0.2">
      <c r="A200" s="189">
        <v>150</v>
      </c>
      <c r="B200" s="189" t="s">
        <v>1538</v>
      </c>
      <c r="C200" s="189" t="s">
        <v>253</v>
      </c>
      <c r="D200" s="189" t="s">
        <v>253</v>
      </c>
      <c r="E200" s="189" t="s">
        <v>1539</v>
      </c>
      <c r="F200" s="189" t="s">
        <v>1540</v>
      </c>
      <c r="G200" s="189" t="s">
        <v>522</v>
      </c>
      <c r="H200" s="189" t="s">
        <v>521</v>
      </c>
      <c r="I200" s="189">
        <v>6708</v>
      </c>
      <c r="J200" s="189">
        <v>1055</v>
      </c>
      <c r="K200" s="189">
        <v>163</v>
      </c>
      <c r="L200" s="189">
        <v>-12.38</v>
      </c>
      <c r="M200" s="189">
        <v>9.08</v>
      </c>
      <c r="N200" s="189">
        <v>1588</v>
      </c>
      <c r="O200" s="189" t="s">
        <v>913</v>
      </c>
      <c r="P200" s="189" t="s">
        <v>914</v>
      </c>
      <c r="Q200" s="189" t="s">
        <v>253</v>
      </c>
      <c r="R200" s="189" t="s">
        <v>259</v>
      </c>
      <c r="S200" s="189" t="s">
        <v>257</v>
      </c>
      <c r="T200" s="189" t="s">
        <v>253</v>
      </c>
      <c r="U200" s="189" t="s">
        <v>258</v>
      </c>
      <c r="V200" s="189" t="s">
        <v>253</v>
      </c>
      <c r="W200" s="189" t="s">
        <v>253</v>
      </c>
      <c r="X200" s="189" t="s">
        <v>1541</v>
      </c>
      <c r="Y200" s="189" t="s">
        <v>1542</v>
      </c>
    </row>
    <row r="201" spans="1:25" x14ac:dyDescent="0.2">
      <c r="A201" s="189">
        <v>203</v>
      </c>
      <c r="B201" s="189" t="s">
        <v>1543</v>
      </c>
      <c r="C201" s="189" t="s">
        <v>253</v>
      </c>
      <c r="D201" s="189" t="s">
        <v>253</v>
      </c>
      <c r="E201" s="189" t="s">
        <v>1539</v>
      </c>
      <c r="F201" s="189" t="s">
        <v>1540</v>
      </c>
      <c r="G201" s="189" t="s">
        <v>522</v>
      </c>
      <c r="H201" s="189" t="s">
        <v>521</v>
      </c>
      <c r="I201" s="189">
        <v>23950</v>
      </c>
      <c r="J201" s="189">
        <v>1055.5775183345299</v>
      </c>
      <c r="K201" s="189">
        <v>194.961662283403</v>
      </c>
      <c r="L201" s="189">
        <v>-13.41</v>
      </c>
      <c r="M201" s="189">
        <v>9.09</v>
      </c>
      <c r="N201" s="189">
        <v>397</v>
      </c>
      <c r="O201" s="189" t="s">
        <v>929</v>
      </c>
      <c r="P201" s="189" t="s">
        <v>930</v>
      </c>
      <c r="Q201" s="189" t="s">
        <v>253</v>
      </c>
      <c r="R201" s="189" t="s">
        <v>253</v>
      </c>
      <c r="S201" s="189" t="s">
        <v>257</v>
      </c>
      <c r="T201" s="189" t="s">
        <v>261</v>
      </c>
      <c r="U201" s="189" t="s">
        <v>258</v>
      </c>
      <c r="V201" s="189" t="s">
        <v>253</v>
      </c>
      <c r="W201" s="189" t="s">
        <v>266</v>
      </c>
      <c r="X201" s="189" t="s">
        <v>1544</v>
      </c>
      <c r="Y201" s="189" t="s">
        <v>1545</v>
      </c>
    </row>
    <row r="202" spans="1:25" x14ac:dyDescent="0.2">
      <c r="A202" s="189">
        <v>232</v>
      </c>
      <c r="B202" s="189" t="s">
        <v>1546</v>
      </c>
      <c r="C202" s="189" t="s">
        <v>253</v>
      </c>
      <c r="D202" s="189" t="s">
        <v>253</v>
      </c>
      <c r="E202" s="189" t="s">
        <v>1539</v>
      </c>
      <c r="F202" s="189" t="s">
        <v>1540</v>
      </c>
      <c r="G202" s="189" t="s">
        <v>522</v>
      </c>
      <c r="H202" s="189" t="s">
        <v>521</v>
      </c>
      <c r="I202" s="189">
        <v>28229</v>
      </c>
      <c r="J202" s="189">
        <v>1047</v>
      </c>
      <c r="K202" s="189">
        <v>263</v>
      </c>
      <c r="L202" s="189">
        <v>-15.62</v>
      </c>
      <c r="M202" s="189">
        <v>8.82</v>
      </c>
      <c r="N202" s="189">
        <v>840</v>
      </c>
      <c r="O202" s="189" t="s">
        <v>913</v>
      </c>
      <c r="P202" s="189" t="s">
        <v>914</v>
      </c>
      <c r="Q202" s="189" t="s">
        <v>253</v>
      </c>
      <c r="R202" s="189" t="s">
        <v>259</v>
      </c>
      <c r="S202" s="189" t="s">
        <v>253</v>
      </c>
      <c r="T202" s="189" t="s">
        <v>261</v>
      </c>
      <c r="U202" s="189" t="s">
        <v>258</v>
      </c>
      <c r="V202" s="189" t="s">
        <v>297</v>
      </c>
      <c r="W202" s="189" t="s">
        <v>266</v>
      </c>
      <c r="X202" s="189" t="s">
        <v>1547</v>
      </c>
      <c r="Y202" s="189" t="s">
        <v>1548</v>
      </c>
    </row>
    <row r="203" spans="1:25" x14ac:dyDescent="0.2">
      <c r="A203" s="189">
        <v>242</v>
      </c>
      <c r="B203" s="189" t="s">
        <v>1549</v>
      </c>
      <c r="C203" s="189" t="s">
        <v>253</v>
      </c>
      <c r="D203" s="189" t="s">
        <v>253</v>
      </c>
      <c r="E203" s="189" t="s">
        <v>1539</v>
      </c>
      <c r="F203" s="189" t="s">
        <v>1540</v>
      </c>
      <c r="G203" s="189" t="s">
        <v>522</v>
      </c>
      <c r="H203" s="189" t="s">
        <v>521</v>
      </c>
      <c r="I203" s="189">
        <v>18769</v>
      </c>
      <c r="J203" s="189">
        <v>1041</v>
      </c>
      <c r="K203" s="189">
        <v>221.5</v>
      </c>
      <c r="L203" s="189">
        <v>-14.27</v>
      </c>
      <c r="M203" s="189">
        <v>8.6199999999999992</v>
      </c>
      <c r="N203" s="189">
        <v>643</v>
      </c>
      <c r="O203" s="189" t="s">
        <v>918</v>
      </c>
      <c r="P203" s="189" t="s">
        <v>919</v>
      </c>
      <c r="Q203" s="189" t="s">
        <v>253</v>
      </c>
      <c r="R203" s="189" t="s">
        <v>259</v>
      </c>
      <c r="S203" s="189" t="s">
        <v>257</v>
      </c>
      <c r="T203" s="189" t="s">
        <v>261</v>
      </c>
      <c r="U203" s="189" t="s">
        <v>258</v>
      </c>
      <c r="V203" s="189" t="s">
        <v>253</v>
      </c>
      <c r="W203" s="189" t="s">
        <v>253</v>
      </c>
      <c r="X203" s="189" t="s">
        <v>1550</v>
      </c>
      <c r="Y203" s="189" t="s">
        <v>1551</v>
      </c>
    </row>
    <row r="204" spans="1:25" x14ac:dyDescent="0.2">
      <c r="A204" s="189">
        <v>320</v>
      </c>
      <c r="B204" s="189" t="s">
        <v>1552</v>
      </c>
      <c r="C204" s="189" t="s">
        <v>253</v>
      </c>
      <c r="D204" s="189" t="s">
        <v>253</v>
      </c>
      <c r="E204" s="189" t="s">
        <v>1539</v>
      </c>
      <c r="F204" s="189" t="s">
        <v>1540</v>
      </c>
      <c r="G204" s="189" t="s">
        <v>522</v>
      </c>
      <c r="H204" s="189" t="s">
        <v>521</v>
      </c>
      <c r="I204" s="189">
        <v>18686</v>
      </c>
      <c r="J204" s="189">
        <v>1068.8504664214699</v>
      </c>
      <c r="K204" s="189">
        <v>220.651239225875</v>
      </c>
      <c r="L204" s="189">
        <v>-14.24</v>
      </c>
      <c r="M204" s="189">
        <v>9.52</v>
      </c>
      <c r="N204" s="189">
        <v>210</v>
      </c>
      <c r="O204" s="189" t="s">
        <v>929</v>
      </c>
      <c r="P204" s="189" t="s">
        <v>930</v>
      </c>
      <c r="Q204" s="189" t="s">
        <v>332</v>
      </c>
      <c r="R204" s="189" t="s">
        <v>253</v>
      </c>
      <c r="S204" s="189" t="s">
        <v>253</v>
      </c>
      <c r="T204" s="189" t="s">
        <v>261</v>
      </c>
      <c r="U204" s="189" t="s">
        <v>258</v>
      </c>
      <c r="V204" s="189" t="s">
        <v>253</v>
      </c>
      <c r="W204" s="189" t="s">
        <v>253</v>
      </c>
      <c r="X204" s="189" t="s">
        <v>1553</v>
      </c>
      <c r="Y204" s="189" t="s">
        <v>1554</v>
      </c>
    </row>
    <row r="205" spans="1:25" x14ac:dyDescent="0.2">
      <c r="A205" s="189">
        <v>471</v>
      </c>
      <c r="B205" s="189" t="s">
        <v>1555</v>
      </c>
      <c r="C205" s="189" t="s">
        <v>253</v>
      </c>
      <c r="D205" s="189" t="s">
        <v>253</v>
      </c>
      <c r="E205" s="189" t="s">
        <v>1539</v>
      </c>
      <c r="F205" s="189" t="s">
        <v>1540</v>
      </c>
      <c r="G205" s="189" t="s">
        <v>522</v>
      </c>
      <c r="H205" s="189" t="s">
        <v>521</v>
      </c>
      <c r="I205" s="189">
        <v>2274</v>
      </c>
      <c r="J205" s="189">
        <v>1037.57535267409</v>
      </c>
      <c r="K205" s="189">
        <v>287.77498988843797</v>
      </c>
      <c r="L205" s="189">
        <v>-16.420000000000002</v>
      </c>
      <c r="M205" s="189">
        <v>8.51</v>
      </c>
      <c r="N205" s="189">
        <v>1184</v>
      </c>
      <c r="O205" s="189" t="s">
        <v>967</v>
      </c>
      <c r="P205" s="189" t="s">
        <v>968</v>
      </c>
      <c r="Q205" s="189" t="s">
        <v>253</v>
      </c>
      <c r="R205" s="189" t="s">
        <v>253</v>
      </c>
      <c r="S205" s="189" t="s">
        <v>253</v>
      </c>
      <c r="T205" s="189" t="s">
        <v>261</v>
      </c>
      <c r="U205" s="189" t="s">
        <v>253</v>
      </c>
      <c r="V205" s="189" t="s">
        <v>253</v>
      </c>
      <c r="W205" s="189" t="s">
        <v>253</v>
      </c>
      <c r="X205" s="189" t="s">
        <v>1556</v>
      </c>
      <c r="Y205" s="189" t="s">
        <v>1557</v>
      </c>
    </row>
    <row r="206" spans="1:25" x14ac:dyDescent="0.2">
      <c r="A206" s="189">
        <v>866</v>
      </c>
      <c r="B206" s="189" t="s">
        <v>1558</v>
      </c>
      <c r="C206" s="189" t="s">
        <v>253</v>
      </c>
      <c r="D206" s="189" t="s">
        <v>253</v>
      </c>
      <c r="E206" s="189" t="s">
        <v>1539</v>
      </c>
      <c r="F206" s="189" t="s">
        <v>1540</v>
      </c>
      <c r="G206" s="189" t="s">
        <v>522</v>
      </c>
      <c r="H206" s="189" t="s">
        <v>521</v>
      </c>
      <c r="I206" s="189">
        <v>14562</v>
      </c>
      <c r="J206" s="189">
        <v>1040.75</v>
      </c>
      <c r="K206" s="189">
        <v>280.75</v>
      </c>
      <c r="L206" s="189">
        <v>-16.190000000000001</v>
      </c>
      <c r="M206" s="189">
        <v>8.6199999999999992</v>
      </c>
      <c r="N206" s="189">
        <v>840</v>
      </c>
      <c r="O206" s="189" t="s">
        <v>913</v>
      </c>
      <c r="P206" s="189" t="s">
        <v>914</v>
      </c>
      <c r="Q206" s="189" t="s">
        <v>253</v>
      </c>
      <c r="R206" s="189" t="s">
        <v>259</v>
      </c>
      <c r="S206" s="189" t="s">
        <v>253</v>
      </c>
      <c r="T206" s="189" t="s">
        <v>261</v>
      </c>
      <c r="U206" s="189" t="s">
        <v>253</v>
      </c>
      <c r="V206" s="189" t="s">
        <v>253</v>
      </c>
      <c r="W206" s="189" t="s">
        <v>253</v>
      </c>
      <c r="X206" s="189" t="s">
        <v>1559</v>
      </c>
      <c r="Y206" s="189" t="s">
        <v>1560</v>
      </c>
    </row>
    <row r="207" spans="1:25" x14ac:dyDescent="0.2">
      <c r="A207" s="189">
        <v>999</v>
      </c>
      <c r="B207" s="189" t="s">
        <v>1561</v>
      </c>
      <c r="C207" s="189" t="s">
        <v>253</v>
      </c>
      <c r="D207" s="189" t="s">
        <v>253</v>
      </c>
      <c r="E207" s="189" t="s">
        <v>1539</v>
      </c>
      <c r="F207" s="189" t="s">
        <v>1540</v>
      </c>
      <c r="G207" s="189" t="s">
        <v>522</v>
      </c>
      <c r="H207" s="189" t="s">
        <v>521</v>
      </c>
      <c r="I207" s="189">
        <v>36053</v>
      </c>
      <c r="J207" s="189">
        <v>1054.1178832809801</v>
      </c>
      <c r="K207" s="189">
        <v>243.49939326410299</v>
      </c>
      <c r="L207" s="189">
        <v>-14.98</v>
      </c>
      <c r="M207" s="189">
        <v>9.0500000000000007</v>
      </c>
      <c r="N207" s="189">
        <v>82</v>
      </c>
      <c r="O207" s="189" t="s">
        <v>929</v>
      </c>
      <c r="P207" s="189" t="s">
        <v>930</v>
      </c>
      <c r="Q207" s="189" t="s">
        <v>253</v>
      </c>
      <c r="R207" s="189" t="s">
        <v>253</v>
      </c>
      <c r="S207" s="189" t="s">
        <v>253</v>
      </c>
      <c r="T207" s="189" t="s">
        <v>261</v>
      </c>
      <c r="U207" s="189" t="s">
        <v>258</v>
      </c>
      <c r="V207" s="189" t="s">
        <v>297</v>
      </c>
      <c r="W207" s="189" t="s">
        <v>253</v>
      </c>
      <c r="X207" s="189" t="s">
        <v>1562</v>
      </c>
      <c r="Y207" s="189" t="s">
        <v>1563</v>
      </c>
    </row>
    <row r="208" spans="1:25" x14ac:dyDescent="0.2">
      <c r="A208" s="189">
        <v>5</v>
      </c>
      <c r="B208" s="189" t="s">
        <v>1564</v>
      </c>
      <c r="C208" s="189" t="s">
        <v>253</v>
      </c>
      <c r="D208" s="189" t="s">
        <v>253</v>
      </c>
      <c r="E208" s="189" t="s">
        <v>1565</v>
      </c>
      <c r="F208" s="189" t="s">
        <v>1566</v>
      </c>
      <c r="G208" s="189" t="s">
        <v>903</v>
      </c>
      <c r="H208" s="189" t="s">
        <v>928</v>
      </c>
      <c r="I208" s="189">
        <v>70675</v>
      </c>
      <c r="J208" s="189">
        <v>438.5</v>
      </c>
      <c r="K208" s="189">
        <v>315.75</v>
      </c>
      <c r="L208" s="189">
        <v>-17.32</v>
      </c>
      <c r="M208" s="189">
        <v>-10.84</v>
      </c>
      <c r="N208" s="189">
        <v>52</v>
      </c>
      <c r="O208" s="189" t="s">
        <v>913</v>
      </c>
      <c r="P208" s="189" t="s">
        <v>914</v>
      </c>
      <c r="Q208" s="189" t="s">
        <v>332</v>
      </c>
      <c r="R208" s="189" t="s">
        <v>259</v>
      </c>
      <c r="S208" s="189" t="s">
        <v>257</v>
      </c>
      <c r="T208" s="189" t="s">
        <v>261</v>
      </c>
      <c r="U208" s="189" t="s">
        <v>258</v>
      </c>
      <c r="V208" s="189" t="s">
        <v>297</v>
      </c>
      <c r="W208" s="189" t="s">
        <v>253</v>
      </c>
      <c r="X208" s="189" t="s">
        <v>1567</v>
      </c>
      <c r="Y208" s="189" t="s">
        <v>1568</v>
      </c>
    </row>
    <row r="209" spans="1:25" x14ac:dyDescent="0.2">
      <c r="A209" s="189">
        <v>18</v>
      </c>
      <c r="B209" s="189" t="s">
        <v>1569</v>
      </c>
      <c r="C209" s="189" t="s">
        <v>253</v>
      </c>
      <c r="D209" s="189" t="s">
        <v>253</v>
      </c>
      <c r="E209" s="189" t="s">
        <v>1565</v>
      </c>
      <c r="F209" s="189" t="s">
        <v>1566</v>
      </c>
      <c r="G209" s="189" t="s">
        <v>903</v>
      </c>
      <c r="H209" s="189" t="s">
        <v>521</v>
      </c>
      <c r="I209" s="189">
        <v>6129</v>
      </c>
      <c r="J209" s="189">
        <v>610.40828880264803</v>
      </c>
      <c r="K209" s="189">
        <v>125.36626293016199</v>
      </c>
      <c r="L209" s="189">
        <v>-11.16</v>
      </c>
      <c r="M209" s="189">
        <v>-5.28</v>
      </c>
      <c r="N209" s="189">
        <v>1063</v>
      </c>
      <c r="O209" s="189" t="s">
        <v>929</v>
      </c>
      <c r="P209" s="189" t="s">
        <v>930</v>
      </c>
      <c r="Q209" s="189" t="s">
        <v>253</v>
      </c>
      <c r="R209" s="189" t="s">
        <v>253</v>
      </c>
      <c r="S209" s="189" t="s">
        <v>253</v>
      </c>
      <c r="T209" s="189" t="s">
        <v>261</v>
      </c>
      <c r="U209" s="189" t="s">
        <v>258</v>
      </c>
      <c r="V209" s="189" t="s">
        <v>253</v>
      </c>
      <c r="W209" s="189" t="s">
        <v>253</v>
      </c>
      <c r="X209" s="189" t="s">
        <v>1570</v>
      </c>
      <c r="Y209" s="189" t="s">
        <v>1571</v>
      </c>
    </row>
    <row r="210" spans="1:25" x14ac:dyDescent="0.2">
      <c r="A210" s="189">
        <v>23</v>
      </c>
      <c r="B210" s="189" t="s">
        <v>1572</v>
      </c>
      <c r="C210" s="189" t="s">
        <v>253</v>
      </c>
      <c r="D210" s="189" t="s">
        <v>253</v>
      </c>
      <c r="E210" s="189" t="s">
        <v>1565</v>
      </c>
      <c r="F210" s="189" t="s">
        <v>1566</v>
      </c>
      <c r="G210" s="189" t="s">
        <v>903</v>
      </c>
      <c r="H210" s="189" t="s">
        <v>928</v>
      </c>
      <c r="I210" s="189">
        <v>13159</v>
      </c>
      <c r="J210" s="189">
        <v>494.45488014867402</v>
      </c>
      <c r="K210" s="189">
        <v>304.51213850247302</v>
      </c>
      <c r="L210" s="189">
        <v>-16.96</v>
      </c>
      <c r="M210" s="189">
        <v>-9.0299999999999994</v>
      </c>
      <c r="N210" s="189">
        <v>643</v>
      </c>
      <c r="O210" s="189" t="s">
        <v>967</v>
      </c>
      <c r="P210" s="189" t="s">
        <v>968</v>
      </c>
      <c r="Q210" s="189" t="s">
        <v>253</v>
      </c>
      <c r="R210" s="189" t="s">
        <v>253</v>
      </c>
      <c r="S210" s="189" t="s">
        <v>257</v>
      </c>
      <c r="T210" s="189" t="s">
        <v>261</v>
      </c>
      <c r="U210" s="189" t="s">
        <v>258</v>
      </c>
      <c r="V210" s="189" t="s">
        <v>297</v>
      </c>
      <c r="W210" s="189" t="s">
        <v>253</v>
      </c>
      <c r="X210" s="189" t="s">
        <v>1573</v>
      </c>
      <c r="Y210" s="189" t="s">
        <v>1574</v>
      </c>
    </row>
    <row r="211" spans="1:25" x14ac:dyDescent="0.2">
      <c r="A211" s="189">
        <v>30</v>
      </c>
      <c r="B211" s="189" t="s">
        <v>1575</v>
      </c>
      <c r="C211" s="189" t="s">
        <v>253</v>
      </c>
      <c r="D211" s="189" t="s">
        <v>253</v>
      </c>
      <c r="E211" s="189" t="s">
        <v>1565</v>
      </c>
      <c r="F211" s="189" t="s">
        <v>1566</v>
      </c>
      <c r="G211" s="189" t="s">
        <v>903</v>
      </c>
      <c r="H211" s="189" t="s">
        <v>928</v>
      </c>
      <c r="I211" s="189">
        <v>30686</v>
      </c>
      <c r="J211" s="189">
        <v>282</v>
      </c>
      <c r="K211" s="189">
        <v>362.5</v>
      </c>
      <c r="L211" s="189">
        <v>-18.84</v>
      </c>
      <c r="M211" s="189">
        <v>-15.89</v>
      </c>
      <c r="N211" s="189">
        <v>30</v>
      </c>
      <c r="O211" s="189" t="s">
        <v>913</v>
      </c>
      <c r="P211" s="189" t="s">
        <v>914</v>
      </c>
      <c r="Q211" s="189" t="s">
        <v>253</v>
      </c>
      <c r="R211" s="189" t="s">
        <v>259</v>
      </c>
      <c r="S211" s="189" t="s">
        <v>253</v>
      </c>
      <c r="T211" s="189" t="s">
        <v>261</v>
      </c>
      <c r="U211" s="189" t="s">
        <v>253</v>
      </c>
      <c r="V211" s="189" t="s">
        <v>297</v>
      </c>
      <c r="W211" s="189" t="s">
        <v>253</v>
      </c>
      <c r="X211" s="189" t="s">
        <v>1576</v>
      </c>
      <c r="Y211" s="189" t="s">
        <v>1577</v>
      </c>
    </row>
    <row r="212" spans="1:25" x14ac:dyDescent="0.2">
      <c r="A212" s="189">
        <v>34</v>
      </c>
      <c r="B212" s="189" t="s">
        <v>1578</v>
      </c>
      <c r="C212" s="189" t="s">
        <v>253</v>
      </c>
      <c r="D212" s="189" t="s">
        <v>253</v>
      </c>
      <c r="E212" s="189" t="s">
        <v>1565</v>
      </c>
      <c r="F212" s="189" t="s">
        <v>1566</v>
      </c>
      <c r="G212" s="189" t="s">
        <v>903</v>
      </c>
      <c r="H212" s="189" t="s">
        <v>928</v>
      </c>
      <c r="I212" s="189">
        <v>2577</v>
      </c>
      <c r="J212" s="189">
        <v>636.25356015083105</v>
      </c>
      <c r="K212" s="189">
        <v>297.42804304257902</v>
      </c>
      <c r="L212" s="189">
        <v>-16.73</v>
      </c>
      <c r="M212" s="189">
        <v>-4.45</v>
      </c>
      <c r="N212" s="189">
        <v>328</v>
      </c>
      <c r="O212" s="189" t="s">
        <v>918</v>
      </c>
      <c r="P212" s="189" t="s">
        <v>919</v>
      </c>
      <c r="Q212" s="189" t="s">
        <v>253</v>
      </c>
      <c r="R212" s="189" t="s">
        <v>253</v>
      </c>
      <c r="S212" s="189" t="s">
        <v>253</v>
      </c>
      <c r="T212" s="189" t="s">
        <v>253</v>
      </c>
      <c r="U212" s="189" t="s">
        <v>253</v>
      </c>
      <c r="V212" s="189" t="s">
        <v>297</v>
      </c>
      <c r="W212" s="189" t="s">
        <v>253</v>
      </c>
      <c r="X212" s="189" t="s">
        <v>1579</v>
      </c>
      <c r="Y212" s="189" t="s">
        <v>1580</v>
      </c>
    </row>
    <row r="213" spans="1:25" x14ac:dyDescent="0.2">
      <c r="A213" s="189">
        <v>38</v>
      </c>
      <c r="B213" s="189" t="s">
        <v>1581</v>
      </c>
      <c r="C213" s="189" t="s">
        <v>253</v>
      </c>
      <c r="D213" s="189" t="s">
        <v>253</v>
      </c>
      <c r="E213" s="189" t="s">
        <v>1565</v>
      </c>
      <c r="F213" s="189" t="s">
        <v>1566</v>
      </c>
      <c r="G213" s="189" t="s">
        <v>903</v>
      </c>
      <c r="H213" s="189" t="s">
        <v>928</v>
      </c>
      <c r="I213" s="189">
        <v>11378</v>
      </c>
      <c r="J213" s="189">
        <v>807.78987164396995</v>
      </c>
      <c r="K213" s="189">
        <v>357.48716004596298</v>
      </c>
      <c r="L213" s="189">
        <v>-18.68</v>
      </c>
      <c r="M213" s="189">
        <v>1.0900000000000001</v>
      </c>
      <c r="N213" s="189">
        <v>82</v>
      </c>
      <c r="O213" s="189" t="s">
        <v>967</v>
      </c>
      <c r="P213" s="189" t="s">
        <v>968</v>
      </c>
      <c r="Q213" s="189" t="s">
        <v>253</v>
      </c>
      <c r="R213" s="189" t="s">
        <v>253</v>
      </c>
      <c r="S213" s="189" t="s">
        <v>253</v>
      </c>
      <c r="T213" s="189" t="s">
        <v>261</v>
      </c>
      <c r="U213" s="189" t="s">
        <v>253</v>
      </c>
      <c r="V213" s="189" t="s">
        <v>253</v>
      </c>
      <c r="W213" s="189" t="s">
        <v>253</v>
      </c>
      <c r="X213" s="189" t="s">
        <v>1582</v>
      </c>
      <c r="Y213" s="189" t="s">
        <v>1583</v>
      </c>
    </row>
    <row r="214" spans="1:25" x14ac:dyDescent="0.2">
      <c r="A214" s="189">
        <v>40</v>
      </c>
      <c r="B214" s="189" t="s">
        <v>1584</v>
      </c>
      <c r="C214" s="189" t="s">
        <v>253</v>
      </c>
      <c r="D214" s="189" t="s">
        <v>253</v>
      </c>
      <c r="E214" s="189" t="s">
        <v>1565</v>
      </c>
      <c r="F214" s="189" t="s">
        <v>1566</v>
      </c>
      <c r="G214" s="189" t="s">
        <v>903</v>
      </c>
      <c r="H214" s="189" t="s">
        <v>928</v>
      </c>
      <c r="I214" s="189">
        <v>1676</v>
      </c>
      <c r="J214" s="189">
        <v>315.79554959421398</v>
      </c>
      <c r="K214" s="189">
        <v>320.276197080808</v>
      </c>
      <c r="L214" s="189">
        <v>-17.47</v>
      </c>
      <c r="M214" s="189">
        <v>-14.8</v>
      </c>
      <c r="N214" s="189">
        <v>210</v>
      </c>
      <c r="O214" s="189" t="s">
        <v>913</v>
      </c>
      <c r="P214" s="189" t="s">
        <v>914</v>
      </c>
      <c r="Q214" s="189" t="s">
        <v>253</v>
      </c>
      <c r="R214" s="189" t="s">
        <v>253</v>
      </c>
      <c r="S214" s="189" t="s">
        <v>257</v>
      </c>
      <c r="T214" s="189" t="s">
        <v>261</v>
      </c>
      <c r="U214" s="189" t="s">
        <v>253</v>
      </c>
      <c r="V214" s="189" t="s">
        <v>297</v>
      </c>
      <c r="W214" s="189" t="s">
        <v>253</v>
      </c>
      <c r="X214" s="189" t="s">
        <v>1585</v>
      </c>
      <c r="Y214" s="189" t="s">
        <v>1586</v>
      </c>
    </row>
    <row r="215" spans="1:25" x14ac:dyDescent="0.2">
      <c r="A215" s="189">
        <v>50</v>
      </c>
      <c r="B215" s="189" t="s">
        <v>1587</v>
      </c>
      <c r="C215" s="189" t="s">
        <v>253</v>
      </c>
      <c r="D215" s="189" t="s">
        <v>253</v>
      </c>
      <c r="E215" s="189" t="s">
        <v>1565</v>
      </c>
      <c r="F215" s="189" t="s">
        <v>1566</v>
      </c>
      <c r="G215" s="189" t="s">
        <v>264</v>
      </c>
      <c r="H215" s="189" t="s">
        <v>256</v>
      </c>
      <c r="I215" s="189">
        <v>2482</v>
      </c>
      <c r="J215" s="189">
        <v>369</v>
      </c>
      <c r="K215" s="189">
        <v>524.5</v>
      </c>
      <c r="L215" s="189">
        <v>-24.08</v>
      </c>
      <c r="M215" s="189">
        <v>-13.08</v>
      </c>
      <c r="N215" s="189">
        <v>52</v>
      </c>
      <c r="O215" s="189" t="s">
        <v>602</v>
      </c>
      <c r="P215" s="189" t="s">
        <v>603</v>
      </c>
      <c r="Q215" s="189" t="s">
        <v>253</v>
      </c>
      <c r="R215" s="189" t="s">
        <v>259</v>
      </c>
      <c r="S215" s="189" t="s">
        <v>257</v>
      </c>
      <c r="T215" s="189" t="s">
        <v>253</v>
      </c>
      <c r="U215" s="189" t="s">
        <v>253</v>
      </c>
      <c r="V215" s="189" t="s">
        <v>253</v>
      </c>
      <c r="W215" s="189" t="s">
        <v>253</v>
      </c>
      <c r="X215" s="189" t="s">
        <v>1588</v>
      </c>
      <c r="Y215" s="189" t="s">
        <v>1589</v>
      </c>
    </row>
    <row r="216" spans="1:25" x14ac:dyDescent="0.2">
      <c r="A216" s="189">
        <v>55</v>
      </c>
      <c r="B216" s="189" t="s">
        <v>1590</v>
      </c>
      <c r="C216" s="189" t="s">
        <v>253</v>
      </c>
      <c r="D216" s="189" t="s">
        <v>253</v>
      </c>
      <c r="E216" s="189" t="s">
        <v>1565</v>
      </c>
      <c r="F216" s="189" t="s">
        <v>1566</v>
      </c>
      <c r="G216" s="189" t="s">
        <v>903</v>
      </c>
      <c r="H216" s="189" t="s">
        <v>928</v>
      </c>
      <c r="I216" s="189">
        <v>1649</v>
      </c>
      <c r="J216" s="189">
        <v>318.52020169417301</v>
      </c>
      <c r="K216" s="189">
        <v>331.33049988635599</v>
      </c>
      <c r="L216" s="189">
        <v>-17.829999999999998</v>
      </c>
      <c r="M216" s="189">
        <v>-14.71</v>
      </c>
      <c r="N216" s="189">
        <v>266</v>
      </c>
      <c r="O216" s="189" t="s">
        <v>913</v>
      </c>
      <c r="P216" s="189" t="s">
        <v>914</v>
      </c>
      <c r="Q216" s="189" t="s">
        <v>253</v>
      </c>
      <c r="R216" s="189" t="s">
        <v>253</v>
      </c>
      <c r="S216" s="189" t="s">
        <v>257</v>
      </c>
      <c r="T216" s="189" t="s">
        <v>253</v>
      </c>
      <c r="U216" s="189" t="s">
        <v>253</v>
      </c>
      <c r="V216" s="189" t="s">
        <v>297</v>
      </c>
      <c r="W216" s="189" t="s">
        <v>253</v>
      </c>
      <c r="X216" s="189" t="s">
        <v>1591</v>
      </c>
      <c r="Y216" s="189" t="s">
        <v>1592</v>
      </c>
    </row>
    <row r="217" spans="1:25" x14ac:dyDescent="0.2">
      <c r="A217" s="189">
        <v>59</v>
      </c>
      <c r="B217" s="189" t="s">
        <v>1593</v>
      </c>
      <c r="C217" s="189" t="s">
        <v>253</v>
      </c>
      <c r="D217" s="189" t="s">
        <v>253</v>
      </c>
      <c r="E217" s="189" t="s">
        <v>1565</v>
      </c>
      <c r="F217" s="189" t="s">
        <v>1566</v>
      </c>
      <c r="G217" s="189" t="s">
        <v>903</v>
      </c>
      <c r="H217" s="189" t="s">
        <v>521</v>
      </c>
      <c r="I217" s="189">
        <v>1672</v>
      </c>
      <c r="J217" s="189">
        <v>429.08269155036999</v>
      </c>
      <c r="K217" s="189">
        <v>97.263422699156294</v>
      </c>
      <c r="L217" s="189">
        <v>-10.25</v>
      </c>
      <c r="M217" s="189">
        <v>-11.14</v>
      </c>
      <c r="N217" s="189">
        <v>161</v>
      </c>
      <c r="O217" s="189" t="s">
        <v>956</v>
      </c>
      <c r="P217" s="189" t="s">
        <v>957</v>
      </c>
      <c r="Q217" s="189" t="s">
        <v>253</v>
      </c>
      <c r="R217" s="189" t="s">
        <v>253</v>
      </c>
      <c r="S217" s="189" t="s">
        <v>253</v>
      </c>
      <c r="T217" s="189" t="s">
        <v>253</v>
      </c>
      <c r="U217" s="189" t="s">
        <v>253</v>
      </c>
      <c r="V217" s="189" t="s">
        <v>297</v>
      </c>
      <c r="W217" s="189" t="s">
        <v>253</v>
      </c>
      <c r="X217" s="189" t="s">
        <v>1594</v>
      </c>
      <c r="Y217" s="189" t="s">
        <v>1595</v>
      </c>
    </row>
    <row r="218" spans="1:25" x14ac:dyDescent="0.2">
      <c r="A218" s="189">
        <v>68</v>
      </c>
      <c r="B218" s="189" t="s">
        <v>1596</v>
      </c>
      <c r="C218" s="189" t="s">
        <v>253</v>
      </c>
      <c r="D218" s="189" t="s">
        <v>253</v>
      </c>
      <c r="E218" s="189" t="s">
        <v>1565</v>
      </c>
      <c r="F218" s="189" t="s">
        <v>1566</v>
      </c>
      <c r="G218" s="189" t="s">
        <v>903</v>
      </c>
      <c r="H218" s="189" t="s">
        <v>521</v>
      </c>
      <c r="I218" s="189">
        <v>3092</v>
      </c>
      <c r="J218" s="189">
        <v>822.5</v>
      </c>
      <c r="K218" s="189">
        <v>356</v>
      </c>
      <c r="L218" s="189">
        <v>-18.63</v>
      </c>
      <c r="M218" s="189">
        <v>1.57</v>
      </c>
      <c r="N218" s="189">
        <v>210</v>
      </c>
      <c r="O218" s="189" t="s">
        <v>913</v>
      </c>
      <c r="P218" s="189" t="s">
        <v>914</v>
      </c>
      <c r="Q218" s="189" t="s">
        <v>253</v>
      </c>
      <c r="R218" s="189" t="s">
        <v>259</v>
      </c>
      <c r="S218" s="189" t="s">
        <v>253</v>
      </c>
      <c r="T218" s="189" t="s">
        <v>253</v>
      </c>
      <c r="U218" s="189" t="s">
        <v>258</v>
      </c>
      <c r="V218" s="189" t="s">
        <v>253</v>
      </c>
      <c r="W218" s="189" t="s">
        <v>253</v>
      </c>
      <c r="X218" s="189" t="s">
        <v>1597</v>
      </c>
      <c r="Y218" s="189" t="s">
        <v>1598</v>
      </c>
    </row>
    <row r="219" spans="1:25" x14ac:dyDescent="0.2">
      <c r="A219" s="189">
        <v>91</v>
      </c>
      <c r="B219" s="189" t="s">
        <v>1599</v>
      </c>
      <c r="C219" s="189" t="s">
        <v>253</v>
      </c>
      <c r="D219" s="189" t="s">
        <v>253</v>
      </c>
      <c r="E219" s="189" t="s">
        <v>1565</v>
      </c>
      <c r="F219" s="189" t="s">
        <v>1566</v>
      </c>
      <c r="G219" s="189" t="s">
        <v>903</v>
      </c>
      <c r="H219" s="189" t="s">
        <v>521</v>
      </c>
      <c r="I219" s="189">
        <v>7997</v>
      </c>
      <c r="J219" s="189">
        <v>521.05916172470404</v>
      </c>
      <c r="K219" s="189">
        <v>23.483736192406798</v>
      </c>
      <c r="L219" s="189">
        <v>-7.86</v>
      </c>
      <c r="M219" s="189">
        <v>-8.17</v>
      </c>
      <c r="N219" s="189">
        <v>397</v>
      </c>
      <c r="O219" s="189" t="s">
        <v>987</v>
      </c>
      <c r="P219" s="189" t="s">
        <v>988</v>
      </c>
      <c r="Q219" s="189" t="s">
        <v>253</v>
      </c>
      <c r="R219" s="189" t="s">
        <v>253</v>
      </c>
      <c r="S219" s="189" t="s">
        <v>253</v>
      </c>
      <c r="T219" s="189" t="s">
        <v>253</v>
      </c>
      <c r="U219" s="189" t="s">
        <v>253</v>
      </c>
      <c r="V219" s="189" t="s">
        <v>253</v>
      </c>
      <c r="W219" s="189" t="s">
        <v>253</v>
      </c>
      <c r="X219" s="189" t="s">
        <v>1600</v>
      </c>
      <c r="Y219" s="189" t="s">
        <v>1601</v>
      </c>
    </row>
    <row r="220" spans="1:25" x14ac:dyDescent="0.2">
      <c r="A220" s="189">
        <v>113</v>
      </c>
      <c r="B220" s="189" t="s">
        <v>1602</v>
      </c>
      <c r="C220" s="189" t="s">
        <v>253</v>
      </c>
      <c r="D220" s="189" t="s">
        <v>253</v>
      </c>
      <c r="E220" s="189" t="s">
        <v>1565</v>
      </c>
      <c r="F220" s="189" t="s">
        <v>1566</v>
      </c>
      <c r="G220" s="189" t="s">
        <v>903</v>
      </c>
      <c r="H220" s="189" t="s">
        <v>928</v>
      </c>
      <c r="I220" s="189">
        <v>1618</v>
      </c>
      <c r="J220" s="189">
        <v>756.56641216473895</v>
      </c>
      <c r="K220" s="189">
        <v>273.37325736008302</v>
      </c>
      <c r="L220" s="189">
        <v>-15.95</v>
      </c>
      <c r="M220" s="189">
        <v>-0.56000000000000005</v>
      </c>
      <c r="N220" s="189">
        <v>52</v>
      </c>
      <c r="O220" s="189" t="s">
        <v>918</v>
      </c>
      <c r="P220" s="189" t="s">
        <v>919</v>
      </c>
      <c r="Q220" s="189" t="s">
        <v>253</v>
      </c>
      <c r="R220" s="189" t="s">
        <v>253</v>
      </c>
      <c r="S220" s="189" t="s">
        <v>257</v>
      </c>
      <c r="T220" s="189" t="s">
        <v>253</v>
      </c>
      <c r="U220" s="189" t="s">
        <v>253</v>
      </c>
      <c r="V220" s="189" t="s">
        <v>253</v>
      </c>
      <c r="W220" s="189" t="s">
        <v>253</v>
      </c>
      <c r="X220" s="189" t="s">
        <v>1603</v>
      </c>
      <c r="Y220" s="189" t="s">
        <v>1604</v>
      </c>
    </row>
    <row r="221" spans="1:25" x14ac:dyDescent="0.2">
      <c r="A221" s="189">
        <v>114</v>
      </c>
      <c r="B221" s="189" t="s">
        <v>1605</v>
      </c>
      <c r="C221" s="189" t="s">
        <v>253</v>
      </c>
      <c r="D221" s="189" t="s">
        <v>253</v>
      </c>
      <c r="E221" s="189" t="s">
        <v>1565</v>
      </c>
      <c r="F221" s="189" t="s">
        <v>1566</v>
      </c>
      <c r="G221" s="189" t="s">
        <v>903</v>
      </c>
      <c r="H221" s="189" t="s">
        <v>928</v>
      </c>
      <c r="I221" s="189">
        <v>1555</v>
      </c>
      <c r="J221" s="189">
        <v>649.15673402420896</v>
      </c>
      <c r="K221" s="189">
        <v>298.51790388256302</v>
      </c>
      <c r="L221" s="189">
        <v>-16.77</v>
      </c>
      <c r="M221" s="189">
        <v>-4.03</v>
      </c>
      <c r="N221" s="189">
        <v>328</v>
      </c>
      <c r="O221" s="189" t="s">
        <v>913</v>
      </c>
      <c r="P221" s="189" t="s">
        <v>914</v>
      </c>
      <c r="Q221" s="189" t="s">
        <v>253</v>
      </c>
      <c r="R221" s="189" t="s">
        <v>253</v>
      </c>
      <c r="S221" s="189" t="s">
        <v>253</v>
      </c>
      <c r="T221" s="189" t="s">
        <v>253</v>
      </c>
      <c r="U221" s="189" t="s">
        <v>253</v>
      </c>
      <c r="V221" s="189" t="s">
        <v>297</v>
      </c>
      <c r="W221" s="189" t="s">
        <v>253</v>
      </c>
      <c r="X221" s="189" t="s">
        <v>1606</v>
      </c>
      <c r="Y221" s="189" t="s">
        <v>1607</v>
      </c>
    </row>
    <row r="222" spans="1:25" x14ac:dyDescent="0.2">
      <c r="A222" s="189">
        <v>120</v>
      </c>
      <c r="B222" s="189" t="s">
        <v>1608</v>
      </c>
      <c r="C222" s="189" t="s">
        <v>253</v>
      </c>
      <c r="D222" s="189" t="s">
        <v>253</v>
      </c>
      <c r="E222" s="189" t="s">
        <v>1565</v>
      </c>
      <c r="F222" s="189" t="s">
        <v>1566</v>
      </c>
      <c r="G222" s="189" t="s">
        <v>903</v>
      </c>
      <c r="H222" s="189" t="s">
        <v>928</v>
      </c>
      <c r="I222" s="189">
        <v>4691</v>
      </c>
      <c r="J222" s="189">
        <v>479.15790478747601</v>
      </c>
      <c r="K222" s="189">
        <v>323.312237992191</v>
      </c>
      <c r="L222" s="189">
        <v>-17.57</v>
      </c>
      <c r="M222" s="189">
        <v>-9.52</v>
      </c>
      <c r="N222" s="189">
        <v>1312</v>
      </c>
      <c r="O222" s="189" t="s">
        <v>945</v>
      </c>
      <c r="P222" s="189" t="s">
        <v>946</v>
      </c>
      <c r="Q222" s="189" t="s">
        <v>253</v>
      </c>
      <c r="R222" s="189" t="s">
        <v>253</v>
      </c>
      <c r="S222" s="189" t="s">
        <v>257</v>
      </c>
      <c r="T222" s="189" t="s">
        <v>253</v>
      </c>
      <c r="U222" s="189" t="s">
        <v>253</v>
      </c>
      <c r="V222" s="189" t="s">
        <v>297</v>
      </c>
      <c r="W222" s="189" t="s">
        <v>253</v>
      </c>
      <c r="X222" s="189" t="s">
        <v>1609</v>
      </c>
      <c r="Y222" s="189" t="s">
        <v>1610</v>
      </c>
    </row>
    <row r="223" spans="1:25" x14ac:dyDescent="0.2">
      <c r="A223" s="189">
        <v>130</v>
      </c>
      <c r="B223" s="189" t="s">
        <v>1611</v>
      </c>
      <c r="C223" s="189" t="s">
        <v>253</v>
      </c>
      <c r="D223" s="189" t="s">
        <v>253</v>
      </c>
      <c r="E223" s="189" t="s">
        <v>1565</v>
      </c>
      <c r="F223" s="189" t="s">
        <v>1566</v>
      </c>
      <c r="G223" s="189" t="s">
        <v>903</v>
      </c>
      <c r="H223" s="189" t="s">
        <v>521</v>
      </c>
      <c r="I223" s="189">
        <v>10667</v>
      </c>
      <c r="J223" s="189">
        <v>354.174220602209</v>
      </c>
      <c r="K223" s="189">
        <v>86.968130121453697</v>
      </c>
      <c r="L223" s="189">
        <v>-9.92</v>
      </c>
      <c r="M223" s="189">
        <v>-13.56</v>
      </c>
      <c r="N223" s="189">
        <v>52</v>
      </c>
      <c r="O223" s="189" t="s">
        <v>956</v>
      </c>
      <c r="P223" s="189" t="s">
        <v>957</v>
      </c>
      <c r="Q223" s="189" t="s">
        <v>253</v>
      </c>
      <c r="R223" s="189" t="s">
        <v>253</v>
      </c>
      <c r="S223" s="189" t="s">
        <v>253</v>
      </c>
      <c r="T223" s="189" t="s">
        <v>253</v>
      </c>
      <c r="U223" s="189" t="s">
        <v>258</v>
      </c>
      <c r="V223" s="189" t="s">
        <v>297</v>
      </c>
      <c r="W223" s="189" t="s">
        <v>253</v>
      </c>
      <c r="X223" s="189" t="s">
        <v>1612</v>
      </c>
      <c r="Y223" s="189" t="s">
        <v>1613</v>
      </c>
    </row>
    <row r="224" spans="1:25" x14ac:dyDescent="0.2">
      <c r="A224" s="189">
        <v>131</v>
      </c>
      <c r="B224" s="189" t="s">
        <v>1614</v>
      </c>
      <c r="C224" s="189" t="s">
        <v>253</v>
      </c>
      <c r="D224" s="189" t="s">
        <v>253</v>
      </c>
      <c r="E224" s="189" t="s">
        <v>1565</v>
      </c>
      <c r="F224" s="189" t="s">
        <v>1566</v>
      </c>
      <c r="G224" s="189" t="s">
        <v>903</v>
      </c>
      <c r="H224" s="189" t="s">
        <v>928</v>
      </c>
      <c r="I224" s="189">
        <v>11049</v>
      </c>
      <c r="J224" s="189">
        <v>597.31049692213003</v>
      </c>
      <c r="K224" s="189">
        <v>296.47441480759301</v>
      </c>
      <c r="L224" s="189">
        <v>-16.7</v>
      </c>
      <c r="M224" s="189">
        <v>-5.71</v>
      </c>
      <c r="N224" s="189">
        <v>266</v>
      </c>
      <c r="O224" s="189" t="s">
        <v>918</v>
      </c>
      <c r="P224" s="189" t="s">
        <v>919</v>
      </c>
      <c r="Q224" s="189" t="s">
        <v>253</v>
      </c>
      <c r="R224" s="189" t="s">
        <v>253</v>
      </c>
      <c r="S224" s="189" t="s">
        <v>257</v>
      </c>
      <c r="T224" s="189" t="s">
        <v>261</v>
      </c>
      <c r="U224" s="189" t="s">
        <v>258</v>
      </c>
      <c r="V224" s="189" t="s">
        <v>297</v>
      </c>
      <c r="W224" s="189" t="s">
        <v>253</v>
      </c>
      <c r="X224" s="189" t="s">
        <v>1615</v>
      </c>
      <c r="Y224" s="189" t="s">
        <v>1616</v>
      </c>
    </row>
    <row r="225" spans="1:25" x14ac:dyDescent="0.2">
      <c r="A225" s="189">
        <v>132</v>
      </c>
      <c r="B225" s="189" t="s">
        <v>1617</v>
      </c>
      <c r="C225" s="189" t="s">
        <v>253</v>
      </c>
      <c r="D225" s="189" t="s">
        <v>253</v>
      </c>
      <c r="E225" s="189" t="s">
        <v>1565</v>
      </c>
      <c r="F225" s="189" t="s">
        <v>1566</v>
      </c>
      <c r="G225" s="189" t="s">
        <v>903</v>
      </c>
      <c r="H225" s="189" t="s">
        <v>928</v>
      </c>
      <c r="I225" s="189">
        <v>8358</v>
      </c>
      <c r="J225" s="189">
        <v>248.39933372165399</v>
      </c>
      <c r="K225" s="189">
        <v>335.651019644862</v>
      </c>
      <c r="L225" s="189">
        <v>-17.97</v>
      </c>
      <c r="M225" s="189">
        <v>-16.98</v>
      </c>
      <c r="N225" s="189">
        <v>118</v>
      </c>
      <c r="O225" s="189" t="s">
        <v>913</v>
      </c>
      <c r="P225" s="189" t="s">
        <v>914</v>
      </c>
      <c r="Q225" s="189" t="s">
        <v>253</v>
      </c>
      <c r="R225" s="189" t="s">
        <v>253</v>
      </c>
      <c r="S225" s="189" t="s">
        <v>253</v>
      </c>
      <c r="T225" s="189" t="s">
        <v>253</v>
      </c>
      <c r="U225" s="189" t="s">
        <v>253</v>
      </c>
      <c r="V225" s="189" t="s">
        <v>297</v>
      </c>
      <c r="W225" s="189" t="s">
        <v>253</v>
      </c>
      <c r="X225" s="189" t="s">
        <v>1618</v>
      </c>
      <c r="Y225" s="189" t="s">
        <v>1619</v>
      </c>
    </row>
    <row r="226" spans="1:25" x14ac:dyDescent="0.2">
      <c r="A226" s="189">
        <v>145</v>
      </c>
      <c r="B226" s="189" t="s">
        <v>1620</v>
      </c>
      <c r="C226" s="189" t="s">
        <v>253</v>
      </c>
      <c r="D226" s="189" t="s">
        <v>253</v>
      </c>
      <c r="E226" s="189" t="s">
        <v>1565</v>
      </c>
      <c r="F226" s="189" t="s">
        <v>1566</v>
      </c>
      <c r="G226" s="189" t="s">
        <v>314</v>
      </c>
      <c r="H226" s="189" t="s">
        <v>256</v>
      </c>
      <c r="I226" s="189">
        <v>1661</v>
      </c>
      <c r="J226" s="189">
        <v>163.23449379721899</v>
      </c>
      <c r="K226" s="189">
        <v>458.64960015730099</v>
      </c>
      <c r="L226" s="189">
        <v>-21.95</v>
      </c>
      <c r="M226" s="189">
        <v>-19.73</v>
      </c>
      <c r="N226" s="189">
        <v>118</v>
      </c>
      <c r="O226" s="189" t="s">
        <v>945</v>
      </c>
      <c r="P226" s="189" t="s">
        <v>946</v>
      </c>
      <c r="Q226" s="189" t="s">
        <v>253</v>
      </c>
      <c r="R226" s="189" t="s">
        <v>253</v>
      </c>
      <c r="S226" s="189" t="s">
        <v>257</v>
      </c>
      <c r="T226" s="189" t="s">
        <v>261</v>
      </c>
      <c r="U226" s="189" t="s">
        <v>253</v>
      </c>
      <c r="V226" s="189" t="s">
        <v>253</v>
      </c>
      <c r="W226" s="189" t="s">
        <v>253</v>
      </c>
      <c r="X226" s="189" t="s">
        <v>1621</v>
      </c>
      <c r="Y226" s="189" t="s">
        <v>1622</v>
      </c>
    </row>
    <row r="227" spans="1:25" x14ac:dyDescent="0.2">
      <c r="A227" s="189">
        <v>152</v>
      </c>
      <c r="B227" s="189" t="s">
        <v>1623</v>
      </c>
      <c r="C227" s="189" t="s">
        <v>253</v>
      </c>
      <c r="D227" s="189" t="s">
        <v>253</v>
      </c>
      <c r="E227" s="189" t="s">
        <v>1565</v>
      </c>
      <c r="F227" s="189" t="s">
        <v>1566</v>
      </c>
      <c r="G227" s="189" t="s">
        <v>903</v>
      </c>
      <c r="H227" s="189" t="s">
        <v>521</v>
      </c>
      <c r="I227" s="189">
        <v>15064</v>
      </c>
      <c r="J227" s="189">
        <v>466.54665792480802</v>
      </c>
      <c r="K227" s="189">
        <v>5.6372649376748498</v>
      </c>
      <c r="L227" s="189">
        <v>-7.28</v>
      </c>
      <c r="M227" s="189">
        <v>-9.93</v>
      </c>
      <c r="N227" s="189">
        <v>643</v>
      </c>
      <c r="O227" s="189" t="s">
        <v>1292</v>
      </c>
      <c r="P227" s="189" t="s">
        <v>1293</v>
      </c>
      <c r="Q227" s="189" t="s">
        <v>253</v>
      </c>
      <c r="R227" s="189" t="s">
        <v>253</v>
      </c>
      <c r="S227" s="189" t="s">
        <v>253</v>
      </c>
      <c r="T227" s="189" t="s">
        <v>261</v>
      </c>
      <c r="U227" s="189" t="s">
        <v>258</v>
      </c>
      <c r="V227" s="189" t="s">
        <v>253</v>
      </c>
      <c r="W227" s="189" t="s">
        <v>253</v>
      </c>
      <c r="X227" s="189" t="s">
        <v>1624</v>
      </c>
      <c r="Y227" s="189" t="s">
        <v>1625</v>
      </c>
    </row>
    <row r="228" spans="1:25" x14ac:dyDescent="0.2">
      <c r="A228" s="189">
        <v>174</v>
      </c>
      <c r="B228" s="189" t="s">
        <v>1626</v>
      </c>
      <c r="C228" s="189" t="s">
        <v>253</v>
      </c>
      <c r="D228" s="189" t="s">
        <v>253</v>
      </c>
      <c r="E228" s="189" t="s">
        <v>1565</v>
      </c>
      <c r="F228" s="189" t="s">
        <v>1566</v>
      </c>
      <c r="G228" s="189" t="s">
        <v>903</v>
      </c>
      <c r="H228" s="189" t="s">
        <v>521</v>
      </c>
      <c r="I228" s="189">
        <v>1679</v>
      </c>
      <c r="J228" s="189">
        <v>445.95607276940302</v>
      </c>
      <c r="K228" s="189">
        <v>83.503929594362802</v>
      </c>
      <c r="L228" s="189">
        <v>-9.8000000000000007</v>
      </c>
      <c r="M228" s="189">
        <v>-10.6</v>
      </c>
      <c r="N228" s="189">
        <v>554</v>
      </c>
      <c r="O228" s="189" t="s">
        <v>1086</v>
      </c>
      <c r="P228" s="189" t="s">
        <v>1087</v>
      </c>
      <c r="Q228" s="189" t="s">
        <v>253</v>
      </c>
      <c r="R228" s="189" t="s">
        <v>253</v>
      </c>
      <c r="S228" s="189" t="s">
        <v>257</v>
      </c>
      <c r="T228" s="189" t="s">
        <v>253</v>
      </c>
      <c r="U228" s="189" t="s">
        <v>253</v>
      </c>
      <c r="V228" s="189" t="s">
        <v>297</v>
      </c>
      <c r="W228" s="189" t="s">
        <v>253</v>
      </c>
      <c r="X228" s="189" t="s">
        <v>1627</v>
      </c>
      <c r="Y228" s="189" t="s">
        <v>1628</v>
      </c>
    </row>
    <row r="229" spans="1:25" x14ac:dyDescent="0.2">
      <c r="A229" s="189">
        <v>189</v>
      </c>
      <c r="B229" s="189" t="s">
        <v>1629</v>
      </c>
      <c r="C229" s="189" t="s">
        <v>253</v>
      </c>
      <c r="D229" s="189" t="s">
        <v>253</v>
      </c>
      <c r="E229" s="189" t="s">
        <v>1565</v>
      </c>
      <c r="F229" s="189" t="s">
        <v>1566</v>
      </c>
      <c r="G229" s="189" t="s">
        <v>903</v>
      </c>
      <c r="H229" s="189" t="s">
        <v>928</v>
      </c>
      <c r="I229" s="189">
        <v>2608</v>
      </c>
      <c r="J229" s="189">
        <v>311.5</v>
      </c>
      <c r="K229" s="189">
        <v>281</v>
      </c>
      <c r="L229" s="189">
        <v>-16.2</v>
      </c>
      <c r="M229" s="189">
        <v>-14.94</v>
      </c>
      <c r="N229" s="189">
        <v>52</v>
      </c>
      <c r="O229" s="189" t="s">
        <v>918</v>
      </c>
      <c r="P229" s="189" t="s">
        <v>919</v>
      </c>
      <c r="Q229" s="189" t="s">
        <v>253</v>
      </c>
      <c r="R229" s="189" t="s">
        <v>259</v>
      </c>
      <c r="S229" s="189" t="s">
        <v>257</v>
      </c>
      <c r="T229" s="189" t="s">
        <v>253</v>
      </c>
      <c r="U229" s="189" t="s">
        <v>253</v>
      </c>
      <c r="V229" s="189" t="s">
        <v>297</v>
      </c>
      <c r="W229" s="189" t="s">
        <v>253</v>
      </c>
      <c r="X229" s="189" t="s">
        <v>1630</v>
      </c>
      <c r="Y229" s="189" t="s">
        <v>1631</v>
      </c>
    </row>
    <row r="230" spans="1:25" x14ac:dyDescent="0.2">
      <c r="A230" s="189">
        <v>220</v>
      </c>
      <c r="B230" s="189" t="s">
        <v>1632</v>
      </c>
      <c r="C230" s="189" t="s">
        <v>253</v>
      </c>
      <c r="D230" s="189" t="s">
        <v>253</v>
      </c>
      <c r="E230" s="189" t="s">
        <v>1565</v>
      </c>
      <c r="F230" s="189" t="s">
        <v>1566</v>
      </c>
      <c r="G230" s="189" t="s">
        <v>903</v>
      </c>
      <c r="H230" s="189" t="s">
        <v>928</v>
      </c>
      <c r="I230" s="189">
        <v>3481</v>
      </c>
      <c r="J230" s="189">
        <v>466.157421910528</v>
      </c>
      <c r="K230" s="189">
        <v>248.36484344260199</v>
      </c>
      <c r="L230" s="189">
        <v>-15.14</v>
      </c>
      <c r="M230" s="189">
        <v>-9.94</v>
      </c>
      <c r="N230" s="189">
        <v>161</v>
      </c>
      <c r="O230" s="189" t="s">
        <v>929</v>
      </c>
      <c r="P230" s="189" t="s">
        <v>930</v>
      </c>
      <c r="Q230" s="189" t="s">
        <v>253</v>
      </c>
      <c r="R230" s="189" t="s">
        <v>253</v>
      </c>
      <c r="S230" s="189" t="s">
        <v>257</v>
      </c>
      <c r="T230" s="189" t="s">
        <v>253</v>
      </c>
      <c r="U230" s="189" t="s">
        <v>258</v>
      </c>
      <c r="V230" s="189" t="s">
        <v>297</v>
      </c>
      <c r="W230" s="189" t="s">
        <v>253</v>
      </c>
      <c r="X230" s="189" t="s">
        <v>1633</v>
      </c>
      <c r="Y230" s="189" t="s">
        <v>1634</v>
      </c>
    </row>
    <row r="231" spans="1:25" x14ac:dyDescent="0.2">
      <c r="A231" s="189">
        <v>223</v>
      </c>
      <c r="B231" s="189" t="s">
        <v>1629</v>
      </c>
      <c r="C231" s="189" t="s">
        <v>253</v>
      </c>
      <c r="D231" s="189" t="s">
        <v>253</v>
      </c>
      <c r="E231" s="189" t="s">
        <v>1565</v>
      </c>
      <c r="F231" s="189" t="s">
        <v>1566</v>
      </c>
      <c r="G231" s="189" t="s">
        <v>903</v>
      </c>
      <c r="H231" s="189" t="s">
        <v>928</v>
      </c>
      <c r="I231" s="189">
        <v>3810</v>
      </c>
      <c r="J231" s="189">
        <v>456.582215959243</v>
      </c>
      <c r="K231" s="189">
        <v>198.63994261834799</v>
      </c>
      <c r="L231" s="189">
        <v>-13.53</v>
      </c>
      <c r="M231" s="189">
        <v>-10.25</v>
      </c>
      <c r="N231" s="189">
        <v>82</v>
      </c>
      <c r="O231" s="189" t="s">
        <v>904</v>
      </c>
      <c r="P231" s="189" t="s">
        <v>905</v>
      </c>
      <c r="Q231" s="189" t="s">
        <v>253</v>
      </c>
      <c r="R231" s="189" t="s">
        <v>253</v>
      </c>
      <c r="S231" s="189" t="s">
        <v>253</v>
      </c>
      <c r="T231" s="189" t="s">
        <v>253</v>
      </c>
      <c r="U231" s="189" t="s">
        <v>253</v>
      </c>
      <c r="V231" s="189" t="s">
        <v>297</v>
      </c>
      <c r="W231" s="189" t="s">
        <v>253</v>
      </c>
      <c r="X231" s="189" t="s">
        <v>1635</v>
      </c>
      <c r="Y231" s="189" t="s">
        <v>1636</v>
      </c>
    </row>
    <row r="232" spans="1:25" x14ac:dyDescent="0.2">
      <c r="A232" s="189">
        <v>224</v>
      </c>
      <c r="B232" s="189" t="s">
        <v>1637</v>
      </c>
      <c r="C232" s="189" t="s">
        <v>253</v>
      </c>
      <c r="D232" s="189" t="s">
        <v>253</v>
      </c>
      <c r="E232" s="189" t="s">
        <v>1565</v>
      </c>
      <c r="F232" s="189" t="s">
        <v>1566</v>
      </c>
      <c r="G232" s="189" t="s">
        <v>903</v>
      </c>
      <c r="H232" s="189" t="s">
        <v>928</v>
      </c>
      <c r="I232" s="189">
        <v>1675</v>
      </c>
      <c r="J232" s="189">
        <v>406.40969371856801</v>
      </c>
      <c r="K232" s="189">
        <v>354.295424728868</v>
      </c>
      <c r="L232" s="189">
        <v>-18.57</v>
      </c>
      <c r="M232" s="189">
        <v>-11.87</v>
      </c>
      <c r="N232" s="189">
        <v>554</v>
      </c>
      <c r="O232" s="189" t="s">
        <v>967</v>
      </c>
      <c r="P232" s="189" t="s">
        <v>968</v>
      </c>
      <c r="Q232" s="189" t="s">
        <v>253</v>
      </c>
      <c r="R232" s="189" t="s">
        <v>253</v>
      </c>
      <c r="S232" s="189" t="s">
        <v>257</v>
      </c>
      <c r="T232" s="189" t="s">
        <v>253</v>
      </c>
      <c r="U232" s="189" t="s">
        <v>253</v>
      </c>
      <c r="V232" s="189" t="s">
        <v>297</v>
      </c>
      <c r="W232" s="189" t="s">
        <v>253</v>
      </c>
      <c r="X232" s="189" t="s">
        <v>1638</v>
      </c>
      <c r="Y232" s="189" t="s">
        <v>1639</v>
      </c>
    </row>
    <row r="233" spans="1:25" x14ac:dyDescent="0.2">
      <c r="A233" s="189">
        <v>225</v>
      </c>
      <c r="B233" s="189" t="s">
        <v>1640</v>
      </c>
      <c r="C233" s="189" t="s">
        <v>253</v>
      </c>
      <c r="D233" s="189" t="s">
        <v>253</v>
      </c>
      <c r="E233" s="189" t="s">
        <v>1565</v>
      </c>
      <c r="F233" s="189" t="s">
        <v>1566</v>
      </c>
      <c r="G233" s="189" t="s">
        <v>391</v>
      </c>
      <c r="H233" s="189" t="s">
        <v>256</v>
      </c>
      <c r="I233" s="189">
        <v>5512</v>
      </c>
      <c r="J233" s="189">
        <v>574.559651887472</v>
      </c>
      <c r="K233" s="189">
        <v>409.66424776017999</v>
      </c>
      <c r="L233" s="189">
        <v>-20.37</v>
      </c>
      <c r="M233" s="189">
        <v>-6.44</v>
      </c>
      <c r="N233" s="189">
        <v>3573</v>
      </c>
      <c r="O233" s="189" t="s">
        <v>554</v>
      </c>
      <c r="P233" s="189" t="s">
        <v>555</v>
      </c>
      <c r="Q233" s="189" t="s">
        <v>253</v>
      </c>
      <c r="R233" s="189" t="s">
        <v>253</v>
      </c>
      <c r="S233" s="189" t="s">
        <v>253</v>
      </c>
      <c r="T233" s="189" t="s">
        <v>253</v>
      </c>
      <c r="U233" s="189" t="s">
        <v>253</v>
      </c>
      <c r="V233" s="189" t="s">
        <v>253</v>
      </c>
      <c r="W233" s="189" t="s">
        <v>253</v>
      </c>
      <c r="X233" s="189" t="s">
        <v>1641</v>
      </c>
      <c r="Y233" s="189" t="s">
        <v>1642</v>
      </c>
    </row>
    <row r="234" spans="1:25" x14ac:dyDescent="0.2">
      <c r="A234" s="189">
        <v>234</v>
      </c>
      <c r="B234" s="189" t="s">
        <v>1643</v>
      </c>
      <c r="C234" s="189" t="s">
        <v>253</v>
      </c>
      <c r="D234" s="189" t="s">
        <v>253</v>
      </c>
      <c r="E234" s="189" t="s">
        <v>1565</v>
      </c>
      <c r="F234" s="189" t="s">
        <v>1566</v>
      </c>
      <c r="G234" s="189" t="s">
        <v>903</v>
      </c>
      <c r="H234" s="189" t="s">
        <v>928</v>
      </c>
      <c r="I234" s="189">
        <v>3168</v>
      </c>
      <c r="J234" s="189">
        <v>779.5</v>
      </c>
      <c r="K234" s="189">
        <v>346.5</v>
      </c>
      <c r="L234" s="189">
        <v>-18.32</v>
      </c>
      <c r="M234" s="189">
        <v>0.18</v>
      </c>
      <c r="N234" s="189">
        <v>52</v>
      </c>
      <c r="O234" s="189" t="s">
        <v>913</v>
      </c>
      <c r="P234" s="189" t="s">
        <v>914</v>
      </c>
      <c r="Q234" s="189" t="s">
        <v>253</v>
      </c>
      <c r="R234" s="189" t="s">
        <v>259</v>
      </c>
      <c r="S234" s="189" t="s">
        <v>257</v>
      </c>
      <c r="T234" s="189" t="s">
        <v>253</v>
      </c>
      <c r="U234" s="189" t="s">
        <v>253</v>
      </c>
      <c r="V234" s="189" t="s">
        <v>253</v>
      </c>
      <c r="W234" s="189" t="s">
        <v>253</v>
      </c>
      <c r="X234" s="189" t="s">
        <v>1644</v>
      </c>
      <c r="Y234" s="189" t="s">
        <v>1645</v>
      </c>
    </row>
    <row r="235" spans="1:25" x14ac:dyDescent="0.2">
      <c r="A235" s="189">
        <v>244</v>
      </c>
      <c r="B235" s="189" t="s">
        <v>1646</v>
      </c>
      <c r="C235" s="189" t="s">
        <v>253</v>
      </c>
      <c r="D235" s="189" t="s">
        <v>253</v>
      </c>
      <c r="E235" s="189" t="s">
        <v>1565</v>
      </c>
      <c r="F235" s="189" t="s">
        <v>1566</v>
      </c>
      <c r="G235" s="189" t="s">
        <v>903</v>
      </c>
      <c r="H235" s="189" t="s">
        <v>928</v>
      </c>
      <c r="I235" s="189">
        <v>1633</v>
      </c>
      <c r="J235" s="189">
        <v>606.12669264556905</v>
      </c>
      <c r="K235" s="189">
        <v>355.949677789558</v>
      </c>
      <c r="L235" s="189">
        <v>-18.63</v>
      </c>
      <c r="M235" s="189">
        <v>-5.42</v>
      </c>
      <c r="N235" s="189">
        <v>118</v>
      </c>
      <c r="O235" s="189" t="s">
        <v>913</v>
      </c>
      <c r="P235" s="189" t="s">
        <v>914</v>
      </c>
      <c r="Q235" s="189" t="s">
        <v>253</v>
      </c>
      <c r="R235" s="189" t="s">
        <v>253</v>
      </c>
      <c r="S235" s="189" t="s">
        <v>253</v>
      </c>
      <c r="T235" s="189" t="s">
        <v>253</v>
      </c>
      <c r="U235" s="189" t="s">
        <v>253</v>
      </c>
      <c r="V235" s="189" t="s">
        <v>297</v>
      </c>
      <c r="W235" s="189" t="s">
        <v>253</v>
      </c>
      <c r="X235" s="189" t="s">
        <v>1647</v>
      </c>
      <c r="Y235" s="189" t="s">
        <v>1648</v>
      </c>
    </row>
    <row r="236" spans="1:25" x14ac:dyDescent="0.2">
      <c r="A236" s="189">
        <v>250</v>
      </c>
      <c r="B236" s="189" t="s">
        <v>1649</v>
      </c>
      <c r="C236" s="189" t="s">
        <v>253</v>
      </c>
      <c r="D236" s="189" t="s">
        <v>253</v>
      </c>
      <c r="E236" s="189" t="s">
        <v>1565</v>
      </c>
      <c r="F236" s="189" t="s">
        <v>1566</v>
      </c>
      <c r="G236" s="189" t="s">
        <v>903</v>
      </c>
      <c r="H236" s="189" t="s">
        <v>521</v>
      </c>
      <c r="I236" s="189">
        <v>4594</v>
      </c>
      <c r="J236" s="189">
        <v>490.32897839730799</v>
      </c>
      <c r="K236" s="189">
        <v>13.2857526182742</v>
      </c>
      <c r="L236" s="189">
        <v>-7.53</v>
      </c>
      <c r="M236" s="189">
        <v>-9.16</v>
      </c>
      <c r="N236" s="189">
        <v>738</v>
      </c>
      <c r="O236" s="189" t="s">
        <v>987</v>
      </c>
      <c r="P236" s="189" t="s">
        <v>988</v>
      </c>
      <c r="Q236" s="189" t="s">
        <v>253</v>
      </c>
      <c r="R236" s="189" t="s">
        <v>253</v>
      </c>
      <c r="S236" s="189" t="s">
        <v>253</v>
      </c>
      <c r="T236" s="189" t="s">
        <v>253</v>
      </c>
      <c r="U236" s="189" t="s">
        <v>253</v>
      </c>
      <c r="V236" s="189" t="s">
        <v>253</v>
      </c>
      <c r="W236" s="189" t="s">
        <v>253</v>
      </c>
      <c r="X236" s="189" t="s">
        <v>1650</v>
      </c>
      <c r="Y236" s="189" t="s">
        <v>1651</v>
      </c>
    </row>
    <row r="237" spans="1:25" x14ac:dyDescent="0.2">
      <c r="A237" s="189">
        <v>257</v>
      </c>
      <c r="B237" s="189" t="s">
        <v>1652</v>
      </c>
      <c r="C237" s="189" t="s">
        <v>253</v>
      </c>
      <c r="D237" s="189" t="s">
        <v>253</v>
      </c>
      <c r="E237" s="189" t="s">
        <v>1565</v>
      </c>
      <c r="F237" s="189" t="s">
        <v>1566</v>
      </c>
      <c r="G237" s="189" t="s">
        <v>903</v>
      </c>
      <c r="H237" s="189" t="s">
        <v>521</v>
      </c>
      <c r="I237" s="189">
        <v>1775</v>
      </c>
      <c r="J237" s="189">
        <v>429.64708377107598</v>
      </c>
      <c r="K237" s="189">
        <v>107.072170259009</v>
      </c>
      <c r="L237" s="189">
        <v>-10.57</v>
      </c>
      <c r="M237" s="189">
        <v>-11.12</v>
      </c>
      <c r="N237" s="189">
        <v>266</v>
      </c>
      <c r="O237" s="189" t="s">
        <v>956</v>
      </c>
      <c r="P237" s="189" t="s">
        <v>957</v>
      </c>
      <c r="Q237" s="189" t="s">
        <v>253</v>
      </c>
      <c r="R237" s="189" t="s">
        <v>253</v>
      </c>
      <c r="S237" s="189" t="s">
        <v>253</v>
      </c>
      <c r="T237" s="189" t="s">
        <v>253</v>
      </c>
      <c r="U237" s="189" t="s">
        <v>253</v>
      </c>
      <c r="V237" s="189" t="s">
        <v>297</v>
      </c>
      <c r="W237" s="189" t="s">
        <v>253</v>
      </c>
      <c r="X237" s="189" t="s">
        <v>1653</v>
      </c>
      <c r="Y237" s="189" t="s">
        <v>1654</v>
      </c>
    </row>
    <row r="238" spans="1:25" x14ac:dyDescent="0.2">
      <c r="A238" s="189">
        <v>270</v>
      </c>
      <c r="B238" s="189" t="s">
        <v>1655</v>
      </c>
      <c r="C238" s="189" t="s">
        <v>253</v>
      </c>
      <c r="D238" s="189" t="s">
        <v>253</v>
      </c>
      <c r="E238" s="189" t="s">
        <v>1565</v>
      </c>
      <c r="F238" s="189" t="s">
        <v>1566</v>
      </c>
      <c r="G238" s="189" t="s">
        <v>391</v>
      </c>
      <c r="H238" s="189" t="s">
        <v>256</v>
      </c>
      <c r="I238" s="189">
        <v>11330</v>
      </c>
      <c r="J238" s="189">
        <v>491.59399544371797</v>
      </c>
      <c r="K238" s="189">
        <v>480.07704274340801</v>
      </c>
      <c r="L238" s="189">
        <v>-22.65</v>
      </c>
      <c r="M238" s="189">
        <v>-9.1199999999999992</v>
      </c>
      <c r="N238" s="189">
        <v>948</v>
      </c>
      <c r="O238" s="189" t="s">
        <v>568</v>
      </c>
      <c r="P238" s="189" t="s">
        <v>569</v>
      </c>
      <c r="Q238" s="189" t="s">
        <v>253</v>
      </c>
      <c r="R238" s="189" t="s">
        <v>253</v>
      </c>
      <c r="S238" s="189" t="s">
        <v>253</v>
      </c>
      <c r="T238" s="189" t="s">
        <v>261</v>
      </c>
      <c r="U238" s="189" t="s">
        <v>258</v>
      </c>
      <c r="V238" s="189" t="s">
        <v>253</v>
      </c>
      <c r="W238" s="189" t="s">
        <v>253</v>
      </c>
      <c r="X238" s="189" t="s">
        <v>1656</v>
      </c>
      <c r="Y238" s="189" t="s">
        <v>1657</v>
      </c>
    </row>
    <row r="239" spans="1:25" x14ac:dyDescent="0.2">
      <c r="A239" s="189">
        <v>279</v>
      </c>
      <c r="B239" s="189" t="s">
        <v>1658</v>
      </c>
      <c r="C239" s="189" t="s">
        <v>253</v>
      </c>
      <c r="D239" s="189" t="s">
        <v>253</v>
      </c>
      <c r="E239" s="189" t="s">
        <v>1565</v>
      </c>
      <c r="F239" s="189" t="s">
        <v>1566</v>
      </c>
      <c r="G239" s="189" t="s">
        <v>903</v>
      </c>
      <c r="H239" s="189" t="s">
        <v>928</v>
      </c>
      <c r="I239" s="189">
        <v>31322</v>
      </c>
      <c r="J239" s="189">
        <v>644.21343664285496</v>
      </c>
      <c r="K239" s="189">
        <v>379.51791845420399</v>
      </c>
      <c r="L239" s="189">
        <v>-19.39</v>
      </c>
      <c r="M239" s="189">
        <v>-4.1900000000000004</v>
      </c>
      <c r="N239" s="189">
        <v>52</v>
      </c>
      <c r="O239" s="189" t="s">
        <v>967</v>
      </c>
      <c r="P239" s="189" t="s">
        <v>968</v>
      </c>
      <c r="Q239" s="189" t="s">
        <v>253</v>
      </c>
      <c r="R239" s="189" t="s">
        <v>253</v>
      </c>
      <c r="S239" s="189" t="s">
        <v>257</v>
      </c>
      <c r="T239" s="189" t="s">
        <v>261</v>
      </c>
      <c r="U239" s="189" t="s">
        <v>258</v>
      </c>
      <c r="V239" s="189" t="s">
        <v>253</v>
      </c>
      <c r="W239" s="189" t="s">
        <v>266</v>
      </c>
      <c r="X239" s="189" t="s">
        <v>1659</v>
      </c>
      <c r="Y239" s="189" t="s">
        <v>1660</v>
      </c>
    </row>
    <row r="240" spans="1:25" x14ac:dyDescent="0.2">
      <c r="A240" s="189">
        <v>290</v>
      </c>
      <c r="B240" s="189" t="s">
        <v>1661</v>
      </c>
      <c r="C240" s="189" t="s">
        <v>253</v>
      </c>
      <c r="D240" s="189" t="s">
        <v>253</v>
      </c>
      <c r="E240" s="189" t="s">
        <v>1565</v>
      </c>
      <c r="F240" s="189" t="s">
        <v>1566</v>
      </c>
      <c r="G240" s="189" t="s">
        <v>395</v>
      </c>
      <c r="H240" s="189" t="s">
        <v>928</v>
      </c>
      <c r="I240" s="189">
        <v>8824</v>
      </c>
      <c r="J240" s="189">
        <v>666.69181646751701</v>
      </c>
      <c r="K240" s="189">
        <v>274.24903839221298</v>
      </c>
      <c r="L240" s="189">
        <v>-15.98</v>
      </c>
      <c r="M240" s="189">
        <v>-3.47</v>
      </c>
      <c r="N240" s="189">
        <v>161</v>
      </c>
      <c r="O240" s="189" t="s">
        <v>918</v>
      </c>
      <c r="P240" s="189" t="s">
        <v>919</v>
      </c>
      <c r="Q240" s="189" t="s">
        <v>253</v>
      </c>
      <c r="R240" s="189" t="s">
        <v>253</v>
      </c>
      <c r="S240" s="189" t="s">
        <v>253</v>
      </c>
      <c r="T240" s="189" t="s">
        <v>253</v>
      </c>
      <c r="U240" s="189" t="s">
        <v>253</v>
      </c>
      <c r="V240" s="189" t="s">
        <v>297</v>
      </c>
      <c r="W240" s="189" t="s">
        <v>253</v>
      </c>
      <c r="X240" s="189" t="s">
        <v>1662</v>
      </c>
      <c r="Y240" s="189" t="s">
        <v>1663</v>
      </c>
    </row>
    <row r="241" spans="1:25" x14ac:dyDescent="0.2">
      <c r="A241" s="189">
        <v>291</v>
      </c>
      <c r="B241" s="189" t="s">
        <v>1664</v>
      </c>
      <c r="C241" s="189" t="s">
        <v>253</v>
      </c>
      <c r="D241" s="189" t="s">
        <v>253</v>
      </c>
      <c r="E241" s="189" t="s">
        <v>1565</v>
      </c>
      <c r="F241" s="189" t="s">
        <v>1566</v>
      </c>
      <c r="G241" s="189" t="s">
        <v>903</v>
      </c>
      <c r="H241" s="189" t="s">
        <v>928</v>
      </c>
      <c r="I241" s="189">
        <v>8304</v>
      </c>
      <c r="J241" s="189">
        <v>520.45584590256999</v>
      </c>
      <c r="K241" s="189">
        <v>310.40906411881298</v>
      </c>
      <c r="L241" s="189">
        <v>-17.149999999999999</v>
      </c>
      <c r="M241" s="189">
        <v>-8.19</v>
      </c>
      <c r="N241" s="189">
        <v>554</v>
      </c>
      <c r="O241" s="189" t="s">
        <v>967</v>
      </c>
      <c r="P241" s="189" t="s">
        <v>968</v>
      </c>
      <c r="Q241" s="189" t="s">
        <v>253</v>
      </c>
      <c r="R241" s="189" t="s">
        <v>253</v>
      </c>
      <c r="S241" s="189" t="s">
        <v>253</v>
      </c>
      <c r="T241" s="189" t="s">
        <v>253</v>
      </c>
      <c r="U241" s="189" t="s">
        <v>253</v>
      </c>
      <c r="V241" s="189" t="s">
        <v>297</v>
      </c>
      <c r="W241" s="189" t="s">
        <v>253</v>
      </c>
      <c r="X241" s="189" t="s">
        <v>1665</v>
      </c>
      <c r="Y241" s="189" t="s">
        <v>1666</v>
      </c>
    </row>
    <row r="242" spans="1:25" x14ac:dyDescent="0.2">
      <c r="A242" s="189">
        <v>301</v>
      </c>
      <c r="B242" s="189" t="s">
        <v>1667</v>
      </c>
      <c r="C242" s="189" t="s">
        <v>253</v>
      </c>
      <c r="D242" s="189" t="s">
        <v>253</v>
      </c>
      <c r="E242" s="189" t="s">
        <v>1565</v>
      </c>
      <c r="F242" s="189" t="s">
        <v>1566</v>
      </c>
      <c r="G242" s="189" t="s">
        <v>903</v>
      </c>
      <c r="H242" s="189" t="s">
        <v>928</v>
      </c>
      <c r="I242" s="189">
        <v>2927</v>
      </c>
      <c r="J242" s="189">
        <v>581.29343493451404</v>
      </c>
      <c r="K242" s="189">
        <v>337.61666151697602</v>
      </c>
      <c r="L242" s="189">
        <v>-18.03</v>
      </c>
      <c r="M242" s="189">
        <v>-6.22</v>
      </c>
      <c r="N242" s="189">
        <v>738</v>
      </c>
      <c r="O242" s="189" t="s">
        <v>967</v>
      </c>
      <c r="P242" s="189" t="s">
        <v>968</v>
      </c>
      <c r="Q242" s="189" t="s">
        <v>253</v>
      </c>
      <c r="R242" s="189" t="s">
        <v>253</v>
      </c>
      <c r="S242" s="189" t="s">
        <v>257</v>
      </c>
      <c r="T242" s="189" t="s">
        <v>261</v>
      </c>
      <c r="U242" s="189" t="s">
        <v>253</v>
      </c>
      <c r="V242" s="189" t="s">
        <v>297</v>
      </c>
      <c r="W242" s="189" t="s">
        <v>253</v>
      </c>
      <c r="X242" s="189" t="s">
        <v>1668</v>
      </c>
      <c r="Y242" s="189" t="s">
        <v>1669</v>
      </c>
    </row>
    <row r="243" spans="1:25" x14ac:dyDescent="0.2">
      <c r="A243" s="189">
        <v>302</v>
      </c>
      <c r="B243" s="189" t="s">
        <v>1670</v>
      </c>
      <c r="C243" s="189" t="s">
        <v>253</v>
      </c>
      <c r="D243" s="189" t="s">
        <v>253</v>
      </c>
      <c r="E243" s="189" t="s">
        <v>1565</v>
      </c>
      <c r="F243" s="189" t="s">
        <v>1566</v>
      </c>
      <c r="G243" s="189" t="s">
        <v>903</v>
      </c>
      <c r="H243" s="189" t="s">
        <v>928</v>
      </c>
      <c r="I243" s="189">
        <v>15392</v>
      </c>
      <c r="J243" s="189">
        <v>258.77247350221302</v>
      </c>
      <c r="K243" s="189">
        <v>366.10873776226202</v>
      </c>
      <c r="L243" s="189">
        <v>-18.95</v>
      </c>
      <c r="M243" s="189">
        <v>-16.64</v>
      </c>
      <c r="N243" s="189">
        <v>52</v>
      </c>
      <c r="O243" s="189" t="s">
        <v>967</v>
      </c>
      <c r="P243" s="189" t="s">
        <v>968</v>
      </c>
      <c r="Q243" s="189" t="s">
        <v>253</v>
      </c>
      <c r="R243" s="189" t="s">
        <v>253</v>
      </c>
      <c r="S243" s="189" t="s">
        <v>257</v>
      </c>
      <c r="T243" s="189" t="s">
        <v>253</v>
      </c>
      <c r="U243" s="189" t="s">
        <v>258</v>
      </c>
      <c r="V243" s="189" t="s">
        <v>297</v>
      </c>
      <c r="W243" s="189" t="s">
        <v>253</v>
      </c>
      <c r="X243" s="189" t="s">
        <v>1671</v>
      </c>
      <c r="Y243" s="189" t="s">
        <v>1672</v>
      </c>
    </row>
    <row r="244" spans="1:25" x14ac:dyDescent="0.2">
      <c r="A244" s="189">
        <v>311</v>
      </c>
      <c r="B244" s="189" t="s">
        <v>1673</v>
      </c>
      <c r="C244" s="189" t="s">
        <v>253</v>
      </c>
      <c r="D244" s="189" t="s">
        <v>253</v>
      </c>
      <c r="E244" s="189" t="s">
        <v>1565</v>
      </c>
      <c r="F244" s="189" t="s">
        <v>1566</v>
      </c>
      <c r="G244" s="189" t="s">
        <v>903</v>
      </c>
      <c r="H244" s="189" t="s">
        <v>928</v>
      </c>
      <c r="I244" s="189">
        <v>2686</v>
      </c>
      <c r="J244" s="189">
        <v>296.5</v>
      </c>
      <c r="K244" s="189">
        <v>295</v>
      </c>
      <c r="L244" s="189">
        <v>-16.649999999999999</v>
      </c>
      <c r="M244" s="189">
        <v>-15.42</v>
      </c>
      <c r="N244" s="189">
        <v>118</v>
      </c>
      <c r="O244" s="189" t="s">
        <v>918</v>
      </c>
      <c r="P244" s="189" t="s">
        <v>919</v>
      </c>
      <c r="Q244" s="189" t="s">
        <v>253</v>
      </c>
      <c r="R244" s="189" t="s">
        <v>259</v>
      </c>
      <c r="S244" s="189" t="s">
        <v>257</v>
      </c>
      <c r="T244" s="189" t="s">
        <v>253</v>
      </c>
      <c r="U244" s="189" t="s">
        <v>253</v>
      </c>
      <c r="V244" s="189" t="s">
        <v>297</v>
      </c>
      <c r="W244" s="189" t="s">
        <v>253</v>
      </c>
      <c r="X244" s="189" t="s">
        <v>1674</v>
      </c>
      <c r="Y244" s="189" t="s">
        <v>1675</v>
      </c>
    </row>
    <row r="245" spans="1:25" x14ac:dyDescent="0.2">
      <c r="A245" s="189">
        <v>313</v>
      </c>
      <c r="B245" s="189" t="s">
        <v>1067</v>
      </c>
      <c r="C245" s="189" t="s">
        <v>253</v>
      </c>
      <c r="D245" s="189" t="s">
        <v>253</v>
      </c>
      <c r="E245" s="189" t="s">
        <v>1565</v>
      </c>
      <c r="F245" s="189" t="s">
        <v>1566</v>
      </c>
      <c r="G245" s="189" t="s">
        <v>903</v>
      </c>
      <c r="H245" s="189" t="s">
        <v>928</v>
      </c>
      <c r="I245" s="189">
        <v>1829</v>
      </c>
      <c r="J245" s="189">
        <v>403.84073602432102</v>
      </c>
      <c r="K245" s="189">
        <v>427.25771560562998</v>
      </c>
      <c r="L245" s="189">
        <v>-20.94</v>
      </c>
      <c r="M245" s="189">
        <v>-11.96</v>
      </c>
      <c r="N245" s="189">
        <v>82</v>
      </c>
      <c r="O245" s="189" t="s">
        <v>945</v>
      </c>
      <c r="P245" s="189" t="s">
        <v>946</v>
      </c>
      <c r="Q245" s="189" t="s">
        <v>253</v>
      </c>
      <c r="R245" s="189" t="s">
        <v>253</v>
      </c>
      <c r="S245" s="189" t="s">
        <v>257</v>
      </c>
      <c r="T245" s="189" t="s">
        <v>261</v>
      </c>
      <c r="U245" s="189" t="s">
        <v>253</v>
      </c>
      <c r="V245" s="189" t="s">
        <v>297</v>
      </c>
      <c r="W245" s="189" t="s">
        <v>253</v>
      </c>
      <c r="X245" s="189" t="s">
        <v>853</v>
      </c>
      <c r="Y245" s="189" t="s">
        <v>1676</v>
      </c>
    </row>
    <row r="246" spans="1:25" x14ac:dyDescent="0.2">
      <c r="A246" s="189">
        <v>324</v>
      </c>
      <c r="B246" s="189" t="s">
        <v>1677</v>
      </c>
      <c r="C246" s="189" t="s">
        <v>253</v>
      </c>
      <c r="D246" s="189" t="s">
        <v>253</v>
      </c>
      <c r="E246" s="189" t="s">
        <v>1565</v>
      </c>
      <c r="F246" s="189" t="s">
        <v>1566</v>
      </c>
      <c r="G246" s="189" t="s">
        <v>903</v>
      </c>
      <c r="H246" s="189" t="s">
        <v>521</v>
      </c>
      <c r="I246" s="189">
        <v>5704</v>
      </c>
      <c r="J246" s="189">
        <v>589.91501265081297</v>
      </c>
      <c r="K246" s="189">
        <v>138.91167622710199</v>
      </c>
      <c r="L246" s="189">
        <v>-11.6</v>
      </c>
      <c r="M246" s="189">
        <v>-5.95</v>
      </c>
      <c r="N246" s="189">
        <v>840</v>
      </c>
      <c r="O246" s="189" t="s">
        <v>904</v>
      </c>
      <c r="P246" s="189" t="s">
        <v>905</v>
      </c>
      <c r="Q246" s="189" t="s">
        <v>253</v>
      </c>
      <c r="R246" s="189" t="s">
        <v>253</v>
      </c>
      <c r="S246" s="189" t="s">
        <v>253</v>
      </c>
      <c r="T246" s="189" t="s">
        <v>253</v>
      </c>
      <c r="U246" s="189" t="s">
        <v>258</v>
      </c>
      <c r="V246" s="189" t="s">
        <v>253</v>
      </c>
      <c r="W246" s="189" t="s">
        <v>253</v>
      </c>
      <c r="X246" s="189" t="s">
        <v>1678</v>
      </c>
      <c r="Y246" s="189" t="s">
        <v>1679</v>
      </c>
    </row>
    <row r="247" spans="1:25" x14ac:dyDescent="0.2">
      <c r="A247" s="189">
        <v>325</v>
      </c>
      <c r="B247" s="189" t="s">
        <v>1680</v>
      </c>
      <c r="C247" s="189" t="s">
        <v>253</v>
      </c>
      <c r="D247" s="189" t="s">
        <v>253</v>
      </c>
      <c r="E247" s="189" t="s">
        <v>1565</v>
      </c>
      <c r="F247" s="189" t="s">
        <v>1566</v>
      </c>
      <c r="G247" s="189" t="s">
        <v>903</v>
      </c>
      <c r="H247" s="189" t="s">
        <v>928</v>
      </c>
      <c r="I247" s="189">
        <v>1639</v>
      </c>
      <c r="J247" s="189">
        <v>358.70882016857001</v>
      </c>
      <c r="K247" s="189">
        <v>391.33123148759802</v>
      </c>
      <c r="L247" s="189">
        <v>-19.77</v>
      </c>
      <c r="M247" s="189">
        <v>-13.41</v>
      </c>
      <c r="N247" s="189">
        <v>1736</v>
      </c>
      <c r="O247" s="189" t="s">
        <v>568</v>
      </c>
      <c r="P247" s="189" t="s">
        <v>569</v>
      </c>
      <c r="Q247" s="189" t="s">
        <v>253</v>
      </c>
      <c r="R247" s="189" t="s">
        <v>253</v>
      </c>
      <c r="S247" s="189" t="s">
        <v>257</v>
      </c>
      <c r="T247" s="189" t="s">
        <v>253</v>
      </c>
      <c r="U247" s="189" t="s">
        <v>258</v>
      </c>
      <c r="V247" s="189" t="s">
        <v>297</v>
      </c>
      <c r="W247" s="189" t="s">
        <v>253</v>
      </c>
      <c r="X247" s="189" t="s">
        <v>1681</v>
      </c>
      <c r="Y247" s="189" t="s">
        <v>1682</v>
      </c>
    </row>
    <row r="248" spans="1:25" x14ac:dyDescent="0.2">
      <c r="A248" s="189">
        <v>343</v>
      </c>
      <c r="B248" s="189" t="s">
        <v>1683</v>
      </c>
      <c r="C248" s="189" t="s">
        <v>253</v>
      </c>
      <c r="D248" s="189" t="s">
        <v>253</v>
      </c>
      <c r="E248" s="189" t="s">
        <v>1565</v>
      </c>
      <c r="F248" s="189" t="s">
        <v>1566</v>
      </c>
      <c r="G248" s="189" t="s">
        <v>903</v>
      </c>
      <c r="H248" s="189" t="s">
        <v>521</v>
      </c>
      <c r="I248" s="189">
        <v>9502</v>
      </c>
      <c r="J248" s="189">
        <v>542.70068411866498</v>
      </c>
      <c r="K248" s="189">
        <v>95.998405652746698</v>
      </c>
      <c r="L248" s="189">
        <v>-10.210000000000001</v>
      </c>
      <c r="M248" s="189">
        <v>-7.47</v>
      </c>
      <c r="N248" s="189">
        <v>30</v>
      </c>
      <c r="O248" s="189" t="s">
        <v>956</v>
      </c>
      <c r="P248" s="189" t="s">
        <v>957</v>
      </c>
      <c r="Q248" s="189" t="s">
        <v>253</v>
      </c>
      <c r="R248" s="189" t="s">
        <v>253</v>
      </c>
      <c r="S248" s="189" t="s">
        <v>257</v>
      </c>
      <c r="T248" s="189" t="s">
        <v>261</v>
      </c>
      <c r="U248" s="189" t="s">
        <v>253</v>
      </c>
      <c r="V248" s="189" t="s">
        <v>297</v>
      </c>
      <c r="W248" s="189" t="s">
        <v>253</v>
      </c>
      <c r="X248" s="189" t="s">
        <v>1684</v>
      </c>
      <c r="Y248" s="189" t="s">
        <v>1685</v>
      </c>
    </row>
    <row r="249" spans="1:25" x14ac:dyDescent="0.2">
      <c r="A249" s="189">
        <v>361</v>
      </c>
      <c r="B249" s="189" t="s">
        <v>1686</v>
      </c>
      <c r="C249" s="189" t="s">
        <v>253</v>
      </c>
      <c r="D249" s="189" t="s">
        <v>253</v>
      </c>
      <c r="E249" s="189" t="s">
        <v>1565</v>
      </c>
      <c r="F249" s="189" t="s">
        <v>1566</v>
      </c>
      <c r="G249" s="189" t="s">
        <v>903</v>
      </c>
      <c r="H249" s="189" t="s">
        <v>928</v>
      </c>
      <c r="I249" s="189">
        <v>22035</v>
      </c>
      <c r="J249" s="189">
        <v>277</v>
      </c>
      <c r="K249" s="189">
        <v>288.5</v>
      </c>
      <c r="L249" s="189">
        <v>-16.440000000000001</v>
      </c>
      <c r="M249" s="189">
        <v>-16.05</v>
      </c>
      <c r="N249" s="189">
        <v>82</v>
      </c>
      <c r="O249" s="189" t="s">
        <v>918</v>
      </c>
      <c r="P249" s="189" t="s">
        <v>919</v>
      </c>
      <c r="Q249" s="189" t="s">
        <v>253</v>
      </c>
      <c r="R249" s="189" t="s">
        <v>259</v>
      </c>
      <c r="S249" s="189" t="s">
        <v>253</v>
      </c>
      <c r="T249" s="189" t="s">
        <v>261</v>
      </c>
      <c r="U249" s="189" t="s">
        <v>253</v>
      </c>
      <c r="V249" s="189" t="s">
        <v>297</v>
      </c>
      <c r="W249" s="189" t="s">
        <v>266</v>
      </c>
      <c r="X249" s="189" t="s">
        <v>1687</v>
      </c>
      <c r="Y249" s="189" t="s">
        <v>1688</v>
      </c>
    </row>
    <row r="250" spans="1:25" x14ac:dyDescent="0.2">
      <c r="A250" s="189">
        <v>363</v>
      </c>
      <c r="B250" s="189" t="s">
        <v>1689</v>
      </c>
      <c r="C250" s="189" t="s">
        <v>253</v>
      </c>
      <c r="D250" s="189" t="s">
        <v>253</v>
      </c>
      <c r="E250" s="189" t="s">
        <v>1565</v>
      </c>
      <c r="F250" s="189" t="s">
        <v>1566</v>
      </c>
      <c r="G250" s="189" t="s">
        <v>903</v>
      </c>
      <c r="H250" s="189" t="s">
        <v>928</v>
      </c>
      <c r="I250" s="189">
        <v>6964</v>
      </c>
      <c r="J250" s="189">
        <v>433.875</v>
      </c>
      <c r="K250" s="189">
        <v>314</v>
      </c>
      <c r="L250" s="189">
        <v>-17.27</v>
      </c>
      <c r="M250" s="189">
        <v>-10.99</v>
      </c>
      <c r="N250" s="189">
        <v>13</v>
      </c>
      <c r="O250" s="189" t="s">
        <v>913</v>
      </c>
      <c r="P250" s="189" t="s">
        <v>914</v>
      </c>
      <c r="Q250" s="189" t="s">
        <v>253</v>
      </c>
      <c r="R250" s="189" t="s">
        <v>259</v>
      </c>
      <c r="S250" s="189" t="s">
        <v>257</v>
      </c>
      <c r="T250" s="189" t="s">
        <v>253</v>
      </c>
      <c r="U250" s="189" t="s">
        <v>253</v>
      </c>
      <c r="V250" s="189" t="s">
        <v>297</v>
      </c>
      <c r="W250" s="189" t="s">
        <v>253</v>
      </c>
      <c r="X250" s="189" t="s">
        <v>1690</v>
      </c>
      <c r="Y250" s="189" t="s">
        <v>1691</v>
      </c>
    </row>
    <row r="251" spans="1:25" x14ac:dyDescent="0.2">
      <c r="A251" s="189">
        <v>364</v>
      </c>
      <c r="B251" s="189" t="s">
        <v>1692</v>
      </c>
      <c r="C251" s="189" t="s">
        <v>253</v>
      </c>
      <c r="D251" s="189" t="s">
        <v>253</v>
      </c>
      <c r="E251" s="189" t="s">
        <v>1565</v>
      </c>
      <c r="F251" s="189" t="s">
        <v>1566</v>
      </c>
      <c r="G251" s="189" t="s">
        <v>903</v>
      </c>
      <c r="H251" s="189" t="s">
        <v>928</v>
      </c>
      <c r="I251" s="189">
        <v>25862</v>
      </c>
      <c r="J251" s="189">
        <v>625.65</v>
      </c>
      <c r="K251" s="189">
        <v>366.12</v>
      </c>
      <c r="L251" s="189">
        <v>-18.96</v>
      </c>
      <c r="M251" s="189">
        <v>-4.79</v>
      </c>
      <c r="N251" s="189">
        <v>118</v>
      </c>
      <c r="O251" s="189" t="s">
        <v>967</v>
      </c>
      <c r="P251" s="189" t="s">
        <v>968</v>
      </c>
      <c r="Q251" s="189" t="s">
        <v>253</v>
      </c>
      <c r="R251" s="189" t="s">
        <v>253</v>
      </c>
      <c r="S251" s="189" t="s">
        <v>257</v>
      </c>
      <c r="T251" s="189" t="s">
        <v>261</v>
      </c>
      <c r="U251" s="189" t="s">
        <v>258</v>
      </c>
      <c r="V251" s="189" t="s">
        <v>297</v>
      </c>
      <c r="W251" s="189" t="s">
        <v>253</v>
      </c>
      <c r="X251" s="189" t="s">
        <v>1693</v>
      </c>
      <c r="Y251" s="189" t="s">
        <v>1694</v>
      </c>
    </row>
    <row r="252" spans="1:25" x14ac:dyDescent="0.2">
      <c r="A252" s="189">
        <v>366</v>
      </c>
      <c r="B252" s="189" t="s">
        <v>1695</v>
      </c>
      <c r="C252" s="189" t="s">
        <v>253</v>
      </c>
      <c r="D252" s="189" t="s">
        <v>253</v>
      </c>
      <c r="E252" s="189" t="s">
        <v>1565</v>
      </c>
      <c r="F252" s="189" t="s">
        <v>1566</v>
      </c>
      <c r="G252" s="189" t="s">
        <v>903</v>
      </c>
      <c r="H252" s="189" t="s">
        <v>928</v>
      </c>
      <c r="I252" s="189">
        <v>8328</v>
      </c>
      <c r="J252" s="189">
        <v>355.5</v>
      </c>
      <c r="K252" s="189">
        <v>406.5</v>
      </c>
      <c r="L252" s="189">
        <v>-20.260000000000002</v>
      </c>
      <c r="M252" s="189">
        <v>-13.52</v>
      </c>
      <c r="N252" s="189">
        <v>118</v>
      </c>
      <c r="O252" s="189" t="s">
        <v>967</v>
      </c>
      <c r="P252" s="189" t="s">
        <v>968</v>
      </c>
      <c r="Q252" s="189" t="s">
        <v>253</v>
      </c>
      <c r="R252" s="189" t="s">
        <v>259</v>
      </c>
      <c r="S252" s="189" t="s">
        <v>253</v>
      </c>
      <c r="T252" s="189" t="s">
        <v>253</v>
      </c>
      <c r="U252" s="189" t="s">
        <v>253</v>
      </c>
      <c r="V252" s="189" t="s">
        <v>297</v>
      </c>
      <c r="W252" s="189" t="s">
        <v>253</v>
      </c>
      <c r="X252" s="189" t="s">
        <v>1696</v>
      </c>
      <c r="Y252" s="189" t="s">
        <v>1697</v>
      </c>
    </row>
    <row r="253" spans="1:25" x14ac:dyDescent="0.2">
      <c r="A253" s="189">
        <v>374</v>
      </c>
      <c r="B253" s="189" t="s">
        <v>1698</v>
      </c>
      <c r="C253" s="189" t="s">
        <v>253</v>
      </c>
      <c r="D253" s="189" t="s">
        <v>253</v>
      </c>
      <c r="E253" s="189" t="s">
        <v>1565</v>
      </c>
      <c r="F253" s="189" t="s">
        <v>1566</v>
      </c>
      <c r="G253" s="189" t="s">
        <v>903</v>
      </c>
      <c r="H253" s="189" t="s">
        <v>521</v>
      </c>
      <c r="I253" s="189">
        <v>4414</v>
      </c>
      <c r="J253" s="189">
        <v>633.29999999999995</v>
      </c>
      <c r="K253" s="189">
        <v>149.69999999999999</v>
      </c>
      <c r="L253" s="189">
        <v>-11.95</v>
      </c>
      <c r="M253" s="189">
        <v>-4.54</v>
      </c>
      <c r="N253" s="189">
        <v>161</v>
      </c>
      <c r="O253" s="189" t="s">
        <v>1086</v>
      </c>
      <c r="P253" s="189" t="s">
        <v>1087</v>
      </c>
      <c r="Q253" s="189" t="s">
        <v>253</v>
      </c>
      <c r="R253" s="189" t="s">
        <v>253</v>
      </c>
      <c r="S253" s="189" t="s">
        <v>257</v>
      </c>
      <c r="T253" s="189" t="s">
        <v>253</v>
      </c>
      <c r="U253" s="189" t="s">
        <v>253</v>
      </c>
      <c r="V253" s="189" t="s">
        <v>253</v>
      </c>
      <c r="W253" s="189" t="s">
        <v>253</v>
      </c>
      <c r="X253" s="189" t="s">
        <v>1699</v>
      </c>
      <c r="Y253" s="189" t="s">
        <v>1700</v>
      </c>
    </row>
    <row r="254" spans="1:25" x14ac:dyDescent="0.2">
      <c r="A254" s="189">
        <v>389</v>
      </c>
      <c r="B254" s="189" t="s">
        <v>1701</v>
      </c>
      <c r="C254" s="189" t="s">
        <v>253</v>
      </c>
      <c r="D254" s="189" t="s">
        <v>253</v>
      </c>
      <c r="E254" s="189" t="s">
        <v>1565</v>
      </c>
      <c r="F254" s="189" t="s">
        <v>1566</v>
      </c>
      <c r="G254" s="189" t="s">
        <v>903</v>
      </c>
      <c r="H254" s="189" t="s">
        <v>928</v>
      </c>
      <c r="I254" s="189">
        <v>1753</v>
      </c>
      <c r="J254" s="189">
        <v>548.73384234000196</v>
      </c>
      <c r="K254" s="189">
        <v>222.94773171012599</v>
      </c>
      <c r="L254" s="189">
        <v>-14.32</v>
      </c>
      <c r="M254" s="189">
        <v>-7.28</v>
      </c>
      <c r="N254" s="189">
        <v>52</v>
      </c>
      <c r="O254" s="189" t="s">
        <v>929</v>
      </c>
      <c r="P254" s="189" t="s">
        <v>930</v>
      </c>
      <c r="Q254" s="189" t="s">
        <v>253</v>
      </c>
      <c r="R254" s="189" t="s">
        <v>253</v>
      </c>
      <c r="S254" s="189" t="s">
        <v>253</v>
      </c>
      <c r="T254" s="189" t="s">
        <v>253</v>
      </c>
      <c r="U254" s="189" t="s">
        <v>253</v>
      </c>
      <c r="V254" s="189" t="s">
        <v>297</v>
      </c>
      <c r="W254" s="189" t="s">
        <v>253</v>
      </c>
      <c r="X254" s="189" t="s">
        <v>1576</v>
      </c>
      <c r="Y254" s="189" t="s">
        <v>1702</v>
      </c>
    </row>
    <row r="255" spans="1:25" x14ac:dyDescent="0.2">
      <c r="A255" s="189">
        <v>391</v>
      </c>
      <c r="B255" s="189" t="s">
        <v>1703</v>
      </c>
      <c r="C255" s="189" t="s">
        <v>253</v>
      </c>
      <c r="D255" s="189" t="s">
        <v>253</v>
      </c>
      <c r="E255" s="189" t="s">
        <v>1565</v>
      </c>
      <c r="F255" s="189" t="s">
        <v>1566</v>
      </c>
      <c r="G255" s="189" t="s">
        <v>903</v>
      </c>
      <c r="H255" s="189" t="s">
        <v>928</v>
      </c>
      <c r="I255" s="189">
        <v>1850</v>
      </c>
      <c r="J255" s="189">
        <v>722.81964972667402</v>
      </c>
      <c r="K255" s="189">
        <v>232.89271187497701</v>
      </c>
      <c r="L255" s="189">
        <v>-14.64</v>
      </c>
      <c r="M255" s="189">
        <v>-1.65</v>
      </c>
      <c r="N255" s="189">
        <v>118</v>
      </c>
      <c r="O255" s="189" t="s">
        <v>929</v>
      </c>
      <c r="P255" s="189" t="s">
        <v>930</v>
      </c>
      <c r="Q255" s="189" t="s">
        <v>253</v>
      </c>
      <c r="R255" s="189" t="s">
        <v>253</v>
      </c>
      <c r="S255" s="189" t="s">
        <v>253</v>
      </c>
      <c r="T255" s="189" t="s">
        <v>253</v>
      </c>
      <c r="U255" s="189" t="s">
        <v>253</v>
      </c>
      <c r="V255" s="189" t="s">
        <v>253</v>
      </c>
      <c r="W255" s="189" t="s">
        <v>253</v>
      </c>
      <c r="X255" s="189" t="s">
        <v>1704</v>
      </c>
      <c r="Y255" s="189" t="s">
        <v>1705</v>
      </c>
    </row>
    <row r="256" spans="1:25" x14ac:dyDescent="0.2">
      <c r="A256" s="189">
        <v>392</v>
      </c>
      <c r="B256" s="189" t="s">
        <v>1706</v>
      </c>
      <c r="C256" s="189" t="s">
        <v>253</v>
      </c>
      <c r="D256" s="189" t="s">
        <v>253</v>
      </c>
      <c r="E256" s="189" t="s">
        <v>1565</v>
      </c>
      <c r="F256" s="189" t="s">
        <v>1566</v>
      </c>
      <c r="G256" s="189" t="s">
        <v>395</v>
      </c>
      <c r="H256" s="189" t="s">
        <v>928</v>
      </c>
      <c r="I256" s="189">
        <v>1814</v>
      </c>
      <c r="J256" s="189">
        <v>731.90831066010901</v>
      </c>
      <c r="K256" s="189">
        <v>268.83865779372297</v>
      </c>
      <c r="L256" s="189">
        <v>-15.81</v>
      </c>
      <c r="M256" s="189">
        <v>-1.36</v>
      </c>
      <c r="N256" s="189">
        <v>52</v>
      </c>
      <c r="O256" s="189" t="s">
        <v>918</v>
      </c>
      <c r="P256" s="189" t="s">
        <v>919</v>
      </c>
      <c r="Q256" s="189" t="s">
        <v>253</v>
      </c>
      <c r="R256" s="189" t="s">
        <v>253</v>
      </c>
      <c r="S256" s="189" t="s">
        <v>257</v>
      </c>
      <c r="T256" s="189" t="s">
        <v>253</v>
      </c>
      <c r="U256" s="189" t="s">
        <v>258</v>
      </c>
      <c r="V256" s="189" t="s">
        <v>297</v>
      </c>
      <c r="W256" s="189" t="s">
        <v>253</v>
      </c>
      <c r="X256" s="189" t="s">
        <v>1707</v>
      </c>
      <c r="Y256" s="189" t="s">
        <v>1708</v>
      </c>
    </row>
    <row r="257" spans="1:25" x14ac:dyDescent="0.2">
      <c r="A257" s="189">
        <v>406</v>
      </c>
      <c r="B257" s="189" t="s">
        <v>1709</v>
      </c>
      <c r="C257" s="189" t="s">
        <v>253</v>
      </c>
      <c r="D257" s="189" t="s">
        <v>253</v>
      </c>
      <c r="E257" s="189" t="s">
        <v>1565</v>
      </c>
      <c r="F257" s="189" t="s">
        <v>1566</v>
      </c>
      <c r="G257" s="189" t="s">
        <v>903</v>
      </c>
      <c r="H257" s="189" t="s">
        <v>928</v>
      </c>
      <c r="I257" s="189">
        <v>1793</v>
      </c>
      <c r="J257" s="189">
        <v>429.33569495965202</v>
      </c>
      <c r="K257" s="189">
        <v>191.04984033989101</v>
      </c>
      <c r="L257" s="189">
        <v>-13.29</v>
      </c>
      <c r="M257" s="189">
        <v>-11.13</v>
      </c>
      <c r="N257" s="189">
        <v>52</v>
      </c>
      <c r="O257" s="189" t="s">
        <v>904</v>
      </c>
      <c r="P257" s="189" t="s">
        <v>905</v>
      </c>
      <c r="Q257" s="189" t="s">
        <v>253</v>
      </c>
      <c r="R257" s="189" t="s">
        <v>253</v>
      </c>
      <c r="S257" s="189" t="s">
        <v>257</v>
      </c>
      <c r="T257" s="189" t="s">
        <v>253</v>
      </c>
      <c r="U257" s="189" t="s">
        <v>253</v>
      </c>
      <c r="V257" s="189" t="s">
        <v>297</v>
      </c>
      <c r="W257" s="189" t="s">
        <v>253</v>
      </c>
      <c r="X257" s="189" t="s">
        <v>1710</v>
      </c>
      <c r="Y257" s="189" t="s">
        <v>1711</v>
      </c>
    </row>
    <row r="258" spans="1:25" x14ac:dyDescent="0.2">
      <c r="A258" s="189">
        <v>407</v>
      </c>
      <c r="B258" s="189" t="s">
        <v>1712</v>
      </c>
      <c r="C258" s="189" t="s">
        <v>253</v>
      </c>
      <c r="D258" s="189" t="s">
        <v>253</v>
      </c>
      <c r="E258" s="189" t="s">
        <v>1565</v>
      </c>
      <c r="F258" s="189" t="s">
        <v>1566</v>
      </c>
      <c r="G258" s="189" t="s">
        <v>903</v>
      </c>
      <c r="H258" s="189" t="s">
        <v>928</v>
      </c>
      <c r="I258" s="189">
        <v>12360</v>
      </c>
      <c r="J258" s="189">
        <v>343.97623702807698</v>
      </c>
      <c r="K258" s="189">
        <v>343.37735452831799</v>
      </c>
      <c r="L258" s="189">
        <v>-18.22</v>
      </c>
      <c r="M258" s="189">
        <v>-13.89</v>
      </c>
      <c r="N258" s="189">
        <v>210</v>
      </c>
      <c r="O258" s="189" t="s">
        <v>913</v>
      </c>
      <c r="P258" s="189" t="s">
        <v>914</v>
      </c>
      <c r="Q258" s="189" t="s">
        <v>253</v>
      </c>
      <c r="R258" s="189" t="s">
        <v>253</v>
      </c>
      <c r="S258" s="189" t="s">
        <v>257</v>
      </c>
      <c r="T258" s="189" t="s">
        <v>261</v>
      </c>
      <c r="U258" s="189" t="s">
        <v>258</v>
      </c>
      <c r="V258" s="189" t="s">
        <v>297</v>
      </c>
      <c r="W258" s="189" t="s">
        <v>253</v>
      </c>
      <c r="X258" s="189" t="s">
        <v>1713</v>
      </c>
      <c r="Y258" s="189" t="s">
        <v>1714</v>
      </c>
    </row>
    <row r="259" spans="1:25" x14ac:dyDescent="0.2">
      <c r="A259" s="189">
        <v>421</v>
      </c>
      <c r="B259" s="189" t="s">
        <v>1715</v>
      </c>
      <c r="C259" s="189" t="s">
        <v>253</v>
      </c>
      <c r="D259" s="189" t="s">
        <v>253</v>
      </c>
      <c r="E259" s="189" t="s">
        <v>1565</v>
      </c>
      <c r="F259" s="189" t="s">
        <v>1566</v>
      </c>
      <c r="G259" s="189" t="s">
        <v>903</v>
      </c>
      <c r="H259" s="189" t="s">
        <v>928</v>
      </c>
      <c r="I259" s="189">
        <v>11092</v>
      </c>
      <c r="J259" s="189">
        <v>732.66732088795504</v>
      </c>
      <c r="K259" s="189">
        <v>247.89776022546599</v>
      </c>
      <c r="L259" s="189">
        <v>-15.13</v>
      </c>
      <c r="M259" s="189">
        <v>-1.34</v>
      </c>
      <c r="N259" s="189">
        <v>397</v>
      </c>
      <c r="O259" s="189" t="s">
        <v>918</v>
      </c>
      <c r="P259" s="189" t="s">
        <v>919</v>
      </c>
      <c r="Q259" s="189" t="s">
        <v>253</v>
      </c>
      <c r="R259" s="189" t="s">
        <v>253</v>
      </c>
      <c r="S259" s="189" t="s">
        <v>253</v>
      </c>
      <c r="T259" s="189" t="s">
        <v>261</v>
      </c>
      <c r="U259" s="189" t="s">
        <v>253</v>
      </c>
      <c r="V259" s="189" t="s">
        <v>253</v>
      </c>
      <c r="W259" s="189" t="s">
        <v>253</v>
      </c>
      <c r="X259" s="189" t="s">
        <v>1716</v>
      </c>
      <c r="Y259" s="189" t="s">
        <v>1717</v>
      </c>
    </row>
    <row r="260" spans="1:25" x14ac:dyDescent="0.2">
      <c r="A260" s="189">
        <v>422</v>
      </c>
      <c r="B260" s="189" t="s">
        <v>1718</v>
      </c>
      <c r="C260" s="189" t="s">
        <v>253</v>
      </c>
      <c r="D260" s="189" t="s">
        <v>253</v>
      </c>
      <c r="E260" s="189" t="s">
        <v>1565</v>
      </c>
      <c r="F260" s="189" t="s">
        <v>1566</v>
      </c>
      <c r="G260" s="189" t="s">
        <v>903</v>
      </c>
      <c r="H260" s="189" t="s">
        <v>928</v>
      </c>
      <c r="I260" s="189">
        <v>16195</v>
      </c>
      <c r="J260" s="189">
        <v>789.10654295853601</v>
      </c>
      <c r="K260" s="189">
        <v>274.36580919649703</v>
      </c>
      <c r="L260" s="189">
        <v>-15.98</v>
      </c>
      <c r="M260" s="189">
        <v>0.49</v>
      </c>
      <c r="N260" s="189">
        <v>52</v>
      </c>
      <c r="O260" s="189" t="s">
        <v>918</v>
      </c>
      <c r="P260" s="189" t="s">
        <v>919</v>
      </c>
      <c r="Q260" s="189" t="s">
        <v>253</v>
      </c>
      <c r="R260" s="189" t="s">
        <v>253</v>
      </c>
      <c r="S260" s="189" t="s">
        <v>253</v>
      </c>
      <c r="T260" s="189" t="s">
        <v>261</v>
      </c>
      <c r="U260" s="189" t="s">
        <v>258</v>
      </c>
      <c r="V260" s="189" t="s">
        <v>297</v>
      </c>
      <c r="W260" s="189" t="s">
        <v>253</v>
      </c>
      <c r="X260" s="189" t="s">
        <v>1719</v>
      </c>
      <c r="Y260" s="189" t="s">
        <v>1720</v>
      </c>
    </row>
    <row r="261" spans="1:25" x14ac:dyDescent="0.2">
      <c r="A261" s="189">
        <v>447</v>
      </c>
      <c r="B261" s="189" t="s">
        <v>1721</v>
      </c>
      <c r="C261" s="189" t="s">
        <v>253</v>
      </c>
      <c r="D261" s="189" t="s">
        <v>253</v>
      </c>
      <c r="E261" s="189" t="s">
        <v>1565</v>
      </c>
      <c r="F261" s="189" t="s">
        <v>1566</v>
      </c>
      <c r="G261" s="189" t="s">
        <v>903</v>
      </c>
      <c r="H261" s="189" t="s">
        <v>928</v>
      </c>
      <c r="I261" s="189">
        <v>1930</v>
      </c>
      <c r="J261" s="189">
        <v>325.66268255620901</v>
      </c>
      <c r="K261" s="189">
        <v>342.13179928262201</v>
      </c>
      <c r="L261" s="189">
        <v>-18.18</v>
      </c>
      <c r="M261" s="189">
        <v>-14.48</v>
      </c>
      <c r="N261" s="189">
        <v>266</v>
      </c>
      <c r="O261" s="189" t="s">
        <v>913</v>
      </c>
      <c r="P261" s="189" t="s">
        <v>914</v>
      </c>
      <c r="Q261" s="189" t="s">
        <v>253</v>
      </c>
      <c r="R261" s="189" t="s">
        <v>253</v>
      </c>
      <c r="S261" s="189" t="s">
        <v>257</v>
      </c>
      <c r="T261" s="189" t="s">
        <v>253</v>
      </c>
      <c r="U261" s="189" t="s">
        <v>253</v>
      </c>
      <c r="V261" s="189" t="s">
        <v>297</v>
      </c>
      <c r="W261" s="189" t="s">
        <v>253</v>
      </c>
      <c r="X261" s="189" t="s">
        <v>1722</v>
      </c>
      <c r="Y261" s="189" t="s">
        <v>1723</v>
      </c>
    </row>
    <row r="262" spans="1:25" x14ac:dyDescent="0.2">
      <c r="A262" s="189">
        <v>460</v>
      </c>
      <c r="B262" s="189" t="s">
        <v>1724</v>
      </c>
      <c r="C262" s="189" t="s">
        <v>253</v>
      </c>
      <c r="D262" s="189" t="s">
        <v>253</v>
      </c>
      <c r="E262" s="189" t="s">
        <v>1565</v>
      </c>
      <c r="F262" s="189" t="s">
        <v>1566</v>
      </c>
      <c r="G262" s="189" t="s">
        <v>903</v>
      </c>
      <c r="H262" s="189" t="s">
        <v>928</v>
      </c>
      <c r="I262" s="189">
        <v>9251</v>
      </c>
      <c r="J262" s="189">
        <v>690.10436272645097</v>
      </c>
      <c r="K262" s="189">
        <v>350.28629378178601</v>
      </c>
      <c r="L262" s="189">
        <v>-18.440000000000001</v>
      </c>
      <c r="M262" s="189">
        <v>-2.71</v>
      </c>
      <c r="N262" s="189">
        <v>948</v>
      </c>
      <c r="O262" s="189" t="s">
        <v>967</v>
      </c>
      <c r="P262" s="189" t="s">
        <v>968</v>
      </c>
      <c r="Q262" s="189" t="s">
        <v>253</v>
      </c>
      <c r="R262" s="189" t="s">
        <v>253</v>
      </c>
      <c r="S262" s="189" t="s">
        <v>257</v>
      </c>
      <c r="T262" s="189" t="s">
        <v>261</v>
      </c>
      <c r="U262" s="189" t="s">
        <v>253</v>
      </c>
      <c r="V262" s="189" t="s">
        <v>297</v>
      </c>
      <c r="W262" s="189" t="s">
        <v>253</v>
      </c>
      <c r="X262" s="189" t="s">
        <v>1725</v>
      </c>
      <c r="Y262" s="189" t="s">
        <v>1726</v>
      </c>
    </row>
    <row r="263" spans="1:25" x14ac:dyDescent="0.2">
      <c r="A263" s="189">
        <v>472</v>
      </c>
      <c r="B263" s="189" t="s">
        <v>313</v>
      </c>
      <c r="C263" s="189" t="s">
        <v>253</v>
      </c>
      <c r="D263" s="189" t="s">
        <v>253</v>
      </c>
      <c r="E263" s="189" t="s">
        <v>1565</v>
      </c>
      <c r="F263" s="189" t="s">
        <v>1566</v>
      </c>
      <c r="G263" s="189" t="s">
        <v>903</v>
      </c>
      <c r="H263" s="189" t="s">
        <v>928</v>
      </c>
      <c r="I263" s="189">
        <v>8275</v>
      </c>
      <c r="J263" s="189">
        <v>536.86214390446696</v>
      </c>
      <c r="K263" s="189">
        <v>309.26081787668699</v>
      </c>
      <c r="L263" s="189">
        <v>-17.11</v>
      </c>
      <c r="M263" s="189">
        <v>-7.66</v>
      </c>
      <c r="N263" s="189">
        <v>82</v>
      </c>
      <c r="O263" s="189" t="s">
        <v>913</v>
      </c>
      <c r="P263" s="189" t="s">
        <v>914</v>
      </c>
      <c r="Q263" s="189" t="s">
        <v>253</v>
      </c>
      <c r="R263" s="189" t="s">
        <v>253</v>
      </c>
      <c r="S263" s="189" t="s">
        <v>257</v>
      </c>
      <c r="T263" s="189" t="s">
        <v>253</v>
      </c>
      <c r="U263" s="189" t="s">
        <v>253</v>
      </c>
      <c r="V263" s="189" t="s">
        <v>297</v>
      </c>
      <c r="W263" s="189" t="s">
        <v>253</v>
      </c>
      <c r="X263" s="189" t="s">
        <v>1727</v>
      </c>
      <c r="Y263" s="189" t="s">
        <v>1728</v>
      </c>
    </row>
    <row r="264" spans="1:25" x14ac:dyDescent="0.2">
      <c r="A264" s="189">
        <v>490</v>
      </c>
      <c r="B264" s="189" t="s">
        <v>1729</v>
      </c>
      <c r="C264" s="189" t="s">
        <v>253</v>
      </c>
      <c r="D264" s="189" t="s">
        <v>253</v>
      </c>
      <c r="E264" s="189" t="s">
        <v>1565</v>
      </c>
      <c r="F264" s="189" t="s">
        <v>1566</v>
      </c>
      <c r="G264" s="189" t="s">
        <v>903</v>
      </c>
      <c r="H264" s="189" t="s">
        <v>928</v>
      </c>
      <c r="I264" s="189">
        <v>22337</v>
      </c>
      <c r="J264" s="189">
        <v>675.5</v>
      </c>
      <c r="K264" s="189">
        <v>237</v>
      </c>
      <c r="L264" s="189">
        <v>-14.77</v>
      </c>
      <c r="M264" s="189">
        <v>-3.18</v>
      </c>
      <c r="N264" s="189">
        <v>52</v>
      </c>
      <c r="O264" s="189" t="s">
        <v>929</v>
      </c>
      <c r="P264" s="189" t="s">
        <v>930</v>
      </c>
      <c r="Q264" s="189" t="s">
        <v>253</v>
      </c>
      <c r="R264" s="189" t="s">
        <v>259</v>
      </c>
      <c r="S264" s="189" t="s">
        <v>253</v>
      </c>
      <c r="T264" s="189" t="s">
        <v>261</v>
      </c>
      <c r="U264" s="189" t="s">
        <v>258</v>
      </c>
      <c r="V264" s="189" t="s">
        <v>297</v>
      </c>
      <c r="W264" s="189" t="s">
        <v>253</v>
      </c>
      <c r="X264" s="189" t="s">
        <v>1730</v>
      </c>
      <c r="Y264" s="189" t="s">
        <v>1731</v>
      </c>
    </row>
    <row r="265" spans="1:25" x14ac:dyDescent="0.2">
      <c r="A265" s="189">
        <v>499</v>
      </c>
      <c r="B265" s="189" t="s">
        <v>1732</v>
      </c>
      <c r="C265" s="189" t="s">
        <v>253</v>
      </c>
      <c r="D265" s="189" t="s">
        <v>253</v>
      </c>
      <c r="E265" s="189" t="s">
        <v>1565</v>
      </c>
      <c r="F265" s="189" t="s">
        <v>1566</v>
      </c>
      <c r="G265" s="189" t="s">
        <v>903</v>
      </c>
      <c r="H265" s="189" t="s">
        <v>521</v>
      </c>
      <c r="I265" s="189">
        <v>1957</v>
      </c>
      <c r="J265" s="189">
        <v>526.13869171105603</v>
      </c>
      <c r="K265" s="189">
        <v>120.637045356662</v>
      </c>
      <c r="L265" s="189">
        <v>-11.01</v>
      </c>
      <c r="M265" s="189">
        <v>-8.01</v>
      </c>
      <c r="N265" s="189">
        <v>161</v>
      </c>
      <c r="O265" s="189" t="s">
        <v>1086</v>
      </c>
      <c r="P265" s="189" t="s">
        <v>1087</v>
      </c>
      <c r="Q265" s="189" t="s">
        <v>253</v>
      </c>
      <c r="R265" s="189" t="s">
        <v>253</v>
      </c>
      <c r="S265" s="189" t="s">
        <v>257</v>
      </c>
      <c r="T265" s="189" t="s">
        <v>253</v>
      </c>
      <c r="U265" s="189" t="s">
        <v>253</v>
      </c>
      <c r="V265" s="189" t="s">
        <v>297</v>
      </c>
      <c r="W265" s="189" t="s">
        <v>253</v>
      </c>
      <c r="X265" s="189" t="s">
        <v>1733</v>
      </c>
      <c r="Y265" s="189" t="s">
        <v>1734</v>
      </c>
    </row>
    <row r="266" spans="1:25" x14ac:dyDescent="0.2">
      <c r="A266" s="189">
        <v>515</v>
      </c>
      <c r="B266" s="189" t="s">
        <v>1735</v>
      </c>
      <c r="C266" s="189" t="s">
        <v>253</v>
      </c>
      <c r="D266" s="189" t="s">
        <v>253</v>
      </c>
      <c r="E266" s="189" t="s">
        <v>1565</v>
      </c>
      <c r="F266" s="189" t="s">
        <v>1566</v>
      </c>
      <c r="G266" s="189" t="s">
        <v>903</v>
      </c>
      <c r="H266" s="189" t="s">
        <v>928</v>
      </c>
      <c r="I266" s="189">
        <v>1712</v>
      </c>
      <c r="J266" s="189">
        <v>667.17836148536696</v>
      </c>
      <c r="K266" s="189">
        <v>319.205798041538</v>
      </c>
      <c r="L266" s="189">
        <v>-17.440000000000001</v>
      </c>
      <c r="M266" s="189">
        <v>-3.45</v>
      </c>
      <c r="N266" s="189">
        <v>643</v>
      </c>
      <c r="O266" s="189" t="s">
        <v>967</v>
      </c>
      <c r="P266" s="189" t="s">
        <v>968</v>
      </c>
      <c r="Q266" s="189" t="s">
        <v>253</v>
      </c>
      <c r="R266" s="189" t="s">
        <v>253</v>
      </c>
      <c r="S266" s="189" t="s">
        <v>257</v>
      </c>
      <c r="T266" s="189" t="s">
        <v>253</v>
      </c>
      <c r="U266" s="189" t="s">
        <v>253</v>
      </c>
      <c r="V266" s="189" t="s">
        <v>297</v>
      </c>
      <c r="W266" s="189" t="s">
        <v>253</v>
      </c>
      <c r="X266" s="189" t="s">
        <v>1736</v>
      </c>
      <c r="Y266" s="189" t="s">
        <v>1737</v>
      </c>
    </row>
    <row r="267" spans="1:25" x14ac:dyDescent="0.2">
      <c r="A267" s="189">
        <v>559</v>
      </c>
      <c r="B267" s="189" t="s">
        <v>1738</v>
      </c>
      <c r="C267" s="189" t="s">
        <v>253</v>
      </c>
      <c r="D267" s="189" t="s">
        <v>253</v>
      </c>
      <c r="E267" s="189" t="s">
        <v>1565</v>
      </c>
      <c r="F267" s="189" t="s">
        <v>1566</v>
      </c>
      <c r="G267" s="189" t="s">
        <v>903</v>
      </c>
      <c r="H267" s="189" t="s">
        <v>928</v>
      </c>
      <c r="I267" s="189">
        <v>19019</v>
      </c>
      <c r="J267" s="189">
        <v>625.84149676884499</v>
      </c>
      <c r="K267" s="189">
        <v>257.978972995314</v>
      </c>
      <c r="L267" s="189">
        <v>-15.45</v>
      </c>
      <c r="M267" s="189">
        <v>-4.79</v>
      </c>
      <c r="N267" s="189">
        <v>328</v>
      </c>
      <c r="O267" s="189" t="s">
        <v>929</v>
      </c>
      <c r="P267" s="189" t="s">
        <v>930</v>
      </c>
      <c r="Q267" s="189" t="s">
        <v>253</v>
      </c>
      <c r="R267" s="189" t="s">
        <v>253</v>
      </c>
      <c r="S267" s="189" t="s">
        <v>253</v>
      </c>
      <c r="T267" s="189" t="s">
        <v>261</v>
      </c>
      <c r="U267" s="189" t="s">
        <v>258</v>
      </c>
      <c r="V267" s="189" t="s">
        <v>297</v>
      </c>
      <c r="W267" s="189" t="s">
        <v>253</v>
      </c>
      <c r="X267" s="189" t="s">
        <v>1739</v>
      </c>
      <c r="Y267" s="189" t="s">
        <v>1740</v>
      </c>
    </row>
    <row r="268" spans="1:25" x14ac:dyDescent="0.2">
      <c r="A268" s="189">
        <v>574</v>
      </c>
      <c r="B268" s="189" t="s">
        <v>409</v>
      </c>
      <c r="C268" s="189" t="s">
        <v>253</v>
      </c>
      <c r="D268" s="189" t="s">
        <v>253</v>
      </c>
      <c r="E268" s="189" t="s">
        <v>1565</v>
      </c>
      <c r="F268" s="189" t="s">
        <v>1566</v>
      </c>
      <c r="G268" s="189" t="s">
        <v>391</v>
      </c>
      <c r="H268" s="189" t="s">
        <v>928</v>
      </c>
      <c r="I268" s="189">
        <v>1904</v>
      </c>
      <c r="J268" s="189">
        <v>508.70091827131802</v>
      </c>
      <c r="K268" s="189">
        <v>404.33171436454597</v>
      </c>
      <c r="L268" s="189">
        <v>-20.190000000000001</v>
      </c>
      <c r="M268" s="189">
        <v>-8.57</v>
      </c>
      <c r="N268" s="189">
        <v>1588</v>
      </c>
      <c r="O268" s="189" t="s">
        <v>568</v>
      </c>
      <c r="P268" s="189" t="s">
        <v>569</v>
      </c>
      <c r="Q268" s="189" t="s">
        <v>253</v>
      </c>
      <c r="R268" s="189" t="s">
        <v>253</v>
      </c>
      <c r="S268" s="189" t="s">
        <v>253</v>
      </c>
      <c r="T268" s="189" t="s">
        <v>261</v>
      </c>
      <c r="U268" s="189" t="s">
        <v>253</v>
      </c>
      <c r="V268" s="189" t="s">
        <v>253</v>
      </c>
      <c r="W268" s="189" t="s">
        <v>253</v>
      </c>
      <c r="X268" s="189" t="s">
        <v>1741</v>
      </c>
      <c r="Y268" s="189" t="s">
        <v>1742</v>
      </c>
    </row>
    <row r="269" spans="1:25" x14ac:dyDescent="0.2">
      <c r="A269" s="189">
        <v>576</v>
      </c>
      <c r="B269" s="189" t="s">
        <v>1743</v>
      </c>
      <c r="C269" s="189" t="s">
        <v>253</v>
      </c>
      <c r="D269" s="189" t="s">
        <v>253</v>
      </c>
      <c r="E269" s="189" t="s">
        <v>1565</v>
      </c>
      <c r="F269" s="189" t="s">
        <v>1566</v>
      </c>
      <c r="G269" s="189" t="s">
        <v>314</v>
      </c>
      <c r="H269" s="189" t="s">
        <v>256</v>
      </c>
      <c r="I269" s="189">
        <v>2798</v>
      </c>
      <c r="J269" s="189">
        <v>266.5</v>
      </c>
      <c r="K269" s="189">
        <v>489.5</v>
      </c>
      <c r="L269" s="189">
        <v>-22.95</v>
      </c>
      <c r="M269" s="189">
        <v>-16.39</v>
      </c>
      <c r="N269" s="189">
        <v>52</v>
      </c>
      <c r="O269" s="189" t="s">
        <v>602</v>
      </c>
      <c r="P269" s="189" t="s">
        <v>603</v>
      </c>
      <c r="Q269" s="189" t="s">
        <v>253</v>
      </c>
      <c r="R269" s="189" t="s">
        <v>259</v>
      </c>
      <c r="S269" s="189" t="s">
        <v>253</v>
      </c>
      <c r="T269" s="189" t="s">
        <v>253</v>
      </c>
      <c r="U269" s="189" t="s">
        <v>258</v>
      </c>
      <c r="V269" s="189" t="s">
        <v>297</v>
      </c>
      <c r="W269" s="189" t="s">
        <v>253</v>
      </c>
      <c r="X269" s="189" t="s">
        <v>1744</v>
      </c>
      <c r="Y269" s="189" t="s">
        <v>1745</v>
      </c>
    </row>
    <row r="270" spans="1:25" x14ac:dyDescent="0.2">
      <c r="A270" s="189">
        <v>594</v>
      </c>
      <c r="B270" s="189" t="s">
        <v>1746</v>
      </c>
      <c r="C270" s="189" t="s">
        <v>253</v>
      </c>
      <c r="D270" s="189" t="s">
        <v>253</v>
      </c>
      <c r="E270" s="189" t="s">
        <v>1565</v>
      </c>
      <c r="F270" s="189" t="s">
        <v>1566</v>
      </c>
      <c r="G270" s="189" t="s">
        <v>903</v>
      </c>
      <c r="H270" s="189" t="s">
        <v>521</v>
      </c>
      <c r="I270" s="189">
        <v>11569</v>
      </c>
      <c r="J270" s="189">
        <v>460.35780529775798</v>
      </c>
      <c r="K270" s="189">
        <v>100.338387211967</v>
      </c>
      <c r="L270" s="189">
        <v>-10.35</v>
      </c>
      <c r="M270" s="189">
        <v>-10.130000000000001</v>
      </c>
      <c r="N270" s="189">
        <v>118</v>
      </c>
      <c r="O270" s="189" t="s">
        <v>956</v>
      </c>
      <c r="P270" s="189" t="s">
        <v>957</v>
      </c>
      <c r="Q270" s="189" t="s">
        <v>253</v>
      </c>
      <c r="R270" s="189" t="s">
        <v>253</v>
      </c>
      <c r="S270" s="189" t="s">
        <v>253</v>
      </c>
      <c r="T270" s="189" t="s">
        <v>261</v>
      </c>
      <c r="U270" s="189" t="s">
        <v>253</v>
      </c>
      <c r="V270" s="189" t="s">
        <v>297</v>
      </c>
      <c r="W270" s="189" t="s">
        <v>253</v>
      </c>
      <c r="X270" s="189" t="s">
        <v>1747</v>
      </c>
      <c r="Y270" s="189" t="s">
        <v>1748</v>
      </c>
    </row>
    <row r="271" spans="1:25" x14ac:dyDescent="0.2">
      <c r="A271" s="189">
        <v>595</v>
      </c>
      <c r="B271" s="189" t="s">
        <v>1749</v>
      </c>
      <c r="C271" s="189" t="s">
        <v>253</v>
      </c>
      <c r="D271" s="189" t="s">
        <v>253</v>
      </c>
      <c r="E271" s="189" t="s">
        <v>1565</v>
      </c>
      <c r="F271" s="189" t="s">
        <v>1566</v>
      </c>
      <c r="G271" s="189" t="s">
        <v>903</v>
      </c>
      <c r="H271" s="189" t="s">
        <v>521</v>
      </c>
      <c r="I271" s="189">
        <v>6629</v>
      </c>
      <c r="J271" s="189">
        <v>571.19276036395104</v>
      </c>
      <c r="K271" s="189">
        <v>103.97774394548399</v>
      </c>
      <c r="L271" s="189">
        <v>-10.47</v>
      </c>
      <c r="M271" s="189">
        <v>-6.55</v>
      </c>
      <c r="N271" s="189">
        <v>52</v>
      </c>
      <c r="O271" s="189" t="s">
        <v>956</v>
      </c>
      <c r="P271" s="189" t="s">
        <v>957</v>
      </c>
      <c r="Q271" s="189" t="s">
        <v>253</v>
      </c>
      <c r="R271" s="189" t="s">
        <v>253</v>
      </c>
      <c r="S271" s="189" t="s">
        <v>253</v>
      </c>
      <c r="T271" s="189" t="s">
        <v>253</v>
      </c>
      <c r="U271" s="189" t="s">
        <v>253</v>
      </c>
      <c r="V271" s="189" t="s">
        <v>253</v>
      </c>
      <c r="W271" s="189" t="s">
        <v>253</v>
      </c>
      <c r="X271" s="189" t="s">
        <v>1750</v>
      </c>
      <c r="Y271" s="189" t="s">
        <v>1751</v>
      </c>
    </row>
    <row r="272" spans="1:25" x14ac:dyDescent="0.2">
      <c r="A272" s="189">
        <v>596</v>
      </c>
      <c r="B272" s="189" t="s">
        <v>1752</v>
      </c>
      <c r="C272" s="189" t="s">
        <v>253</v>
      </c>
      <c r="D272" s="189" t="s">
        <v>253</v>
      </c>
      <c r="E272" s="189" t="s">
        <v>1565</v>
      </c>
      <c r="F272" s="189" t="s">
        <v>1566</v>
      </c>
      <c r="G272" s="189" t="s">
        <v>903</v>
      </c>
      <c r="H272" s="189" t="s">
        <v>521</v>
      </c>
      <c r="I272" s="189">
        <v>7102</v>
      </c>
      <c r="J272" s="189">
        <v>387.25928181599801</v>
      </c>
      <c r="K272" s="189">
        <v>132.46982019077001</v>
      </c>
      <c r="L272" s="189">
        <v>-11.39</v>
      </c>
      <c r="M272" s="189">
        <v>-12.49</v>
      </c>
      <c r="N272" s="189">
        <v>472</v>
      </c>
      <c r="O272" s="189" t="s">
        <v>904</v>
      </c>
      <c r="P272" s="189" t="s">
        <v>905</v>
      </c>
      <c r="Q272" s="189" t="s">
        <v>253</v>
      </c>
      <c r="R272" s="189" t="s">
        <v>253</v>
      </c>
      <c r="S272" s="189" t="s">
        <v>253</v>
      </c>
      <c r="T272" s="189" t="s">
        <v>253</v>
      </c>
      <c r="U272" s="189" t="s">
        <v>258</v>
      </c>
      <c r="V272" s="189" t="s">
        <v>297</v>
      </c>
      <c r="W272" s="189" t="s">
        <v>253</v>
      </c>
      <c r="X272" s="189" t="s">
        <v>1753</v>
      </c>
      <c r="Y272" s="189" t="s">
        <v>1754</v>
      </c>
    </row>
    <row r="273" spans="1:25" x14ac:dyDescent="0.2">
      <c r="A273" s="189">
        <v>597</v>
      </c>
      <c r="B273" s="189" t="s">
        <v>1755</v>
      </c>
      <c r="C273" s="189" t="s">
        <v>253</v>
      </c>
      <c r="D273" s="189" t="s">
        <v>253</v>
      </c>
      <c r="E273" s="189" t="s">
        <v>1565</v>
      </c>
      <c r="F273" s="189" t="s">
        <v>1566</v>
      </c>
      <c r="G273" s="189" t="s">
        <v>903</v>
      </c>
      <c r="H273" s="189" t="s">
        <v>928</v>
      </c>
      <c r="I273" s="189">
        <v>15960</v>
      </c>
      <c r="J273" s="189">
        <v>434.20114513815099</v>
      </c>
      <c r="K273" s="189">
        <v>292.42636025908303</v>
      </c>
      <c r="L273" s="189">
        <v>-16.57</v>
      </c>
      <c r="M273" s="189">
        <v>-10.98</v>
      </c>
      <c r="N273" s="189">
        <v>30</v>
      </c>
      <c r="O273" s="189" t="s">
        <v>918</v>
      </c>
      <c r="P273" s="189" t="s">
        <v>919</v>
      </c>
      <c r="Q273" s="189" t="s">
        <v>253</v>
      </c>
      <c r="R273" s="189" t="s">
        <v>253</v>
      </c>
      <c r="S273" s="189" t="s">
        <v>253</v>
      </c>
      <c r="T273" s="189" t="s">
        <v>253</v>
      </c>
      <c r="U273" s="189" t="s">
        <v>258</v>
      </c>
      <c r="V273" s="189" t="s">
        <v>297</v>
      </c>
      <c r="W273" s="189" t="s">
        <v>253</v>
      </c>
      <c r="X273" s="189" t="s">
        <v>1756</v>
      </c>
      <c r="Y273" s="189" t="s">
        <v>1757</v>
      </c>
    </row>
    <row r="274" spans="1:25" x14ac:dyDescent="0.2">
      <c r="A274" s="189">
        <v>598</v>
      </c>
      <c r="B274" s="189" t="s">
        <v>1758</v>
      </c>
      <c r="C274" s="189" t="s">
        <v>253</v>
      </c>
      <c r="D274" s="189" t="s">
        <v>253</v>
      </c>
      <c r="E274" s="189" t="s">
        <v>1565</v>
      </c>
      <c r="F274" s="189" t="s">
        <v>1566</v>
      </c>
      <c r="G274" s="189" t="s">
        <v>903</v>
      </c>
      <c r="H274" s="189" t="s">
        <v>928</v>
      </c>
      <c r="I274" s="189">
        <v>24081</v>
      </c>
      <c r="J274" s="189">
        <v>751.54526758052896</v>
      </c>
      <c r="K274" s="189">
        <v>353.80887971101799</v>
      </c>
      <c r="L274" s="189">
        <v>-18.559999999999999</v>
      </c>
      <c r="M274" s="189">
        <v>-0.73</v>
      </c>
      <c r="N274" s="189">
        <v>161</v>
      </c>
      <c r="O274" s="189" t="s">
        <v>913</v>
      </c>
      <c r="P274" s="189" t="s">
        <v>914</v>
      </c>
      <c r="Q274" s="189" t="s">
        <v>253</v>
      </c>
      <c r="R274" s="189" t="s">
        <v>253</v>
      </c>
      <c r="S274" s="189" t="s">
        <v>253</v>
      </c>
      <c r="T274" s="189" t="s">
        <v>261</v>
      </c>
      <c r="U274" s="189" t="s">
        <v>258</v>
      </c>
      <c r="V274" s="189" t="s">
        <v>253</v>
      </c>
      <c r="W274" s="189" t="s">
        <v>266</v>
      </c>
      <c r="X274" s="189" t="s">
        <v>1759</v>
      </c>
      <c r="Y274" s="189" t="s">
        <v>1760</v>
      </c>
    </row>
    <row r="275" spans="1:25" x14ac:dyDescent="0.2">
      <c r="A275" s="189">
        <v>616</v>
      </c>
      <c r="B275" s="189" t="s">
        <v>1761</v>
      </c>
      <c r="C275" s="189" t="s">
        <v>253</v>
      </c>
      <c r="D275" s="189" t="s">
        <v>253</v>
      </c>
      <c r="E275" s="189" t="s">
        <v>1565</v>
      </c>
      <c r="F275" s="189" t="s">
        <v>1566</v>
      </c>
      <c r="G275" s="189" t="s">
        <v>903</v>
      </c>
      <c r="H275" s="189" t="s">
        <v>928</v>
      </c>
      <c r="I275" s="189">
        <v>30408</v>
      </c>
      <c r="J275" s="189">
        <v>482.46641090885498</v>
      </c>
      <c r="K275" s="189">
        <v>256.44149073890901</v>
      </c>
      <c r="L275" s="189">
        <v>-15.4</v>
      </c>
      <c r="M275" s="189">
        <v>-9.42</v>
      </c>
      <c r="N275" s="189">
        <v>161</v>
      </c>
      <c r="O275" s="189" t="s">
        <v>918</v>
      </c>
      <c r="P275" s="189" t="s">
        <v>919</v>
      </c>
      <c r="Q275" s="189" t="s">
        <v>253</v>
      </c>
      <c r="R275" s="189" t="s">
        <v>253</v>
      </c>
      <c r="S275" s="189" t="s">
        <v>257</v>
      </c>
      <c r="T275" s="189" t="s">
        <v>261</v>
      </c>
      <c r="U275" s="189" t="s">
        <v>258</v>
      </c>
      <c r="V275" s="189" t="s">
        <v>297</v>
      </c>
      <c r="W275" s="189" t="s">
        <v>253</v>
      </c>
      <c r="X275" s="189" t="s">
        <v>1762</v>
      </c>
      <c r="Y275" s="189" t="s">
        <v>1763</v>
      </c>
    </row>
    <row r="276" spans="1:25" x14ac:dyDescent="0.2">
      <c r="A276" s="189">
        <v>633</v>
      </c>
      <c r="B276" s="189" t="s">
        <v>1764</v>
      </c>
      <c r="C276" s="189" t="s">
        <v>253</v>
      </c>
      <c r="D276" s="189" t="s">
        <v>253</v>
      </c>
      <c r="E276" s="189" t="s">
        <v>1565</v>
      </c>
      <c r="F276" s="189" t="s">
        <v>1566</v>
      </c>
      <c r="G276" s="189" t="s">
        <v>903</v>
      </c>
      <c r="H276" s="189" t="s">
        <v>521</v>
      </c>
      <c r="I276" s="189">
        <v>2797</v>
      </c>
      <c r="J276" s="189">
        <v>423</v>
      </c>
      <c r="K276" s="189">
        <v>52.5</v>
      </c>
      <c r="L276" s="189">
        <v>-8.8000000000000007</v>
      </c>
      <c r="M276" s="189">
        <v>-11.34</v>
      </c>
      <c r="N276" s="189">
        <v>643</v>
      </c>
      <c r="O276" s="189" t="s">
        <v>956</v>
      </c>
      <c r="P276" s="189" t="s">
        <v>957</v>
      </c>
      <c r="Q276" s="189" t="s">
        <v>253</v>
      </c>
      <c r="R276" s="189" t="s">
        <v>259</v>
      </c>
      <c r="S276" s="189" t="s">
        <v>253</v>
      </c>
      <c r="T276" s="189" t="s">
        <v>261</v>
      </c>
      <c r="U276" s="189" t="s">
        <v>253</v>
      </c>
      <c r="V276" s="189" t="s">
        <v>297</v>
      </c>
      <c r="W276" s="189" t="s">
        <v>253</v>
      </c>
      <c r="X276" s="189" t="s">
        <v>1765</v>
      </c>
      <c r="Y276" s="189" t="s">
        <v>1766</v>
      </c>
    </row>
    <row r="277" spans="1:25" x14ac:dyDescent="0.2">
      <c r="A277" s="189">
        <v>636</v>
      </c>
      <c r="B277" s="189" t="s">
        <v>1767</v>
      </c>
      <c r="C277" s="189" t="s">
        <v>253</v>
      </c>
      <c r="D277" s="189" t="s">
        <v>253</v>
      </c>
      <c r="E277" s="189" t="s">
        <v>1565</v>
      </c>
      <c r="F277" s="189" t="s">
        <v>1566</v>
      </c>
      <c r="G277" s="189" t="s">
        <v>903</v>
      </c>
      <c r="H277" s="189" t="s">
        <v>928</v>
      </c>
      <c r="I277" s="189">
        <v>20437</v>
      </c>
      <c r="J277" s="189">
        <v>628.42991626380604</v>
      </c>
      <c r="K277" s="189">
        <v>331.95327750920399</v>
      </c>
      <c r="L277" s="189">
        <v>-17.850000000000001</v>
      </c>
      <c r="M277" s="189">
        <v>-4.7</v>
      </c>
      <c r="N277" s="189">
        <v>266</v>
      </c>
      <c r="O277" s="189" t="s">
        <v>913</v>
      </c>
      <c r="P277" s="189" t="s">
        <v>914</v>
      </c>
      <c r="Q277" s="189" t="s">
        <v>253</v>
      </c>
      <c r="R277" s="189" t="s">
        <v>253</v>
      </c>
      <c r="S277" s="189" t="s">
        <v>253</v>
      </c>
      <c r="T277" s="189" t="s">
        <v>261</v>
      </c>
      <c r="U277" s="189" t="s">
        <v>258</v>
      </c>
      <c r="V277" s="189" t="s">
        <v>297</v>
      </c>
      <c r="W277" s="189" t="s">
        <v>253</v>
      </c>
      <c r="X277" s="189" t="s">
        <v>1768</v>
      </c>
      <c r="Y277" s="189" t="s">
        <v>1769</v>
      </c>
    </row>
    <row r="278" spans="1:25" x14ac:dyDescent="0.2">
      <c r="A278" s="189">
        <v>640</v>
      </c>
      <c r="B278" s="189" t="s">
        <v>1770</v>
      </c>
      <c r="C278" s="189" t="s">
        <v>253</v>
      </c>
      <c r="D278" s="189" t="s">
        <v>253</v>
      </c>
      <c r="E278" s="189" t="s">
        <v>1565</v>
      </c>
      <c r="F278" s="189" t="s">
        <v>1566</v>
      </c>
      <c r="G278" s="189" t="s">
        <v>391</v>
      </c>
      <c r="H278" s="189" t="s">
        <v>256</v>
      </c>
      <c r="I278" s="189">
        <v>8401</v>
      </c>
      <c r="J278" s="189">
        <v>505.52864475493698</v>
      </c>
      <c r="K278" s="189">
        <v>454.09553879022701</v>
      </c>
      <c r="L278" s="189">
        <v>-21.8</v>
      </c>
      <c r="M278" s="189">
        <v>-8.67</v>
      </c>
      <c r="N278" s="189">
        <v>554</v>
      </c>
      <c r="O278" s="189" t="s">
        <v>602</v>
      </c>
      <c r="P278" s="189" t="s">
        <v>603</v>
      </c>
      <c r="Q278" s="189" t="s">
        <v>253</v>
      </c>
      <c r="R278" s="189" t="s">
        <v>253</v>
      </c>
      <c r="S278" s="189" t="s">
        <v>257</v>
      </c>
      <c r="T278" s="189" t="s">
        <v>253</v>
      </c>
      <c r="U278" s="189" t="s">
        <v>253</v>
      </c>
      <c r="V278" s="189" t="s">
        <v>253</v>
      </c>
      <c r="W278" s="189" t="s">
        <v>253</v>
      </c>
      <c r="X278" s="189" t="s">
        <v>1771</v>
      </c>
      <c r="Y278" s="189" t="s">
        <v>1772</v>
      </c>
    </row>
    <row r="279" spans="1:25" x14ac:dyDescent="0.2">
      <c r="A279" s="189">
        <v>655</v>
      </c>
      <c r="B279" s="189" t="s">
        <v>1712</v>
      </c>
      <c r="C279" s="189" t="s">
        <v>253</v>
      </c>
      <c r="D279" s="189" t="s">
        <v>253</v>
      </c>
      <c r="E279" s="189" t="s">
        <v>1565</v>
      </c>
      <c r="F279" s="189" t="s">
        <v>1566</v>
      </c>
      <c r="G279" s="189" t="s">
        <v>903</v>
      </c>
      <c r="H279" s="189" t="s">
        <v>521</v>
      </c>
      <c r="I279" s="189">
        <v>1952</v>
      </c>
      <c r="J279" s="189">
        <v>387.337129018854</v>
      </c>
      <c r="K279" s="189">
        <v>89.284084406418899</v>
      </c>
      <c r="L279" s="189">
        <v>-9.99</v>
      </c>
      <c r="M279" s="189">
        <v>-12.49</v>
      </c>
      <c r="N279" s="189">
        <v>397</v>
      </c>
      <c r="O279" s="189" t="s">
        <v>1086</v>
      </c>
      <c r="P279" s="189" t="s">
        <v>1087</v>
      </c>
      <c r="Q279" s="189" t="s">
        <v>253</v>
      </c>
      <c r="R279" s="189" t="s">
        <v>253</v>
      </c>
      <c r="S279" s="189" t="s">
        <v>257</v>
      </c>
      <c r="T279" s="189" t="s">
        <v>253</v>
      </c>
      <c r="U279" s="189" t="s">
        <v>258</v>
      </c>
      <c r="V279" s="189" t="s">
        <v>297</v>
      </c>
      <c r="W279" s="189" t="s">
        <v>253</v>
      </c>
      <c r="X279" s="189" t="s">
        <v>1773</v>
      </c>
      <c r="Y279" s="189" t="s">
        <v>1774</v>
      </c>
    </row>
    <row r="280" spans="1:25" x14ac:dyDescent="0.2">
      <c r="A280" s="189">
        <v>657</v>
      </c>
      <c r="B280" s="189" t="s">
        <v>1775</v>
      </c>
      <c r="C280" s="189" t="s">
        <v>253</v>
      </c>
      <c r="D280" s="189" t="s">
        <v>253</v>
      </c>
      <c r="E280" s="189" t="s">
        <v>1565</v>
      </c>
      <c r="F280" s="189" t="s">
        <v>1566</v>
      </c>
      <c r="G280" s="189" t="s">
        <v>903</v>
      </c>
      <c r="H280" s="189" t="s">
        <v>928</v>
      </c>
      <c r="I280" s="189">
        <v>9282</v>
      </c>
      <c r="J280" s="189">
        <v>330.56705633613501</v>
      </c>
      <c r="K280" s="189">
        <v>300.44462215324802</v>
      </c>
      <c r="L280" s="189">
        <v>-16.829999999999998</v>
      </c>
      <c r="M280" s="189">
        <v>-14.32</v>
      </c>
      <c r="N280" s="189">
        <v>161</v>
      </c>
      <c r="O280" s="189" t="s">
        <v>918</v>
      </c>
      <c r="P280" s="189" t="s">
        <v>919</v>
      </c>
      <c r="Q280" s="189" t="s">
        <v>253</v>
      </c>
      <c r="R280" s="189" t="s">
        <v>253</v>
      </c>
      <c r="S280" s="189" t="s">
        <v>257</v>
      </c>
      <c r="T280" s="189" t="s">
        <v>253</v>
      </c>
      <c r="U280" s="189" t="s">
        <v>258</v>
      </c>
      <c r="V280" s="189" t="s">
        <v>297</v>
      </c>
      <c r="W280" s="189" t="s">
        <v>253</v>
      </c>
      <c r="X280" s="189" t="s">
        <v>1776</v>
      </c>
      <c r="Y280" s="189" t="s">
        <v>1777</v>
      </c>
    </row>
    <row r="281" spans="1:25" x14ac:dyDescent="0.2">
      <c r="A281" s="189">
        <v>673</v>
      </c>
      <c r="B281" s="189" t="s">
        <v>1778</v>
      </c>
      <c r="C281" s="189" t="s">
        <v>253</v>
      </c>
      <c r="D281" s="189" t="s">
        <v>253</v>
      </c>
      <c r="E281" s="189" t="s">
        <v>1565</v>
      </c>
      <c r="F281" s="189" t="s">
        <v>1566</v>
      </c>
      <c r="G281" s="189" t="s">
        <v>903</v>
      </c>
      <c r="H281" s="189" t="s">
        <v>521</v>
      </c>
      <c r="I281" s="189">
        <v>20847</v>
      </c>
      <c r="J281" s="189">
        <v>475.187697441821</v>
      </c>
      <c r="K281" s="189">
        <v>27.220401929493601</v>
      </c>
      <c r="L281" s="189">
        <v>-7.98</v>
      </c>
      <c r="M281" s="189">
        <v>-9.65</v>
      </c>
      <c r="N281" s="189">
        <v>266</v>
      </c>
      <c r="O281" s="189" t="s">
        <v>987</v>
      </c>
      <c r="P281" s="189" t="s">
        <v>988</v>
      </c>
      <c r="Q281" s="189" t="s">
        <v>253</v>
      </c>
      <c r="R281" s="189" t="s">
        <v>253</v>
      </c>
      <c r="S281" s="189" t="s">
        <v>257</v>
      </c>
      <c r="T281" s="189" t="s">
        <v>261</v>
      </c>
      <c r="U281" s="189" t="s">
        <v>258</v>
      </c>
      <c r="V281" s="189" t="s">
        <v>253</v>
      </c>
      <c r="W281" s="189" t="s">
        <v>253</v>
      </c>
      <c r="X281" s="189" t="s">
        <v>1779</v>
      </c>
      <c r="Y281" s="189" t="s">
        <v>1780</v>
      </c>
    </row>
    <row r="282" spans="1:25" x14ac:dyDescent="0.2">
      <c r="A282" s="189">
        <v>688</v>
      </c>
      <c r="B282" s="189" t="s">
        <v>1781</v>
      </c>
      <c r="C282" s="189" t="s">
        <v>253</v>
      </c>
      <c r="D282" s="189" t="s">
        <v>253</v>
      </c>
      <c r="E282" s="189" t="s">
        <v>1565</v>
      </c>
      <c r="F282" s="189" t="s">
        <v>1566</v>
      </c>
      <c r="G282" s="189" t="s">
        <v>903</v>
      </c>
      <c r="H282" s="189" t="s">
        <v>521</v>
      </c>
      <c r="I282" s="189">
        <v>5944</v>
      </c>
      <c r="J282" s="189">
        <v>358.68935836785602</v>
      </c>
      <c r="K282" s="189">
        <v>105.223299191179</v>
      </c>
      <c r="L282" s="189">
        <v>-10.51</v>
      </c>
      <c r="M282" s="189">
        <v>-13.41</v>
      </c>
      <c r="N282" s="189">
        <v>328</v>
      </c>
      <c r="O282" s="189" t="s">
        <v>956</v>
      </c>
      <c r="P282" s="189" t="s">
        <v>957</v>
      </c>
      <c r="Q282" s="189" t="s">
        <v>253</v>
      </c>
      <c r="R282" s="189" t="s">
        <v>253</v>
      </c>
      <c r="S282" s="189" t="s">
        <v>253</v>
      </c>
      <c r="T282" s="189" t="s">
        <v>253</v>
      </c>
      <c r="U282" s="189" t="s">
        <v>253</v>
      </c>
      <c r="V282" s="189" t="s">
        <v>297</v>
      </c>
      <c r="W282" s="189" t="s">
        <v>253</v>
      </c>
      <c r="X282" s="189" t="s">
        <v>1782</v>
      </c>
      <c r="Y282" s="189" t="s">
        <v>1783</v>
      </c>
    </row>
    <row r="283" spans="1:25" x14ac:dyDescent="0.2">
      <c r="A283" s="189">
        <v>690</v>
      </c>
      <c r="B283" s="189" t="s">
        <v>1784</v>
      </c>
      <c r="C283" s="189" t="s">
        <v>253</v>
      </c>
      <c r="D283" s="189" t="s">
        <v>253</v>
      </c>
      <c r="E283" s="189" t="s">
        <v>1565</v>
      </c>
      <c r="F283" s="189" t="s">
        <v>1566</v>
      </c>
      <c r="G283" s="189" t="s">
        <v>903</v>
      </c>
      <c r="H283" s="189" t="s">
        <v>928</v>
      </c>
      <c r="I283" s="189">
        <v>1857</v>
      </c>
      <c r="J283" s="189">
        <v>632.20550560232095</v>
      </c>
      <c r="K283" s="189">
        <v>412.11643465014299</v>
      </c>
      <c r="L283" s="189">
        <v>-20.440000000000001</v>
      </c>
      <c r="M283" s="189">
        <v>-4.58</v>
      </c>
      <c r="N283" s="189">
        <v>2759</v>
      </c>
      <c r="O283" s="189" t="s">
        <v>550</v>
      </c>
      <c r="P283" s="189" t="s">
        <v>551</v>
      </c>
      <c r="Q283" s="189" t="s">
        <v>253</v>
      </c>
      <c r="R283" s="189" t="s">
        <v>253</v>
      </c>
      <c r="S283" s="189" t="s">
        <v>253</v>
      </c>
      <c r="T283" s="189" t="s">
        <v>253</v>
      </c>
      <c r="U283" s="189" t="s">
        <v>253</v>
      </c>
      <c r="V283" s="189" t="s">
        <v>253</v>
      </c>
      <c r="W283" s="189" t="s">
        <v>253</v>
      </c>
      <c r="X283" s="189" t="s">
        <v>1785</v>
      </c>
      <c r="Y283" s="189" t="s">
        <v>1786</v>
      </c>
    </row>
    <row r="284" spans="1:25" x14ac:dyDescent="0.2">
      <c r="A284" s="189">
        <v>691</v>
      </c>
      <c r="B284" s="189" t="s">
        <v>1787</v>
      </c>
      <c r="C284" s="189" t="s">
        <v>253</v>
      </c>
      <c r="D284" s="189" t="s">
        <v>253</v>
      </c>
      <c r="E284" s="189" t="s">
        <v>1565</v>
      </c>
      <c r="F284" s="189" t="s">
        <v>1566</v>
      </c>
      <c r="G284" s="189" t="s">
        <v>391</v>
      </c>
      <c r="H284" s="189" t="s">
        <v>256</v>
      </c>
      <c r="I284" s="189">
        <v>21388</v>
      </c>
      <c r="J284" s="189">
        <v>533.456328779518</v>
      </c>
      <c r="K284" s="189">
        <v>475.07535995991202</v>
      </c>
      <c r="L284" s="189">
        <v>-22.48</v>
      </c>
      <c r="M284" s="189">
        <v>-7.77</v>
      </c>
      <c r="N284" s="189">
        <v>738</v>
      </c>
      <c r="O284" s="189" t="s">
        <v>602</v>
      </c>
      <c r="P284" s="189" t="s">
        <v>603</v>
      </c>
      <c r="Q284" s="189" t="s">
        <v>253</v>
      </c>
      <c r="R284" s="189" t="s">
        <v>253</v>
      </c>
      <c r="S284" s="189" t="s">
        <v>257</v>
      </c>
      <c r="T284" s="189" t="s">
        <v>261</v>
      </c>
      <c r="U284" s="189" t="s">
        <v>258</v>
      </c>
      <c r="V284" s="189" t="s">
        <v>297</v>
      </c>
      <c r="W284" s="189" t="s">
        <v>253</v>
      </c>
      <c r="X284" s="189" t="s">
        <v>1788</v>
      </c>
      <c r="Y284" s="189" t="s">
        <v>1789</v>
      </c>
    </row>
    <row r="285" spans="1:25" x14ac:dyDescent="0.2">
      <c r="A285" s="189">
        <v>712</v>
      </c>
      <c r="B285" s="189" t="s">
        <v>1790</v>
      </c>
      <c r="C285" s="189" t="s">
        <v>253</v>
      </c>
      <c r="D285" s="189" t="s">
        <v>253</v>
      </c>
      <c r="E285" s="189" t="s">
        <v>1565</v>
      </c>
      <c r="F285" s="189" t="s">
        <v>1566</v>
      </c>
      <c r="G285" s="189" t="s">
        <v>903</v>
      </c>
      <c r="H285" s="189" t="s">
        <v>521</v>
      </c>
      <c r="I285" s="189">
        <v>46979</v>
      </c>
      <c r="J285" s="189">
        <v>563.5</v>
      </c>
      <c r="K285" s="189">
        <v>133</v>
      </c>
      <c r="L285" s="189">
        <v>-11.41</v>
      </c>
      <c r="M285" s="189">
        <v>-6.8</v>
      </c>
      <c r="N285" s="189">
        <v>30</v>
      </c>
      <c r="O285" s="189" t="s">
        <v>1086</v>
      </c>
      <c r="P285" s="189" t="s">
        <v>1087</v>
      </c>
      <c r="Q285" s="189" t="s">
        <v>253</v>
      </c>
      <c r="R285" s="189" t="s">
        <v>259</v>
      </c>
      <c r="S285" s="189" t="s">
        <v>257</v>
      </c>
      <c r="T285" s="189" t="s">
        <v>261</v>
      </c>
      <c r="U285" s="189" t="s">
        <v>258</v>
      </c>
      <c r="V285" s="189" t="s">
        <v>297</v>
      </c>
      <c r="W285" s="189" t="s">
        <v>266</v>
      </c>
      <c r="X285" s="189" t="s">
        <v>1791</v>
      </c>
      <c r="Y285" s="189" t="s">
        <v>1792</v>
      </c>
    </row>
    <row r="286" spans="1:25" x14ac:dyDescent="0.2">
      <c r="A286" s="189">
        <v>713</v>
      </c>
      <c r="B286" s="189" t="s">
        <v>1793</v>
      </c>
      <c r="C286" s="189" t="s">
        <v>253</v>
      </c>
      <c r="D286" s="189" t="s">
        <v>253</v>
      </c>
      <c r="E286" s="189" t="s">
        <v>1565</v>
      </c>
      <c r="F286" s="189" t="s">
        <v>1566</v>
      </c>
      <c r="G286" s="189" t="s">
        <v>903</v>
      </c>
      <c r="H286" s="189" t="s">
        <v>521</v>
      </c>
      <c r="I286" s="189">
        <v>17684</v>
      </c>
      <c r="J286" s="189">
        <v>359.91545181283698</v>
      </c>
      <c r="K286" s="189">
        <v>136.44002753642499</v>
      </c>
      <c r="L286" s="189">
        <v>-11.52</v>
      </c>
      <c r="M286" s="189">
        <v>-13.37</v>
      </c>
      <c r="N286" s="189">
        <v>266</v>
      </c>
      <c r="O286" s="189" t="s">
        <v>1086</v>
      </c>
      <c r="P286" s="189" t="s">
        <v>1087</v>
      </c>
      <c r="Q286" s="189" t="s">
        <v>253</v>
      </c>
      <c r="R286" s="189" t="s">
        <v>253</v>
      </c>
      <c r="S286" s="189" t="s">
        <v>257</v>
      </c>
      <c r="T286" s="189" t="s">
        <v>261</v>
      </c>
      <c r="U286" s="189" t="s">
        <v>258</v>
      </c>
      <c r="V286" s="189" t="s">
        <v>297</v>
      </c>
      <c r="W286" s="189" t="s">
        <v>253</v>
      </c>
      <c r="X286" s="189" t="s">
        <v>1794</v>
      </c>
      <c r="Y286" s="189" t="s">
        <v>1795</v>
      </c>
    </row>
    <row r="287" spans="1:25" x14ac:dyDescent="0.2">
      <c r="A287" s="189">
        <v>745</v>
      </c>
      <c r="B287" s="189" t="s">
        <v>1796</v>
      </c>
      <c r="C287" s="189" t="s">
        <v>253</v>
      </c>
      <c r="D287" s="189" t="s">
        <v>253</v>
      </c>
      <c r="E287" s="189" t="s">
        <v>1565</v>
      </c>
      <c r="F287" s="189" t="s">
        <v>1566</v>
      </c>
      <c r="G287" s="189" t="s">
        <v>903</v>
      </c>
      <c r="H287" s="189" t="s">
        <v>928</v>
      </c>
      <c r="I287" s="189">
        <v>2364</v>
      </c>
      <c r="J287" s="189">
        <v>499.88</v>
      </c>
      <c r="K287" s="189">
        <v>204.92</v>
      </c>
      <c r="L287" s="189">
        <v>-13.74</v>
      </c>
      <c r="M287" s="189">
        <v>-8.85</v>
      </c>
      <c r="N287" s="189">
        <v>52</v>
      </c>
      <c r="O287" s="189" t="s">
        <v>929</v>
      </c>
      <c r="P287" s="189" t="s">
        <v>930</v>
      </c>
      <c r="Q287" s="189" t="s">
        <v>253</v>
      </c>
      <c r="R287" s="189" t="s">
        <v>253</v>
      </c>
      <c r="S287" s="189" t="s">
        <v>253</v>
      </c>
      <c r="T287" s="189" t="s">
        <v>253</v>
      </c>
      <c r="U287" s="189" t="s">
        <v>258</v>
      </c>
      <c r="V287" s="189" t="s">
        <v>297</v>
      </c>
      <c r="W287" s="189" t="s">
        <v>253</v>
      </c>
      <c r="X287" s="189" t="s">
        <v>1797</v>
      </c>
      <c r="Y287" s="189" t="s">
        <v>1798</v>
      </c>
    </row>
    <row r="288" spans="1:25" x14ac:dyDescent="0.2">
      <c r="A288" s="189">
        <v>747</v>
      </c>
      <c r="B288" s="189" t="s">
        <v>1799</v>
      </c>
      <c r="C288" s="189" t="s">
        <v>253</v>
      </c>
      <c r="D288" s="189" t="s">
        <v>253</v>
      </c>
      <c r="E288" s="189" t="s">
        <v>1565</v>
      </c>
      <c r="F288" s="189" t="s">
        <v>1566</v>
      </c>
      <c r="G288" s="189" t="s">
        <v>903</v>
      </c>
      <c r="H288" s="189" t="s">
        <v>928</v>
      </c>
      <c r="I288" s="189">
        <v>2041</v>
      </c>
      <c r="J288" s="189">
        <v>624.51809432029302</v>
      </c>
      <c r="K288" s="189">
        <v>407.71806768878002</v>
      </c>
      <c r="L288" s="189">
        <v>-20.3</v>
      </c>
      <c r="M288" s="189">
        <v>-4.83</v>
      </c>
      <c r="N288" s="189">
        <v>4019</v>
      </c>
      <c r="O288" s="189" t="s">
        <v>542</v>
      </c>
      <c r="P288" s="189" t="s">
        <v>543</v>
      </c>
      <c r="Q288" s="189" t="s">
        <v>253</v>
      </c>
      <c r="R288" s="189" t="s">
        <v>253</v>
      </c>
      <c r="S288" s="189" t="s">
        <v>253</v>
      </c>
      <c r="T288" s="189" t="s">
        <v>253</v>
      </c>
      <c r="U288" s="189" t="s">
        <v>253</v>
      </c>
      <c r="V288" s="189" t="s">
        <v>253</v>
      </c>
      <c r="W288" s="189" t="s">
        <v>253</v>
      </c>
      <c r="X288" s="189" t="s">
        <v>1800</v>
      </c>
      <c r="Y288" s="189" t="s">
        <v>1801</v>
      </c>
    </row>
    <row r="289" spans="1:25" x14ac:dyDescent="0.2">
      <c r="A289" s="189">
        <v>771</v>
      </c>
      <c r="B289" s="189" t="s">
        <v>1802</v>
      </c>
      <c r="C289" s="189" t="s">
        <v>253</v>
      </c>
      <c r="D289" s="189" t="s">
        <v>253</v>
      </c>
      <c r="E289" s="189" t="s">
        <v>1565</v>
      </c>
      <c r="F289" s="189" t="s">
        <v>1566</v>
      </c>
      <c r="G289" s="189" t="s">
        <v>395</v>
      </c>
      <c r="H289" s="189" t="s">
        <v>928</v>
      </c>
      <c r="I289" s="189">
        <v>2001</v>
      </c>
      <c r="J289" s="189">
        <v>679.65337574303703</v>
      </c>
      <c r="K289" s="189">
        <v>275.06643402220101</v>
      </c>
      <c r="L289" s="189">
        <v>-16.010000000000002</v>
      </c>
      <c r="M289" s="189">
        <v>-3.05</v>
      </c>
      <c r="N289" s="189">
        <v>328</v>
      </c>
      <c r="O289" s="189" t="s">
        <v>918</v>
      </c>
      <c r="P289" s="189" t="s">
        <v>919</v>
      </c>
      <c r="Q289" s="189" t="s">
        <v>253</v>
      </c>
      <c r="R289" s="189" t="s">
        <v>253</v>
      </c>
      <c r="S289" s="189" t="s">
        <v>257</v>
      </c>
      <c r="T289" s="189" t="s">
        <v>261</v>
      </c>
      <c r="U289" s="189" t="s">
        <v>253</v>
      </c>
      <c r="V289" s="189" t="s">
        <v>297</v>
      </c>
      <c r="W289" s="189" t="s">
        <v>253</v>
      </c>
      <c r="X289" s="189" t="s">
        <v>1803</v>
      </c>
      <c r="Y289" s="189" t="s">
        <v>1804</v>
      </c>
    </row>
    <row r="290" spans="1:25" x14ac:dyDescent="0.2">
      <c r="A290" s="189">
        <v>792</v>
      </c>
      <c r="B290" s="189" t="s">
        <v>1805</v>
      </c>
      <c r="C290" s="189" t="s">
        <v>253</v>
      </c>
      <c r="D290" s="189" t="s">
        <v>253</v>
      </c>
      <c r="E290" s="189" t="s">
        <v>1565</v>
      </c>
      <c r="F290" s="189" t="s">
        <v>1566</v>
      </c>
      <c r="G290" s="189" t="s">
        <v>903</v>
      </c>
      <c r="H290" s="189" t="s">
        <v>521</v>
      </c>
      <c r="I290" s="189">
        <v>2018</v>
      </c>
      <c r="J290" s="189">
        <v>463.27707540485699</v>
      </c>
      <c r="K290" s="189">
        <v>20.2530772738839</v>
      </c>
      <c r="L290" s="189">
        <v>-7.76</v>
      </c>
      <c r="M290" s="189">
        <v>-10.039999999999999</v>
      </c>
      <c r="N290" s="189">
        <v>738</v>
      </c>
      <c r="O290" s="189" t="s">
        <v>987</v>
      </c>
      <c r="P290" s="189" t="s">
        <v>988</v>
      </c>
      <c r="Q290" s="189" t="s">
        <v>253</v>
      </c>
      <c r="R290" s="189" t="s">
        <v>253</v>
      </c>
      <c r="S290" s="189" t="s">
        <v>257</v>
      </c>
      <c r="T290" s="189" t="s">
        <v>253</v>
      </c>
      <c r="U290" s="189" t="s">
        <v>253</v>
      </c>
      <c r="V290" s="189" t="s">
        <v>253</v>
      </c>
      <c r="W290" s="189" t="s">
        <v>253</v>
      </c>
      <c r="X290" s="189" t="s">
        <v>1806</v>
      </c>
      <c r="Y290" s="189" t="s">
        <v>1807</v>
      </c>
    </row>
    <row r="291" spans="1:25" x14ac:dyDescent="0.2">
      <c r="A291" s="189">
        <v>819</v>
      </c>
      <c r="B291" s="189" t="s">
        <v>1808</v>
      </c>
      <c r="C291" s="189" t="s">
        <v>253</v>
      </c>
      <c r="D291" s="189" t="s">
        <v>253</v>
      </c>
      <c r="E291" s="189" t="s">
        <v>1565</v>
      </c>
      <c r="F291" s="189" t="s">
        <v>1566</v>
      </c>
      <c r="G291" s="189" t="s">
        <v>903</v>
      </c>
      <c r="H291" s="189" t="s">
        <v>928</v>
      </c>
      <c r="I291" s="189">
        <v>4808</v>
      </c>
      <c r="J291" s="189">
        <v>263.48222927499899</v>
      </c>
      <c r="K291" s="189">
        <v>307.82064462385199</v>
      </c>
      <c r="L291" s="189">
        <v>-17.07</v>
      </c>
      <c r="M291" s="189">
        <v>-16.489999999999998</v>
      </c>
      <c r="N291" s="189">
        <v>118</v>
      </c>
      <c r="O291" s="189" t="s">
        <v>913</v>
      </c>
      <c r="P291" s="189" t="s">
        <v>914</v>
      </c>
      <c r="Q291" s="189" t="s">
        <v>253</v>
      </c>
      <c r="R291" s="189" t="s">
        <v>253</v>
      </c>
      <c r="S291" s="189" t="s">
        <v>257</v>
      </c>
      <c r="T291" s="189" t="s">
        <v>253</v>
      </c>
      <c r="U291" s="189" t="s">
        <v>258</v>
      </c>
      <c r="V291" s="189" t="s">
        <v>297</v>
      </c>
      <c r="W291" s="189" t="s">
        <v>253</v>
      </c>
      <c r="X291" s="189" t="s">
        <v>1809</v>
      </c>
      <c r="Y291" s="189" t="s">
        <v>1810</v>
      </c>
    </row>
    <row r="292" spans="1:25" x14ac:dyDescent="0.2">
      <c r="A292" s="189">
        <v>820</v>
      </c>
      <c r="B292" s="189" t="s">
        <v>1811</v>
      </c>
      <c r="C292" s="189" t="s">
        <v>253</v>
      </c>
      <c r="D292" s="189" t="s">
        <v>253</v>
      </c>
      <c r="E292" s="189" t="s">
        <v>1565</v>
      </c>
      <c r="F292" s="189" t="s">
        <v>1566</v>
      </c>
      <c r="G292" s="189" t="s">
        <v>903</v>
      </c>
      <c r="H292" s="189" t="s">
        <v>928</v>
      </c>
      <c r="I292" s="189">
        <v>5582</v>
      </c>
      <c r="J292" s="189">
        <v>560.29415196411503</v>
      </c>
      <c r="K292" s="189">
        <v>322.12506814863701</v>
      </c>
      <c r="L292" s="189">
        <v>-17.53</v>
      </c>
      <c r="M292" s="189">
        <v>-6.9</v>
      </c>
      <c r="N292" s="189">
        <v>554</v>
      </c>
      <c r="O292" s="189" t="s">
        <v>967</v>
      </c>
      <c r="P292" s="189" t="s">
        <v>968</v>
      </c>
      <c r="Q292" s="189" t="s">
        <v>253</v>
      </c>
      <c r="R292" s="189" t="s">
        <v>253</v>
      </c>
      <c r="S292" s="189" t="s">
        <v>257</v>
      </c>
      <c r="T292" s="189" t="s">
        <v>261</v>
      </c>
      <c r="U292" s="189" t="s">
        <v>253</v>
      </c>
      <c r="V292" s="189" t="s">
        <v>297</v>
      </c>
      <c r="W292" s="189" t="s">
        <v>253</v>
      </c>
      <c r="X292" s="189" t="s">
        <v>1812</v>
      </c>
      <c r="Y292" s="189" t="s">
        <v>1813</v>
      </c>
    </row>
    <row r="293" spans="1:25" x14ac:dyDescent="0.2">
      <c r="A293" s="189">
        <v>822</v>
      </c>
      <c r="B293" s="189" t="s">
        <v>1814</v>
      </c>
      <c r="C293" s="189" t="s">
        <v>253</v>
      </c>
      <c r="D293" s="189" t="s">
        <v>253</v>
      </c>
      <c r="E293" s="189" t="s">
        <v>1565</v>
      </c>
      <c r="F293" s="189" t="s">
        <v>1566</v>
      </c>
      <c r="G293" s="189" t="s">
        <v>264</v>
      </c>
      <c r="H293" s="189" t="s">
        <v>256</v>
      </c>
      <c r="I293" s="189">
        <v>14244</v>
      </c>
      <c r="J293" s="189">
        <v>362.19248249637502</v>
      </c>
      <c r="K293" s="189">
        <v>526.96052066341895</v>
      </c>
      <c r="L293" s="189">
        <v>-24.16</v>
      </c>
      <c r="M293" s="189">
        <v>-13.3</v>
      </c>
      <c r="N293" s="189">
        <v>52</v>
      </c>
      <c r="O293" s="189" t="s">
        <v>602</v>
      </c>
      <c r="P293" s="189" t="s">
        <v>603</v>
      </c>
      <c r="Q293" s="189" t="s">
        <v>253</v>
      </c>
      <c r="R293" s="189" t="s">
        <v>253</v>
      </c>
      <c r="S293" s="189" t="s">
        <v>253</v>
      </c>
      <c r="T293" s="189" t="s">
        <v>261</v>
      </c>
      <c r="U293" s="189" t="s">
        <v>258</v>
      </c>
      <c r="V293" s="189" t="s">
        <v>253</v>
      </c>
      <c r="W293" s="189" t="s">
        <v>253</v>
      </c>
      <c r="X293" s="189" t="s">
        <v>1815</v>
      </c>
      <c r="Y293" s="189" t="s">
        <v>1816</v>
      </c>
    </row>
    <row r="294" spans="1:25" x14ac:dyDescent="0.2">
      <c r="A294" s="189">
        <v>867</v>
      </c>
      <c r="B294" s="189" t="s">
        <v>1817</v>
      </c>
      <c r="C294" s="189" t="s">
        <v>253</v>
      </c>
      <c r="D294" s="189" t="s">
        <v>253</v>
      </c>
      <c r="E294" s="189" t="s">
        <v>1565</v>
      </c>
      <c r="F294" s="189" t="s">
        <v>1566</v>
      </c>
      <c r="G294" s="189" t="s">
        <v>903</v>
      </c>
      <c r="H294" s="189" t="s">
        <v>928</v>
      </c>
      <c r="I294" s="189">
        <v>16080</v>
      </c>
      <c r="J294" s="189">
        <v>418.96255517909401</v>
      </c>
      <c r="K294" s="189">
        <v>295.01477975404401</v>
      </c>
      <c r="L294" s="189">
        <v>-16.649999999999999</v>
      </c>
      <c r="M294" s="189">
        <v>-11.47</v>
      </c>
      <c r="N294" s="189">
        <v>13</v>
      </c>
      <c r="O294" s="189" t="s">
        <v>918</v>
      </c>
      <c r="P294" s="189" t="s">
        <v>919</v>
      </c>
      <c r="Q294" s="189" t="s">
        <v>253</v>
      </c>
      <c r="R294" s="189" t="s">
        <v>253</v>
      </c>
      <c r="S294" s="189" t="s">
        <v>253</v>
      </c>
      <c r="T294" s="189" t="s">
        <v>261</v>
      </c>
      <c r="U294" s="189" t="s">
        <v>258</v>
      </c>
      <c r="V294" s="189" t="s">
        <v>297</v>
      </c>
      <c r="W294" s="189" t="s">
        <v>253</v>
      </c>
      <c r="X294" s="189" t="s">
        <v>1818</v>
      </c>
      <c r="Y294" s="189" t="s">
        <v>1819</v>
      </c>
    </row>
    <row r="295" spans="1:25" x14ac:dyDescent="0.2">
      <c r="A295" s="189">
        <v>884</v>
      </c>
      <c r="B295" s="189" t="s">
        <v>1820</v>
      </c>
      <c r="C295" s="189" t="s">
        <v>253</v>
      </c>
      <c r="D295" s="189" t="s">
        <v>253</v>
      </c>
      <c r="E295" s="189" t="s">
        <v>1565</v>
      </c>
      <c r="F295" s="189" t="s">
        <v>1566</v>
      </c>
      <c r="G295" s="189" t="s">
        <v>903</v>
      </c>
      <c r="H295" s="189" t="s">
        <v>521</v>
      </c>
      <c r="I295" s="189">
        <v>20669</v>
      </c>
      <c r="J295" s="189">
        <v>639.5</v>
      </c>
      <c r="K295" s="189">
        <v>146</v>
      </c>
      <c r="L295" s="189">
        <v>-11.83</v>
      </c>
      <c r="M295" s="189">
        <v>-4.34</v>
      </c>
      <c r="N295" s="189">
        <v>161</v>
      </c>
      <c r="O295" s="189" t="s">
        <v>1086</v>
      </c>
      <c r="P295" s="189" t="s">
        <v>1087</v>
      </c>
      <c r="Q295" s="189" t="s">
        <v>253</v>
      </c>
      <c r="R295" s="189" t="s">
        <v>259</v>
      </c>
      <c r="S295" s="189" t="s">
        <v>257</v>
      </c>
      <c r="T295" s="189" t="s">
        <v>253</v>
      </c>
      <c r="U295" s="189" t="s">
        <v>253</v>
      </c>
      <c r="V295" s="189" t="s">
        <v>253</v>
      </c>
      <c r="W295" s="189" t="s">
        <v>253</v>
      </c>
      <c r="X295" s="189" t="s">
        <v>1821</v>
      </c>
      <c r="Y295" s="189" t="s">
        <v>1822</v>
      </c>
    </row>
    <row r="296" spans="1:25" x14ac:dyDescent="0.2">
      <c r="A296" s="189">
        <v>887</v>
      </c>
      <c r="B296" s="189" t="s">
        <v>1823</v>
      </c>
      <c r="C296" s="189" t="s">
        <v>253</v>
      </c>
      <c r="D296" s="189" t="s">
        <v>253</v>
      </c>
      <c r="E296" s="189" t="s">
        <v>1565</v>
      </c>
      <c r="F296" s="189" t="s">
        <v>1566</v>
      </c>
      <c r="G296" s="189" t="s">
        <v>903</v>
      </c>
      <c r="H296" s="189" t="s">
        <v>928</v>
      </c>
      <c r="I296" s="189">
        <v>16026</v>
      </c>
      <c r="J296" s="189">
        <v>656.63006549838303</v>
      </c>
      <c r="K296" s="189">
        <v>232.54239946212499</v>
      </c>
      <c r="L296" s="189">
        <v>-14.63</v>
      </c>
      <c r="M296" s="189">
        <v>-3.79</v>
      </c>
      <c r="N296" s="189">
        <v>52</v>
      </c>
      <c r="O296" s="189" t="s">
        <v>929</v>
      </c>
      <c r="P296" s="189" t="s">
        <v>930</v>
      </c>
      <c r="Q296" s="189" t="s">
        <v>253</v>
      </c>
      <c r="R296" s="189" t="s">
        <v>253</v>
      </c>
      <c r="S296" s="189" t="s">
        <v>257</v>
      </c>
      <c r="T296" s="189" t="s">
        <v>253</v>
      </c>
      <c r="U296" s="189" t="s">
        <v>258</v>
      </c>
      <c r="V296" s="189" t="s">
        <v>297</v>
      </c>
      <c r="W296" s="189" t="s">
        <v>253</v>
      </c>
      <c r="X296" s="189" t="s">
        <v>1824</v>
      </c>
      <c r="Y296" s="189" t="s">
        <v>1825</v>
      </c>
    </row>
    <row r="297" spans="1:25" x14ac:dyDescent="0.2">
      <c r="A297" s="189">
        <v>890</v>
      </c>
      <c r="B297" s="189" t="s">
        <v>1826</v>
      </c>
      <c r="C297" s="189" t="s">
        <v>253</v>
      </c>
      <c r="D297" s="189" t="s">
        <v>253</v>
      </c>
      <c r="E297" s="189" t="s">
        <v>1565</v>
      </c>
      <c r="F297" s="189" t="s">
        <v>1566</v>
      </c>
      <c r="G297" s="189" t="s">
        <v>903</v>
      </c>
      <c r="H297" s="189" t="s">
        <v>928</v>
      </c>
      <c r="I297" s="189">
        <v>2103</v>
      </c>
      <c r="J297" s="189">
        <v>713.26390557610398</v>
      </c>
      <c r="K297" s="189">
        <v>322.00829734435302</v>
      </c>
      <c r="L297" s="189">
        <v>-17.53</v>
      </c>
      <c r="M297" s="189">
        <v>-1.96</v>
      </c>
      <c r="N297" s="189">
        <v>266</v>
      </c>
      <c r="O297" s="189" t="s">
        <v>913</v>
      </c>
      <c r="P297" s="189" t="s">
        <v>914</v>
      </c>
      <c r="Q297" s="189" t="s">
        <v>253</v>
      </c>
      <c r="R297" s="189" t="s">
        <v>253</v>
      </c>
      <c r="S297" s="189" t="s">
        <v>257</v>
      </c>
      <c r="T297" s="189" t="s">
        <v>253</v>
      </c>
      <c r="U297" s="189" t="s">
        <v>253</v>
      </c>
      <c r="V297" s="189" t="s">
        <v>297</v>
      </c>
      <c r="W297" s="189" t="s">
        <v>253</v>
      </c>
      <c r="X297" s="189" t="s">
        <v>1827</v>
      </c>
      <c r="Y297" s="189" t="s">
        <v>1828</v>
      </c>
    </row>
    <row r="298" spans="1:25" x14ac:dyDescent="0.2">
      <c r="A298" s="189">
        <v>910</v>
      </c>
      <c r="B298" s="189" t="s">
        <v>1829</v>
      </c>
      <c r="C298" s="189" t="s">
        <v>253</v>
      </c>
      <c r="D298" s="189" t="s">
        <v>253</v>
      </c>
      <c r="E298" s="189" t="s">
        <v>1565</v>
      </c>
      <c r="F298" s="189" t="s">
        <v>1566</v>
      </c>
      <c r="G298" s="189" t="s">
        <v>903</v>
      </c>
      <c r="H298" s="189" t="s">
        <v>521</v>
      </c>
      <c r="I298" s="189">
        <v>2546</v>
      </c>
      <c r="J298" s="189">
        <v>473.43613537756198</v>
      </c>
      <c r="K298" s="189">
        <v>90.082018235692701</v>
      </c>
      <c r="L298" s="189">
        <v>-10.02</v>
      </c>
      <c r="M298" s="189">
        <v>-9.7100000000000009</v>
      </c>
      <c r="N298" s="189">
        <v>397</v>
      </c>
      <c r="O298" s="189" t="s">
        <v>1086</v>
      </c>
      <c r="P298" s="189" t="s">
        <v>1087</v>
      </c>
      <c r="Q298" s="189" t="s">
        <v>253</v>
      </c>
      <c r="R298" s="189" t="s">
        <v>253</v>
      </c>
      <c r="S298" s="189" t="s">
        <v>257</v>
      </c>
      <c r="T298" s="189" t="s">
        <v>253</v>
      </c>
      <c r="U298" s="189" t="s">
        <v>253</v>
      </c>
      <c r="V298" s="189" t="s">
        <v>297</v>
      </c>
      <c r="W298" s="189" t="s">
        <v>253</v>
      </c>
      <c r="X298" s="189" t="s">
        <v>1830</v>
      </c>
      <c r="Y298" s="189" t="s">
        <v>1831</v>
      </c>
    </row>
    <row r="299" spans="1:25" x14ac:dyDescent="0.2">
      <c r="A299" s="189">
        <v>912</v>
      </c>
      <c r="B299" s="189" t="s">
        <v>1832</v>
      </c>
      <c r="C299" s="189" t="s">
        <v>253</v>
      </c>
      <c r="D299" s="189" t="s">
        <v>253</v>
      </c>
      <c r="E299" s="189" t="s">
        <v>1565</v>
      </c>
      <c r="F299" s="189" t="s">
        <v>1566</v>
      </c>
      <c r="G299" s="189" t="s">
        <v>903</v>
      </c>
      <c r="H299" s="189" t="s">
        <v>928</v>
      </c>
      <c r="I299" s="189">
        <v>2122</v>
      </c>
      <c r="J299" s="189">
        <v>485.327295613812</v>
      </c>
      <c r="K299" s="189">
        <v>347.54217988111202</v>
      </c>
      <c r="L299" s="189">
        <v>-18.350000000000001</v>
      </c>
      <c r="M299" s="189">
        <v>-9.32</v>
      </c>
      <c r="N299" s="189">
        <v>1063</v>
      </c>
      <c r="O299" s="189" t="s">
        <v>945</v>
      </c>
      <c r="P299" s="189" t="s">
        <v>946</v>
      </c>
      <c r="Q299" s="189" t="s">
        <v>253</v>
      </c>
      <c r="R299" s="189" t="s">
        <v>253</v>
      </c>
      <c r="S299" s="189" t="s">
        <v>253</v>
      </c>
      <c r="T299" s="189" t="s">
        <v>253</v>
      </c>
      <c r="U299" s="189" t="s">
        <v>253</v>
      </c>
      <c r="V299" s="189" t="s">
        <v>297</v>
      </c>
      <c r="W299" s="189" t="s">
        <v>253</v>
      </c>
      <c r="X299" s="189" t="s">
        <v>1833</v>
      </c>
      <c r="Y299" s="189" t="s">
        <v>1834</v>
      </c>
    </row>
    <row r="300" spans="1:25" x14ac:dyDescent="0.2">
      <c r="A300" s="189">
        <v>913</v>
      </c>
      <c r="B300" s="189" t="s">
        <v>1835</v>
      </c>
      <c r="C300" s="189" t="s">
        <v>253</v>
      </c>
      <c r="D300" s="189" t="s">
        <v>253</v>
      </c>
      <c r="E300" s="189" t="s">
        <v>1565</v>
      </c>
      <c r="F300" s="189" t="s">
        <v>1566</v>
      </c>
      <c r="G300" s="189" t="s">
        <v>391</v>
      </c>
      <c r="H300" s="189" t="s">
        <v>928</v>
      </c>
      <c r="I300" s="189">
        <v>7828</v>
      </c>
      <c r="J300" s="189">
        <v>458.78139943992397</v>
      </c>
      <c r="K300" s="189">
        <v>441.620524532557</v>
      </c>
      <c r="L300" s="189">
        <v>-21.4</v>
      </c>
      <c r="M300" s="189">
        <v>-10.18</v>
      </c>
      <c r="N300" s="189">
        <v>643</v>
      </c>
      <c r="O300" s="189" t="s">
        <v>602</v>
      </c>
      <c r="P300" s="189" t="s">
        <v>603</v>
      </c>
      <c r="Q300" s="189" t="s">
        <v>253</v>
      </c>
      <c r="R300" s="189" t="s">
        <v>253</v>
      </c>
      <c r="S300" s="189" t="s">
        <v>253</v>
      </c>
      <c r="T300" s="189" t="s">
        <v>253</v>
      </c>
      <c r="U300" s="189" t="s">
        <v>258</v>
      </c>
      <c r="V300" s="189" t="s">
        <v>297</v>
      </c>
      <c r="W300" s="189" t="s">
        <v>253</v>
      </c>
      <c r="X300" s="189" t="s">
        <v>1836</v>
      </c>
      <c r="Y300" s="189" t="s">
        <v>1837</v>
      </c>
    </row>
    <row r="301" spans="1:25" x14ac:dyDescent="0.2">
      <c r="A301" s="189">
        <v>941</v>
      </c>
      <c r="B301" s="189" t="s">
        <v>1838</v>
      </c>
      <c r="C301" s="189" t="s">
        <v>253</v>
      </c>
      <c r="D301" s="189" t="s">
        <v>253</v>
      </c>
      <c r="E301" s="189" t="s">
        <v>1565</v>
      </c>
      <c r="F301" s="189" t="s">
        <v>1566</v>
      </c>
      <c r="G301" s="189" t="s">
        <v>903</v>
      </c>
      <c r="H301" s="189" t="s">
        <v>521</v>
      </c>
      <c r="I301" s="189">
        <v>2197</v>
      </c>
      <c r="J301" s="189">
        <v>504.32201311066899</v>
      </c>
      <c r="K301" s="189">
        <v>94.733388606337101</v>
      </c>
      <c r="L301" s="189">
        <v>-10.17</v>
      </c>
      <c r="M301" s="189">
        <v>-8.7100000000000009</v>
      </c>
      <c r="N301" s="189">
        <v>266</v>
      </c>
      <c r="O301" s="189" t="s">
        <v>956</v>
      </c>
      <c r="P301" s="189" t="s">
        <v>957</v>
      </c>
      <c r="Q301" s="189" t="s">
        <v>253</v>
      </c>
      <c r="R301" s="189" t="s">
        <v>253</v>
      </c>
      <c r="S301" s="189" t="s">
        <v>257</v>
      </c>
      <c r="T301" s="189" t="s">
        <v>253</v>
      </c>
      <c r="U301" s="189" t="s">
        <v>253</v>
      </c>
      <c r="V301" s="189" t="s">
        <v>297</v>
      </c>
      <c r="W301" s="189" t="s">
        <v>253</v>
      </c>
      <c r="X301" s="189" t="s">
        <v>1839</v>
      </c>
      <c r="Y301" s="189" t="s">
        <v>1840</v>
      </c>
    </row>
    <row r="302" spans="1:25" x14ac:dyDescent="0.2">
      <c r="A302" s="189">
        <v>942</v>
      </c>
      <c r="B302" s="189" t="s">
        <v>1841</v>
      </c>
      <c r="C302" s="189" t="s">
        <v>253</v>
      </c>
      <c r="D302" s="189" t="s">
        <v>253</v>
      </c>
      <c r="E302" s="189" t="s">
        <v>1565</v>
      </c>
      <c r="F302" s="189" t="s">
        <v>1566</v>
      </c>
      <c r="G302" s="189" t="s">
        <v>903</v>
      </c>
      <c r="H302" s="189" t="s">
        <v>521</v>
      </c>
      <c r="I302" s="189">
        <v>2108</v>
      </c>
      <c r="J302" s="189">
        <v>538.18554635301803</v>
      </c>
      <c r="K302" s="189">
        <v>136.28433313071301</v>
      </c>
      <c r="L302" s="189">
        <v>-11.51</v>
      </c>
      <c r="M302" s="189">
        <v>-7.62</v>
      </c>
      <c r="N302" s="189">
        <v>82</v>
      </c>
      <c r="O302" s="189" t="s">
        <v>1086</v>
      </c>
      <c r="P302" s="189" t="s">
        <v>1087</v>
      </c>
      <c r="Q302" s="189" t="s">
        <v>253</v>
      </c>
      <c r="R302" s="189" t="s">
        <v>253</v>
      </c>
      <c r="S302" s="189" t="s">
        <v>253</v>
      </c>
      <c r="T302" s="189" t="s">
        <v>253</v>
      </c>
      <c r="U302" s="189" t="s">
        <v>253</v>
      </c>
      <c r="V302" s="189" t="s">
        <v>297</v>
      </c>
      <c r="W302" s="189" t="s">
        <v>253</v>
      </c>
      <c r="X302" s="189" t="s">
        <v>1842</v>
      </c>
      <c r="Y302" s="189" t="s">
        <v>1843</v>
      </c>
    </row>
    <row r="303" spans="1:25" x14ac:dyDescent="0.2">
      <c r="A303" s="189">
        <v>968</v>
      </c>
      <c r="B303" s="189" t="s">
        <v>1844</v>
      </c>
      <c r="C303" s="189" t="s">
        <v>253</v>
      </c>
      <c r="D303" s="189" t="s">
        <v>253</v>
      </c>
      <c r="E303" s="189" t="s">
        <v>1565</v>
      </c>
      <c r="F303" s="189" t="s">
        <v>1566</v>
      </c>
      <c r="G303" s="189" t="s">
        <v>903</v>
      </c>
      <c r="H303" s="189" t="s">
        <v>521</v>
      </c>
      <c r="I303" s="189">
        <v>24126</v>
      </c>
      <c r="J303" s="189">
        <v>441.40201140232801</v>
      </c>
      <c r="K303" s="189">
        <v>133.94891704503399</v>
      </c>
      <c r="L303" s="189">
        <v>-11.44</v>
      </c>
      <c r="M303" s="189">
        <v>-10.74</v>
      </c>
      <c r="N303" s="189">
        <v>52</v>
      </c>
      <c r="O303" s="189" t="s">
        <v>1086</v>
      </c>
      <c r="P303" s="189" t="s">
        <v>1087</v>
      </c>
      <c r="Q303" s="189" t="s">
        <v>253</v>
      </c>
      <c r="R303" s="189" t="s">
        <v>253</v>
      </c>
      <c r="S303" s="189" t="s">
        <v>253</v>
      </c>
      <c r="T303" s="189" t="s">
        <v>261</v>
      </c>
      <c r="U303" s="189" t="s">
        <v>253</v>
      </c>
      <c r="V303" s="189" t="s">
        <v>297</v>
      </c>
      <c r="W303" s="189" t="s">
        <v>253</v>
      </c>
      <c r="X303" s="189" t="s">
        <v>1845</v>
      </c>
      <c r="Y303" s="189" t="s">
        <v>1846</v>
      </c>
    </row>
    <row r="304" spans="1:25" x14ac:dyDescent="0.2">
      <c r="A304" s="189">
        <v>973</v>
      </c>
      <c r="B304" s="189" t="s">
        <v>1847</v>
      </c>
      <c r="C304" s="189" t="s">
        <v>253</v>
      </c>
      <c r="D304" s="189" t="s">
        <v>253</v>
      </c>
      <c r="E304" s="189" t="s">
        <v>1565</v>
      </c>
      <c r="F304" s="189" t="s">
        <v>1566</v>
      </c>
      <c r="G304" s="189" t="s">
        <v>903</v>
      </c>
      <c r="H304" s="189" t="s">
        <v>928</v>
      </c>
      <c r="I304" s="189">
        <v>2148</v>
      </c>
      <c r="J304" s="189">
        <v>694.65842409352604</v>
      </c>
      <c r="K304" s="189">
        <v>286.02342782417901</v>
      </c>
      <c r="L304" s="189">
        <v>-16.36</v>
      </c>
      <c r="M304" s="189">
        <v>-2.56</v>
      </c>
      <c r="N304" s="189">
        <v>82</v>
      </c>
      <c r="O304" s="189" t="s">
        <v>918</v>
      </c>
      <c r="P304" s="189" t="s">
        <v>919</v>
      </c>
      <c r="Q304" s="189" t="s">
        <v>253</v>
      </c>
      <c r="R304" s="189" t="s">
        <v>253</v>
      </c>
      <c r="S304" s="189" t="s">
        <v>257</v>
      </c>
      <c r="T304" s="189" t="s">
        <v>253</v>
      </c>
      <c r="U304" s="189" t="s">
        <v>253</v>
      </c>
      <c r="V304" s="189" t="s">
        <v>297</v>
      </c>
      <c r="W304" s="189" t="s">
        <v>253</v>
      </c>
      <c r="X304" s="189" t="s">
        <v>1848</v>
      </c>
      <c r="Y304" s="189" t="s">
        <v>1849</v>
      </c>
    </row>
    <row r="305" spans="1:25" x14ac:dyDescent="0.2">
      <c r="A305" s="189">
        <v>976</v>
      </c>
      <c r="B305" s="189" t="s">
        <v>1850</v>
      </c>
      <c r="C305" s="189" t="s">
        <v>253</v>
      </c>
      <c r="D305" s="189" t="s">
        <v>253</v>
      </c>
      <c r="E305" s="189" t="s">
        <v>1565</v>
      </c>
      <c r="F305" s="189" t="s">
        <v>1566</v>
      </c>
      <c r="G305" s="189" t="s">
        <v>903</v>
      </c>
      <c r="H305" s="189" t="s">
        <v>928</v>
      </c>
      <c r="I305" s="189">
        <v>9777</v>
      </c>
      <c r="J305" s="189">
        <v>274.12783426555399</v>
      </c>
      <c r="K305" s="189">
        <v>327.90522296069298</v>
      </c>
      <c r="L305" s="189">
        <v>-17.72</v>
      </c>
      <c r="M305" s="189">
        <v>-16.149999999999999</v>
      </c>
      <c r="N305" s="189">
        <v>210</v>
      </c>
      <c r="O305" s="189" t="s">
        <v>913</v>
      </c>
      <c r="P305" s="189" t="s">
        <v>914</v>
      </c>
      <c r="Q305" s="189" t="s">
        <v>253</v>
      </c>
      <c r="R305" s="189" t="s">
        <v>253</v>
      </c>
      <c r="S305" s="189" t="s">
        <v>253</v>
      </c>
      <c r="T305" s="189" t="s">
        <v>253</v>
      </c>
      <c r="U305" s="189" t="s">
        <v>253</v>
      </c>
      <c r="V305" s="189" t="s">
        <v>297</v>
      </c>
      <c r="W305" s="189" t="s">
        <v>253</v>
      </c>
      <c r="X305" s="189" t="s">
        <v>1851</v>
      </c>
      <c r="Y305" s="189" t="s">
        <v>1852</v>
      </c>
    </row>
    <row r="306" spans="1:25" x14ac:dyDescent="0.2">
      <c r="A306" s="189">
        <v>995</v>
      </c>
      <c r="B306" s="189" t="s">
        <v>1853</v>
      </c>
      <c r="C306" s="189" t="s">
        <v>253</v>
      </c>
      <c r="D306" s="189" t="s">
        <v>253</v>
      </c>
      <c r="E306" s="189" t="s">
        <v>1565</v>
      </c>
      <c r="F306" s="189" t="s">
        <v>1566</v>
      </c>
      <c r="G306" s="189" t="s">
        <v>903</v>
      </c>
      <c r="H306" s="189" t="s">
        <v>521</v>
      </c>
      <c r="I306" s="189">
        <v>2233</v>
      </c>
      <c r="J306" s="189">
        <v>451.75568938217299</v>
      </c>
      <c r="K306" s="189">
        <v>58.826366289019099</v>
      </c>
      <c r="L306" s="189">
        <v>-9</v>
      </c>
      <c r="M306" s="189">
        <v>-10.41</v>
      </c>
      <c r="N306" s="189">
        <v>266</v>
      </c>
      <c r="O306" s="189" t="s">
        <v>987</v>
      </c>
      <c r="P306" s="189" t="s">
        <v>988</v>
      </c>
      <c r="Q306" s="189" t="s">
        <v>253</v>
      </c>
      <c r="R306" s="189" t="s">
        <v>253</v>
      </c>
      <c r="S306" s="189" t="s">
        <v>257</v>
      </c>
      <c r="T306" s="189" t="s">
        <v>253</v>
      </c>
      <c r="U306" s="189" t="s">
        <v>253</v>
      </c>
      <c r="V306" s="189" t="s">
        <v>297</v>
      </c>
      <c r="W306" s="189" t="s">
        <v>253</v>
      </c>
      <c r="X306" s="189" t="s">
        <v>1854</v>
      </c>
      <c r="Y306" s="189" t="s">
        <v>1855</v>
      </c>
    </row>
    <row r="307" spans="1:25" x14ac:dyDescent="0.2">
      <c r="A307" s="189">
        <v>996</v>
      </c>
      <c r="B307" s="189" t="s">
        <v>1856</v>
      </c>
      <c r="C307" s="189" t="s">
        <v>253</v>
      </c>
      <c r="D307" s="189" t="s">
        <v>253</v>
      </c>
      <c r="E307" s="189" t="s">
        <v>1565</v>
      </c>
      <c r="F307" s="189" t="s">
        <v>1566</v>
      </c>
      <c r="G307" s="189" t="s">
        <v>903</v>
      </c>
      <c r="H307" s="189" t="s">
        <v>521</v>
      </c>
      <c r="I307" s="189">
        <v>26686</v>
      </c>
      <c r="J307" s="189">
        <v>582.03298336164505</v>
      </c>
      <c r="K307" s="189">
        <v>124.607252702317</v>
      </c>
      <c r="L307" s="189">
        <v>-11.13</v>
      </c>
      <c r="M307" s="189">
        <v>-6.2</v>
      </c>
      <c r="N307" s="189">
        <v>840</v>
      </c>
      <c r="O307" s="189" t="s">
        <v>904</v>
      </c>
      <c r="P307" s="189" t="s">
        <v>905</v>
      </c>
      <c r="Q307" s="189" t="s">
        <v>253</v>
      </c>
      <c r="R307" s="189" t="s">
        <v>253</v>
      </c>
      <c r="S307" s="189" t="s">
        <v>257</v>
      </c>
      <c r="T307" s="189" t="s">
        <v>253</v>
      </c>
      <c r="U307" s="189" t="s">
        <v>253</v>
      </c>
      <c r="V307" s="189" t="s">
        <v>253</v>
      </c>
      <c r="W307" s="189" t="s">
        <v>253</v>
      </c>
      <c r="X307" s="189" t="s">
        <v>1857</v>
      </c>
      <c r="Y307" s="189" t="s">
        <v>1858</v>
      </c>
    </row>
    <row r="308" spans="1:25" x14ac:dyDescent="0.2">
      <c r="A308" s="189">
        <v>1001</v>
      </c>
      <c r="B308" s="189" t="s">
        <v>1859</v>
      </c>
      <c r="C308" s="189" t="s">
        <v>253</v>
      </c>
      <c r="D308" s="189" t="s">
        <v>253</v>
      </c>
      <c r="E308" s="189" t="s">
        <v>1565</v>
      </c>
      <c r="F308" s="189" t="s">
        <v>1566</v>
      </c>
      <c r="G308" s="189" t="s">
        <v>903</v>
      </c>
      <c r="H308" s="189" t="s">
        <v>928</v>
      </c>
      <c r="I308" s="189">
        <v>16691</v>
      </c>
      <c r="J308" s="189">
        <v>572</v>
      </c>
      <c r="K308" s="189">
        <v>299</v>
      </c>
      <c r="L308" s="189">
        <v>-16.78</v>
      </c>
      <c r="M308" s="189">
        <v>-6.52</v>
      </c>
      <c r="N308" s="189">
        <v>82</v>
      </c>
      <c r="O308" s="189" t="s">
        <v>918</v>
      </c>
      <c r="P308" s="189" t="s">
        <v>919</v>
      </c>
      <c r="Q308" s="189" t="s">
        <v>253</v>
      </c>
      <c r="R308" s="189" t="s">
        <v>259</v>
      </c>
      <c r="S308" s="189" t="s">
        <v>253</v>
      </c>
      <c r="T308" s="189" t="s">
        <v>261</v>
      </c>
      <c r="U308" s="189" t="s">
        <v>253</v>
      </c>
      <c r="V308" s="189" t="s">
        <v>297</v>
      </c>
      <c r="W308" s="189" t="s">
        <v>253</v>
      </c>
      <c r="X308" s="189" t="s">
        <v>1860</v>
      </c>
      <c r="Y308" s="189" t="s">
        <v>1861</v>
      </c>
    </row>
    <row r="309" spans="1:25" x14ac:dyDescent="0.2">
      <c r="A309" s="189">
        <v>1003</v>
      </c>
      <c r="B309" s="189" t="s">
        <v>1862</v>
      </c>
      <c r="C309" s="189" t="s">
        <v>253</v>
      </c>
      <c r="D309" s="189" t="s">
        <v>253</v>
      </c>
      <c r="E309" s="189" t="s">
        <v>1565</v>
      </c>
      <c r="F309" s="189" t="s">
        <v>1566</v>
      </c>
      <c r="G309" s="189" t="s">
        <v>903</v>
      </c>
      <c r="H309" s="189" t="s">
        <v>928</v>
      </c>
      <c r="I309" s="189">
        <v>13444</v>
      </c>
      <c r="J309" s="189">
        <v>824.13778424372504</v>
      </c>
      <c r="K309" s="189">
        <v>381.58086932988698</v>
      </c>
      <c r="L309" s="189">
        <v>-19.46</v>
      </c>
      <c r="M309" s="189">
        <v>1.62</v>
      </c>
      <c r="N309" s="189">
        <v>1736</v>
      </c>
      <c r="O309" s="189" t="s">
        <v>568</v>
      </c>
      <c r="P309" s="189" t="s">
        <v>569</v>
      </c>
      <c r="Q309" s="189" t="s">
        <v>253</v>
      </c>
      <c r="R309" s="189" t="s">
        <v>253</v>
      </c>
      <c r="S309" s="189" t="s">
        <v>253</v>
      </c>
      <c r="T309" s="189" t="s">
        <v>253</v>
      </c>
      <c r="U309" s="189" t="s">
        <v>258</v>
      </c>
      <c r="V309" s="189" t="s">
        <v>253</v>
      </c>
      <c r="W309" s="189" t="s">
        <v>253</v>
      </c>
      <c r="X309" s="189" t="s">
        <v>1863</v>
      </c>
      <c r="Y309" s="189" t="s">
        <v>1864</v>
      </c>
    </row>
    <row r="310" spans="1:25" x14ac:dyDescent="0.2">
      <c r="A310" s="189">
        <v>1004</v>
      </c>
      <c r="B310" s="189" t="s">
        <v>1865</v>
      </c>
      <c r="C310" s="189" t="s">
        <v>253</v>
      </c>
      <c r="D310" s="189" t="s">
        <v>253</v>
      </c>
      <c r="E310" s="189" t="s">
        <v>1565</v>
      </c>
      <c r="F310" s="189" t="s">
        <v>1566</v>
      </c>
      <c r="G310" s="189" t="s">
        <v>391</v>
      </c>
      <c r="H310" s="189" t="s">
        <v>928</v>
      </c>
      <c r="I310" s="189">
        <v>2345</v>
      </c>
      <c r="J310" s="189">
        <v>410.26313025993898</v>
      </c>
      <c r="K310" s="189">
        <v>445.61019367892601</v>
      </c>
      <c r="L310" s="189">
        <v>-21.53</v>
      </c>
      <c r="M310" s="189">
        <v>-11.75</v>
      </c>
      <c r="N310" s="189">
        <v>118</v>
      </c>
      <c r="O310" s="189" t="s">
        <v>945</v>
      </c>
      <c r="P310" s="189" t="s">
        <v>946</v>
      </c>
      <c r="Q310" s="189" t="s">
        <v>253</v>
      </c>
      <c r="R310" s="189" t="s">
        <v>253</v>
      </c>
      <c r="S310" s="189" t="s">
        <v>257</v>
      </c>
      <c r="T310" s="189" t="s">
        <v>261</v>
      </c>
      <c r="U310" s="189" t="s">
        <v>253</v>
      </c>
      <c r="V310" s="189" t="s">
        <v>297</v>
      </c>
      <c r="W310" s="189" t="s">
        <v>253</v>
      </c>
      <c r="X310" s="189" t="s">
        <v>1866</v>
      </c>
      <c r="Y310" s="189" t="s">
        <v>1867</v>
      </c>
    </row>
    <row r="311" spans="1:25" x14ac:dyDescent="0.2">
      <c r="A311" s="189">
        <v>1006</v>
      </c>
      <c r="B311" s="189" t="s">
        <v>1868</v>
      </c>
      <c r="C311" s="189" t="s">
        <v>253</v>
      </c>
      <c r="D311" s="189" t="s">
        <v>253</v>
      </c>
      <c r="E311" s="189" t="s">
        <v>1565</v>
      </c>
      <c r="F311" s="189" t="s">
        <v>1566</v>
      </c>
      <c r="G311" s="189" t="s">
        <v>314</v>
      </c>
      <c r="H311" s="189" t="s">
        <v>256</v>
      </c>
      <c r="I311" s="189">
        <v>2128</v>
      </c>
      <c r="J311" s="189">
        <v>223.896926622737</v>
      </c>
      <c r="K311" s="189">
        <v>482.91846564765098</v>
      </c>
      <c r="L311" s="189">
        <v>-22.74</v>
      </c>
      <c r="M311" s="189">
        <v>-17.77</v>
      </c>
      <c r="N311" s="189">
        <v>52</v>
      </c>
      <c r="O311" s="189" t="s">
        <v>602</v>
      </c>
      <c r="P311" s="189" t="s">
        <v>603</v>
      </c>
      <c r="Q311" s="189" t="s">
        <v>253</v>
      </c>
      <c r="R311" s="189" t="s">
        <v>253</v>
      </c>
      <c r="S311" s="189" t="s">
        <v>257</v>
      </c>
      <c r="T311" s="189" t="s">
        <v>253</v>
      </c>
      <c r="U311" s="189" t="s">
        <v>253</v>
      </c>
      <c r="V311" s="189" t="s">
        <v>297</v>
      </c>
      <c r="W311" s="189" t="s">
        <v>253</v>
      </c>
      <c r="X311" s="189" t="s">
        <v>1869</v>
      </c>
      <c r="Y311" s="189" t="s">
        <v>1870</v>
      </c>
    </row>
    <row r="312" spans="1:25" x14ac:dyDescent="0.2">
      <c r="A312" s="189">
        <v>1030</v>
      </c>
      <c r="B312" s="189" t="s">
        <v>1871</v>
      </c>
      <c r="C312" s="189" t="s">
        <v>253</v>
      </c>
      <c r="D312" s="189" t="s">
        <v>253</v>
      </c>
      <c r="E312" s="189" t="s">
        <v>1565</v>
      </c>
      <c r="F312" s="189" t="s">
        <v>1566</v>
      </c>
      <c r="G312" s="189" t="s">
        <v>903</v>
      </c>
      <c r="H312" s="189" t="s">
        <v>521</v>
      </c>
      <c r="I312" s="189">
        <v>3193</v>
      </c>
      <c r="J312" s="189">
        <v>508</v>
      </c>
      <c r="K312" s="189">
        <v>142</v>
      </c>
      <c r="L312" s="189">
        <v>-11.7</v>
      </c>
      <c r="M312" s="189">
        <v>-8.59</v>
      </c>
      <c r="N312" s="189">
        <v>118</v>
      </c>
      <c r="O312" s="189" t="s">
        <v>1086</v>
      </c>
      <c r="P312" s="189" t="s">
        <v>1087</v>
      </c>
      <c r="Q312" s="189" t="s">
        <v>253</v>
      </c>
      <c r="R312" s="189" t="s">
        <v>259</v>
      </c>
      <c r="S312" s="189" t="s">
        <v>257</v>
      </c>
      <c r="T312" s="189" t="s">
        <v>261</v>
      </c>
      <c r="U312" s="189" t="s">
        <v>253</v>
      </c>
      <c r="V312" s="189" t="s">
        <v>297</v>
      </c>
      <c r="W312" s="189" t="s">
        <v>253</v>
      </c>
      <c r="X312" s="189" t="s">
        <v>1872</v>
      </c>
      <c r="Y312" s="189" t="s">
        <v>1873</v>
      </c>
    </row>
    <row r="313" spans="1:25" x14ac:dyDescent="0.2">
      <c r="A313" s="189">
        <v>1033</v>
      </c>
      <c r="B313" s="189" t="s">
        <v>1874</v>
      </c>
      <c r="C313" s="189" t="s">
        <v>253</v>
      </c>
      <c r="D313" s="189" t="s">
        <v>253</v>
      </c>
      <c r="E313" s="189" t="s">
        <v>1565</v>
      </c>
      <c r="F313" s="189" t="s">
        <v>1566</v>
      </c>
      <c r="G313" s="189" t="s">
        <v>391</v>
      </c>
      <c r="H313" s="189" t="s">
        <v>928</v>
      </c>
      <c r="I313" s="189">
        <v>13999</v>
      </c>
      <c r="J313" s="189">
        <v>597.38834412498602</v>
      </c>
      <c r="K313" s="189">
        <v>374.788700880703</v>
      </c>
      <c r="L313" s="189">
        <v>-19.239999999999998</v>
      </c>
      <c r="M313" s="189">
        <v>-5.7</v>
      </c>
      <c r="N313" s="189">
        <v>3793</v>
      </c>
      <c r="O313" s="189" t="s">
        <v>542</v>
      </c>
      <c r="P313" s="189" t="s">
        <v>543</v>
      </c>
      <c r="Q313" s="189" t="s">
        <v>253</v>
      </c>
      <c r="R313" s="189" t="s">
        <v>253</v>
      </c>
      <c r="S313" s="189" t="s">
        <v>257</v>
      </c>
      <c r="T313" s="189" t="s">
        <v>261</v>
      </c>
      <c r="U313" s="189" t="s">
        <v>253</v>
      </c>
      <c r="V313" s="189" t="s">
        <v>253</v>
      </c>
      <c r="W313" s="189" t="s">
        <v>253</v>
      </c>
      <c r="X313" s="189" t="s">
        <v>1875</v>
      </c>
      <c r="Y313" s="189" t="s">
        <v>1876</v>
      </c>
    </row>
    <row r="314" spans="1:25" x14ac:dyDescent="0.2">
      <c r="A314" s="189">
        <v>1052</v>
      </c>
      <c r="B314" s="189" t="s">
        <v>1877</v>
      </c>
      <c r="C314" s="189" t="s">
        <v>253</v>
      </c>
      <c r="D314" s="189" t="s">
        <v>253</v>
      </c>
      <c r="E314" s="189" t="s">
        <v>1565</v>
      </c>
      <c r="F314" s="189" t="s">
        <v>1566</v>
      </c>
      <c r="G314" s="189" t="s">
        <v>1291</v>
      </c>
      <c r="H314" s="189" t="s">
        <v>256</v>
      </c>
      <c r="I314" s="189">
        <v>9542</v>
      </c>
      <c r="J314" s="189">
        <v>173</v>
      </c>
      <c r="K314" s="189">
        <v>193</v>
      </c>
      <c r="L314" s="189">
        <v>-13.35</v>
      </c>
      <c r="M314" s="189">
        <v>-19.41</v>
      </c>
      <c r="N314" s="189">
        <v>52</v>
      </c>
      <c r="O314" s="189" t="s">
        <v>904</v>
      </c>
      <c r="P314" s="189" t="s">
        <v>905</v>
      </c>
      <c r="Q314" s="189" t="s">
        <v>253</v>
      </c>
      <c r="R314" s="189" t="s">
        <v>259</v>
      </c>
      <c r="S314" s="189" t="s">
        <v>253</v>
      </c>
      <c r="T314" s="189" t="s">
        <v>253</v>
      </c>
      <c r="U314" s="189" t="s">
        <v>258</v>
      </c>
      <c r="V314" s="189" t="s">
        <v>297</v>
      </c>
      <c r="W314" s="189" t="s">
        <v>253</v>
      </c>
      <c r="X314" s="189" t="s">
        <v>1878</v>
      </c>
      <c r="Y314" s="189" t="s">
        <v>1879</v>
      </c>
    </row>
    <row r="315" spans="1:25" x14ac:dyDescent="0.2">
      <c r="A315" s="189">
        <v>7</v>
      </c>
      <c r="B315" s="189" t="s">
        <v>1880</v>
      </c>
      <c r="C315" s="189" t="s">
        <v>1880</v>
      </c>
      <c r="D315" s="189" t="s">
        <v>1881</v>
      </c>
      <c r="E315" s="189" t="s">
        <v>1882</v>
      </c>
      <c r="F315" s="189" t="s">
        <v>1883</v>
      </c>
      <c r="G315" s="189" t="s">
        <v>522</v>
      </c>
      <c r="H315" s="189" t="s">
        <v>521</v>
      </c>
      <c r="I315" s="189">
        <v>6874</v>
      </c>
      <c r="J315" s="189">
        <v>999.8</v>
      </c>
      <c r="K315" s="189">
        <v>125.2</v>
      </c>
      <c r="L315" s="189">
        <v>-11.15</v>
      </c>
      <c r="M315" s="189">
        <v>7.29</v>
      </c>
      <c r="N315" s="189">
        <v>82</v>
      </c>
      <c r="O315" s="189" t="s">
        <v>1086</v>
      </c>
      <c r="P315" s="189" t="s">
        <v>1087</v>
      </c>
      <c r="Q315" s="189" t="s">
        <v>332</v>
      </c>
      <c r="R315" s="189" t="s">
        <v>253</v>
      </c>
      <c r="S315" s="189" t="s">
        <v>257</v>
      </c>
      <c r="T315" s="189" t="s">
        <v>253</v>
      </c>
      <c r="U315" s="189" t="s">
        <v>253</v>
      </c>
      <c r="V315" s="189" t="s">
        <v>253</v>
      </c>
      <c r="W315" s="189" t="s">
        <v>253</v>
      </c>
      <c r="X315" s="189" t="s">
        <v>1884</v>
      </c>
      <c r="Y315" s="189" t="s">
        <v>1885</v>
      </c>
    </row>
    <row r="316" spans="1:25" x14ac:dyDescent="0.2">
      <c r="A316" s="189">
        <v>37</v>
      </c>
      <c r="B316" s="189" t="s">
        <v>1886</v>
      </c>
      <c r="C316" s="189" t="s">
        <v>253</v>
      </c>
      <c r="D316" s="189" t="s">
        <v>253</v>
      </c>
      <c r="E316" s="189" t="s">
        <v>1882</v>
      </c>
      <c r="F316" s="189" t="s">
        <v>1883</v>
      </c>
      <c r="G316" s="189" t="s">
        <v>903</v>
      </c>
      <c r="H316" s="189" t="s">
        <v>521</v>
      </c>
      <c r="I316" s="189">
        <v>24148</v>
      </c>
      <c r="J316" s="189">
        <v>760.75069931824805</v>
      </c>
      <c r="K316" s="189">
        <v>143.91335901059799</v>
      </c>
      <c r="L316" s="189">
        <v>-11.76</v>
      </c>
      <c r="M316" s="189">
        <v>-0.43</v>
      </c>
      <c r="N316" s="189">
        <v>82</v>
      </c>
      <c r="O316" s="189" t="s">
        <v>1086</v>
      </c>
      <c r="P316" s="189" t="s">
        <v>1087</v>
      </c>
      <c r="Q316" s="189" t="s">
        <v>253</v>
      </c>
      <c r="R316" s="189" t="s">
        <v>253</v>
      </c>
      <c r="S316" s="189" t="s">
        <v>253</v>
      </c>
      <c r="T316" s="189" t="s">
        <v>261</v>
      </c>
      <c r="U316" s="189" t="s">
        <v>258</v>
      </c>
      <c r="V316" s="189" t="s">
        <v>253</v>
      </c>
      <c r="W316" s="189" t="s">
        <v>266</v>
      </c>
      <c r="X316" s="189" t="s">
        <v>1887</v>
      </c>
      <c r="Y316" s="189" t="s">
        <v>1888</v>
      </c>
    </row>
    <row r="317" spans="1:25" x14ac:dyDescent="0.2">
      <c r="A317" s="189">
        <v>44</v>
      </c>
      <c r="B317" s="189" t="s">
        <v>1889</v>
      </c>
      <c r="C317" s="189" t="s">
        <v>1890</v>
      </c>
      <c r="D317" s="189" t="s">
        <v>1891</v>
      </c>
      <c r="E317" s="189" t="s">
        <v>1882</v>
      </c>
      <c r="F317" s="189" t="s">
        <v>1883</v>
      </c>
      <c r="G317" s="189" t="s">
        <v>522</v>
      </c>
      <c r="H317" s="189" t="s">
        <v>521</v>
      </c>
      <c r="I317" s="189">
        <v>40934</v>
      </c>
      <c r="J317" s="189">
        <v>945.07341388048098</v>
      </c>
      <c r="K317" s="189">
        <v>4.9171783112570804</v>
      </c>
      <c r="L317" s="189">
        <v>-7.26</v>
      </c>
      <c r="M317" s="189">
        <v>5.53</v>
      </c>
      <c r="N317" s="189">
        <v>118</v>
      </c>
      <c r="O317" s="189" t="s">
        <v>1292</v>
      </c>
      <c r="P317" s="189" t="s">
        <v>1293</v>
      </c>
      <c r="Q317" s="189" t="s">
        <v>253</v>
      </c>
      <c r="R317" s="189" t="s">
        <v>253</v>
      </c>
      <c r="S317" s="189" t="s">
        <v>257</v>
      </c>
      <c r="T317" s="189" t="s">
        <v>261</v>
      </c>
      <c r="U317" s="189" t="s">
        <v>258</v>
      </c>
      <c r="V317" s="189" t="s">
        <v>297</v>
      </c>
      <c r="W317" s="189" t="s">
        <v>253</v>
      </c>
      <c r="X317" s="189" t="s">
        <v>1892</v>
      </c>
      <c r="Y317" s="189" t="s">
        <v>1893</v>
      </c>
    </row>
    <row r="318" spans="1:25" x14ac:dyDescent="0.2">
      <c r="A318" s="189">
        <v>72</v>
      </c>
      <c r="B318" s="189" t="s">
        <v>1894</v>
      </c>
      <c r="C318" s="189" t="s">
        <v>1252</v>
      </c>
      <c r="D318" s="189" t="s">
        <v>1253</v>
      </c>
      <c r="E318" s="189" t="s">
        <v>1882</v>
      </c>
      <c r="F318" s="189" t="s">
        <v>1883</v>
      </c>
      <c r="G318" s="189" t="s">
        <v>522</v>
      </c>
      <c r="H318" s="189" t="s">
        <v>521</v>
      </c>
      <c r="I318" s="189">
        <v>5048</v>
      </c>
      <c r="J318" s="189">
        <v>1218.4533285099401</v>
      </c>
      <c r="K318" s="189">
        <v>546.422321377412</v>
      </c>
      <c r="L318" s="189">
        <v>-24.79</v>
      </c>
      <c r="M318" s="189">
        <v>14.36</v>
      </c>
      <c r="N318" s="189">
        <v>643</v>
      </c>
      <c r="O318" s="189" t="s">
        <v>564</v>
      </c>
      <c r="P318" s="189" t="s">
        <v>565</v>
      </c>
      <c r="Q318" s="189" t="s">
        <v>253</v>
      </c>
      <c r="R318" s="189" t="s">
        <v>253</v>
      </c>
      <c r="S318" s="189" t="s">
        <v>253</v>
      </c>
      <c r="T318" s="189" t="s">
        <v>253</v>
      </c>
      <c r="U318" s="189" t="s">
        <v>258</v>
      </c>
      <c r="V318" s="189" t="s">
        <v>253</v>
      </c>
      <c r="W318" s="189" t="s">
        <v>253</v>
      </c>
      <c r="X318" s="189" t="s">
        <v>1895</v>
      </c>
      <c r="Y318" s="189" t="s">
        <v>1896</v>
      </c>
    </row>
    <row r="319" spans="1:25" x14ac:dyDescent="0.2">
      <c r="A319" s="189">
        <v>94</v>
      </c>
      <c r="B319" s="189" t="s">
        <v>1897</v>
      </c>
      <c r="C319" s="189" t="s">
        <v>1898</v>
      </c>
      <c r="D319" s="189" t="s">
        <v>1899</v>
      </c>
      <c r="E319" s="189" t="s">
        <v>1882</v>
      </c>
      <c r="F319" s="189" t="s">
        <v>1883</v>
      </c>
      <c r="G319" s="189" t="s">
        <v>522</v>
      </c>
      <c r="H319" s="189" t="s">
        <v>521</v>
      </c>
      <c r="I319" s="189">
        <v>2428</v>
      </c>
      <c r="J319" s="189">
        <v>1286.6280164110599</v>
      </c>
      <c r="K319" s="189">
        <v>441.13397951470699</v>
      </c>
      <c r="L319" s="189">
        <v>-21.38</v>
      </c>
      <c r="M319" s="189">
        <v>16.559999999999999</v>
      </c>
      <c r="N319" s="189">
        <v>397</v>
      </c>
      <c r="O319" s="189" t="s">
        <v>602</v>
      </c>
      <c r="P319" s="189" t="s">
        <v>603</v>
      </c>
      <c r="Q319" s="189" t="s">
        <v>253</v>
      </c>
      <c r="R319" s="189" t="s">
        <v>253</v>
      </c>
      <c r="S319" s="189" t="s">
        <v>257</v>
      </c>
      <c r="T319" s="189" t="s">
        <v>253</v>
      </c>
      <c r="U319" s="189" t="s">
        <v>253</v>
      </c>
      <c r="V319" s="189" t="s">
        <v>253</v>
      </c>
      <c r="W319" s="189" t="s">
        <v>253</v>
      </c>
      <c r="X319" s="189" t="s">
        <v>1900</v>
      </c>
      <c r="Y319" s="189" t="s">
        <v>1901</v>
      </c>
    </row>
    <row r="320" spans="1:25" x14ac:dyDescent="0.2">
      <c r="A320" s="189">
        <v>201</v>
      </c>
      <c r="B320" s="189" t="s">
        <v>1902</v>
      </c>
      <c r="C320" s="189" t="s">
        <v>1890</v>
      </c>
      <c r="D320" s="189" t="s">
        <v>1891</v>
      </c>
      <c r="E320" s="189" t="s">
        <v>1882</v>
      </c>
      <c r="F320" s="189" t="s">
        <v>1883</v>
      </c>
      <c r="G320" s="189" t="s">
        <v>522</v>
      </c>
      <c r="H320" s="189" t="s">
        <v>521</v>
      </c>
      <c r="I320" s="189">
        <v>1680</v>
      </c>
      <c r="J320" s="189">
        <v>988.33699686768796</v>
      </c>
      <c r="K320" s="189">
        <v>0.53827315060854197</v>
      </c>
      <c r="L320" s="189">
        <v>-7.12</v>
      </c>
      <c r="M320" s="189">
        <v>6.92</v>
      </c>
      <c r="N320" s="189">
        <v>643</v>
      </c>
      <c r="O320" s="189" t="s">
        <v>987</v>
      </c>
      <c r="P320" s="189" t="s">
        <v>988</v>
      </c>
      <c r="Q320" s="189" t="s">
        <v>253</v>
      </c>
      <c r="R320" s="189" t="s">
        <v>253</v>
      </c>
      <c r="S320" s="189" t="s">
        <v>257</v>
      </c>
      <c r="T320" s="189" t="s">
        <v>253</v>
      </c>
      <c r="U320" s="189" t="s">
        <v>258</v>
      </c>
      <c r="V320" s="189" t="s">
        <v>253</v>
      </c>
      <c r="W320" s="189" t="s">
        <v>253</v>
      </c>
      <c r="X320" s="189" t="s">
        <v>1903</v>
      </c>
      <c r="Y320" s="189" t="s">
        <v>1904</v>
      </c>
    </row>
    <row r="321" spans="1:25" x14ac:dyDescent="0.2">
      <c r="A321" s="189">
        <v>204</v>
      </c>
      <c r="B321" s="189" t="s">
        <v>1905</v>
      </c>
      <c r="C321" s="189" t="s">
        <v>1905</v>
      </c>
      <c r="D321" s="189" t="s">
        <v>1906</v>
      </c>
      <c r="E321" s="189" t="s">
        <v>1882</v>
      </c>
      <c r="F321" s="189" t="s">
        <v>1883</v>
      </c>
      <c r="G321" s="189" t="s">
        <v>522</v>
      </c>
      <c r="H321" s="189" t="s">
        <v>521</v>
      </c>
      <c r="I321" s="189">
        <v>5501</v>
      </c>
      <c r="J321" s="189">
        <v>1059.8591144916099</v>
      </c>
      <c r="K321" s="189">
        <v>367.89922342795001</v>
      </c>
      <c r="L321" s="189">
        <v>-19.010000000000002</v>
      </c>
      <c r="M321" s="189">
        <v>9.23</v>
      </c>
      <c r="N321" s="189">
        <v>643</v>
      </c>
      <c r="O321" s="189" t="s">
        <v>945</v>
      </c>
      <c r="P321" s="189" t="s">
        <v>946</v>
      </c>
      <c r="Q321" s="189" t="s">
        <v>253</v>
      </c>
      <c r="R321" s="189" t="s">
        <v>253</v>
      </c>
      <c r="S321" s="189" t="s">
        <v>253</v>
      </c>
      <c r="T321" s="189" t="s">
        <v>253</v>
      </c>
      <c r="U321" s="189" t="s">
        <v>253</v>
      </c>
      <c r="V321" s="189" t="s">
        <v>253</v>
      </c>
      <c r="W321" s="189" t="s">
        <v>253</v>
      </c>
      <c r="X321" s="189" t="s">
        <v>1907</v>
      </c>
      <c r="Y321" s="189" t="s">
        <v>1908</v>
      </c>
    </row>
    <row r="322" spans="1:25" x14ac:dyDescent="0.2">
      <c r="A322" s="189">
        <v>259</v>
      </c>
      <c r="B322" s="189" t="s">
        <v>1909</v>
      </c>
      <c r="C322" s="189" t="s">
        <v>1252</v>
      </c>
      <c r="D322" s="189" t="s">
        <v>1253</v>
      </c>
      <c r="E322" s="189" t="s">
        <v>1882</v>
      </c>
      <c r="F322" s="189" t="s">
        <v>1883</v>
      </c>
      <c r="G322" s="189" t="s">
        <v>294</v>
      </c>
      <c r="H322" s="189" t="s">
        <v>521</v>
      </c>
      <c r="I322" s="189">
        <v>1795</v>
      </c>
      <c r="J322" s="189">
        <v>1140.15850423755</v>
      </c>
      <c r="K322" s="189">
        <v>683.083085991075</v>
      </c>
      <c r="L322" s="189">
        <v>-29.22</v>
      </c>
      <c r="M322" s="189">
        <v>11.83</v>
      </c>
      <c r="N322" s="189">
        <v>266</v>
      </c>
      <c r="O322" s="189" t="s">
        <v>550</v>
      </c>
      <c r="P322" s="189" t="s">
        <v>551</v>
      </c>
      <c r="Q322" s="189" t="s">
        <v>253</v>
      </c>
      <c r="R322" s="189" t="s">
        <v>253</v>
      </c>
      <c r="S322" s="189" t="s">
        <v>257</v>
      </c>
      <c r="T322" s="189" t="s">
        <v>253</v>
      </c>
      <c r="U322" s="189" t="s">
        <v>253</v>
      </c>
      <c r="V322" s="189" t="s">
        <v>253</v>
      </c>
      <c r="W322" s="189" t="s">
        <v>253</v>
      </c>
      <c r="X322" s="189" t="s">
        <v>1910</v>
      </c>
      <c r="Y322" s="189" t="s">
        <v>1911</v>
      </c>
    </row>
    <row r="323" spans="1:25" x14ac:dyDescent="0.2">
      <c r="A323" s="189">
        <v>420</v>
      </c>
      <c r="B323" s="189" t="s">
        <v>1890</v>
      </c>
      <c r="C323" s="189" t="s">
        <v>1890</v>
      </c>
      <c r="D323" s="189" t="s">
        <v>1891</v>
      </c>
      <c r="E323" s="189" t="s">
        <v>1882</v>
      </c>
      <c r="F323" s="189" t="s">
        <v>1883</v>
      </c>
      <c r="G323" s="189" t="s">
        <v>522</v>
      </c>
      <c r="H323" s="189" t="s">
        <v>521</v>
      </c>
      <c r="I323" s="189">
        <v>2464</v>
      </c>
      <c r="J323" s="189">
        <v>958.69667438027602</v>
      </c>
      <c r="K323" s="189">
        <v>34.966198613663003</v>
      </c>
      <c r="L323" s="189">
        <v>-8.23</v>
      </c>
      <c r="M323" s="189">
        <v>5.97</v>
      </c>
      <c r="N323" s="189">
        <v>328</v>
      </c>
      <c r="O323" s="189" t="s">
        <v>987</v>
      </c>
      <c r="P323" s="189" t="s">
        <v>988</v>
      </c>
      <c r="Q323" s="189" t="s">
        <v>253</v>
      </c>
      <c r="R323" s="189" t="s">
        <v>253</v>
      </c>
      <c r="S323" s="189" t="s">
        <v>253</v>
      </c>
      <c r="T323" s="189" t="s">
        <v>253</v>
      </c>
      <c r="U323" s="189" t="s">
        <v>253</v>
      </c>
      <c r="V323" s="189" t="s">
        <v>253</v>
      </c>
      <c r="W323" s="189" t="s">
        <v>253</v>
      </c>
      <c r="X323" s="189" t="s">
        <v>1912</v>
      </c>
      <c r="Y323" s="189" t="s">
        <v>1913</v>
      </c>
    </row>
    <row r="324" spans="1:25" x14ac:dyDescent="0.2">
      <c r="A324" s="189">
        <v>426</v>
      </c>
      <c r="B324" s="189" t="s">
        <v>1914</v>
      </c>
      <c r="C324" s="189" t="s">
        <v>1252</v>
      </c>
      <c r="D324" s="189" t="s">
        <v>1253</v>
      </c>
      <c r="E324" s="189" t="s">
        <v>1882</v>
      </c>
      <c r="F324" s="189" t="s">
        <v>1883</v>
      </c>
      <c r="G324" s="189" t="s">
        <v>522</v>
      </c>
      <c r="H324" s="189" t="s">
        <v>521</v>
      </c>
      <c r="I324" s="189">
        <v>7776</v>
      </c>
      <c r="J324" s="189">
        <v>1331.00092203897</v>
      </c>
      <c r="K324" s="189">
        <v>540.03885074322204</v>
      </c>
      <c r="L324" s="189">
        <v>-24.59</v>
      </c>
      <c r="M324" s="189">
        <v>17.989999999999998</v>
      </c>
      <c r="N324" s="189">
        <v>1447</v>
      </c>
      <c r="O324" s="189" t="s">
        <v>564</v>
      </c>
      <c r="P324" s="189" t="s">
        <v>565</v>
      </c>
      <c r="Q324" s="189" t="s">
        <v>253</v>
      </c>
      <c r="R324" s="189" t="s">
        <v>253</v>
      </c>
      <c r="S324" s="189" t="s">
        <v>257</v>
      </c>
      <c r="T324" s="189" t="s">
        <v>253</v>
      </c>
      <c r="U324" s="189" t="s">
        <v>258</v>
      </c>
      <c r="V324" s="189" t="s">
        <v>253</v>
      </c>
      <c r="W324" s="189" t="s">
        <v>253</v>
      </c>
      <c r="X324" s="189" t="s">
        <v>1915</v>
      </c>
      <c r="Y324" s="189" t="s">
        <v>1916</v>
      </c>
    </row>
    <row r="325" spans="1:25" x14ac:dyDescent="0.2">
      <c r="A325" s="189">
        <v>489</v>
      </c>
      <c r="B325" s="189" t="s">
        <v>1917</v>
      </c>
      <c r="C325" s="189" t="s">
        <v>253</v>
      </c>
      <c r="D325" s="189" t="s">
        <v>253</v>
      </c>
      <c r="E325" s="189" t="s">
        <v>1882</v>
      </c>
      <c r="F325" s="189" t="s">
        <v>1883</v>
      </c>
      <c r="G325" s="189" t="s">
        <v>903</v>
      </c>
      <c r="H325" s="189" t="s">
        <v>521</v>
      </c>
      <c r="I325" s="189">
        <v>6849</v>
      </c>
      <c r="J325" s="189">
        <v>691.75861578714103</v>
      </c>
      <c r="K325" s="189">
        <v>182.77857503644299</v>
      </c>
      <c r="L325" s="189">
        <v>-13.02</v>
      </c>
      <c r="M325" s="189">
        <v>-2.66</v>
      </c>
      <c r="N325" s="189">
        <v>52</v>
      </c>
      <c r="O325" s="189" t="s">
        <v>904</v>
      </c>
      <c r="P325" s="189" t="s">
        <v>905</v>
      </c>
      <c r="Q325" s="189" t="s">
        <v>253</v>
      </c>
      <c r="R325" s="189" t="s">
        <v>253</v>
      </c>
      <c r="S325" s="189" t="s">
        <v>257</v>
      </c>
      <c r="T325" s="189" t="s">
        <v>253</v>
      </c>
      <c r="U325" s="189" t="s">
        <v>253</v>
      </c>
      <c r="V325" s="189" t="s">
        <v>253</v>
      </c>
      <c r="W325" s="189" t="s">
        <v>253</v>
      </c>
      <c r="X325" s="189" t="s">
        <v>1918</v>
      </c>
      <c r="Y325" s="189" t="s">
        <v>1919</v>
      </c>
    </row>
    <row r="326" spans="1:25" x14ac:dyDescent="0.2">
      <c r="A326" s="189">
        <v>513</v>
      </c>
      <c r="B326" s="189" t="s">
        <v>1920</v>
      </c>
      <c r="C326" s="189" t="s">
        <v>253</v>
      </c>
      <c r="D326" s="189" t="s">
        <v>253</v>
      </c>
      <c r="E326" s="189" t="s">
        <v>1882</v>
      </c>
      <c r="F326" s="189" t="s">
        <v>1883</v>
      </c>
      <c r="G326" s="189" t="s">
        <v>522</v>
      </c>
      <c r="H326" s="189" t="s">
        <v>521</v>
      </c>
      <c r="I326" s="189">
        <v>2565</v>
      </c>
      <c r="J326" s="189">
        <v>808.70457627752796</v>
      </c>
      <c r="K326" s="189">
        <v>27.2593255309216</v>
      </c>
      <c r="L326" s="189">
        <v>-7.98</v>
      </c>
      <c r="M326" s="189">
        <v>1.1200000000000001</v>
      </c>
      <c r="N326" s="189">
        <v>210</v>
      </c>
      <c r="O326" s="189" t="s">
        <v>1292</v>
      </c>
      <c r="P326" s="189" t="s">
        <v>1293</v>
      </c>
      <c r="Q326" s="189" t="s">
        <v>253</v>
      </c>
      <c r="R326" s="189" t="s">
        <v>253</v>
      </c>
      <c r="S326" s="189" t="s">
        <v>253</v>
      </c>
      <c r="T326" s="189" t="s">
        <v>253</v>
      </c>
      <c r="U326" s="189" t="s">
        <v>253</v>
      </c>
      <c r="V326" s="189" t="s">
        <v>253</v>
      </c>
      <c r="W326" s="189" t="s">
        <v>253</v>
      </c>
      <c r="X326" s="189" t="s">
        <v>1921</v>
      </c>
      <c r="Y326" s="189" t="s">
        <v>1922</v>
      </c>
    </row>
    <row r="327" spans="1:25" x14ac:dyDescent="0.2">
      <c r="A327" s="189">
        <v>531</v>
      </c>
      <c r="B327" s="189" t="s">
        <v>1923</v>
      </c>
      <c r="C327" s="189" t="s">
        <v>253</v>
      </c>
      <c r="D327" s="189" t="s">
        <v>253</v>
      </c>
      <c r="E327" s="189" t="s">
        <v>1882</v>
      </c>
      <c r="F327" s="189" t="s">
        <v>1883</v>
      </c>
      <c r="G327" s="189" t="s">
        <v>522</v>
      </c>
      <c r="H327" s="189" t="s">
        <v>521</v>
      </c>
      <c r="I327" s="189">
        <v>1893</v>
      </c>
      <c r="J327" s="189">
        <v>736.52075742932595</v>
      </c>
      <c r="K327" s="189">
        <v>103.257657319066</v>
      </c>
      <c r="L327" s="189">
        <v>-10.44</v>
      </c>
      <c r="M327" s="189">
        <v>-1.21</v>
      </c>
      <c r="N327" s="189">
        <v>472</v>
      </c>
      <c r="O327" s="189" t="s">
        <v>1086</v>
      </c>
      <c r="P327" s="189" t="s">
        <v>1087</v>
      </c>
      <c r="Q327" s="189" t="s">
        <v>253</v>
      </c>
      <c r="R327" s="189" t="s">
        <v>253</v>
      </c>
      <c r="S327" s="189" t="s">
        <v>257</v>
      </c>
      <c r="T327" s="189" t="s">
        <v>253</v>
      </c>
      <c r="U327" s="189" t="s">
        <v>253</v>
      </c>
      <c r="V327" s="189" t="s">
        <v>253</v>
      </c>
      <c r="W327" s="189" t="s">
        <v>253</v>
      </c>
      <c r="X327" s="189" t="s">
        <v>1924</v>
      </c>
      <c r="Y327" s="189" t="s">
        <v>1925</v>
      </c>
    </row>
    <row r="328" spans="1:25" x14ac:dyDescent="0.2">
      <c r="A328" s="189">
        <v>556</v>
      </c>
      <c r="B328" s="189" t="s">
        <v>1926</v>
      </c>
      <c r="C328" s="189" t="s">
        <v>253</v>
      </c>
      <c r="D328" s="189" t="s">
        <v>253</v>
      </c>
      <c r="E328" s="189" t="s">
        <v>1882</v>
      </c>
      <c r="F328" s="189" t="s">
        <v>1883</v>
      </c>
      <c r="G328" s="189" t="s">
        <v>522</v>
      </c>
      <c r="H328" s="189" t="s">
        <v>521</v>
      </c>
      <c r="I328" s="189">
        <v>5081</v>
      </c>
      <c r="J328" s="189">
        <v>739.59572194213695</v>
      </c>
      <c r="K328" s="189">
        <v>66.864089983898396</v>
      </c>
      <c r="L328" s="189">
        <v>-9.27</v>
      </c>
      <c r="M328" s="189">
        <v>-1.1100000000000001</v>
      </c>
      <c r="N328" s="189">
        <v>554</v>
      </c>
      <c r="O328" s="189" t="s">
        <v>956</v>
      </c>
      <c r="P328" s="189" t="s">
        <v>957</v>
      </c>
      <c r="Q328" s="189" t="s">
        <v>253</v>
      </c>
      <c r="R328" s="189" t="s">
        <v>253</v>
      </c>
      <c r="S328" s="189" t="s">
        <v>257</v>
      </c>
      <c r="T328" s="189" t="s">
        <v>261</v>
      </c>
      <c r="U328" s="189" t="s">
        <v>253</v>
      </c>
      <c r="V328" s="189" t="s">
        <v>253</v>
      </c>
      <c r="W328" s="189" t="s">
        <v>253</v>
      </c>
      <c r="X328" s="189" t="s">
        <v>1927</v>
      </c>
      <c r="Y328" s="189" t="s">
        <v>1928</v>
      </c>
    </row>
    <row r="329" spans="1:25" x14ac:dyDescent="0.2">
      <c r="A329" s="189">
        <v>613</v>
      </c>
      <c r="B329" s="189" t="s">
        <v>1929</v>
      </c>
      <c r="C329" s="189" t="s">
        <v>253</v>
      </c>
      <c r="D329" s="189" t="s">
        <v>253</v>
      </c>
      <c r="E329" s="189" t="s">
        <v>1882</v>
      </c>
      <c r="F329" s="189" t="s">
        <v>1883</v>
      </c>
      <c r="G329" s="189" t="s">
        <v>522</v>
      </c>
      <c r="H329" s="189" t="s">
        <v>521</v>
      </c>
      <c r="I329" s="189">
        <v>5614</v>
      </c>
      <c r="J329" s="189">
        <v>726.011385043769</v>
      </c>
      <c r="K329" s="189">
        <v>60.811469961846399</v>
      </c>
      <c r="L329" s="189">
        <v>-9.07</v>
      </c>
      <c r="M329" s="189">
        <v>-1.55</v>
      </c>
      <c r="N329" s="189">
        <v>397</v>
      </c>
      <c r="O329" s="189" t="s">
        <v>956</v>
      </c>
      <c r="P329" s="189" t="s">
        <v>957</v>
      </c>
      <c r="Q329" s="189" t="s">
        <v>253</v>
      </c>
      <c r="R329" s="189" t="s">
        <v>253</v>
      </c>
      <c r="S329" s="189" t="s">
        <v>253</v>
      </c>
      <c r="T329" s="189" t="s">
        <v>253</v>
      </c>
      <c r="U329" s="189" t="s">
        <v>253</v>
      </c>
      <c r="V329" s="189" t="s">
        <v>253</v>
      </c>
      <c r="W329" s="189" t="s">
        <v>253</v>
      </c>
      <c r="X329" s="189" t="s">
        <v>1930</v>
      </c>
      <c r="Y329" s="189" t="s">
        <v>1931</v>
      </c>
    </row>
    <row r="330" spans="1:25" x14ac:dyDescent="0.2">
      <c r="A330" s="189">
        <v>674</v>
      </c>
      <c r="B330" s="189" t="s">
        <v>1932</v>
      </c>
      <c r="C330" s="189" t="s">
        <v>253</v>
      </c>
      <c r="D330" s="189" t="s">
        <v>253</v>
      </c>
      <c r="E330" s="189" t="s">
        <v>1882</v>
      </c>
      <c r="F330" s="189" t="s">
        <v>1883</v>
      </c>
      <c r="G330" s="189" t="s">
        <v>522</v>
      </c>
      <c r="H330" s="189" t="s">
        <v>521</v>
      </c>
      <c r="I330" s="189">
        <v>9845</v>
      </c>
      <c r="J330" s="189">
        <v>804.16997671116701</v>
      </c>
      <c r="K330" s="189">
        <v>47.188209462050999</v>
      </c>
      <c r="L330" s="189">
        <v>-8.6300000000000008</v>
      </c>
      <c r="M330" s="189">
        <v>0.97</v>
      </c>
      <c r="N330" s="189">
        <v>30</v>
      </c>
      <c r="O330" s="189" t="s">
        <v>987</v>
      </c>
      <c r="P330" s="189" t="s">
        <v>988</v>
      </c>
      <c r="Q330" s="189" t="s">
        <v>253</v>
      </c>
      <c r="R330" s="189" t="s">
        <v>253</v>
      </c>
      <c r="S330" s="189" t="s">
        <v>257</v>
      </c>
      <c r="T330" s="189" t="s">
        <v>261</v>
      </c>
      <c r="U330" s="189" t="s">
        <v>253</v>
      </c>
      <c r="V330" s="189" t="s">
        <v>253</v>
      </c>
      <c r="W330" s="189" t="s">
        <v>253</v>
      </c>
      <c r="X330" s="189" t="s">
        <v>1933</v>
      </c>
      <c r="Y330" s="189" t="s">
        <v>1934</v>
      </c>
    </row>
    <row r="331" spans="1:25" x14ac:dyDescent="0.2">
      <c r="A331" s="189">
        <v>711</v>
      </c>
      <c r="B331" s="189" t="s">
        <v>1935</v>
      </c>
      <c r="C331" s="189" t="s">
        <v>253</v>
      </c>
      <c r="D331" s="189" t="s">
        <v>253</v>
      </c>
      <c r="E331" s="189" t="s">
        <v>1882</v>
      </c>
      <c r="F331" s="189" t="s">
        <v>1883</v>
      </c>
      <c r="G331" s="189" t="s">
        <v>522</v>
      </c>
      <c r="H331" s="189" t="s">
        <v>521</v>
      </c>
      <c r="I331" s="189">
        <v>17687</v>
      </c>
      <c r="J331" s="189">
        <v>734.74973356435203</v>
      </c>
      <c r="K331" s="189">
        <v>121.473902787364</v>
      </c>
      <c r="L331" s="189">
        <v>-11.03</v>
      </c>
      <c r="M331" s="189">
        <v>-1.27</v>
      </c>
      <c r="N331" s="189">
        <v>397</v>
      </c>
      <c r="O331" s="189" t="s">
        <v>904</v>
      </c>
      <c r="P331" s="189" t="s">
        <v>905</v>
      </c>
      <c r="Q331" s="189" t="s">
        <v>253</v>
      </c>
      <c r="R331" s="189" t="s">
        <v>253</v>
      </c>
      <c r="S331" s="189" t="s">
        <v>253</v>
      </c>
      <c r="T331" s="189" t="s">
        <v>261</v>
      </c>
      <c r="U331" s="189" t="s">
        <v>258</v>
      </c>
      <c r="V331" s="189" t="s">
        <v>253</v>
      </c>
      <c r="W331" s="189" t="s">
        <v>253</v>
      </c>
      <c r="X331" s="189" t="s">
        <v>1936</v>
      </c>
      <c r="Y331" s="189" t="s">
        <v>1937</v>
      </c>
    </row>
    <row r="332" spans="1:25" x14ac:dyDescent="0.2">
      <c r="A332" s="189">
        <v>718</v>
      </c>
      <c r="B332" s="189" t="s">
        <v>1938</v>
      </c>
      <c r="C332" s="189" t="s">
        <v>1252</v>
      </c>
      <c r="D332" s="189" t="s">
        <v>1253</v>
      </c>
      <c r="E332" s="189" t="s">
        <v>1882</v>
      </c>
      <c r="F332" s="189" t="s">
        <v>1883</v>
      </c>
      <c r="G332" s="189" t="s">
        <v>522</v>
      </c>
      <c r="H332" s="189" t="s">
        <v>521</v>
      </c>
      <c r="I332" s="189">
        <v>15629</v>
      </c>
      <c r="J332" s="189">
        <v>1236.75</v>
      </c>
      <c r="K332" s="189">
        <v>550.5</v>
      </c>
      <c r="L332" s="189">
        <v>-24.93</v>
      </c>
      <c r="M332" s="189">
        <v>14.95</v>
      </c>
      <c r="N332" s="189">
        <v>52</v>
      </c>
      <c r="O332" s="189" t="s">
        <v>568</v>
      </c>
      <c r="P332" s="189" t="s">
        <v>569</v>
      </c>
      <c r="Q332" s="189" t="s">
        <v>253</v>
      </c>
      <c r="R332" s="189" t="s">
        <v>259</v>
      </c>
      <c r="S332" s="189" t="s">
        <v>257</v>
      </c>
      <c r="T332" s="189" t="s">
        <v>253</v>
      </c>
      <c r="U332" s="189" t="s">
        <v>258</v>
      </c>
      <c r="V332" s="189" t="s">
        <v>253</v>
      </c>
      <c r="W332" s="189" t="s">
        <v>253</v>
      </c>
      <c r="X332" s="189" t="s">
        <v>1939</v>
      </c>
      <c r="Y332" s="189" t="s">
        <v>1940</v>
      </c>
    </row>
    <row r="333" spans="1:25" x14ac:dyDescent="0.2">
      <c r="A333" s="189">
        <v>755</v>
      </c>
      <c r="B333" s="189" t="s">
        <v>1941</v>
      </c>
      <c r="C333" s="189" t="s">
        <v>1252</v>
      </c>
      <c r="D333" s="189" t="s">
        <v>1253</v>
      </c>
      <c r="E333" s="189" t="s">
        <v>1882</v>
      </c>
      <c r="F333" s="189" t="s">
        <v>1883</v>
      </c>
      <c r="G333" s="189" t="s">
        <v>294</v>
      </c>
      <c r="H333" s="189" t="s">
        <v>521</v>
      </c>
      <c r="I333" s="189">
        <v>12016</v>
      </c>
      <c r="J333" s="189">
        <v>1176.08498835558</v>
      </c>
      <c r="K333" s="189">
        <v>679.93027427540801</v>
      </c>
      <c r="L333" s="189">
        <v>-29.12</v>
      </c>
      <c r="M333" s="189">
        <v>12.99</v>
      </c>
      <c r="N333" s="189">
        <v>266</v>
      </c>
      <c r="O333" s="189" t="s">
        <v>564</v>
      </c>
      <c r="P333" s="189" t="s">
        <v>565</v>
      </c>
      <c r="Q333" s="189" t="s">
        <v>253</v>
      </c>
      <c r="R333" s="189" t="s">
        <v>253</v>
      </c>
      <c r="S333" s="189" t="s">
        <v>253</v>
      </c>
      <c r="T333" s="189" t="s">
        <v>261</v>
      </c>
      <c r="U333" s="189" t="s">
        <v>258</v>
      </c>
      <c r="V333" s="189" t="s">
        <v>253</v>
      </c>
      <c r="W333" s="189" t="s">
        <v>253</v>
      </c>
      <c r="X333" s="189" t="s">
        <v>1942</v>
      </c>
      <c r="Y333" s="189" t="s">
        <v>1943</v>
      </c>
    </row>
    <row r="334" spans="1:25" x14ac:dyDescent="0.2">
      <c r="A334" s="189">
        <v>793</v>
      </c>
      <c r="B334" s="189" t="s">
        <v>1944</v>
      </c>
      <c r="C334" s="189" t="s">
        <v>253</v>
      </c>
      <c r="D334" s="189" t="s">
        <v>253</v>
      </c>
      <c r="E334" s="189" t="s">
        <v>1882</v>
      </c>
      <c r="F334" s="189" t="s">
        <v>1883</v>
      </c>
      <c r="G334" s="189" t="s">
        <v>903</v>
      </c>
      <c r="H334" s="189" t="s">
        <v>521</v>
      </c>
      <c r="I334" s="189">
        <v>6813</v>
      </c>
      <c r="J334" s="189">
        <v>647.89171697779898</v>
      </c>
      <c r="K334" s="189">
        <v>69.802821891711403</v>
      </c>
      <c r="L334" s="189">
        <v>-9.36</v>
      </c>
      <c r="M334" s="189">
        <v>-4.07</v>
      </c>
      <c r="N334" s="189">
        <v>397</v>
      </c>
      <c r="O334" s="189" t="s">
        <v>956</v>
      </c>
      <c r="P334" s="189" t="s">
        <v>957</v>
      </c>
      <c r="Q334" s="189" t="s">
        <v>253</v>
      </c>
      <c r="R334" s="189" t="s">
        <v>253</v>
      </c>
      <c r="S334" s="189" t="s">
        <v>257</v>
      </c>
      <c r="T334" s="189" t="s">
        <v>253</v>
      </c>
      <c r="U334" s="189" t="s">
        <v>258</v>
      </c>
      <c r="V334" s="189" t="s">
        <v>253</v>
      </c>
      <c r="W334" s="189" t="s">
        <v>253</v>
      </c>
      <c r="X334" s="189" t="s">
        <v>1945</v>
      </c>
      <c r="Y334" s="189" t="s">
        <v>1946</v>
      </c>
    </row>
    <row r="335" spans="1:25" x14ac:dyDescent="0.2">
      <c r="A335" s="189">
        <v>799</v>
      </c>
      <c r="B335" s="189" t="s">
        <v>1947</v>
      </c>
      <c r="C335" s="189" t="s">
        <v>1898</v>
      </c>
      <c r="D335" s="189" t="s">
        <v>1899</v>
      </c>
      <c r="E335" s="189" t="s">
        <v>1882</v>
      </c>
      <c r="F335" s="189" t="s">
        <v>1883</v>
      </c>
      <c r="G335" s="189" t="s">
        <v>522</v>
      </c>
      <c r="H335" s="189" t="s">
        <v>521</v>
      </c>
      <c r="I335" s="189">
        <v>2173</v>
      </c>
      <c r="J335" s="189">
        <v>1275.5542518048001</v>
      </c>
      <c r="K335" s="189">
        <v>439.51865005544602</v>
      </c>
      <c r="L335" s="189">
        <v>-21.33</v>
      </c>
      <c r="M335" s="189">
        <v>16.2</v>
      </c>
      <c r="N335" s="189">
        <v>52</v>
      </c>
      <c r="O335" s="189" t="s">
        <v>945</v>
      </c>
      <c r="P335" s="189" t="s">
        <v>946</v>
      </c>
      <c r="Q335" s="189" t="s">
        <v>253</v>
      </c>
      <c r="R335" s="189" t="s">
        <v>253</v>
      </c>
      <c r="S335" s="189" t="s">
        <v>253</v>
      </c>
      <c r="T335" s="189" t="s">
        <v>253</v>
      </c>
      <c r="U335" s="189" t="s">
        <v>253</v>
      </c>
      <c r="V335" s="189" t="s">
        <v>253</v>
      </c>
      <c r="W335" s="189" t="s">
        <v>253</v>
      </c>
      <c r="X335" s="189" t="s">
        <v>1948</v>
      </c>
      <c r="Y335" s="189" t="s">
        <v>1949</v>
      </c>
    </row>
    <row r="336" spans="1:25" x14ac:dyDescent="0.2">
      <c r="A336" s="189">
        <v>800</v>
      </c>
      <c r="B336" s="189" t="s">
        <v>1950</v>
      </c>
      <c r="C336" s="189" t="s">
        <v>1252</v>
      </c>
      <c r="D336" s="189" t="s">
        <v>1253</v>
      </c>
      <c r="E336" s="189" t="s">
        <v>1882</v>
      </c>
      <c r="F336" s="189" t="s">
        <v>1883</v>
      </c>
      <c r="G336" s="189" t="s">
        <v>522</v>
      </c>
      <c r="H336" s="189" t="s">
        <v>521</v>
      </c>
      <c r="I336" s="189">
        <v>9903</v>
      </c>
      <c r="J336" s="189">
        <v>1282.9302742754001</v>
      </c>
      <c r="K336" s="189">
        <v>450.670261864564</v>
      </c>
      <c r="L336" s="189">
        <v>-21.69</v>
      </c>
      <c r="M336" s="189">
        <v>16.440000000000001</v>
      </c>
      <c r="N336" s="189">
        <v>328</v>
      </c>
      <c r="O336" s="189" t="s">
        <v>945</v>
      </c>
      <c r="P336" s="189" t="s">
        <v>946</v>
      </c>
      <c r="Q336" s="189" t="s">
        <v>253</v>
      </c>
      <c r="R336" s="189" t="s">
        <v>253</v>
      </c>
      <c r="S336" s="189" t="s">
        <v>257</v>
      </c>
      <c r="T336" s="189" t="s">
        <v>253</v>
      </c>
      <c r="U336" s="189" t="s">
        <v>258</v>
      </c>
      <c r="V336" s="189" t="s">
        <v>253</v>
      </c>
      <c r="W336" s="189" t="s">
        <v>253</v>
      </c>
      <c r="X336" s="189" t="s">
        <v>1951</v>
      </c>
      <c r="Y336" s="189" t="s">
        <v>1952</v>
      </c>
    </row>
    <row r="337" spans="1:25" x14ac:dyDescent="0.2">
      <c r="A337" s="189">
        <v>817</v>
      </c>
      <c r="B337" s="189" t="s">
        <v>1953</v>
      </c>
      <c r="C337" s="189" t="s">
        <v>253</v>
      </c>
      <c r="D337" s="189" t="s">
        <v>253</v>
      </c>
      <c r="E337" s="189" t="s">
        <v>1882</v>
      </c>
      <c r="F337" s="189" t="s">
        <v>1883</v>
      </c>
      <c r="G337" s="189" t="s">
        <v>522</v>
      </c>
      <c r="H337" s="189" t="s">
        <v>521</v>
      </c>
      <c r="I337" s="189">
        <v>28728</v>
      </c>
      <c r="J337" s="189">
        <v>794.94508317273403</v>
      </c>
      <c r="K337" s="189">
        <v>88.894848392139096</v>
      </c>
      <c r="L337" s="189">
        <v>-9.98</v>
      </c>
      <c r="M337" s="189">
        <v>0.68</v>
      </c>
      <c r="N337" s="189">
        <v>82</v>
      </c>
      <c r="O337" s="189" t="s">
        <v>956</v>
      </c>
      <c r="P337" s="189" t="s">
        <v>957</v>
      </c>
      <c r="Q337" s="189" t="s">
        <v>253</v>
      </c>
      <c r="R337" s="189" t="s">
        <v>253</v>
      </c>
      <c r="S337" s="189" t="s">
        <v>253</v>
      </c>
      <c r="T337" s="189" t="s">
        <v>253</v>
      </c>
      <c r="U337" s="189" t="s">
        <v>258</v>
      </c>
      <c r="V337" s="189" t="s">
        <v>297</v>
      </c>
      <c r="W337" s="189" t="s">
        <v>253</v>
      </c>
      <c r="X337" s="189" t="s">
        <v>1954</v>
      </c>
      <c r="Y337" s="189" t="s">
        <v>1955</v>
      </c>
    </row>
    <row r="338" spans="1:25" x14ac:dyDescent="0.2">
      <c r="A338" s="189">
        <v>838</v>
      </c>
      <c r="B338" s="189" t="s">
        <v>1956</v>
      </c>
      <c r="C338" s="189" t="s">
        <v>1880</v>
      </c>
      <c r="D338" s="189" t="s">
        <v>1881</v>
      </c>
      <c r="E338" s="189" t="s">
        <v>1882</v>
      </c>
      <c r="F338" s="189" t="s">
        <v>1883</v>
      </c>
      <c r="G338" s="189" t="s">
        <v>522</v>
      </c>
      <c r="H338" s="189" t="s">
        <v>521</v>
      </c>
      <c r="I338" s="189">
        <v>3700</v>
      </c>
      <c r="J338" s="189">
        <v>1076.1486416892201</v>
      </c>
      <c r="K338" s="189">
        <v>33.798490570823397</v>
      </c>
      <c r="L338" s="189">
        <v>-8.19</v>
      </c>
      <c r="M338" s="189">
        <v>9.76</v>
      </c>
      <c r="N338" s="189">
        <v>3573</v>
      </c>
      <c r="O338" s="189" t="s">
        <v>913</v>
      </c>
      <c r="P338" s="189" t="s">
        <v>914</v>
      </c>
      <c r="Q338" s="189" t="s">
        <v>253</v>
      </c>
      <c r="R338" s="189" t="s">
        <v>253</v>
      </c>
      <c r="S338" s="189" t="s">
        <v>253</v>
      </c>
      <c r="T338" s="189" t="s">
        <v>261</v>
      </c>
      <c r="U338" s="189" t="s">
        <v>253</v>
      </c>
      <c r="V338" s="189" t="s">
        <v>253</v>
      </c>
      <c r="W338" s="189" t="s">
        <v>253</v>
      </c>
      <c r="X338" s="189" t="s">
        <v>1957</v>
      </c>
      <c r="Y338" s="189" t="s">
        <v>1958</v>
      </c>
    </row>
    <row r="339" spans="1:25" x14ac:dyDescent="0.2">
      <c r="A339" s="189">
        <v>840</v>
      </c>
      <c r="B339" s="189" t="s">
        <v>1959</v>
      </c>
      <c r="C339" s="189" t="s">
        <v>253</v>
      </c>
      <c r="D339" s="189" t="s">
        <v>253</v>
      </c>
      <c r="E339" s="189" t="s">
        <v>1882</v>
      </c>
      <c r="F339" s="189" t="s">
        <v>1883</v>
      </c>
      <c r="G339" s="189" t="s">
        <v>522</v>
      </c>
      <c r="H339" s="189" t="s">
        <v>521</v>
      </c>
      <c r="I339" s="189">
        <v>2122</v>
      </c>
      <c r="J339" s="189">
        <v>722.23579570525499</v>
      </c>
      <c r="K339" s="189">
        <v>71.028915336693004</v>
      </c>
      <c r="L339" s="189">
        <v>-9.4</v>
      </c>
      <c r="M339" s="189">
        <v>-1.67</v>
      </c>
      <c r="N339" s="189">
        <v>210</v>
      </c>
      <c r="O339" s="189" t="s">
        <v>987</v>
      </c>
      <c r="P339" s="189" t="s">
        <v>988</v>
      </c>
      <c r="Q339" s="189" t="s">
        <v>253</v>
      </c>
      <c r="R339" s="189" t="s">
        <v>253</v>
      </c>
      <c r="S339" s="189" t="s">
        <v>253</v>
      </c>
      <c r="T339" s="189" t="s">
        <v>253</v>
      </c>
      <c r="U339" s="189" t="s">
        <v>258</v>
      </c>
      <c r="V339" s="189" t="s">
        <v>253</v>
      </c>
      <c r="W339" s="189" t="s">
        <v>253</v>
      </c>
      <c r="X339" s="189" t="s">
        <v>1960</v>
      </c>
      <c r="Y339" s="189" t="s">
        <v>1961</v>
      </c>
    </row>
    <row r="340" spans="1:25" x14ac:dyDescent="0.2">
      <c r="A340" s="189">
        <v>846</v>
      </c>
      <c r="B340" s="189" t="s">
        <v>1962</v>
      </c>
      <c r="C340" s="189" t="s">
        <v>1252</v>
      </c>
      <c r="D340" s="189" t="s">
        <v>1253</v>
      </c>
      <c r="E340" s="189" t="s">
        <v>1882</v>
      </c>
      <c r="F340" s="189" t="s">
        <v>1883</v>
      </c>
      <c r="G340" s="189" t="s">
        <v>522</v>
      </c>
      <c r="H340" s="189" t="s">
        <v>521</v>
      </c>
      <c r="I340" s="189">
        <v>21977</v>
      </c>
      <c r="J340" s="189">
        <v>1264.5</v>
      </c>
      <c r="K340" s="189">
        <v>552.5</v>
      </c>
      <c r="L340" s="189">
        <v>-24.99</v>
      </c>
      <c r="M340" s="189">
        <v>15.84</v>
      </c>
      <c r="N340" s="189">
        <v>161</v>
      </c>
      <c r="O340" s="189" t="s">
        <v>568</v>
      </c>
      <c r="P340" s="189" t="s">
        <v>569</v>
      </c>
      <c r="Q340" s="189" t="s">
        <v>253</v>
      </c>
      <c r="R340" s="189" t="s">
        <v>259</v>
      </c>
      <c r="S340" s="189" t="s">
        <v>253</v>
      </c>
      <c r="T340" s="189" t="s">
        <v>261</v>
      </c>
      <c r="U340" s="189" t="s">
        <v>258</v>
      </c>
      <c r="V340" s="189" t="s">
        <v>253</v>
      </c>
      <c r="W340" s="189" t="s">
        <v>253</v>
      </c>
      <c r="X340" s="189" t="s">
        <v>1963</v>
      </c>
      <c r="Y340" s="189" t="s">
        <v>1964</v>
      </c>
    </row>
    <row r="341" spans="1:25" x14ac:dyDescent="0.2">
      <c r="A341" s="189">
        <v>916</v>
      </c>
      <c r="B341" s="189" t="s">
        <v>1965</v>
      </c>
      <c r="C341" s="189" t="s">
        <v>1252</v>
      </c>
      <c r="D341" s="189" t="s">
        <v>1253</v>
      </c>
      <c r="E341" s="189" t="s">
        <v>1882</v>
      </c>
      <c r="F341" s="189" t="s">
        <v>1883</v>
      </c>
      <c r="G341" s="189" t="s">
        <v>522</v>
      </c>
      <c r="H341" s="189" t="s">
        <v>521</v>
      </c>
      <c r="I341" s="189">
        <v>22126</v>
      </c>
      <c r="J341" s="189">
        <v>1287.8151862546199</v>
      </c>
      <c r="K341" s="189">
        <v>650.91272941084299</v>
      </c>
      <c r="L341" s="189">
        <v>-28.18</v>
      </c>
      <c r="M341" s="189">
        <v>16.600000000000001</v>
      </c>
      <c r="N341" s="189">
        <v>2051</v>
      </c>
      <c r="O341" s="189" t="s">
        <v>542</v>
      </c>
      <c r="P341" s="189" t="s">
        <v>543</v>
      </c>
      <c r="Q341" s="189" t="s">
        <v>253</v>
      </c>
      <c r="R341" s="189" t="s">
        <v>253</v>
      </c>
      <c r="S341" s="189" t="s">
        <v>257</v>
      </c>
      <c r="T341" s="189" t="s">
        <v>261</v>
      </c>
      <c r="U341" s="189" t="s">
        <v>253</v>
      </c>
      <c r="V341" s="189" t="s">
        <v>297</v>
      </c>
      <c r="W341" s="189" t="s">
        <v>266</v>
      </c>
      <c r="X341" s="189" t="s">
        <v>1966</v>
      </c>
      <c r="Y341" s="189" t="s">
        <v>1967</v>
      </c>
    </row>
    <row r="342" spans="1:25" x14ac:dyDescent="0.2">
      <c r="A342" s="189">
        <v>1036</v>
      </c>
      <c r="B342" s="189" t="s">
        <v>1968</v>
      </c>
      <c r="C342" s="189" t="s">
        <v>1252</v>
      </c>
      <c r="D342" s="189" t="s">
        <v>1253</v>
      </c>
      <c r="E342" s="189" t="s">
        <v>1882</v>
      </c>
      <c r="F342" s="189" t="s">
        <v>1883</v>
      </c>
      <c r="G342" s="189" t="s">
        <v>522</v>
      </c>
      <c r="H342" s="189" t="s">
        <v>521</v>
      </c>
      <c r="I342" s="189">
        <v>22465</v>
      </c>
      <c r="J342" s="189">
        <v>1194.10661581674</v>
      </c>
      <c r="K342" s="189">
        <v>494.14792465962603</v>
      </c>
      <c r="L342" s="189">
        <v>-23.1</v>
      </c>
      <c r="M342" s="189">
        <v>13.57</v>
      </c>
      <c r="N342" s="189">
        <v>5515</v>
      </c>
      <c r="O342" s="189" t="s">
        <v>726</v>
      </c>
      <c r="P342" s="189" t="s">
        <v>727</v>
      </c>
      <c r="Q342" s="189" t="s">
        <v>253</v>
      </c>
      <c r="R342" s="189" t="s">
        <v>253</v>
      </c>
      <c r="S342" s="189" t="s">
        <v>253</v>
      </c>
      <c r="T342" s="189" t="s">
        <v>261</v>
      </c>
      <c r="U342" s="189" t="s">
        <v>258</v>
      </c>
      <c r="V342" s="189" t="s">
        <v>297</v>
      </c>
      <c r="W342" s="189" t="s">
        <v>266</v>
      </c>
      <c r="X342" s="189" t="s">
        <v>1969</v>
      </c>
      <c r="Y342" s="189" t="s">
        <v>1970</v>
      </c>
    </row>
    <row r="343" spans="1:25" x14ac:dyDescent="0.2">
      <c r="A343" s="189">
        <v>6</v>
      </c>
      <c r="B343" s="189" t="s">
        <v>269</v>
      </c>
      <c r="C343" s="189" t="s">
        <v>269</v>
      </c>
      <c r="D343" s="189" t="s">
        <v>269</v>
      </c>
      <c r="E343" s="189" t="s">
        <v>268</v>
      </c>
      <c r="F343" s="189" t="s">
        <v>537</v>
      </c>
      <c r="G343" s="189" t="s">
        <v>255</v>
      </c>
      <c r="H343" s="189" t="s">
        <v>256</v>
      </c>
      <c r="I343" s="189">
        <v>100109</v>
      </c>
      <c r="J343" s="189">
        <v>433</v>
      </c>
      <c r="K343" s="189">
        <v>666</v>
      </c>
      <c r="L343" s="189">
        <v>-28.67</v>
      </c>
      <c r="M343" s="189">
        <v>-11.01</v>
      </c>
      <c r="N343" s="189">
        <v>13</v>
      </c>
      <c r="O343" s="189" t="s">
        <v>564</v>
      </c>
      <c r="P343" s="189" t="s">
        <v>565</v>
      </c>
      <c r="Q343" s="189" t="s">
        <v>332</v>
      </c>
      <c r="R343" s="189" t="s">
        <v>259</v>
      </c>
      <c r="S343" s="189" t="s">
        <v>257</v>
      </c>
      <c r="T343" s="189" t="s">
        <v>261</v>
      </c>
      <c r="U343" s="189" t="s">
        <v>258</v>
      </c>
      <c r="V343" s="189" t="s">
        <v>297</v>
      </c>
      <c r="W343" s="189" t="s">
        <v>266</v>
      </c>
      <c r="X343" s="189" t="s">
        <v>643</v>
      </c>
      <c r="Y343" s="189" t="s">
        <v>644</v>
      </c>
    </row>
    <row r="344" spans="1:25" x14ac:dyDescent="0.2">
      <c r="A344" s="189">
        <v>19</v>
      </c>
      <c r="B344" s="189" t="s">
        <v>436</v>
      </c>
      <c r="C344" s="189" t="s">
        <v>435</v>
      </c>
      <c r="D344" s="189" t="s">
        <v>436</v>
      </c>
      <c r="E344" s="189" t="s">
        <v>268</v>
      </c>
      <c r="F344" s="189" t="s">
        <v>537</v>
      </c>
      <c r="G344" s="189" t="s">
        <v>306</v>
      </c>
      <c r="H344" s="189" t="s">
        <v>256</v>
      </c>
      <c r="I344" s="189">
        <v>3360</v>
      </c>
      <c r="J344" s="189">
        <v>346.5</v>
      </c>
      <c r="K344" s="189">
        <v>693.5</v>
      </c>
      <c r="L344" s="189">
        <v>-29.56</v>
      </c>
      <c r="M344" s="189">
        <v>-13.81</v>
      </c>
      <c r="N344" s="189">
        <v>118</v>
      </c>
      <c r="O344" s="189" t="s">
        <v>550</v>
      </c>
      <c r="P344" s="189" t="s">
        <v>551</v>
      </c>
      <c r="Q344" s="189" t="s">
        <v>253</v>
      </c>
      <c r="R344" s="189" t="s">
        <v>259</v>
      </c>
      <c r="S344" s="189" t="s">
        <v>257</v>
      </c>
      <c r="T344" s="189" t="s">
        <v>261</v>
      </c>
      <c r="U344" s="189" t="s">
        <v>253</v>
      </c>
      <c r="V344" s="189" t="s">
        <v>253</v>
      </c>
      <c r="W344" s="189" t="s">
        <v>253</v>
      </c>
      <c r="X344" s="189" t="s">
        <v>799</v>
      </c>
      <c r="Y344" s="189" t="s">
        <v>800</v>
      </c>
    </row>
    <row r="345" spans="1:25" x14ac:dyDescent="0.2">
      <c r="A345" s="189">
        <v>22</v>
      </c>
      <c r="B345" s="189" t="s">
        <v>271</v>
      </c>
      <c r="C345" s="189" t="s">
        <v>469</v>
      </c>
      <c r="D345" s="189" t="s">
        <v>469</v>
      </c>
      <c r="E345" s="189" t="s">
        <v>268</v>
      </c>
      <c r="F345" s="189" t="s">
        <v>537</v>
      </c>
      <c r="G345" s="189" t="s">
        <v>260</v>
      </c>
      <c r="H345" s="189" t="s">
        <v>256</v>
      </c>
      <c r="I345" s="189">
        <v>6916</v>
      </c>
      <c r="J345" s="189">
        <v>655.59859006054103</v>
      </c>
      <c r="K345" s="189">
        <v>934.33493320873094</v>
      </c>
      <c r="L345" s="189">
        <v>-37.35</v>
      </c>
      <c r="M345" s="189">
        <v>-3.82</v>
      </c>
      <c r="N345" s="189">
        <v>82</v>
      </c>
      <c r="O345" s="189" t="s">
        <v>538</v>
      </c>
      <c r="P345" s="189" t="s">
        <v>539</v>
      </c>
      <c r="Q345" s="189" t="s">
        <v>253</v>
      </c>
      <c r="R345" s="189" t="s">
        <v>253</v>
      </c>
      <c r="S345" s="189" t="s">
        <v>257</v>
      </c>
      <c r="T345" s="189" t="s">
        <v>253</v>
      </c>
      <c r="U345" s="189" t="s">
        <v>253</v>
      </c>
      <c r="V345" s="189" t="s">
        <v>253</v>
      </c>
      <c r="W345" s="189" t="s">
        <v>253</v>
      </c>
      <c r="X345" s="189" t="s">
        <v>655</v>
      </c>
      <c r="Y345" s="189" t="s">
        <v>656</v>
      </c>
    </row>
    <row r="346" spans="1:25" x14ac:dyDescent="0.2">
      <c r="A346" s="189">
        <v>33</v>
      </c>
      <c r="B346" s="189" t="s">
        <v>272</v>
      </c>
      <c r="C346" s="189" t="s">
        <v>440</v>
      </c>
      <c r="D346" s="189" t="s">
        <v>441</v>
      </c>
      <c r="E346" s="189" t="s">
        <v>268</v>
      </c>
      <c r="F346" s="189" t="s">
        <v>537</v>
      </c>
      <c r="G346" s="189" t="s">
        <v>255</v>
      </c>
      <c r="H346" s="189" t="s">
        <v>256</v>
      </c>
      <c r="I346" s="189">
        <v>1652</v>
      </c>
      <c r="J346" s="189">
        <v>447.47409322509401</v>
      </c>
      <c r="K346" s="189">
        <v>835.44952378093001</v>
      </c>
      <c r="L346" s="189">
        <v>-34.15</v>
      </c>
      <c r="M346" s="189">
        <v>-10.55</v>
      </c>
      <c r="N346" s="189">
        <v>554</v>
      </c>
      <c r="O346" s="189" t="s">
        <v>538</v>
      </c>
      <c r="P346" s="189" t="s">
        <v>539</v>
      </c>
      <c r="Q346" s="189" t="s">
        <v>253</v>
      </c>
      <c r="R346" s="189" t="s">
        <v>253</v>
      </c>
      <c r="S346" s="189" t="s">
        <v>253</v>
      </c>
      <c r="T346" s="189" t="s">
        <v>253</v>
      </c>
      <c r="U346" s="189" t="s">
        <v>253</v>
      </c>
      <c r="V346" s="189" t="s">
        <v>253</v>
      </c>
      <c r="W346" s="189" t="s">
        <v>253</v>
      </c>
      <c r="X346" s="189" t="s">
        <v>540</v>
      </c>
      <c r="Y346" s="189" t="s">
        <v>541</v>
      </c>
    </row>
    <row r="347" spans="1:25" x14ac:dyDescent="0.2">
      <c r="A347" s="189">
        <v>39</v>
      </c>
      <c r="B347" s="189" t="s">
        <v>273</v>
      </c>
      <c r="C347" s="189" t="s">
        <v>453</v>
      </c>
      <c r="D347" s="189" t="s">
        <v>351</v>
      </c>
      <c r="E347" s="189" t="s">
        <v>268</v>
      </c>
      <c r="F347" s="189" t="s">
        <v>537</v>
      </c>
      <c r="G347" s="189" t="s">
        <v>264</v>
      </c>
      <c r="H347" s="189" t="s">
        <v>256</v>
      </c>
      <c r="I347" s="189">
        <v>5892</v>
      </c>
      <c r="J347" s="189">
        <v>303.96277476010602</v>
      </c>
      <c r="K347" s="189">
        <v>583.90574955256398</v>
      </c>
      <c r="L347" s="189">
        <v>-26.01</v>
      </c>
      <c r="M347" s="189">
        <v>-15.18</v>
      </c>
      <c r="N347" s="189">
        <v>82</v>
      </c>
      <c r="O347" s="189" t="s">
        <v>568</v>
      </c>
      <c r="P347" s="189" t="s">
        <v>569</v>
      </c>
      <c r="Q347" s="189" t="s">
        <v>253</v>
      </c>
      <c r="R347" s="189" t="s">
        <v>253</v>
      </c>
      <c r="S347" s="189" t="s">
        <v>257</v>
      </c>
      <c r="T347" s="189" t="s">
        <v>253</v>
      </c>
      <c r="U347" s="189" t="s">
        <v>253</v>
      </c>
      <c r="V347" s="189" t="s">
        <v>253</v>
      </c>
      <c r="W347" s="189" t="s">
        <v>253</v>
      </c>
      <c r="X347" s="189" t="s">
        <v>748</v>
      </c>
      <c r="Y347" s="189" t="s">
        <v>749</v>
      </c>
    </row>
    <row r="348" spans="1:25" x14ac:dyDescent="0.2">
      <c r="A348" s="189">
        <v>43</v>
      </c>
      <c r="B348" s="189" t="s">
        <v>683</v>
      </c>
      <c r="C348" s="189" t="s">
        <v>331</v>
      </c>
      <c r="D348" s="189" t="s">
        <v>331</v>
      </c>
      <c r="E348" s="189" t="s">
        <v>268</v>
      </c>
      <c r="F348" s="189" t="s">
        <v>537</v>
      </c>
      <c r="G348" s="189" t="s">
        <v>294</v>
      </c>
      <c r="H348" s="189" t="s">
        <v>256</v>
      </c>
      <c r="I348" s="189">
        <v>16601</v>
      </c>
      <c r="J348" s="189">
        <v>1142.5717675260801</v>
      </c>
      <c r="K348" s="189">
        <v>800.65182410430998</v>
      </c>
      <c r="L348" s="189">
        <v>-33.03</v>
      </c>
      <c r="M348" s="189">
        <v>11.9</v>
      </c>
      <c r="N348" s="189">
        <v>82</v>
      </c>
      <c r="O348" s="189" t="s">
        <v>554</v>
      </c>
      <c r="P348" s="189" t="s">
        <v>555</v>
      </c>
      <c r="Q348" s="189" t="s">
        <v>253</v>
      </c>
      <c r="R348" s="189" t="s">
        <v>253</v>
      </c>
      <c r="S348" s="189" t="s">
        <v>257</v>
      </c>
      <c r="T348" s="189" t="s">
        <v>253</v>
      </c>
      <c r="U348" s="189" t="s">
        <v>253</v>
      </c>
      <c r="V348" s="189" t="s">
        <v>253</v>
      </c>
      <c r="W348" s="189" t="s">
        <v>253</v>
      </c>
      <c r="X348" s="189" t="s">
        <v>684</v>
      </c>
      <c r="Y348" s="189" t="s">
        <v>685</v>
      </c>
    </row>
    <row r="349" spans="1:25" x14ac:dyDescent="0.2">
      <c r="A349" s="189">
        <v>47</v>
      </c>
      <c r="B349" s="189" t="s">
        <v>275</v>
      </c>
      <c r="C349" s="189" t="s">
        <v>459</v>
      </c>
      <c r="D349" s="189" t="s">
        <v>275</v>
      </c>
      <c r="E349" s="189" t="s">
        <v>268</v>
      </c>
      <c r="F349" s="189" t="s">
        <v>537</v>
      </c>
      <c r="G349" s="189" t="s">
        <v>264</v>
      </c>
      <c r="H349" s="189" t="s">
        <v>256</v>
      </c>
      <c r="I349" s="189">
        <v>18598</v>
      </c>
      <c r="J349" s="189">
        <v>402.03078855791898</v>
      </c>
      <c r="K349" s="189">
        <v>642.07707188668996</v>
      </c>
      <c r="L349" s="189">
        <v>-27.89</v>
      </c>
      <c r="M349" s="189">
        <v>-12.01</v>
      </c>
      <c r="N349" s="189">
        <v>82</v>
      </c>
      <c r="O349" s="189" t="s">
        <v>564</v>
      </c>
      <c r="P349" s="189" t="s">
        <v>565</v>
      </c>
      <c r="Q349" s="189" t="s">
        <v>253</v>
      </c>
      <c r="R349" s="189" t="s">
        <v>253</v>
      </c>
      <c r="S349" s="189" t="s">
        <v>253</v>
      </c>
      <c r="T349" s="189" t="s">
        <v>261</v>
      </c>
      <c r="U349" s="189" t="s">
        <v>253</v>
      </c>
      <c r="V349" s="189" t="s">
        <v>253</v>
      </c>
      <c r="W349" s="189" t="s">
        <v>253</v>
      </c>
      <c r="X349" s="189" t="s">
        <v>712</v>
      </c>
      <c r="Y349" s="189" t="s">
        <v>713</v>
      </c>
    </row>
    <row r="350" spans="1:25" x14ac:dyDescent="0.2">
      <c r="A350" s="189">
        <v>52</v>
      </c>
      <c r="B350" s="189" t="s">
        <v>276</v>
      </c>
      <c r="C350" s="189" t="s">
        <v>331</v>
      </c>
      <c r="D350" s="189" t="s">
        <v>331</v>
      </c>
      <c r="E350" s="189" t="s">
        <v>268</v>
      </c>
      <c r="F350" s="189" t="s">
        <v>537</v>
      </c>
      <c r="G350" s="189" t="s">
        <v>294</v>
      </c>
      <c r="H350" s="189" t="s">
        <v>256</v>
      </c>
      <c r="I350" s="189">
        <v>1727</v>
      </c>
      <c r="J350" s="189">
        <v>1084.67291040195</v>
      </c>
      <c r="K350" s="189">
        <v>773.46368850686099</v>
      </c>
      <c r="L350" s="189">
        <v>-32.15</v>
      </c>
      <c r="M350" s="189">
        <v>10.029999999999999</v>
      </c>
      <c r="N350" s="189">
        <v>210</v>
      </c>
      <c r="O350" s="189" t="s">
        <v>554</v>
      </c>
      <c r="P350" s="189" t="s">
        <v>555</v>
      </c>
      <c r="Q350" s="189" t="s">
        <v>253</v>
      </c>
      <c r="R350" s="189" t="s">
        <v>253</v>
      </c>
      <c r="S350" s="189" t="s">
        <v>253</v>
      </c>
      <c r="T350" s="189" t="s">
        <v>253</v>
      </c>
      <c r="U350" s="189" t="s">
        <v>253</v>
      </c>
      <c r="V350" s="189" t="s">
        <v>253</v>
      </c>
      <c r="W350" s="189" t="s">
        <v>253</v>
      </c>
      <c r="X350" s="189" t="s">
        <v>686</v>
      </c>
      <c r="Y350" s="189" t="s">
        <v>687</v>
      </c>
    </row>
    <row r="351" spans="1:25" x14ac:dyDescent="0.2">
      <c r="A351" s="189">
        <v>58</v>
      </c>
      <c r="B351" s="189" t="s">
        <v>277</v>
      </c>
      <c r="C351" s="189" t="s">
        <v>467</v>
      </c>
      <c r="D351" s="189" t="s">
        <v>353</v>
      </c>
      <c r="E351" s="189" t="s">
        <v>268</v>
      </c>
      <c r="F351" s="189" t="s">
        <v>537</v>
      </c>
      <c r="G351" s="189" t="s">
        <v>265</v>
      </c>
      <c r="H351" s="189" t="s">
        <v>256</v>
      </c>
      <c r="I351" s="189">
        <v>14433</v>
      </c>
      <c r="J351" s="189">
        <v>590.30424866509304</v>
      </c>
      <c r="K351" s="189">
        <v>837.53193645732699</v>
      </c>
      <c r="L351" s="189">
        <v>-34.22</v>
      </c>
      <c r="M351" s="189">
        <v>-5.93</v>
      </c>
      <c r="N351" s="189">
        <v>397</v>
      </c>
      <c r="O351" s="189" t="s">
        <v>538</v>
      </c>
      <c r="P351" s="189" t="s">
        <v>539</v>
      </c>
      <c r="Q351" s="189" t="s">
        <v>253</v>
      </c>
      <c r="R351" s="189" t="s">
        <v>253</v>
      </c>
      <c r="S351" s="189" t="s">
        <v>257</v>
      </c>
      <c r="T351" s="189" t="s">
        <v>253</v>
      </c>
      <c r="U351" s="189" t="s">
        <v>258</v>
      </c>
      <c r="V351" s="189" t="s">
        <v>253</v>
      </c>
      <c r="W351" s="189" t="s">
        <v>253</v>
      </c>
      <c r="X351" s="189" t="s">
        <v>811</v>
      </c>
      <c r="Y351" s="189" t="s">
        <v>812</v>
      </c>
    </row>
    <row r="352" spans="1:25" x14ac:dyDescent="0.2">
      <c r="A352" s="189">
        <v>65</v>
      </c>
      <c r="B352" s="189" t="s">
        <v>278</v>
      </c>
      <c r="C352" s="189" t="s">
        <v>278</v>
      </c>
      <c r="D352" s="189" t="s">
        <v>278</v>
      </c>
      <c r="E352" s="189" t="s">
        <v>268</v>
      </c>
      <c r="F352" s="189" t="s">
        <v>537</v>
      </c>
      <c r="G352" s="189" t="s">
        <v>264</v>
      </c>
      <c r="H352" s="189" t="s">
        <v>256</v>
      </c>
      <c r="I352" s="189">
        <v>11053</v>
      </c>
      <c r="J352" s="189">
        <v>376.78883303187001</v>
      </c>
      <c r="K352" s="189">
        <v>566.81828852567696</v>
      </c>
      <c r="L352" s="189">
        <v>-25.45</v>
      </c>
      <c r="M352" s="189">
        <v>-12.83</v>
      </c>
      <c r="N352" s="189">
        <v>161</v>
      </c>
      <c r="O352" s="189" t="s">
        <v>568</v>
      </c>
      <c r="P352" s="189" t="s">
        <v>569</v>
      </c>
      <c r="Q352" s="189" t="s">
        <v>253</v>
      </c>
      <c r="R352" s="189" t="s">
        <v>253</v>
      </c>
      <c r="S352" s="189" t="s">
        <v>253</v>
      </c>
      <c r="T352" s="189" t="s">
        <v>261</v>
      </c>
      <c r="U352" s="189" t="s">
        <v>258</v>
      </c>
      <c r="V352" s="189" t="s">
        <v>253</v>
      </c>
      <c r="W352" s="189" t="s">
        <v>253</v>
      </c>
      <c r="X352" s="189" t="s">
        <v>598</v>
      </c>
      <c r="Y352" s="189" t="s">
        <v>599</v>
      </c>
    </row>
    <row r="353" spans="1:25" x14ac:dyDescent="0.2">
      <c r="A353" s="189">
        <v>70</v>
      </c>
      <c r="B353" s="189" t="s">
        <v>61</v>
      </c>
      <c r="C353" s="189" t="s">
        <v>61</v>
      </c>
      <c r="D353" s="189" t="s">
        <v>61</v>
      </c>
      <c r="E353" s="189" t="s">
        <v>268</v>
      </c>
      <c r="F353" s="189" t="s">
        <v>537</v>
      </c>
      <c r="G353" s="189" t="s">
        <v>255</v>
      </c>
      <c r="H353" s="189" t="s">
        <v>256</v>
      </c>
      <c r="I353" s="189">
        <v>29657</v>
      </c>
      <c r="J353" s="189">
        <v>422.1</v>
      </c>
      <c r="K353" s="189">
        <v>675.82</v>
      </c>
      <c r="L353" s="189">
        <v>-28.98</v>
      </c>
      <c r="M353" s="189">
        <v>-11.37</v>
      </c>
      <c r="N353" s="189">
        <v>13</v>
      </c>
      <c r="O353" s="189" t="s">
        <v>564</v>
      </c>
      <c r="P353" s="189" t="s">
        <v>565</v>
      </c>
      <c r="Q353" s="189" t="s">
        <v>253</v>
      </c>
      <c r="R353" s="189" t="s">
        <v>259</v>
      </c>
      <c r="S353" s="189" t="s">
        <v>257</v>
      </c>
      <c r="T353" s="189" t="s">
        <v>253</v>
      </c>
      <c r="U353" s="189" t="s">
        <v>253</v>
      </c>
      <c r="V353" s="189" t="s">
        <v>253</v>
      </c>
      <c r="W353" s="189" t="s">
        <v>253</v>
      </c>
      <c r="X353" s="189" t="s">
        <v>787</v>
      </c>
      <c r="Y353" s="189" t="s">
        <v>788</v>
      </c>
    </row>
    <row r="354" spans="1:25" x14ac:dyDescent="0.2">
      <c r="A354" s="189">
        <v>74</v>
      </c>
      <c r="B354" s="189" t="s">
        <v>279</v>
      </c>
      <c r="C354" s="189" t="s">
        <v>459</v>
      </c>
      <c r="D354" s="189" t="s">
        <v>275</v>
      </c>
      <c r="E354" s="189" t="s">
        <v>268</v>
      </c>
      <c r="F354" s="189" t="s">
        <v>537</v>
      </c>
      <c r="G354" s="189" t="s">
        <v>255</v>
      </c>
      <c r="H354" s="189" t="s">
        <v>256</v>
      </c>
      <c r="I354" s="189">
        <v>1773</v>
      </c>
      <c r="J354" s="189">
        <v>407.908252373545</v>
      </c>
      <c r="K354" s="189">
        <v>619.71546286631201</v>
      </c>
      <c r="L354" s="189">
        <v>-27.17</v>
      </c>
      <c r="M354" s="189">
        <v>-11.82</v>
      </c>
      <c r="N354" s="189">
        <v>118</v>
      </c>
      <c r="O354" s="189" t="s">
        <v>564</v>
      </c>
      <c r="P354" s="189" t="s">
        <v>565</v>
      </c>
      <c r="Q354" s="189" t="s">
        <v>253</v>
      </c>
      <c r="R354" s="189" t="s">
        <v>253</v>
      </c>
      <c r="S354" s="189" t="s">
        <v>257</v>
      </c>
      <c r="T354" s="189" t="s">
        <v>253</v>
      </c>
      <c r="U354" s="189" t="s">
        <v>253</v>
      </c>
      <c r="V354" s="189" t="s">
        <v>253</v>
      </c>
      <c r="W354" s="189" t="s">
        <v>253</v>
      </c>
      <c r="X354" s="189" t="s">
        <v>714</v>
      </c>
      <c r="Y354" s="189" t="s">
        <v>715</v>
      </c>
    </row>
    <row r="355" spans="1:25" x14ac:dyDescent="0.2">
      <c r="A355" s="189">
        <v>78</v>
      </c>
      <c r="B355" s="189" t="s">
        <v>280</v>
      </c>
      <c r="C355" s="189" t="s">
        <v>331</v>
      </c>
      <c r="D355" s="189" t="s">
        <v>331</v>
      </c>
      <c r="E355" s="189" t="s">
        <v>268</v>
      </c>
      <c r="F355" s="189" t="s">
        <v>537</v>
      </c>
      <c r="G355" s="189" t="s">
        <v>294</v>
      </c>
      <c r="H355" s="189" t="s">
        <v>256</v>
      </c>
      <c r="I355" s="189">
        <v>9554</v>
      </c>
      <c r="J355" s="189">
        <v>1141.8516808996601</v>
      </c>
      <c r="K355" s="189">
        <v>762.35100029916998</v>
      </c>
      <c r="L355" s="189">
        <v>-31.79</v>
      </c>
      <c r="M355" s="189">
        <v>11.88</v>
      </c>
      <c r="N355" s="189">
        <v>82</v>
      </c>
      <c r="O355" s="189" t="s">
        <v>554</v>
      </c>
      <c r="P355" s="189" t="s">
        <v>555</v>
      </c>
      <c r="Q355" s="189" t="s">
        <v>253</v>
      </c>
      <c r="R355" s="189" t="s">
        <v>253</v>
      </c>
      <c r="S355" s="189" t="s">
        <v>253</v>
      </c>
      <c r="T355" s="189" t="s">
        <v>253</v>
      </c>
      <c r="U355" s="189" t="s">
        <v>258</v>
      </c>
      <c r="V355" s="189" t="s">
        <v>253</v>
      </c>
      <c r="W355" s="189" t="s">
        <v>253</v>
      </c>
      <c r="X355" s="189" t="s">
        <v>688</v>
      </c>
      <c r="Y355" s="189" t="s">
        <v>689</v>
      </c>
    </row>
    <row r="356" spans="1:25" x14ac:dyDescent="0.2">
      <c r="A356" s="189">
        <v>86</v>
      </c>
      <c r="B356" s="189" t="s">
        <v>281</v>
      </c>
      <c r="C356" s="189" t="s">
        <v>482</v>
      </c>
      <c r="D356" s="189" t="s">
        <v>483</v>
      </c>
      <c r="E356" s="189" t="s">
        <v>268</v>
      </c>
      <c r="F356" s="189" t="s">
        <v>537</v>
      </c>
      <c r="G356" s="189" t="s">
        <v>260</v>
      </c>
      <c r="H356" s="189" t="s">
        <v>256</v>
      </c>
      <c r="I356" s="189">
        <v>1705</v>
      </c>
      <c r="J356" s="189">
        <v>815.32158852028601</v>
      </c>
      <c r="K356" s="189">
        <v>782.51342583886799</v>
      </c>
      <c r="L356" s="189">
        <v>-32.44</v>
      </c>
      <c r="M356" s="189">
        <v>1.33</v>
      </c>
      <c r="N356" s="189">
        <v>1447</v>
      </c>
      <c r="O356" s="189" t="s">
        <v>538</v>
      </c>
      <c r="P356" s="189" t="s">
        <v>539</v>
      </c>
      <c r="Q356" s="189" t="s">
        <v>253</v>
      </c>
      <c r="R356" s="189" t="s">
        <v>253</v>
      </c>
      <c r="S356" s="189" t="s">
        <v>257</v>
      </c>
      <c r="T356" s="189" t="s">
        <v>253</v>
      </c>
      <c r="U356" s="189" t="s">
        <v>253</v>
      </c>
      <c r="V356" s="189" t="s">
        <v>253</v>
      </c>
      <c r="W356" s="189" t="s">
        <v>253</v>
      </c>
      <c r="X356" s="189" t="s">
        <v>766</v>
      </c>
      <c r="Y356" s="189" t="s">
        <v>767</v>
      </c>
    </row>
    <row r="357" spans="1:25" x14ac:dyDescent="0.2">
      <c r="A357" s="189">
        <v>87</v>
      </c>
      <c r="B357" s="189" t="s">
        <v>282</v>
      </c>
      <c r="C357" s="189" t="s">
        <v>64</v>
      </c>
      <c r="D357" s="189" t="s">
        <v>64</v>
      </c>
      <c r="E357" s="189" t="s">
        <v>268</v>
      </c>
      <c r="F357" s="189" t="s">
        <v>537</v>
      </c>
      <c r="G357" s="189" t="s">
        <v>294</v>
      </c>
      <c r="H357" s="189" t="s">
        <v>256</v>
      </c>
      <c r="I357" s="189">
        <v>14383</v>
      </c>
      <c r="J357" s="189">
        <v>1105</v>
      </c>
      <c r="K357" s="189">
        <v>838</v>
      </c>
      <c r="L357" s="189">
        <v>-34.24</v>
      </c>
      <c r="M357" s="189">
        <v>10.69</v>
      </c>
      <c r="N357" s="189">
        <v>118</v>
      </c>
      <c r="O357" s="189" t="s">
        <v>542</v>
      </c>
      <c r="P357" s="189" t="s">
        <v>543</v>
      </c>
      <c r="Q357" s="189" t="s">
        <v>253</v>
      </c>
      <c r="R357" s="189" t="s">
        <v>259</v>
      </c>
      <c r="S357" s="189" t="s">
        <v>257</v>
      </c>
      <c r="T357" s="189" t="s">
        <v>261</v>
      </c>
      <c r="U357" s="189" t="s">
        <v>253</v>
      </c>
      <c r="V357" s="189" t="s">
        <v>253</v>
      </c>
      <c r="W357" s="189" t="s">
        <v>253</v>
      </c>
      <c r="X357" s="189" t="s">
        <v>827</v>
      </c>
      <c r="Y357" s="189" t="s">
        <v>828</v>
      </c>
    </row>
    <row r="358" spans="1:25" x14ac:dyDescent="0.2">
      <c r="A358" s="189">
        <v>99</v>
      </c>
      <c r="B358" s="189" t="s">
        <v>283</v>
      </c>
      <c r="C358" s="189" t="s">
        <v>283</v>
      </c>
      <c r="D358" s="189" t="s">
        <v>283</v>
      </c>
      <c r="E358" s="189" t="s">
        <v>268</v>
      </c>
      <c r="F358" s="189" t="s">
        <v>537</v>
      </c>
      <c r="G358" s="189" t="s">
        <v>260</v>
      </c>
      <c r="H358" s="189" t="s">
        <v>256</v>
      </c>
      <c r="I358" s="189">
        <v>6128</v>
      </c>
      <c r="J358" s="189">
        <v>910.25625240314605</v>
      </c>
      <c r="K358" s="189">
        <v>854.26908507136204</v>
      </c>
      <c r="L358" s="189">
        <v>-34.76</v>
      </c>
      <c r="M358" s="189">
        <v>4.4000000000000004</v>
      </c>
      <c r="N358" s="189">
        <v>118</v>
      </c>
      <c r="O358" s="189" t="s">
        <v>542</v>
      </c>
      <c r="P358" s="189" t="s">
        <v>543</v>
      </c>
      <c r="Q358" s="189" t="s">
        <v>253</v>
      </c>
      <c r="R358" s="189" t="s">
        <v>253</v>
      </c>
      <c r="S358" s="189" t="s">
        <v>257</v>
      </c>
      <c r="T358" s="189" t="s">
        <v>261</v>
      </c>
      <c r="U358" s="189" t="s">
        <v>253</v>
      </c>
      <c r="V358" s="189" t="s">
        <v>253</v>
      </c>
      <c r="W358" s="189" t="s">
        <v>253</v>
      </c>
      <c r="X358" s="189" t="s">
        <v>736</v>
      </c>
      <c r="Y358" s="189" t="s">
        <v>737</v>
      </c>
    </row>
    <row r="359" spans="1:25" x14ac:dyDescent="0.2">
      <c r="A359" s="189">
        <v>100</v>
      </c>
      <c r="B359" s="189" t="s">
        <v>472</v>
      </c>
      <c r="C359" s="189" t="s">
        <v>284</v>
      </c>
      <c r="D359" s="189" t="s">
        <v>284</v>
      </c>
      <c r="E359" s="189" t="s">
        <v>268</v>
      </c>
      <c r="F359" s="189" t="s">
        <v>537</v>
      </c>
      <c r="G359" s="189" t="s">
        <v>260</v>
      </c>
      <c r="H359" s="189" t="s">
        <v>256</v>
      </c>
      <c r="I359" s="189">
        <v>1956</v>
      </c>
      <c r="J359" s="189">
        <v>738.79778811286303</v>
      </c>
      <c r="K359" s="189">
        <v>879.21911358670195</v>
      </c>
      <c r="L359" s="189">
        <v>-35.57</v>
      </c>
      <c r="M359" s="189">
        <v>-1.1399999999999999</v>
      </c>
      <c r="N359" s="189">
        <v>52</v>
      </c>
      <c r="O359" s="189" t="s">
        <v>542</v>
      </c>
      <c r="P359" s="189" t="s">
        <v>543</v>
      </c>
      <c r="Q359" s="189" t="s">
        <v>253</v>
      </c>
      <c r="R359" s="189" t="s">
        <v>253</v>
      </c>
      <c r="S359" s="189" t="s">
        <v>257</v>
      </c>
      <c r="T359" s="189" t="s">
        <v>253</v>
      </c>
      <c r="U359" s="189" t="s">
        <v>253</v>
      </c>
      <c r="V359" s="189" t="s">
        <v>253</v>
      </c>
      <c r="W359" s="189" t="s">
        <v>253</v>
      </c>
      <c r="X359" s="189" t="s">
        <v>883</v>
      </c>
      <c r="Y359" s="189" t="s">
        <v>884</v>
      </c>
    </row>
    <row r="360" spans="1:25" x14ac:dyDescent="0.2">
      <c r="A360" s="189">
        <v>103</v>
      </c>
      <c r="B360" s="189" t="s">
        <v>285</v>
      </c>
      <c r="C360" s="189" t="s">
        <v>465</v>
      </c>
      <c r="D360" s="189" t="s">
        <v>285</v>
      </c>
      <c r="E360" s="189" t="s">
        <v>268</v>
      </c>
      <c r="F360" s="189" t="s">
        <v>537</v>
      </c>
      <c r="G360" s="189" t="s">
        <v>391</v>
      </c>
      <c r="H360" s="189" t="s">
        <v>256</v>
      </c>
      <c r="I360" s="189">
        <v>3268</v>
      </c>
      <c r="J360" s="189">
        <v>516.5</v>
      </c>
      <c r="K360" s="189">
        <v>620</v>
      </c>
      <c r="L360" s="189">
        <v>-27.18</v>
      </c>
      <c r="M360" s="189">
        <v>-8.32</v>
      </c>
      <c r="N360" s="189">
        <v>210</v>
      </c>
      <c r="O360" s="189" t="s">
        <v>564</v>
      </c>
      <c r="P360" s="189" t="s">
        <v>565</v>
      </c>
      <c r="Q360" s="189" t="s">
        <v>253</v>
      </c>
      <c r="R360" s="189" t="s">
        <v>259</v>
      </c>
      <c r="S360" s="189" t="s">
        <v>257</v>
      </c>
      <c r="T360" s="189" t="s">
        <v>261</v>
      </c>
      <c r="U360" s="189" t="s">
        <v>253</v>
      </c>
      <c r="V360" s="189" t="s">
        <v>253</v>
      </c>
      <c r="W360" s="189" t="s">
        <v>253</v>
      </c>
      <c r="X360" s="189" t="s">
        <v>734</v>
      </c>
      <c r="Y360" s="189" t="s">
        <v>735</v>
      </c>
    </row>
    <row r="361" spans="1:25" x14ac:dyDescent="0.2">
      <c r="A361" s="189">
        <v>108</v>
      </c>
      <c r="B361" s="189" t="s">
        <v>483</v>
      </c>
      <c r="C361" s="189" t="s">
        <v>482</v>
      </c>
      <c r="D361" s="189" t="s">
        <v>483</v>
      </c>
      <c r="E361" s="189" t="s">
        <v>268</v>
      </c>
      <c r="F361" s="189" t="s">
        <v>537</v>
      </c>
      <c r="G361" s="189" t="s">
        <v>260</v>
      </c>
      <c r="H361" s="189" t="s">
        <v>256</v>
      </c>
      <c r="I361" s="189">
        <v>4134</v>
      </c>
      <c r="J361" s="189">
        <v>845.5</v>
      </c>
      <c r="K361" s="189">
        <v>830</v>
      </c>
      <c r="L361" s="189">
        <v>-33.979999999999997</v>
      </c>
      <c r="M361" s="189">
        <v>2.31</v>
      </c>
      <c r="N361" s="189">
        <v>52</v>
      </c>
      <c r="O361" s="189" t="s">
        <v>542</v>
      </c>
      <c r="P361" s="189" t="s">
        <v>543</v>
      </c>
      <c r="Q361" s="189" t="s">
        <v>253</v>
      </c>
      <c r="R361" s="189" t="s">
        <v>259</v>
      </c>
      <c r="S361" s="189" t="s">
        <v>257</v>
      </c>
      <c r="T361" s="189" t="s">
        <v>253</v>
      </c>
      <c r="U361" s="189" t="s">
        <v>253</v>
      </c>
      <c r="V361" s="189" t="s">
        <v>253</v>
      </c>
      <c r="W361" s="189" t="s">
        <v>253</v>
      </c>
      <c r="X361" s="189" t="s">
        <v>768</v>
      </c>
      <c r="Y361" s="189" t="s">
        <v>769</v>
      </c>
    </row>
    <row r="362" spans="1:25" x14ac:dyDescent="0.2">
      <c r="A362" s="189">
        <v>115</v>
      </c>
      <c r="B362" s="189" t="s">
        <v>287</v>
      </c>
      <c r="C362" s="189" t="s">
        <v>459</v>
      </c>
      <c r="D362" s="189" t="s">
        <v>275</v>
      </c>
      <c r="E362" s="189" t="s">
        <v>268</v>
      </c>
      <c r="F362" s="189" t="s">
        <v>537</v>
      </c>
      <c r="G362" s="189" t="s">
        <v>255</v>
      </c>
      <c r="H362" s="189" t="s">
        <v>256</v>
      </c>
      <c r="I362" s="189">
        <v>4744</v>
      </c>
      <c r="J362" s="189">
        <v>410.45774826707799</v>
      </c>
      <c r="K362" s="189">
        <v>653.85146131865599</v>
      </c>
      <c r="L362" s="189">
        <v>-28.27</v>
      </c>
      <c r="M362" s="189">
        <v>-11.74</v>
      </c>
      <c r="N362" s="189">
        <v>52</v>
      </c>
      <c r="O362" s="189" t="s">
        <v>564</v>
      </c>
      <c r="P362" s="189" t="s">
        <v>565</v>
      </c>
      <c r="Q362" s="189" t="s">
        <v>253</v>
      </c>
      <c r="R362" s="189" t="s">
        <v>253</v>
      </c>
      <c r="S362" s="189" t="s">
        <v>257</v>
      </c>
      <c r="T362" s="189" t="s">
        <v>253</v>
      </c>
      <c r="U362" s="189" t="s">
        <v>253</v>
      </c>
      <c r="V362" s="189" t="s">
        <v>253</v>
      </c>
      <c r="W362" s="189" t="s">
        <v>253</v>
      </c>
      <c r="X362" s="189" t="s">
        <v>716</v>
      </c>
      <c r="Y362" s="189" t="s">
        <v>717</v>
      </c>
    </row>
    <row r="363" spans="1:25" x14ac:dyDescent="0.2">
      <c r="A363" s="189">
        <v>117</v>
      </c>
      <c r="B363" s="189" t="s">
        <v>288</v>
      </c>
      <c r="C363" s="189" t="s">
        <v>489</v>
      </c>
      <c r="D363" s="189" t="s">
        <v>343</v>
      </c>
      <c r="E363" s="189" t="s">
        <v>268</v>
      </c>
      <c r="F363" s="189" t="s">
        <v>537</v>
      </c>
      <c r="G363" s="189" t="s">
        <v>260</v>
      </c>
      <c r="H363" s="189" t="s">
        <v>256</v>
      </c>
      <c r="I363" s="189">
        <v>7044</v>
      </c>
      <c r="J363" s="189">
        <v>931</v>
      </c>
      <c r="K363" s="189">
        <v>913</v>
      </c>
      <c r="L363" s="189">
        <v>-36.659999999999997</v>
      </c>
      <c r="M363" s="189">
        <v>5.07</v>
      </c>
      <c r="N363" s="189">
        <v>118</v>
      </c>
      <c r="O363" s="189" t="s">
        <v>538</v>
      </c>
      <c r="P363" s="189" t="s">
        <v>539</v>
      </c>
      <c r="Q363" s="189" t="s">
        <v>253</v>
      </c>
      <c r="R363" s="189" t="s">
        <v>259</v>
      </c>
      <c r="S363" s="189" t="s">
        <v>253</v>
      </c>
      <c r="T363" s="189" t="s">
        <v>253</v>
      </c>
      <c r="U363" s="189" t="s">
        <v>258</v>
      </c>
      <c r="V363" s="189" t="s">
        <v>253</v>
      </c>
      <c r="W363" s="189" t="s">
        <v>253</v>
      </c>
      <c r="X363" s="189" t="s">
        <v>841</v>
      </c>
      <c r="Y363" s="189" t="s">
        <v>842</v>
      </c>
    </row>
    <row r="364" spans="1:25" x14ac:dyDescent="0.2">
      <c r="A364" s="189">
        <v>121</v>
      </c>
      <c r="B364" s="189" t="s">
        <v>289</v>
      </c>
      <c r="C364" s="189" t="s">
        <v>453</v>
      </c>
      <c r="D364" s="189" t="s">
        <v>351</v>
      </c>
      <c r="E364" s="189" t="s">
        <v>268</v>
      </c>
      <c r="F364" s="189" t="s">
        <v>537</v>
      </c>
      <c r="G364" s="189" t="s">
        <v>264</v>
      </c>
      <c r="H364" s="189" t="s">
        <v>256</v>
      </c>
      <c r="I364" s="189">
        <v>1784</v>
      </c>
      <c r="J364" s="189">
        <v>251.98030505302901</v>
      </c>
      <c r="K364" s="189">
        <v>590.62007079889099</v>
      </c>
      <c r="L364" s="189">
        <v>-26.22</v>
      </c>
      <c r="M364" s="189">
        <v>-16.86</v>
      </c>
      <c r="N364" s="189">
        <v>82</v>
      </c>
      <c r="O364" s="189" t="s">
        <v>568</v>
      </c>
      <c r="P364" s="189" t="s">
        <v>569</v>
      </c>
      <c r="Q364" s="189" t="s">
        <v>253</v>
      </c>
      <c r="R364" s="189" t="s">
        <v>253</v>
      </c>
      <c r="S364" s="189" t="s">
        <v>257</v>
      </c>
      <c r="T364" s="189" t="s">
        <v>253</v>
      </c>
      <c r="U364" s="189" t="s">
        <v>253</v>
      </c>
      <c r="V364" s="189" t="s">
        <v>253</v>
      </c>
      <c r="W364" s="189" t="s">
        <v>253</v>
      </c>
      <c r="X364" s="189" t="s">
        <v>750</v>
      </c>
      <c r="Y364" s="189" t="s">
        <v>751</v>
      </c>
    </row>
    <row r="365" spans="1:25" x14ac:dyDescent="0.2">
      <c r="A365" s="189">
        <v>122</v>
      </c>
      <c r="B365" s="189" t="s">
        <v>290</v>
      </c>
      <c r="C365" s="189" t="s">
        <v>331</v>
      </c>
      <c r="D365" s="189" t="s">
        <v>331</v>
      </c>
      <c r="E365" s="189" t="s">
        <v>268</v>
      </c>
      <c r="F365" s="189" t="s">
        <v>537</v>
      </c>
      <c r="G365" s="189" t="s">
        <v>294</v>
      </c>
      <c r="H365" s="189" t="s">
        <v>256</v>
      </c>
      <c r="I365" s="189">
        <v>3608</v>
      </c>
      <c r="J365" s="189">
        <v>1142.4744585225101</v>
      </c>
      <c r="K365" s="189">
        <v>706.33993784429697</v>
      </c>
      <c r="L365" s="189">
        <v>-29.97</v>
      </c>
      <c r="M365" s="189">
        <v>11.9</v>
      </c>
      <c r="N365" s="189">
        <v>118</v>
      </c>
      <c r="O365" s="189" t="s">
        <v>550</v>
      </c>
      <c r="P365" s="189" t="s">
        <v>551</v>
      </c>
      <c r="Q365" s="189" t="s">
        <v>253</v>
      </c>
      <c r="R365" s="189" t="s">
        <v>253</v>
      </c>
      <c r="S365" s="189" t="s">
        <v>257</v>
      </c>
      <c r="T365" s="189" t="s">
        <v>253</v>
      </c>
      <c r="U365" s="189" t="s">
        <v>258</v>
      </c>
      <c r="V365" s="189" t="s">
        <v>253</v>
      </c>
      <c r="W365" s="189" t="s">
        <v>253</v>
      </c>
      <c r="X365" s="189" t="s">
        <v>690</v>
      </c>
      <c r="Y365" s="189" t="s">
        <v>691</v>
      </c>
    </row>
    <row r="366" spans="1:25" x14ac:dyDescent="0.2">
      <c r="A366" s="189">
        <v>135</v>
      </c>
      <c r="B366" s="189" t="s">
        <v>291</v>
      </c>
      <c r="C366" s="189" t="s">
        <v>485</v>
      </c>
      <c r="D366" s="189" t="s">
        <v>309</v>
      </c>
      <c r="E366" s="189" t="s">
        <v>268</v>
      </c>
      <c r="F366" s="189" t="s">
        <v>537</v>
      </c>
      <c r="G366" s="189" t="s">
        <v>260</v>
      </c>
      <c r="H366" s="189" t="s">
        <v>256</v>
      </c>
      <c r="I366" s="189">
        <v>8105</v>
      </c>
      <c r="J366" s="189">
        <v>899.82472722044599</v>
      </c>
      <c r="K366" s="189">
        <v>889.04732294726796</v>
      </c>
      <c r="L366" s="189">
        <v>-35.89</v>
      </c>
      <c r="M366" s="189">
        <v>4.0599999999999996</v>
      </c>
      <c r="N366" s="189">
        <v>118</v>
      </c>
      <c r="O366" s="189" t="s">
        <v>542</v>
      </c>
      <c r="P366" s="189" t="s">
        <v>543</v>
      </c>
      <c r="Q366" s="189" t="s">
        <v>253</v>
      </c>
      <c r="R366" s="189" t="s">
        <v>253</v>
      </c>
      <c r="S366" s="189" t="s">
        <v>253</v>
      </c>
      <c r="T366" s="189" t="s">
        <v>253</v>
      </c>
      <c r="U366" s="189" t="s">
        <v>258</v>
      </c>
      <c r="V366" s="189" t="s">
        <v>253</v>
      </c>
      <c r="W366" s="189" t="s">
        <v>253</v>
      </c>
      <c r="X366" s="189" t="s">
        <v>892</v>
      </c>
      <c r="Y366" s="189" t="s">
        <v>893</v>
      </c>
    </row>
    <row r="367" spans="1:25" x14ac:dyDescent="0.2">
      <c r="A367" s="189">
        <v>141</v>
      </c>
      <c r="B367" s="189" t="s">
        <v>292</v>
      </c>
      <c r="C367" s="189" t="s">
        <v>491</v>
      </c>
      <c r="D367" s="189" t="s">
        <v>491</v>
      </c>
      <c r="E367" s="189" t="s">
        <v>268</v>
      </c>
      <c r="F367" s="189" t="s">
        <v>537</v>
      </c>
      <c r="G367" s="189" t="s">
        <v>294</v>
      </c>
      <c r="H367" s="189" t="s">
        <v>256</v>
      </c>
      <c r="I367" s="189">
        <v>24844</v>
      </c>
      <c r="J367" s="189">
        <v>1029.82955598992</v>
      </c>
      <c r="K367" s="189">
        <v>755.75344985712695</v>
      </c>
      <c r="L367" s="189">
        <v>-31.57</v>
      </c>
      <c r="M367" s="189">
        <v>8.26</v>
      </c>
      <c r="N367" s="189">
        <v>554</v>
      </c>
      <c r="O367" s="189" t="s">
        <v>542</v>
      </c>
      <c r="P367" s="189" t="s">
        <v>543</v>
      </c>
      <c r="Q367" s="189" t="s">
        <v>253</v>
      </c>
      <c r="R367" s="189" t="s">
        <v>253</v>
      </c>
      <c r="S367" s="189" t="s">
        <v>253</v>
      </c>
      <c r="T367" s="189" t="s">
        <v>261</v>
      </c>
      <c r="U367" s="189" t="s">
        <v>258</v>
      </c>
      <c r="V367" s="189" t="s">
        <v>297</v>
      </c>
      <c r="W367" s="189" t="s">
        <v>253</v>
      </c>
      <c r="X367" s="189" t="s">
        <v>815</v>
      </c>
      <c r="Y367" s="189" t="s">
        <v>816</v>
      </c>
    </row>
    <row r="368" spans="1:25" x14ac:dyDescent="0.2">
      <c r="A368" s="189">
        <v>143</v>
      </c>
      <c r="B368" s="189" t="s">
        <v>293</v>
      </c>
      <c r="C368" s="189" t="s">
        <v>50</v>
      </c>
      <c r="D368" s="189" t="s">
        <v>50</v>
      </c>
      <c r="E368" s="189" t="s">
        <v>268</v>
      </c>
      <c r="F368" s="189" t="s">
        <v>537</v>
      </c>
      <c r="G368" s="189" t="s">
        <v>265</v>
      </c>
      <c r="H368" s="189" t="s">
        <v>256</v>
      </c>
      <c r="I368" s="189">
        <v>11784</v>
      </c>
      <c r="J368" s="189">
        <v>535.65551226019898</v>
      </c>
      <c r="K368" s="189">
        <v>859.50430946342601</v>
      </c>
      <c r="L368" s="189">
        <v>-34.93</v>
      </c>
      <c r="M368" s="189">
        <v>-7.7</v>
      </c>
      <c r="N368" s="189">
        <v>52</v>
      </c>
      <c r="O368" s="189" t="s">
        <v>542</v>
      </c>
      <c r="P368" s="189" t="s">
        <v>543</v>
      </c>
      <c r="Q368" s="189" t="s">
        <v>253</v>
      </c>
      <c r="R368" s="189" t="s">
        <v>253</v>
      </c>
      <c r="S368" s="189" t="s">
        <v>257</v>
      </c>
      <c r="T368" s="189" t="s">
        <v>261</v>
      </c>
      <c r="U368" s="189" t="s">
        <v>253</v>
      </c>
      <c r="V368" s="189" t="s">
        <v>253</v>
      </c>
      <c r="W368" s="189" t="s">
        <v>253</v>
      </c>
      <c r="X368" s="189" t="s">
        <v>574</v>
      </c>
      <c r="Y368" s="189" t="s">
        <v>575</v>
      </c>
    </row>
    <row r="369" spans="1:25" x14ac:dyDescent="0.2">
      <c r="A369" s="189">
        <v>156</v>
      </c>
      <c r="B369" s="189" t="s">
        <v>295</v>
      </c>
      <c r="C369" s="189" t="s">
        <v>278</v>
      </c>
      <c r="D369" s="189" t="s">
        <v>278</v>
      </c>
      <c r="E369" s="189" t="s">
        <v>268</v>
      </c>
      <c r="F369" s="189" t="s">
        <v>537</v>
      </c>
      <c r="G369" s="189" t="s">
        <v>255</v>
      </c>
      <c r="H369" s="189" t="s">
        <v>256</v>
      </c>
      <c r="I369" s="189">
        <v>11553</v>
      </c>
      <c r="J369" s="189">
        <v>415</v>
      </c>
      <c r="K369" s="189">
        <v>568</v>
      </c>
      <c r="L369" s="189">
        <v>-25.49</v>
      </c>
      <c r="M369" s="189">
        <v>-11.6</v>
      </c>
      <c r="N369" s="189">
        <v>82</v>
      </c>
      <c r="O369" s="189" t="s">
        <v>568</v>
      </c>
      <c r="P369" s="189" t="s">
        <v>569</v>
      </c>
      <c r="Q369" s="189" t="s">
        <v>253</v>
      </c>
      <c r="R369" s="189" t="s">
        <v>259</v>
      </c>
      <c r="S369" s="189" t="s">
        <v>253</v>
      </c>
      <c r="T369" s="189" t="s">
        <v>253</v>
      </c>
      <c r="U369" s="189" t="s">
        <v>253</v>
      </c>
      <c r="V369" s="189" t="s">
        <v>253</v>
      </c>
      <c r="W369" s="189" t="s">
        <v>253</v>
      </c>
      <c r="X369" s="189" t="s">
        <v>600</v>
      </c>
      <c r="Y369" s="189" t="s">
        <v>601</v>
      </c>
    </row>
    <row r="370" spans="1:25" x14ac:dyDescent="0.2">
      <c r="A370" s="189">
        <v>157</v>
      </c>
      <c r="B370" s="189" t="s">
        <v>296</v>
      </c>
      <c r="C370" s="189" t="s">
        <v>446</v>
      </c>
      <c r="D370" s="189" t="s">
        <v>296</v>
      </c>
      <c r="E370" s="189" t="s">
        <v>268</v>
      </c>
      <c r="F370" s="189" t="s">
        <v>537</v>
      </c>
      <c r="G370" s="189" t="s">
        <v>306</v>
      </c>
      <c r="H370" s="189" t="s">
        <v>256</v>
      </c>
      <c r="I370" s="189">
        <v>4343</v>
      </c>
      <c r="J370" s="189">
        <v>365.09229080275998</v>
      </c>
      <c r="K370" s="189">
        <v>811.35581449700601</v>
      </c>
      <c r="L370" s="189">
        <v>-33.369999999999997</v>
      </c>
      <c r="M370" s="189">
        <v>-13.21</v>
      </c>
      <c r="N370" s="189">
        <v>210</v>
      </c>
      <c r="O370" s="189" t="s">
        <v>554</v>
      </c>
      <c r="P370" s="189" t="s">
        <v>555</v>
      </c>
      <c r="Q370" s="189" t="s">
        <v>253</v>
      </c>
      <c r="R370" s="189" t="s">
        <v>253</v>
      </c>
      <c r="S370" s="189" t="s">
        <v>253</v>
      </c>
      <c r="T370" s="189" t="s">
        <v>253</v>
      </c>
      <c r="U370" s="189" t="s">
        <v>253</v>
      </c>
      <c r="V370" s="189" t="s">
        <v>253</v>
      </c>
      <c r="W370" s="189" t="s">
        <v>253</v>
      </c>
      <c r="X370" s="189" t="s">
        <v>645</v>
      </c>
      <c r="Y370" s="189" t="s">
        <v>646</v>
      </c>
    </row>
    <row r="371" spans="1:25" x14ac:dyDescent="0.2">
      <c r="A371" s="189">
        <v>169</v>
      </c>
      <c r="B371" s="189" t="s">
        <v>50</v>
      </c>
      <c r="C371" s="189" t="s">
        <v>50</v>
      </c>
      <c r="D371" s="189" t="s">
        <v>50</v>
      </c>
      <c r="E371" s="189" t="s">
        <v>268</v>
      </c>
      <c r="F371" s="189" t="s">
        <v>537</v>
      </c>
      <c r="G371" s="189" t="s">
        <v>265</v>
      </c>
      <c r="H371" s="189" t="s">
        <v>256</v>
      </c>
      <c r="I371" s="189">
        <v>32035</v>
      </c>
      <c r="J371" s="189">
        <v>550.5</v>
      </c>
      <c r="K371" s="189">
        <v>830.5</v>
      </c>
      <c r="L371" s="189">
        <v>-33.99</v>
      </c>
      <c r="M371" s="189">
        <v>-7.22</v>
      </c>
      <c r="N371" s="189">
        <v>13</v>
      </c>
      <c r="O371" s="189" t="s">
        <v>542</v>
      </c>
      <c r="P371" s="189" t="s">
        <v>543</v>
      </c>
      <c r="Q371" s="189" t="s">
        <v>253</v>
      </c>
      <c r="R371" s="189" t="s">
        <v>259</v>
      </c>
      <c r="S371" s="189" t="s">
        <v>257</v>
      </c>
      <c r="T371" s="189" t="s">
        <v>253</v>
      </c>
      <c r="U371" s="189" t="s">
        <v>258</v>
      </c>
      <c r="V371" s="189" t="s">
        <v>253</v>
      </c>
      <c r="W371" s="189" t="s">
        <v>253</v>
      </c>
      <c r="X371" s="189" t="s">
        <v>576</v>
      </c>
      <c r="Y371" s="189" t="s">
        <v>577</v>
      </c>
    </row>
    <row r="372" spans="1:25" x14ac:dyDescent="0.2">
      <c r="A372" s="189">
        <v>178</v>
      </c>
      <c r="B372" s="189" t="s">
        <v>298</v>
      </c>
      <c r="C372" s="189" t="s">
        <v>476</v>
      </c>
      <c r="D372" s="189" t="s">
        <v>298</v>
      </c>
      <c r="E372" s="189" t="s">
        <v>268</v>
      </c>
      <c r="F372" s="189" t="s">
        <v>537</v>
      </c>
      <c r="G372" s="189" t="s">
        <v>260</v>
      </c>
      <c r="H372" s="189" t="s">
        <v>256</v>
      </c>
      <c r="I372" s="189">
        <v>19230</v>
      </c>
      <c r="J372" s="189">
        <v>772</v>
      </c>
      <c r="K372" s="189">
        <v>861.5</v>
      </c>
      <c r="L372" s="189">
        <v>-35</v>
      </c>
      <c r="M372" s="189">
        <v>-0.06</v>
      </c>
      <c r="N372" s="189">
        <v>82</v>
      </c>
      <c r="O372" s="189" t="s">
        <v>542</v>
      </c>
      <c r="P372" s="189" t="s">
        <v>543</v>
      </c>
      <c r="Q372" s="189" t="s">
        <v>253</v>
      </c>
      <c r="R372" s="189" t="s">
        <v>259</v>
      </c>
      <c r="S372" s="189" t="s">
        <v>257</v>
      </c>
      <c r="T372" s="189" t="s">
        <v>261</v>
      </c>
      <c r="U372" s="189" t="s">
        <v>258</v>
      </c>
      <c r="V372" s="189" t="s">
        <v>253</v>
      </c>
      <c r="W372" s="189" t="s">
        <v>253</v>
      </c>
      <c r="X372" s="189" t="s">
        <v>756</v>
      </c>
      <c r="Y372" s="189" t="s">
        <v>757</v>
      </c>
    </row>
    <row r="373" spans="1:25" x14ac:dyDescent="0.2">
      <c r="A373" s="189">
        <v>182</v>
      </c>
      <c r="B373" s="189" t="s">
        <v>299</v>
      </c>
      <c r="C373" s="189" t="s">
        <v>450</v>
      </c>
      <c r="D373" s="189" t="s">
        <v>451</v>
      </c>
      <c r="E373" s="189" t="s">
        <v>268</v>
      </c>
      <c r="F373" s="189" t="s">
        <v>537</v>
      </c>
      <c r="G373" s="189" t="s">
        <v>306</v>
      </c>
      <c r="H373" s="189" t="s">
        <v>256</v>
      </c>
      <c r="I373" s="189">
        <v>8500</v>
      </c>
      <c r="J373" s="189">
        <v>286.19415070822998</v>
      </c>
      <c r="K373" s="189">
        <v>682.14891955680298</v>
      </c>
      <c r="L373" s="189">
        <v>-29.19</v>
      </c>
      <c r="M373" s="189">
        <v>-15.76</v>
      </c>
      <c r="N373" s="189">
        <v>161</v>
      </c>
      <c r="O373" s="189" t="s">
        <v>550</v>
      </c>
      <c r="P373" s="189" t="s">
        <v>551</v>
      </c>
      <c r="Q373" s="189" t="s">
        <v>253</v>
      </c>
      <c r="R373" s="189" t="s">
        <v>253</v>
      </c>
      <c r="S373" s="189" t="s">
        <v>257</v>
      </c>
      <c r="T373" s="189" t="s">
        <v>253</v>
      </c>
      <c r="U373" s="189" t="s">
        <v>258</v>
      </c>
      <c r="V373" s="189" t="s">
        <v>253</v>
      </c>
      <c r="W373" s="189" t="s">
        <v>253</v>
      </c>
      <c r="X373" s="189" t="s">
        <v>704</v>
      </c>
      <c r="Y373" s="189" t="s">
        <v>705</v>
      </c>
    </row>
    <row r="374" spans="1:25" x14ac:dyDescent="0.2">
      <c r="A374" s="189">
        <v>192</v>
      </c>
      <c r="B374" s="189" t="s">
        <v>300</v>
      </c>
      <c r="C374" s="189" t="s">
        <v>456</v>
      </c>
      <c r="D374" s="189" t="s">
        <v>456</v>
      </c>
      <c r="E374" s="189" t="s">
        <v>268</v>
      </c>
      <c r="F374" s="189" t="s">
        <v>537</v>
      </c>
      <c r="G374" s="189" t="s">
        <v>255</v>
      </c>
      <c r="H374" s="189" t="s">
        <v>256</v>
      </c>
      <c r="I374" s="189">
        <v>14971</v>
      </c>
      <c r="J374" s="189">
        <v>365.15067620490203</v>
      </c>
      <c r="K374" s="189">
        <v>591.612622635305</v>
      </c>
      <c r="L374" s="189">
        <v>-26.26</v>
      </c>
      <c r="M374" s="189">
        <v>-13.21</v>
      </c>
      <c r="N374" s="189">
        <v>52</v>
      </c>
      <c r="O374" s="189" t="s">
        <v>568</v>
      </c>
      <c r="P374" s="189" t="s">
        <v>569</v>
      </c>
      <c r="Q374" s="189" t="s">
        <v>253</v>
      </c>
      <c r="R374" s="189" t="s">
        <v>253</v>
      </c>
      <c r="S374" s="189" t="s">
        <v>257</v>
      </c>
      <c r="T374" s="189" t="s">
        <v>261</v>
      </c>
      <c r="U374" s="189" t="s">
        <v>258</v>
      </c>
      <c r="V374" s="189" t="s">
        <v>253</v>
      </c>
      <c r="W374" s="189" t="s">
        <v>253</v>
      </c>
      <c r="X374" s="189" t="s">
        <v>879</v>
      </c>
      <c r="Y374" s="189" t="s">
        <v>880</v>
      </c>
    </row>
    <row r="375" spans="1:25" x14ac:dyDescent="0.2">
      <c r="A375" s="189">
        <v>195</v>
      </c>
      <c r="B375" s="189" t="s">
        <v>301</v>
      </c>
      <c r="C375" s="189" t="s">
        <v>283</v>
      </c>
      <c r="D375" s="189" t="s">
        <v>283</v>
      </c>
      <c r="E375" s="189" t="s">
        <v>268</v>
      </c>
      <c r="F375" s="189" t="s">
        <v>537</v>
      </c>
      <c r="G375" s="189" t="s">
        <v>260</v>
      </c>
      <c r="H375" s="189" t="s">
        <v>256</v>
      </c>
      <c r="I375" s="189">
        <v>1784</v>
      </c>
      <c r="J375" s="189">
        <v>898.07316515618595</v>
      </c>
      <c r="K375" s="189">
        <v>811.88128311628395</v>
      </c>
      <c r="L375" s="189">
        <v>-33.39</v>
      </c>
      <c r="M375" s="189">
        <v>4.01</v>
      </c>
      <c r="N375" s="189">
        <v>554</v>
      </c>
      <c r="O375" s="189" t="s">
        <v>542</v>
      </c>
      <c r="P375" s="189" t="s">
        <v>543</v>
      </c>
      <c r="Q375" s="189" t="s">
        <v>253</v>
      </c>
      <c r="R375" s="189" t="s">
        <v>253</v>
      </c>
      <c r="S375" s="189" t="s">
        <v>253</v>
      </c>
      <c r="T375" s="189" t="s">
        <v>253</v>
      </c>
      <c r="U375" s="189" t="s">
        <v>258</v>
      </c>
      <c r="V375" s="189" t="s">
        <v>253</v>
      </c>
      <c r="W375" s="189" t="s">
        <v>253</v>
      </c>
      <c r="X375" s="189" t="s">
        <v>738</v>
      </c>
      <c r="Y375" s="189" t="s">
        <v>739</v>
      </c>
    </row>
    <row r="376" spans="1:25" x14ac:dyDescent="0.2">
      <c r="A376" s="189">
        <v>208</v>
      </c>
      <c r="B376" s="189" t="s">
        <v>302</v>
      </c>
      <c r="C376" s="189" t="s">
        <v>446</v>
      </c>
      <c r="D376" s="189" t="s">
        <v>296</v>
      </c>
      <c r="E376" s="189" t="s">
        <v>268</v>
      </c>
      <c r="F376" s="189" t="s">
        <v>537</v>
      </c>
      <c r="G376" s="189" t="s">
        <v>255</v>
      </c>
      <c r="H376" s="189" t="s">
        <v>256</v>
      </c>
      <c r="I376" s="189">
        <v>4216</v>
      </c>
      <c r="J376" s="189">
        <v>414.48634101487499</v>
      </c>
      <c r="K376" s="189">
        <v>794.56028048082999</v>
      </c>
      <c r="L376" s="189">
        <v>-32.83</v>
      </c>
      <c r="M376" s="189">
        <v>-11.61</v>
      </c>
      <c r="N376" s="189">
        <v>738</v>
      </c>
      <c r="O376" s="189" t="s">
        <v>542</v>
      </c>
      <c r="P376" s="189" t="s">
        <v>543</v>
      </c>
      <c r="Q376" s="189" t="s">
        <v>253</v>
      </c>
      <c r="R376" s="189" t="s">
        <v>253</v>
      </c>
      <c r="S376" s="189" t="s">
        <v>257</v>
      </c>
      <c r="T376" s="189" t="s">
        <v>253</v>
      </c>
      <c r="U376" s="189" t="s">
        <v>253</v>
      </c>
      <c r="V376" s="189" t="s">
        <v>253</v>
      </c>
      <c r="W376" s="189" t="s">
        <v>253</v>
      </c>
      <c r="X376" s="189" t="s">
        <v>647</v>
      </c>
      <c r="Y376" s="189" t="s">
        <v>648</v>
      </c>
    </row>
    <row r="377" spans="1:25" x14ac:dyDescent="0.2">
      <c r="A377" s="189">
        <v>209</v>
      </c>
      <c r="B377" s="189" t="s">
        <v>303</v>
      </c>
      <c r="C377" s="189" t="s">
        <v>482</v>
      </c>
      <c r="D377" s="189" t="s">
        <v>483</v>
      </c>
      <c r="E377" s="189" t="s">
        <v>268</v>
      </c>
      <c r="F377" s="189" t="s">
        <v>537</v>
      </c>
      <c r="G377" s="189" t="s">
        <v>260</v>
      </c>
      <c r="H377" s="189" t="s">
        <v>256</v>
      </c>
      <c r="I377" s="189">
        <v>1856</v>
      </c>
      <c r="J377" s="189">
        <v>816.76176177312095</v>
      </c>
      <c r="K377" s="189">
        <v>806.64605872421998</v>
      </c>
      <c r="L377" s="189">
        <v>-33.22</v>
      </c>
      <c r="M377" s="189">
        <v>1.38</v>
      </c>
      <c r="N377" s="189">
        <v>328</v>
      </c>
      <c r="O377" s="189" t="s">
        <v>542</v>
      </c>
      <c r="P377" s="189" t="s">
        <v>543</v>
      </c>
      <c r="Q377" s="189" t="s">
        <v>253</v>
      </c>
      <c r="R377" s="189" t="s">
        <v>253</v>
      </c>
      <c r="S377" s="189" t="s">
        <v>253</v>
      </c>
      <c r="T377" s="189" t="s">
        <v>253</v>
      </c>
      <c r="U377" s="189" t="s">
        <v>253</v>
      </c>
      <c r="V377" s="189" t="s">
        <v>253</v>
      </c>
      <c r="W377" s="189" t="s">
        <v>253</v>
      </c>
      <c r="X377" s="189" t="s">
        <v>770</v>
      </c>
      <c r="Y377" s="189" t="s">
        <v>771</v>
      </c>
    </row>
    <row r="378" spans="1:25" x14ac:dyDescent="0.2">
      <c r="A378" s="189">
        <v>210</v>
      </c>
      <c r="B378" s="189" t="s">
        <v>772</v>
      </c>
      <c r="C378" s="189" t="s">
        <v>482</v>
      </c>
      <c r="D378" s="189" t="s">
        <v>483</v>
      </c>
      <c r="E378" s="189" t="s">
        <v>268</v>
      </c>
      <c r="F378" s="189" t="s">
        <v>537</v>
      </c>
      <c r="G378" s="189" t="s">
        <v>260</v>
      </c>
      <c r="H378" s="189" t="s">
        <v>256</v>
      </c>
      <c r="I378" s="189">
        <v>4057</v>
      </c>
      <c r="J378" s="189">
        <v>828.12</v>
      </c>
      <c r="K378" s="189">
        <v>840.78</v>
      </c>
      <c r="L378" s="189">
        <v>-34.33</v>
      </c>
      <c r="M378" s="189">
        <v>1.75</v>
      </c>
      <c r="N378" s="189">
        <v>52</v>
      </c>
      <c r="O378" s="189" t="s">
        <v>542</v>
      </c>
      <c r="P378" s="189" t="s">
        <v>543</v>
      </c>
      <c r="Q378" s="189" t="s">
        <v>253</v>
      </c>
      <c r="R378" s="189" t="s">
        <v>259</v>
      </c>
      <c r="S378" s="189" t="s">
        <v>253</v>
      </c>
      <c r="T378" s="189" t="s">
        <v>253</v>
      </c>
      <c r="U378" s="189" t="s">
        <v>253</v>
      </c>
      <c r="V378" s="189" t="s">
        <v>253</v>
      </c>
      <c r="W378" s="189" t="s">
        <v>253</v>
      </c>
      <c r="X378" s="189" t="s">
        <v>773</v>
      </c>
      <c r="Y378" s="189" t="s">
        <v>774</v>
      </c>
    </row>
    <row r="379" spans="1:25" x14ac:dyDescent="0.2">
      <c r="A379" s="189">
        <v>211</v>
      </c>
      <c r="B379" s="189" t="s">
        <v>305</v>
      </c>
      <c r="C379" s="189" t="s">
        <v>321</v>
      </c>
      <c r="D379" s="189" t="s">
        <v>321</v>
      </c>
      <c r="E379" s="189" t="s">
        <v>268</v>
      </c>
      <c r="F379" s="189" t="s">
        <v>537</v>
      </c>
      <c r="G379" s="189" t="s">
        <v>294</v>
      </c>
      <c r="H379" s="189" t="s">
        <v>256</v>
      </c>
      <c r="I379" s="189">
        <v>4433</v>
      </c>
      <c r="J379" s="189">
        <v>1155.0662435844699</v>
      </c>
      <c r="K379" s="189">
        <v>822.77989151611996</v>
      </c>
      <c r="L379" s="189">
        <v>-33.74</v>
      </c>
      <c r="M379" s="189">
        <v>12.31</v>
      </c>
      <c r="N379" s="189">
        <v>82</v>
      </c>
      <c r="O379" s="189" t="s">
        <v>554</v>
      </c>
      <c r="P379" s="189" t="s">
        <v>555</v>
      </c>
      <c r="Q379" s="189" t="s">
        <v>253</v>
      </c>
      <c r="R379" s="189" t="s">
        <v>253</v>
      </c>
      <c r="S379" s="189" t="s">
        <v>257</v>
      </c>
      <c r="T379" s="189" t="s">
        <v>253</v>
      </c>
      <c r="U379" s="189" t="s">
        <v>253</v>
      </c>
      <c r="V379" s="189" t="s">
        <v>253</v>
      </c>
      <c r="W379" s="189" t="s">
        <v>253</v>
      </c>
      <c r="X379" s="189" t="s">
        <v>608</v>
      </c>
      <c r="Y379" s="189" t="s">
        <v>609</v>
      </c>
    </row>
    <row r="380" spans="1:25" x14ac:dyDescent="0.2">
      <c r="A380" s="189">
        <v>222</v>
      </c>
      <c r="B380" s="189" t="s">
        <v>307</v>
      </c>
      <c r="C380" s="189" t="s">
        <v>469</v>
      </c>
      <c r="D380" s="189" t="s">
        <v>469</v>
      </c>
      <c r="E380" s="189" t="s">
        <v>268</v>
      </c>
      <c r="F380" s="189" t="s">
        <v>537</v>
      </c>
      <c r="G380" s="189" t="s">
        <v>260</v>
      </c>
      <c r="H380" s="189" t="s">
        <v>256</v>
      </c>
      <c r="I380" s="189">
        <v>2200</v>
      </c>
      <c r="J380" s="189">
        <v>623.33092447674005</v>
      </c>
      <c r="K380" s="189">
        <v>864.87576646048797</v>
      </c>
      <c r="L380" s="189">
        <v>-35.11</v>
      </c>
      <c r="M380" s="189">
        <v>-4.87</v>
      </c>
      <c r="N380" s="189">
        <v>30</v>
      </c>
      <c r="O380" s="189" t="s">
        <v>542</v>
      </c>
      <c r="P380" s="189" t="s">
        <v>543</v>
      </c>
      <c r="Q380" s="189" t="s">
        <v>253</v>
      </c>
      <c r="R380" s="189" t="s">
        <v>253</v>
      </c>
      <c r="S380" s="189" t="s">
        <v>257</v>
      </c>
      <c r="T380" s="189" t="s">
        <v>253</v>
      </c>
      <c r="U380" s="189" t="s">
        <v>258</v>
      </c>
      <c r="V380" s="189" t="s">
        <v>253</v>
      </c>
      <c r="W380" s="189" t="s">
        <v>253</v>
      </c>
      <c r="X380" s="189" t="s">
        <v>657</v>
      </c>
      <c r="Y380" s="189" t="s">
        <v>658</v>
      </c>
    </row>
    <row r="381" spans="1:25" x14ac:dyDescent="0.2">
      <c r="A381" s="189">
        <v>226</v>
      </c>
      <c r="B381" s="189" t="s">
        <v>308</v>
      </c>
      <c r="C381" s="189" t="s">
        <v>446</v>
      </c>
      <c r="D381" s="189" t="s">
        <v>296</v>
      </c>
      <c r="E381" s="189" t="s">
        <v>268</v>
      </c>
      <c r="F381" s="189" t="s">
        <v>537</v>
      </c>
      <c r="G381" s="189" t="s">
        <v>255</v>
      </c>
      <c r="H381" s="189" t="s">
        <v>256</v>
      </c>
      <c r="I381" s="189">
        <v>18673</v>
      </c>
      <c r="J381" s="189">
        <v>412.42339013919201</v>
      </c>
      <c r="K381" s="189">
        <v>762.85700711773404</v>
      </c>
      <c r="L381" s="189">
        <v>-31.8</v>
      </c>
      <c r="M381" s="189">
        <v>-11.68</v>
      </c>
      <c r="N381" s="189">
        <v>1063</v>
      </c>
      <c r="O381" s="189" t="s">
        <v>538</v>
      </c>
      <c r="P381" s="189" t="s">
        <v>539</v>
      </c>
      <c r="Q381" s="189" t="s">
        <v>253</v>
      </c>
      <c r="R381" s="189" t="s">
        <v>253</v>
      </c>
      <c r="S381" s="189" t="s">
        <v>257</v>
      </c>
      <c r="T381" s="189" t="s">
        <v>253</v>
      </c>
      <c r="U381" s="189" t="s">
        <v>253</v>
      </c>
      <c r="V381" s="189" t="s">
        <v>253</v>
      </c>
      <c r="W381" s="189" t="s">
        <v>253</v>
      </c>
      <c r="X381" s="189" t="s">
        <v>649</v>
      </c>
      <c r="Y381" s="189" t="s">
        <v>650</v>
      </c>
    </row>
    <row r="382" spans="1:25" x14ac:dyDescent="0.2">
      <c r="A382" s="189">
        <v>236</v>
      </c>
      <c r="B382" s="189" t="s">
        <v>309</v>
      </c>
      <c r="C382" s="189" t="s">
        <v>485</v>
      </c>
      <c r="D382" s="189" t="s">
        <v>309</v>
      </c>
      <c r="E382" s="189" t="s">
        <v>268</v>
      </c>
      <c r="F382" s="189" t="s">
        <v>537</v>
      </c>
      <c r="G382" s="189" t="s">
        <v>260</v>
      </c>
      <c r="H382" s="189" t="s">
        <v>256</v>
      </c>
      <c r="I382" s="189">
        <v>2831</v>
      </c>
      <c r="J382" s="189">
        <v>871.5</v>
      </c>
      <c r="K382" s="189">
        <v>835.5</v>
      </c>
      <c r="L382" s="189">
        <v>-34.15</v>
      </c>
      <c r="M382" s="189">
        <v>3.15</v>
      </c>
      <c r="N382" s="189">
        <v>82</v>
      </c>
      <c r="O382" s="189" t="s">
        <v>542</v>
      </c>
      <c r="P382" s="189" t="s">
        <v>543</v>
      </c>
      <c r="Q382" s="189" t="s">
        <v>253</v>
      </c>
      <c r="R382" s="189" t="s">
        <v>259</v>
      </c>
      <c r="S382" s="189" t="s">
        <v>257</v>
      </c>
      <c r="T382" s="189" t="s">
        <v>261</v>
      </c>
      <c r="U382" s="189" t="s">
        <v>258</v>
      </c>
      <c r="V382" s="189" t="s">
        <v>253</v>
      </c>
      <c r="W382" s="189" t="s">
        <v>253</v>
      </c>
      <c r="X382" s="189" t="s">
        <v>894</v>
      </c>
      <c r="Y382" s="189" t="s">
        <v>895</v>
      </c>
    </row>
    <row r="383" spans="1:25" x14ac:dyDescent="0.2">
      <c r="A383" s="189">
        <v>246</v>
      </c>
      <c r="B383" s="189" t="s">
        <v>310</v>
      </c>
      <c r="C383" s="189" t="s">
        <v>435</v>
      </c>
      <c r="D383" s="189" t="s">
        <v>436</v>
      </c>
      <c r="E383" s="189" t="s">
        <v>268</v>
      </c>
      <c r="F383" s="189" t="s">
        <v>537</v>
      </c>
      <c r="G383" s="189" t="s">
        <v>306</v>
      </c>
      <c r="H383" s="189" t="s">
        <v>256</v>
      </c>
      <c r="I383" s="189">
        <v>1788</v>
      </c>
      <c r="J383" s="189">
        <v>381.08989098966202</v>
      </c>
      <c r="K383" s="189">
        <v>724.77026312044904</v>
      </c>
      <c r="L383" s="189">
        <v>-30.57</v>
      </c>
      <c r="M383" s="189">
        <v>-12.69</v>
      </c>
      <c r="N383" s="189">
        <v>397</v>
      </c>
      <c r="O383" s="189" t="s">
        <v>554</v>
      </c>
      <c r="P383" s="189" t="s">
        <v>555</v>
      </c>
      <c r="Q383" s="189" t="s">
        <v>253</v>
      </c>
      <c r="R383" s="189" t="s">
        <v>253</v>
      </c>
      <c r="S383" s="189" t="s">
        <v>257</v>
      </c>
      <c r="T383" s="189" t="s">
        <v>261</v>
      </c>
      <c r="U383" s="189" t="s">
        <v>253</v>
      </c>
      <c r="V383" s="189" t="s">
        <v>253</v>
      </c>
      <c r="W383" s="189" t="s">
        <v>253</v>
      </c>
      <c r="X383" s="189" t="s">
        <v>801</v>
      </c>
      <c r="Y383" s="189" t="s">
        <v>802</v>
      </c>
    </row>
    <row r="384" spans="1:25" x14ac:dyDescent="0.2">
      <c r="A384" s="189">
        <v>247</v>
      </c>
      <c r="B384" s="189" t="s">
        <v>311</v>
      </c>
      <c r="C384" s="189" t="s">
        <v>469</v>
      </c>
      <c r="D384" s="189" t="s">
        <v>469</v>
      </c>
      <c r="E384" s="189" t="s">
        <v>268</v>
      </c>
      <c r="F384" s="189" t="s">
        <v>537</v>
      </c>
      <c r="G384" s="189" t="s">
        <v>260</v>
      </c>
      <c r="H384" s="189" t="s">
        <v>256</v>
      </c>
      <c r="I384" s="189">
        <v>23261</v>
      </c>
      <c r="J384" s="189">
        <v>596.31794508571704</v>
      </c>
      <c r="K384" s="189">
        <v>894.59393615075601</v>
      </c>
      <c r="L384" s="189">
        <v>-36.07</v>
      </c>
      <c r="M384" s="189">
        <v>-5.74</v>
      </c>
      <c r="N384" s="189">
        <v>82</v>
      </c>
      <c r="O384" s="189" t="s">
        <v>542</v>
      </c>
      <c r="P384" s="189" t="s">
        <v>543</v>
      </c>
      <c r="Q384" s="189" t="s">
        <v>253</v>
      </c>
      <c r="R384" s="189" t="s">
        <v>253</v>
      </c>
      <c r="S384" s="189" t="s">
        <v>253</v>
      </c>
      <c r="T384" s="189" t="s">
        <v>261</v>
      </c>
      <c r="U384" s="189" t="s">
        <v>253</v>
      </c>
      <c r="V384" s="189" t="s">
        <v>297</v>
      </c>
      <c r="W384" s="189" t="s">
        <v>253</v>
      </c>
      <c r="X384" s="189" t="s">
        <v>659</v>
      </c>
      <c r="Y384" s="189" t="s">
        <v>660</v>
      </c>
    </row>
    <row r="385" spans="1:25" x14ac:dyDescent="0.2">
      <c r="A385" s="189">
        <v>260</v>
      </c>
      <c r="B385" s="189" t="s">
        <v>312</v>
      </c>
      <c r="C385" s="189" t="s">
        <v>411</v>
      </c>
      <c r="D385" s="189" t="s">
        <v>411</v>
      </c>
      <c r="E385" s="189" t="s">
        <v>268</v>
      </c>
      <c r="F385" s="189" t="s">
        <v>537</v>
      </c>
      <c r="G385" s="189" t="s">
        <v>294</v>
      </c>
      <c r="H385" s="189" t="s">
        <v>256</v>
      </c>
      <c r="I385" s="189">
        <v>1875</v>
      </c>
      <c r="J385" s="189">
        <v>1193.25029658532</v>
      </c>
      <c r="K385" s="189">
        <v>790.41491692874899</v>
      </c>
      <c r="L385" s="189">
        <v>-32.69</v>
      </c>
      <c r="M385" s="189">
        <v>13.54</v>
      </c>
      <c r="N385" s="189">
        <v>52</v>
      </c>
      <c r="O385" s="189" t="s">
        <v>554</v>
      </c>
      <c r="P385" s="189" t="s">
        <v>555</v>
      </c>
      <c r="Q385" s="189" t="s">
        <v>253</v>
      </c>
      <c r="R385" s="189" t="s">
        <v>253</v>
      </c>
      <c r="S385" s="189" t="s">
        <v>253</v>
      </c>
      <c r="T385" s="189" t="s">
        <v>253</v>
      </c>
      <c r="U385" s="189" t="s">
        <v>258</v>
      </c>
      <c r="V385" s="189" t="s">
        <v>253</v>
      </c>
      <c r="W385" s="189" t="s">
        <v>253</v>
      </c>
      <c r="X385" s="189" t="s">
        <v>673</v>
      </c>
      <c r="Y385" s="189" t="s">
        <v>674</v>
      </c>
    </row>
    <row r="386" spans="1:25" x14ac:dyDescent="0.2">
      <c r="A386" s="189">
        <v>261</v>
      </c>
      <c r="B386" s="189" t="s">
        <v>313</v>
      </c>
      <c r="C386" s="189" t="s">
        <v>485</v>
      </c>
      <c r="D386" s="189" t="s">
        <v>309</v>
      </c>
      <c r="E386" s="189" t="s">
        <v>268</v>
      </c>
      <c r="F386" s="189" t="s">
        <v>537</v>
      </c>
      <c r="G386" s="189" t="s">
        <v>260</v>
      </c>
      <c r="H386" s="189" t="s">
        <v>256</v>
      </c>
      <c r="I386" s="189">
        <v>2192</v>
      </c>
      <c r="J386" s="189">
        <v>852.20170087330303</v>
      </c>
      <c r="K386" s="189">
        <v>840.70420997370798</v>
      </c>
      <c r="L386" s="189">
        <v>-34.32</v>
      </c>
      <c r="M386" s="189">
        <v>2.5299999999999998</v>
      </c>
      <c r="N386" s="189">
        <v>82</v>
      </c>
      <c r="O386" s="189" t="s">
        <v>542</v>
      </c>
      <c r="P386" s="189" t="s">
        <v>543</v>
      </c>
      <c r="Q386" s="189" t="s">
        <v>253</v>
      </c>
      <c r="R386" s="189" t="s">
        <v>253</v>
      </c>
      <c r="S386" s="189" t="s">
        <v>257</v>
      </c>
      <c r="T386" s="189" t="s">
        <v>261</v>
      </c>
      <c r="U386" s="189" t="s">
        <v>253</v>
      </c>
      <c r="V386" s="189" t="s">
        <v>253</v>
      </c>
      <c r="W386" s="189" t="s">
        <v>253</v>
      </c>
      <c r="X386" s="189" t="s">
        <v>896</v>
      </c>
      <c r="Y386" s="189" t="s">
        <v>897</v>
      </c>
    </row>
    <row r="387" spans="1:25" x14ac:dyDescent="0.2">
      <c r="A387" s="189">
        <v>262</v>
      </c>
      <c r="B387" s="189" t="s">
        <v>499</v>
      </c>
      <c r="C387" s="189" t="s">
        <v>499</v>
      </c>
      <c r="D387" s="189" t="s">
        <v>499</v>
      </c>
      <c r="E387" s="189" t="s">
        <v>268</v>
      </c>
      <c r="F387" s="189" t="s">
        <v>537</v>
      </c>
      <c r="G387" s="189" t="s">
        <v>340</v>
      </c>
      <c r="H387" s="189" t="s">
        <v>256</v>
      </c>
      <c r="I387" s="189">
        <v>8656</v>
      </c>
      <c r="J387" s="189">
        <v>1167.32717803428</v>
      </c>
      <c r="K387" s="189">
        <v>846.32867038005202</v>
      </c>
      <c r="L387" s="189">
        <v>-34.5</v>
      </c>
      <c r="M387" s="189">
        <v>12.7</v>
      </c>
      <c r="N387" s="189">
        <v>52</v>
      </c>
      <c r="O387" s="189" t="s">
        <v>542</v>
      </c>
      <c r="P387" s="189" t="s">
        <v>543</v>
      </c>
      <c r="Q387" s="189" t="s">
        <v>253</v>
      </c>
      <c r="R387" s="189" t="s">
        <v>253</v>
      </c>
      <c r="S387" s="189" t="s">
        <v>257</v>
      </c>
      <c r="T387" s="189" t="s">
        <v>253</v>
      </c>
      <c r="U387" s="189" t="s">
        <v>253</v>
      </c>
      <c r="V387" s="189" t="s">
        <v>253</v>
      </c>
      <c r="W387" s="189" t="s">
        <v>253</v>
      </c>
      <c r="X387" s="189" t="s">
        <v>653</v>
      </c>
      <c r="Y387" s="189" t="s">
        <v>654</v>
      </c>
    </row>
    <row r="388" spans="1:25" x14ac:dyDescent="0.2">
      <c r="A388" s="189">
        <v>263</v>
      </c>
      <c r="B388" s="189" t="s">
        <v>316</v>
      </c>
      <c r="C388" s="189" t="s">
        <v>284</v>
      </c>
      <c r="D388" s="189" t="s">
        <v>284</v>
      </c>
      <c r="E388" s="189" t="s">
        <v>268</v>
      </c>
      <c r="F388" s="189" t="s">
        <v>537</v>
      </c>
      <c r="G388" s="189" t="s">
        <v>260</v>
      </c>
      <c r="H388" s="189" t="s">
        <v>256</v>
      </c>
      <c r="I388" s="189">
        <v>1634</v>
      </c>
      <c r="J388" s="189">
        <v>669.92247538603999</v>
      </c>
      <c r="K388" s="189">
        <v>887.91853850585596</v>
      </c>
      <c r="L388" s="189">
        <v>-35.85</v>
      </c>
      <c r="M388" s="189">
        <v>-3.36</v>
      </c>
      <c r="N388" s="189">
        <v>472</v>
      </c>
      <c r="O388" s="189" t="s">
        <v>538</v>
      </c>
      <c r="P388" s="189" t="s">
        <v>539</v>
      </c>
      <c r="Q388" s="189" t="s">
        <v>253</v>
      </c>
      <c r="R388" s="189" t="s">
        <v>253</v>
      </c>
      <c r="S388" s="189" t="s">
        <v>257</v>
      </c>
      <c r="T388" s="189" t="s">
        <v>253</v>
      </c>
      <c r="U388" s="189" t="s">
        <v>258</v>
      </c>
      <c r="V388" s="189" t="s">
        <v>253</v>
      </c>
      <c r="W388" s="189" t="s">
        <v>253</v>
      </c>
      <c r="X388" s="189" t="s">
        <v>885</v>
      </c>
      <c r="Y388" s="189" t="s">
        <v>886</v>
      </c>
    </row>
    <row r="389" spans="1:25" x14ac:dyDescent="0.2">
      <c r="A389" s="189">
        <v>271</v>
      </c>
      <c r="B389" s="189" t="s">
        <v>317</v>
      </c>
      <c r="C389" s="189" t="s">
        <v>365</v>
      </c>
      <c r="D389" s="189" t="s">
        <v>365</v>
      </c>
      <c r="E389" s="189" t="s">
        <v>268</v>
      </c>
      <c r="F389" s="189" t="s">
        <v>537</v>
      </c>
      <c r="G389" s="189" t="s">
        <v>264</v>
      </c>
      <c r="H389" s="189" t="s">
        <v>256</v>
      </c>
      <c r="I389" s="189">
        <v>1895</v>
      </c>
      <c r="J389" s="189">
        <v>391.988499389499</v>
      </c>
      <c r="K389" s="189">
        <v>617.53574118634504</v>
      </c>
      <c r="L389" s="189">
        <v>-27.1</v>
      </c>
      <c r="M389" s="189">
        <v>-12.34</v>
      </c>
      <c r="N389" s="189">
        <v>82</v>
      </c>
      <c r="O389" s="189" t="s">
        <v>564</v>
      </c>
      <c r="P389" s="189" t="s">
        <v>565</v>
      </c>
      <c r="Q389" s="189" t="s">
        <v>253</v>
      </c>
      <c r="R389" s="189" t="s">
        <v>253</v>
      </c>
      <c r="S389" s="189" t="s">
        <v>257</v>
      </c>
      <c r="T389" s="189" t="s">
        <v>253</v>
      </c>
      <c r="U389" s="189" t="s">
        <v>253</v>
      </c>
      <c r="V389" s="189" t="s">
        <v>253</v>
      </c>
      <c r="W389" s="189" t="s">
        <v>253</v>
      </c>
      <c r="X389" s="189" t="s">
        <v>566</v>
      </c>
      <c r="Y389" s="189" t="s">
        <v>567</v>
      </c>
    </row>
    <row r="390" spans="1:25" x14ac:dyDescent="0.2">
      <c r="A390" s="189">
        <v>281</v>
      </c>
      <c r="B390" s="189" t="s">
        <v>318</v>
      </c>
      <c r="C390" s="189" t="s">
        <v>493</v>
      </c>
      <c r="D390" s="189" t="s">
        <v>493</v>
      </c>
      <c r="E390" s="189" t="s">
        <v>268</v>
      </c>
      <c r="F390" s="189" t="s">
        <v>537</v>
      </c>
      <c r="G390" s="189" t="s">
        <v>294</v>
      </c>
      <c r="H390" s="189" t="s">
        <v>256</v>
      </c>
      <c r="I390" s="189">
        <v>5319</v>
      </c>
      <c r="J390" s="189">
        <v>1111.17988297441</v>
      </c>
      <c r="K390" s="189">
        <v>677.38077838187496</v>
      </c>
      <c r="L390" s="189">
        <v>-29.03</v>
      </c>
      <c r="M390" s="189">
        <v>10.89</v>
      </c>
      <c r="N390" s="189">
        <v>554</v>
      </c>
      <c r="O390" s="189" t="s">
        <v>550</v>
      </c>
      <c r="P390" s="189" t="s">
        <v>551</v>
      </c>
      <c r="Q390" s="189" t="s">
        <v>253</v>
      </c>
      <c r="R390" s="189" t="s">
        <v>253</v>
      </c>
      <c r="S390" s="189" t="s">
        <v>257</v>
      </c>
      <c r="T390" s="189" t="s">
        <v>253</v>
      </c>
      <c r="U390" s="189" t="s">
        <v>253</v>
      </c>
      <c r="V390" s="189" t="s">
        <v>253</v>
      </c>
      <c r="W390" s="189" t="s">
        <v>253</v>
      </c>
      <c r="X390" s="189" t="s">
        <v>855</v>
      </c>
      <c r="Y390" s="189" t="s">
        <v>856</v>
      </c>
    </row>
    <row r="391" spans="1:25" x14ac:dyDescent="0.2">
      <c r="A391" s="189">
        <v>282</v>
      </c>
      <c r="B391" s="189" t="s">
        <v>319</v>
      </c>
      <c r="C391" s="189" t="s">
        <v>435</v>
      </c>
      <c r="D391" s="189" t="s">
        <v>436</v>
      </c>
      <c r="E391" s="189" t="s">
        <v>268</v>
      </c>
      <c r="F391" s="189" t="s">
        <v>537</v>
      </c>
      <c r="G391" s="189" t="s">
        <v>306</v>
      </c>
      <c r="H391" s="189" t="s">
        <v>256</v>
      </c>
      <c r="I391" s="189">
        <v>2212</v>
      </c>
      <c r="J391" s="189">
        <v>369.802046575546</v>
      </c>
      <c r="K391" s="189">
        <v>700.89063364437902</v>
      </c>
      <c r="L391" s="189">
        <v>-29.8</v>
      </c>
      <c r="M391" s="189">
        <v>-13.06</v>
      </c>
      <c r="N391" s="189">
        <v>52</v>
      </c>
      <c r="O391" s="189" t="s">
        <v>550</v>
      </c>
      <c r="P391" s="189" t="s">
        <v>551</v>
      </c>
      <c r="Q391" s="189" t="s">
        <v>253</v>
      </c>
      <c r="R391" s="189" t="s">
        <v>253</v>
      </c>
      <c r="S391" s="189" t="s">
        <v>257</v>
      </c>
      <c r="T391" s="189" t="s">
        <v>253</v>
      </c>
      <c r="U391" s="189" t="s">
        <v>258</v>
      </c>
      <c r="V391" s="189" t="s">
        <v>253</v>
      </c>
      <c r="W391" s="189" t="s">
        <v>253</v>
      </c>
      <c r="X391" s="189" t="s">
        <v>803</v>
      </c>
      <c r="Y391" s="189" t="s">
        <v>804</v>
      </c>
    </row>
    <row r="392" spans="1:25" x14ac:dyDescent="0.2">
      <c r="A392" s="189">
        <v>283</v>
      </c>
      <c r="B392" s="189" t="s">
        <v>320</v>
      </c>
      <c r="C392" s="189" t="s">
        <v>469</v>
      </c>
      <c r="D392" s="189" t="s">
        <v>469</v>
      </c>
      <c r="E392" s="189" t="s">
        <v>268</v>
      </c>
      <c r="F392" s="189" t="s">
        <v>537</v>
      </c>
      <c r="G392" s="189" t="s">
        <v>260</v>
      </c>
      <c r="H392" s="189" t="s">
        <v>256</v>
      </c>
      <c r="I392" s="189">
        <v>19837</v>
      </c>
      <c r="J392" s="189">
        <v>645.28383568212405</v>
      </c>
      <c r="K392" s="189">
        <v>940.21239702435696</v>
      </c>
      <c r="L392" s="189">
        <v>-37.54</v>
      </c>
      <c r="M392" s="189">
        <v>-4.16</v>
      </c>
      <c r="N392" s="189">
        <v>13</v>
      </c>
      <c r="O392" s="189" t="s">
        <v>538</v>
      </c>
      <c r="P392" s="189" t="s">
        <v>539</v>
      </c>
      <c r="Q392" s="189" t="s">
        <v>253</v>
      </c>
      <c r="R392" s="189" t="s">
        <v>253</v>
      </c>
      <c r="S392" s="189" t="s">
        <v>253</v>
      </c>
      <c r="T392" s="189" t="s">
        <v>253</v>
      </c>
      <c r="U392" s="189" t="s">
        <v>253</v>
      </c>
      <c r="V392" s="189" t="s">
        <v>253</v>
      </c>
      <c r="W392" s="189" t="s">
        <v>253</v>
      </c>
      <c r="X392" s="189" t="s">
        <v>661</v>
      </c>
      <c r="Y392" s="189" t="s">
        <v>662</v>
      </c>
    </row>
    <row r="393" spans="1:25" x14ac:dyDescent="0.2">
      <c r="A393" s="189">
        <v>297</v>
      </c>
      <c r="B393" s="189" t="s">
        <v>321</v>
      </c>
      <c r="C393" s="189" t="s">
        <v>321</v>
      </c>
      <c r="D393" s="189" t="s">
        <v>321</v>
      </c>
      <c r="E393" s="189" t="s">
        <v>268</v>
      </c>
      <c r="F393" s="189" t="s">
        <v>537</v>
      </c>
      <c r="G393" s="189" t="s">
        <v>294</v>
      </c>
      <c r="H393" s="189" t="s">
        <v>256</v>
      </c>
      <c r="I393" s="189">
        <v>31105</v>
      </c>
      <c r="J393" s="189">
        <v>1194</v>
      </c>
      <c r="K393" s="189">
        <v>816</v>
      </c>
      <c r="L393" s="189">
        <v>-33.520000000000003</v>
      </c>
      <c r="M393" s="189">
        <v>13.57</v>
      </c>
      <c r="N393" s="189">
        <v>52</v>
      </c>
      <c r="O393" s="189" t="s">
        <v>554</v>
      </c>
      <c r="P393" s="189" t="s">
        <v>555</v>
      </c>
      <c r="Q393" s="189" t="s">
        <v>253</v>
      </c>
      <c r="R393" s="189" t="s">
        <v>259</v>
      </c>
      <c r="S393" s="189" t="s">
        <v>253</v>
      </c>
      <c r="T393" s="189" t="s">
        <v>261</v>
      </c>
      <c r="U393" s="189" t="s">
        <v>258</v>
      </c>
      <c r="V393" s="189" t="s">
        <v>297</v>
      </c>
      <c r="W393" s="189" t="s">
        <v>266</v>
      </c>
      <c r="X393" s="189" t="s">
        <v>610</v>
      </c>
      <c r="Y393" s="189" t="s">
        <v>611</v>
      </c>
    </row>
    <row r="394" spans="1:25" x14ac:dyDescent="0.2">
      <c r="A394" s="189">
        <v>305</v>
      </c>
      <c r="B394" s="189" t="s">
        <v>322</v>
      </c>
      <c r="C394" s="189" t="s">
        <v>491</v>
      </c>
      <c r="D394" s="189" t="s">
        <v>491</v>
      </c>
      <c r="E394" s="189" t="s">
        <v>268</v>
      </c>
      <c r="F394" s="189" t="s">
        <v>537</v>
      </c>
      <c r="G394" s="189" t="s">
        <v>294</v>
      </c>
      <c r="H394" s="189" t="s">
        <v>256</v>
      </c>
      <c r="I394" s="189">
        <v>10757</v>
      </c>
      <c r="J394" s="189">
        <v>1056.4922229680899</v>
      </c>
      <c r="K394" s="189">
        <v>798.45264062362799</v>
      </c>
      <c r="L394" s="189">
        <v>-32.950000000000003</v>
      </c>
      <c r="M394" s="189">
        <v>9.1199999999999992</v>
      </c>
      <c r="N394" s="189">
        <v>52</v>
      </c>
      <c r="O394" s="189" t="s">
        <v>554</v>
      </c>
      <c r="P394" s="189" t="s">
        <v>555</v>
      </c>
      <c r="Q394" s="189" t="s">
        <v>253</v>
      </c>
      <c r="R394" s="189" t="s">
        <v>253</v>
      </c>
      <c r="S394" s="189" t="s">
        <v>257</v>
      </c>
      <c r="T394" s="189" t="s">
        <v>261</v>
      </c>
      <c r="U394" s="189" t="s">
        <v>258</v>
      </c>
      <c r="V394" s="189" t="s">
        <v>253</v>
      </c>
      <c r="W394" s="189" t="s">
        <v>253</v>
      </c>
      <c r="X394" s="189" t="s">
        <v>817</v>
      </c>
      <c r="Y394" s="189" t="s">
        <v>818</v>
      </c>
    </row>
    <row r="395" spans="1:25" x14ac:dyDescent="0.2">
      <c r="A395" s="189">
        <v>315</v>
      </c>
      <c r="B395" s="189" t="s">
        <v>323</v>
      </c>
      <c r="C395" s="189" t="s">
        <v>476</v>
      </c>
      <c r="D395" s="189" t="s">
        <v>298</v>
      </c>
      <c r="E395" s="189" t="s">
        <v>268</v>
      </c>
      <c r="F395" s="189" t="s">
        <v>537</v>
      </c>
      <c r="G395" s="189" t="s">
        <v>260</v>
      </c>
      <c r="H395" s="189" t="s">
        <v>256</v>
      </c>
      <c r="I395" s="189">
        <v>1850</v>
      </c>
      <c r="J395" s="189">
        <v>797.397270062698</v>
      </c>
      <c r="K395" s="189">
        <v>788.35196605306601</v>
      </c>
      <c r="L395" s="189">
        <v>-32.630000000000003</v>
      </c>
      <c r="M395" s="189">
        <v>0.76</v>
      </c>
      <c r="N395" s="189">
        <v>2572</v>
      </c>
      <c r="O395" s="189" t="s">
        <v>560</v>
      </c>
      <c r="P395" s="189" t="s">
        <v>561</v>
      </c>
      <c r="Q395" s="189" t="s">
        <v>253</v>
      </c>
      <c r="R395" s="189" t="s">
        <v>253</v>
      </c>
      <c r="S395" s="189" t="s">
        <v>257</v>
      </c>
      <c r="T395" s="189" t="s">
        <v>253</v>
      </c>
      <c r="U395" s="189" t="s">
        <v>253</v>
      </c>
      <c r="V395" s="189" t="s">
        <v>253</v>
      </c>
      <c r="W395" s="189" t="s">
        <v>253</v>
      </c>
      <c r="X395" s="189" t="s">
        <v>758</v>
      </c>
      <c r="Y395" s="189" t="s">
        <v>759</v>
      </c>
    </row>
    <row r="396" spans="1:25" x14ac:dyDescent="0.2">
      <c r="A396" s="189">
        <v>326</v>
      </c>
      <c r="B396" s="189" t="s">
        <v>456</v>
      </c>
      <c r="C396" s="189" t="s">
        <v>456</v>
      </c>
      <c r="D396" s="189" t="s">
        <v>456</v>
      </c>
      <c r="E396" s="189" t="s">
        <v>268</v>
      </c>
      <c r="F396" s="189" t="s">
        <v>537</v>
      </c>
      <c r="G396" s="189" t="s">
        <v>264</v>
      </c>
      <c r="H396" s="189" t="s">
        <v>256</v>
      </c>
      <c r="I396" s="189">
        <v>9267</v>
      </c>
      <c r="J396" s="189">
        <v>338</v>
      </c>
      <c r="K396" s="189">
        <v>571</v>
      </c>
      <c r="L396" s="189">
        <v>-25.59</v>
      </c>
      <c r="M396" s="189">
        <v>-14.08</v>
      </c>
      <c r="N396" s="189">
        <v>82</v>
      </c>
      <c r="O396" s="189" t="s">
        <v>568</v>
      </c>
      <c r="P396" s="189" t="s">
        <v>569</v>
      </c>
      <c r="Q396" s="189" t="s">
        <v>253</v>
      </c>
      <c r="R396" s="189" t="s">
        <v>259</v>
      </c>
      <c r="S396" s="189" t="s">
        <v>253</v>
      </c>
      <c r="T396" s="189" t="s">
        <v>253</v>
      </c>
      <c r="U396" s="189" t="s">
        <v>253</v>
      </c>
      <c r="V396" s="189" t="s">
        <v>253</v>
      </c>
      <c r="W396" s="189" t="s">
        <v>253</v>
      </c>
      <c r="X396" s="189" t="s">
        <v>881</v>
      </c>
      <c r="Y396" s="189" t="s">
        <v>882</v>
      </c>
    </row>
    <row r="397" spans="1:25" x14ac:dyDescent="0.2">
      <c r="A397" s="189">
        <v>349</v>
      </c>
      <c r="B397" s="189" t="s">
        <v>325</v>
      </c>
      <c r="C397" s="189" t="s">
        <v>438</v>
      </c>
      <c r="D397" s="189" t="s">
        <v>434</v>
      </c>
      <c r="E397" s="189" t="s">
        <v>268</v>
      </c>
      <c r="F397" s="189" t="s">
        <v>537</v>
      </c>
      <c r="G397" s="189" t="s">
        <v>265</v>
      </c>
      <c r="H397" s="189" t="s">
        <v>256</v>
      </c>
      <c r="I397" s="189">
        <v>2822</v>
      </c>
      <c r="J397" s="189">
        <v>489</v>
      </c>
      <c r="K397" s="189">
        <v>840</v>
      </c>
      <c r="L397" s="189">
        <v>-34.299999999999997</v>
      </c>
      <c r="M397" s="189">
        <v>-9.2100000000000009</v>
      </c>
      <c r="N397" s="189">
        <v>161</v>
      </c>
      <c r="O397" s="189" t="s">
        <v>542</v>
      </c>
      <c r="P397" s="189" t="s">
        <v>543</v>
      </c>
      <c r="Q397" s="189" t="s">
        <v>253</v>
      </c>
      <c r="R397" s="189" t="s">
        <v>259</v>
      </c>
      <c r="S397" s="189" t="s">
        <v>257</v>
      </c>
      <c r="T397" s="189" t="s">
        <v>253</v>
      </c>
      <c r="U397" s="189" t="s">
        <v>258</v>
      </c>
      <c r="V397" s="189" t="s">
        <v>253</v>
      </c>
      <c r="W397" s="189" t="s">
        <v>253</v>
      </c>
      <c r="X397" s="189" t="s">
        <v>586</v>
      </c>
      <c r="Y397" s="189" t="s">
        <v>587</v>
      </c>
    </row>
    <row r="398" spans="1:25" x14ac:dyDescent="0.2">
      <c r="A398" s="189">
        <v>351</v>
      </c>
      <c r="B398" s="189" t="s">
        <v>326</v>
      </c>
      <c r="C398" s="189" t="s">
        <v>443</v>
      </c>
      <c r="D398" s="189" t="s">
        <v>444</v>
      </c>
      <c r="E398" s="189" t="s">
        <v>268</v>
      </c>
      <c r="F398" s="189" t="s">
        <v>537</v>
      </c>
      <c r="G398" s="189" t="s">
        <v>306</v>
      </c>
      <c r="H398" s="189" t="s">
        <v>256</v>
      </c>
      <c r="I398" s="189">
        <v>8507</v>
      </c>
      <c r="J398" s="189">
        <v>415.84866706485502</v>
      </c>
      <c r="K398" s="189">
        <v>871.74578211252799</v>
      </c>
      <c r="L398" s="189">
        <v>-35.33</v>
      </c>
      <c r="M398" s="189">
        <v>-11.57</v>
      </c>
      <c r="N398" s="189">
        <v>266</v>
      </c>
      <c r="O398" s="189" t="s">
        <v>542</v>
      </c>
      <c r="P398" s="189" t="s">
        <v>543</v>
      </c>
      <c r="Q398" s="189" t="s">
        <v>253</v>
      </c>
      <c r="R398" s="189" t="s">
        <v>253</v>
      </c>
      <c r="S398" s="189" t="s">
        <v>253</v>
      </c>
      <c r="T398" s="189" t="s">
        <v>253</v>
      </c>
      <c r="U398" s="189" t="s">
        <v>253</v>
      </c>
      <c r="V398" s="189" t="s">
        <v>253</v>
      </c>
      <c r="W398" s="189" t="s">
        <v>253</v>
      </c>
      <c r="X398" s="189" t="s">
        <v>620</v>
      </c>
      <c r="Y398" s="189" t="s">
        <v>621</v>
      </c>
    </row>
    <row r="399" spans="1:25" x14ac:dyDescent="0.2">
      <c r="A399" s="189">
        <v>376</v>
      </c>
      <c r="B399" s="189" t="s">
        <v>162</v>
      </c>
      <c r="C399" s="189" t="s">
        <v>162</v>
      </c>
      <c r="D399" s="189" t="s">
        <v>162</v>
      </c>
      <c r="E399" s="189" t="s">
        <v>268</v>
      </c>
      <c r="F399" s="189" t="s">
        <v>537</v>
      </c>
      <c r="G399" s="189" t="s">
        <v>391</v>
      </c>
      <c r="H399" s="189" t="s">
        <v>256</v>
      </c>
      <c r="I399" s="189">
        <v>23705</v>
      </c>
      <c r="J399" s="189">
        <v>523.80327562537695</v>
      </c>
      <c r="K399" s="189">
        <v>531.10588421549903</v>
      </c>
      <c r="L399" s="189">
        <v>-24.3</v>
      </c>
      <c r="M399" s="189">
        <v>-8.08</v>
      </c>
      <c r="N399" s="189">
        <v>266</v>
      </c>
      <c r="O399" s="189" t="s">
        <v>602</v>
      </c>
      <c r="P399" s="189" t="s">
        <v>603</v>
      </c>
      <c r="Q399" s="189" t="s">
        <v>253</v>
      </c>
      <c r="R399" s="189" t="s">
        <v>253</v>
      </c>
      <c r="S399" s="189" t="s">
        <v>257</v>
      </c>
      <c r="T399" s="189" t="s">
        <v>253</v>
      </c>
      <c r="U399" s="189" t="s">
        <v>258</v>
      </c>
      <c r="V399" s="189" t="s">
        <v>253</v>
      </c>
      <c r="W399" s="189" t="s">
        <v>253</v>
      </c>
      <c r="X399" s="189" t="s">
        <v>718</v>
      </c>
      <c r="Y399" s="189" t="s">
        <v>719</v>
      </c>
    </row>
    <row r="400" spans="1:25" x14ac:dyDescent="0.2">
      <c r="A400" s="189">
        <v>378</v>
      </c>
      <c r="B400" s="189" t="s">
        <v>327</v>
      </c>
      <c r="C400" s="189" t="s">
        <v>64</v>
      </c>
      <c r="D400" s="189" t="s">
        <v>64</v>
      </c>
      <c r="E400" s="189" t="s">
        <v>268</v>
      </c>
      <c r="F400" s="189" t="s">
        <v>537</v>
      </c>
      <c r="G400" s="189" t="s">
        <v>294</v>
      </c>
      <c r="H400" s="189" t="s">
        <v>256</v>
      </c>
      <c r="I400" s="189">
        <v>2932</v>
      </c>
      <c r="J400" s="189">
        <v>1116.5</v>
      </c>
      <c r="K400" s="189">
        <v>791.5</v>
      </c>
      <c r="L400" s="189">
        <v>-32.729999999999997</v>
      </c>
      <c r="M400" s="189">
        <v>11.06</v>
      </c>
      <c r="N400" s="189">
        <v>161</v>
      </c>
      <c r="O400" s="189" t="s">
        <v>554</v>
      </c>
      <c r="P400" s="189" t="s">
        <v>555</v>
      </c>
      <c r="Q400" s="189" t="s">
        <v>253</v>
      </c>
      <c r="R400" s="189" t="s">
        <v>259</v>
      </c>
      <c r="S400" s="189" t="s">
        <v>253</v>
      </c>
      <c r="T400" s="189" t="s">
        <v>253</v>
      </c>
      <c r="U400" s="189" t="s">
        <v>253</v>
      </c>
      <c r="V400" s="189" t="s">
        <v>253</v>
      </c>
      <c r="W400" s="189" t="s">
        <v>253</v>
      </c>
      <c r="X400" s="189" t="s">
        <v>829</v>
      </c>
      <c r="Y400" s="189" t="s">
        <v>830</v>
      </c>
    </row>
    <row r="401" spans="1:25" x14ac:dyDescent="0.2">
      <c r="A401" s="189">
        <v>380</v>
      </c>
      <c r="B401" s="189" t="s">
        <v>622</v>
      </c>
      <c r="C401" s="189" t="s">
        <v>443</v>
      </c>
      <c r="D401" s="189" t="s">
        <v>444</v>
      </c>
      <c r="E401" s="189" t="s">
        <v>268</v>
      </c>
      <c r="F401" s="189" t="s">
        <v>537</v>
      </c>
      <c r="G401" s="189" t="s">
        <v>306</v>
      </c>
      <c r="H401" s="189" t="s">
        <v>256</v>
      </c>
      <c r="I401" s="189">
        <v>32536</v>
      </c>
      <c r="J401" s="189">
        <v>345.82510809590599</v>
      </c>
      <c r="K401" s="189">
        <v>885.93343483302897</v>
      </c>
      <c r="L401" s="189">
        <v>-35.79</v>
      </c>
      <c r="M401" s="189">
        <v>-13.83</v>
      </c>
      <c r="N401" s="189">
        <v>118</v>
      </c>
      <c r="O401" s="189" t="s">
        <v>542</v>
      </c>
      <c r="P401" s="189" t="s">
        <v>543</v>
      </c>
      <c r="Q401" s="189" t="s">
        <v>253</v>
      </c>
      <c r="R401" s="189" t="s">
        <v>253</v>
      </c>
      <c r="S401" s="189" t="s">
        <v>257</v>
      </c>
      <c r="T401" s="189" t="s">
        <v>261</v>
      </c>
      <c r="U401" s="189" t="s">
        <v>258</v>
      </c>
      <c r="V401" s="189" t="s">
        <v>253</v>
      </c>
      <c r="W401" s="189" t="s">
        <v>253</v>
      </c>
      <c r="X401" s="189" t="s">
        <v>623</v>
      </c>
      <c r="Y401" s="189" t="s">
        <v>624</v>
      </c>
    </row>
    <row r="402" spans="1:25" x14ac:dyDescent="0.2">
      <c r="A402" s="189">
        <v>381</v>
      </c>
      <c r="B402" s="189" t="s">
        <v>329</v>
      </c>
      <c r="C402" s="189" t="s">
        <v>50</v>
      </c>
      <c r="D402" s="189" t="s">
        <v>50</v>
      </c>
      <c r="E402" s="189" t="s">
        <v>268</v>
      </c>
      <c r="F402" s="189" t="s">
        <v>537</v>
      </c>
      <c r="G402" s="189" t="s">
        <v>265</v>
      </c>
      <c r="H402" s="189" t="s">
        <v>256</v>
      </c>
      <c r="I402" s="189">
        <v>1799</v>
      </c>
      <c r="J402" s="189">
        <v>522.304716970399</v>
      </c>
      <c r="K402" s="189">
        <v>899.16745931854496</v>
      </c>
      <c r="L402" s="189">
        <v>-36.22</v>
      </c>
      <c r="M402" s="189">
        <v>-8.1300000000000008</v>
      </c>
      <c r="N402" s="189">
        <v>52</v>
      </c>
      <c r="O402" s="189" t="s">
        <v>542</v>
      </c>
      <c r="P402" s="189" t="s">
        <v>543</v>
      </c>
      <c r="Q402" s="189" t="s">
        <v>253</v>
      </c>
      <c r="R402" s="189" t="s">
        <v>253</v>
      </c>
      <c r="S402" s="189" t="s">
        <v>253</v>
      </c>
      <c r="T402" s="189" t="s">
        <v>253</v>
      </c>
      <c r="U402" s="189" t="s">
        <v>253</v>
      </c>
      <c r="V402" s="189" t="s">
        <v>253</v>
      </c>
      <c r="W402" s="189" t="s">
        <v>253</v>
      </c>
      <c r="X402" s="189" t="s">
        <v>578</v>
      </c>
      <c r="Y402" s="189" t="s">
        <v>579</v>
      </c>
    </row>
    <row r="403" spans="1:25" x14ac:dyDescent="0.2">
      <c r="A403" s="189">
        <v>396</v>
      </c>
      <c r="B403" s="189" t="s">
        <v>330</v>
      </c>
      <c r="C403" s="189" t="s">
        <v>61</v>
      </c>
      <c r="D403" s="189" t="s">
        <v>61</v>
      </c>
      <c r="E403" s="189" t="s">
        <v>268</v>
      </c>
      <c r="F403" s="189" t="s">
        <v>537</v>
      </c>
      <c r="G403" s="189" t="s">
        <v>255</v>
      </c>
      <c r="H403" s="189" t="s">
        <v>256</v>
      </c>
      <c r="I403" s="189">
        <v>5387</v>
      </c>
      <c r="J403" s="189">
        <v>478.08750574820601</v>
      </c>
      <c r="K403" s="189">
        <v>696.41441948015995</v>
      </c>
      <c r="L403" s="189">
        <v>-29.65</v>
      </c>
      <c r="M403" s="189">
        <v>-9.56</v>
      </c>
      <c r="N403" s="189">
        <v>328</v>
      </c>
      <c r="O403" s="189" t="s">
        <v>554</v>
      </c>
      <c r="P403" s="189" t="s">
        <v>555</v>
      </c>
      <c r="Q403" s="189" t="s">
        <v>253</v>
      </c>
      <c r="R403" s="189" t="s">
        <v>253</v>
      </c>
      <c r="S403" s="189" t="s">
        <v>257</v>
      </c>
      <c r="T403" s="189" t="s">
        <v>253</v>
      </c>
      <c r="U403" s="189" t="s">
        <v>253</v>
      </c>
      <c r="V403" s="189" t="s">
        <v>253</v>
      </c>
      <c r="W403" s="189" t="s">
        <v>253</v>
      </c>
      <c r="X403" s="189" t="s">
        <v>789</v>
      </c>
      <c r="Y403" s="189" t="s">
        <v>790</v>
      </c>
    </row>
    <row r="404" spans="1:25" x14ac:dyDescent="0.2">
      <c r="A404" s="189">
        <v>397</v>
      </c>
      <c r="B404" s="189" t="s">
        <v>331</v>
      </c>
      <c r="C404" s="189" t="s">
        <v>331</v>
      </c>
      <c r="D404" s="189" t="s">
        <v>331</v>
      </c>
      <c r="E404" s="189" t="s">
        <v>268</v>
      </c>
      <c r="F404" s="189" t="s">
        <v>537</v>
      </c>
      <c r="G404" s="189" t="s">
        <v>294</v>
      </c>
      <c r="H404" s="189" t="s">
        <v>256</v>
      </c>
      <c r="I404" s="189">
        <v>1924</v>
      </c>
      <c r="J404" s="189">
        <v>1092.6911722961199</v>
      </c>
      <c r="K404" s="189">
        <v>741.48794993376896</v>
      </c>
      <c r="L404" s="189">
        <v>-31.11</v>
      </c>
      <c r="M404" s="189">
        <v>10.29</v>
      </c>
      <c r="N404" s="189">
        <v>472</v>
      </c>
      <c r="O404" s="189" t="s">
        <v>554</v>
      </c>
      <c r="P404" s="189" t="s">
        <v>555</v>
      </c>
      <c r="Q404" s="189" t="s">
        <v>253</v>
      </c>
      <c r="R404" s="189" t="s">
        <v>253</v>
      </c>
      <c r="S404" s="189" t="s">
        <v>253</v>
      </c>
      <c r="T404" s="189" t="s">
        <v>253</v>
      </c>
      <c r="U404" s="189" t="s">
        <v>258</v>
      </c>
      <c r="V404" s="189" t="s">
        <v>253</v>
      </c>
      <c r="W404" s="189" t="s">
        <v>253</v>
      </c>
      <c r="X404" s="189" t="s">
        <v>692</v>
      </c>
      <c r="Y404" s="189" t="s">
        <v>693</v>
      </c>
    </row>
    <row r="405" spans="1:25" x14ac:dyDescent="0.2">
      <c r="A405" s="189">
        <v>398</v>
      </c>
      <c r="B405" s="189" t="s">
        <v>333</v>
      </c>
      <c r="C405" s="189" t="s">
        <v>333</v>
      </c>
      <c r="D405" s="189" t="s">
        <v>402</v>
      </c>
      <c r="E405" s="189" t="s">
        <v>268</v>
      </c>
      <c r="F405" s="189" t="s">
        <v>537</v>
      </c>
      <c r="G405" s="189" t="s">
        <v>260</v>
      </c>
      <c r="H405" s="189" t="s">
        <v>256</v>
      </c>
      <c r="I405" s="189">
        <v>22577</v>
      </c>
      <c r="J405" s="189">
        <v>919.38383693800904</v>
      </c>
      <c r="K405" s="189">
        <v>749.40890282436499</v>
      </c>
      <c r="L405" s="189">
        <v>-31.37</v>
      </c>
      <c r="M405" s="189">
        <v>4.7</v>
      </c>
      <c r="N405" s="189">
        <v>82</v>
      </c>
      <c r="O405" s="189" t="s">
        <v>550</v>
      </c>
      <c r="P405" s="189" t="s">
        <v>551</v>
      </c>
      <c r="Q405" s="189" t="s">
        <v>253</v>
      </c>
      <c r="R405" s="189" t="s">
        <v>259</v>
      </c>
      <c r="S405" s="189" t="s">
        <v>257</v>
      </c>
      <c r="T405" s="189" t="s">
        <v>253</v>
      </c>
      <c r="U405" s="189" t="s">
        <v>258</v>
      </c>
      <c r="V405" s="189" t="s">
        <v>253</v>
      </c>
      <c r="W405" s="189" t="s">
        <v>253</v>
      </c>
      <c r="X405" s="189" t="s">
        <v>552</v>
      </c>
      <c r="Y405" s="189" t="s">
        <v>553</v>
      </c>
    </row>
    <row r="406" spans="1:25" x14ac:dyDescent="0.2">
      <c r="A406" s="189">
        <v>400</v>
      </c>
      <c r="B406" s="189" t="s">
        <v>334</v>
      </c>
      <c r="C406" s="189" t="s">
        <v>283</v>
      </c>
      <c r="D406" s="189" t="s">
        <v>283</v>
      </c>
      <c r="E406" s="189" t="s">
        <v>268</v>
      </c>
      <c r="F406" s="189" t="s">
        <v>537</v>
      </c>
      <c r="G406" s="189" t="s">
        <v>260</v>
      </c>
      <c r="H406" s="189" t="s">
        <v>256</v>
      </c>
      <c r="I406" s="189">
        <v>1801</v>
      </c>
      <c r="J406" s="189">
        <v>954.47346362533904</v>
      </c>
      <c r="K406" s="189">
        <v>835.44952378093001</v>
      </c>
      <c r="L406" s="189">
        <v>-34.15</v>
      </c>
      <c r="M406" s="189">
        <v>5.83</v>
      </c>
      <c r="N406" s="189">
        <v>161</v>
      </c>
      <c r="O406" s="189" t="s">
        <v>542</v>
      </c>
      <c r="P406" s="189" t="s">
        <v>543</v>
      </c>
      <c r="Q406" s="189" t="s">
        <v>253</v>
      </c>
      <c r="R406" s="189" t="s">
        <v>253</v>
      </c>
      <c r="S406" s="189" t="s">
        <v>253</v>
      </c>
      <c r="T406" s="189" t="s">
        <v>253</v>
      </c>
      <c r="U406" s="189" t="s">
        <v>258</v>
      </c>
      <c r="V406" s="189" t="s">
        <v>253</v>
      </c>
      <c r="W406" s="189" t="s">
        <v>253</v>
      </c>
      <c r="X406" s="189" t="s">
        <v>740</v>
      </c>
      <c r="Y406" s="189" t="s">
        <v>741</v>
      </c>
    </row>
    <row r="407" spans="1:25" x14ac:dyDescent="0.2">
      <c r="A407" s="189">
        <v>401</v>
      </c>
      <c r="B407" s="189" t="s">
        <v>887</v>
      </c>
      <c r="C407" s="189" t="s">
        <v>284</v>
      </c>
      <c r="D407" s="189" t="s">
        <v>284</v>
      </c>
      <c r="E407" s="189" t="s">
        <v>268</v>
      </c>
      <c r="F407" s="189" t="s">
        <v>537</v>
      </c>
      <c r="G407" s="189" t="s">
        <v>260</v>
      </c>
      <c r="H407" s="189" t="s">
        <v>256</v>
      </c>
      <c r="I407" s="189">
        <v>1811</v>
      </c>
      <c r="J407" s="189">
        <v>683.42896508155195</v>
      </c>
      <c r="K407" s="189">
        <v>911.52570277193104</v>
      </c>
      <c r="L407" s="189">
        <v>-36.619999999999997</v>
      </c>
      <c r="M407" s="189">
        <v>-2.93</v>
      </c>
      <c r="N407" s="189">
        <v>52</v>
      </c>
      <c r="O407" s="189" t="s">
        <v>538</v>
      </c>
      <c r="P407" s="189" t="s">
        <v>539</v>
      </c>
      <c r="Q407" s="189" t="s">
        <v>253</v>
      </c>
      <c r="R407" s="189" t="s">
        <v>253</v>
      </c>
      <c r="S407" s="189" t="s">
        <v>257</v>
      </c>
      <c r="T407" s="189" t="s">
        <v>253</v>
      </c>
      <c r="U407" s="189" t="s">
        <v>258</v>
      </c>
      <c r="V407" s="189" t="s">
        <v>253</v>
      </c>
      <c r="W407" s="189" t="s">
        <v>253</v>
      </c>
      <c r="X407" s="189" t="s">
        <v>888</v>
      </c>
      <c r="Y407" s="189" t="s">
        <v>889</v>
      </c>
    </row>
    <row r="408" spans="1:25" x14ac:dyDescent="0.2">
      <c r="A408" s="189">
        <v>414</v>
      </c>
      <c r="B408" s="189" t="s">
        <v>336</v>
      </c>
      <c r="C408" s="189" t="s">
        <v>438</v>
      </c>
      <c r="D408" s="189" t="s">
        <v>434</v>
      </c>
      <c r="E408" s="189" t="s">
        <v>268</v>
      </c>
      <c r="F408" s="189" t="s">
        <v>537</v>
      </c>
      <c r="G408" s="189" t="s">
        <v>255</v>
      </c>
      <c r="H408" s="189" t="s">
        <v>256</v>
      </c>
      <c r="I408" s="189">
        <v>1905</v>
      </c>
      <c r="J408" s="189">
        <v>500.85781258357798</v>
      </c>
      <c r="K408" s="189">
        <v>760.63836183633896</v>
      </c>
      <c r="L408" s="189">
        <v>-31.73</v>
      </c>
      <c r="M408" s="189">
        <v>-8.82</v>
      </c>
      <c r="N408" s="189">
        <v>948</v>
      </c>
      <c r="O408" s="189" t="s">
        <v>542</v>
      </c>
      <c r="P408" s="189" t="s">
        <v>543</v>
      </c>
      <c r="Q408" s="189" t="s">
        <v>253</v>
      </c>
      <c r="R408" s="189" t="s">
        <v>253</v>
      </c>
      <c r="S408" s="189" t="s">
        <v>253</v>
      </c>
      <c r="T408" s="189" t="s">
        <v>261</v>
      </c>
      <c r="U408" s="189" t="s">
        <v>253</v>
      </c>
      <c r="V408" s="189" t="s">
        <v>253</v>
      </c>
      <c r="W408" s="189" t="s">
        <v>253</v>
      </c>
      <c r="X408" s="189" t="s">
        <v>588</v>
      </c>
      <c r="Y408" s="189" t="s">
        <v>589</v>
      </c>
    </row>
    <row r="409" spans="1:25" x14ac:dyDescent="0.2">
      <c r="A409" s="189">
        <v>434</v>
      </c>
      <c r="B409" s="189" t="s">
        <v>337</v>
      </c>
      <c r="C409" s="189" t="s">
        <v>491</v>
      </c>
      <c r="D409" s="189" t="s">
        <v>491</v>
      </c>
      <c r="E409" s="189" t="s">
        <v>268</v>
      </c>
      <c r="F409" s="189" t="s">
        <v>537</v>
      </c>
      <c r="G409" s="189" t="s">
        <v>260</v>
      </c>
      <c r="H409" s="189" t="s">
        <v>256</v>
      </c>
      <c r="I409" s="189">
        <v>10701</v>
      </c>
      <c r="J409" s="189">
        <v>982.22599144349397</v>
      </c>
      <c r="K409" s="189">
        <v>798.88080023933605</v>
      </c>
      <c r="L409" s="189">
        <v>-32.97</v>
      </c>
      <c r="M409" s="189">
        <v>6.73</v>
      </c>
      <c r="N409" s="189">
        <v>554</v>
      </c>
      <c r="O409" s="189" t="s">
        <v>542</v>
      </c>
      <c r="P409" s="189" t="s">
        <v>543</v>
      </c>
      <c r="Q409" s="189" t="s">
        <v>253</v>
      </c>
      <c r="R409" s="189" t="s">
        <v>253</v>
      </c>
      <c r="S409" s="189" t="s">
        <v>257</v>
      </c>
      <c r="T409" s="189" t="s">
        <v>253</v>
      </c>
      <c r="U409" s="189" t="s">
        <v>258</v>
      </c>
      <c r="V409" s="189" t="s">
        <v>253</v>
      </c>
      <c r="W409" s="189" t="s">
        <v>253</v>
      </c>
      <c r="X409" s="189" t="s">
        <v>819</v>
      </c>
      <c r="Y409" s="189" t="s">
        <v>820</v>
      </c>
    </row>
    <row r="410" spans="1:25" x14ac:dyDescent="0.2">
      <c r="A410" s="189">
        <v>449</v>
      </c>
      <c r="B410" s="189" t="s">
        <v>338</v>
      </c>
      <c r="C410" s="189" t="s">
        <v>399</v>
      </c>
      <c r="D410" s="189" t="s">
        <v>399</v>
      </c>
      <c r="E410" s="189" t="s">
        <v>268</v>
      </c>
      <c r="F410" s="189" t="s">
        <v>537</v>
      </c>
      <c r="G410" s="189" t="s">
        <v>255</v>
      </c>
      <c r="H410" s="189" t="s">
        <v>256</v>
      </c>
      <c r="I410" s="189">
        <v>5619</v>
      </c>
      <c r="J410" s="189">
        <v>444.69105572299299</v>
      </c>
      <c r="K410" s="189">
        <v>603.62055367583901</v>
      </c>
      <c r="L410" s="189">
        <v>-26.65</v>
      </c>
      <c r="M410" s="189">
        <v>-10.64</v>
      </c>
      <c r="N410" s="189">
        <v>161</v>
      </c>
      <c r="O410" s="189" t="s">
        <v>568</v>
      </c>
      <c r="P410" s="189" t="s">
        <v>569</v>
      </c>
      <c r="Q410" s="189" t="s">
        <v>253</v>
      </c>
      <c r="R410" s="189" t="s">
        <v>253</v>
      </c>
      <c r="S410" s="189" t="s">
        <v>253</v>
      </c>
      <c r="T410" s="189" t="s">
        <v>253</v>
      </c>
      <c r="U410" s="189" t="s">
        <v>253</v>
      </c>
      <c r="V410" s="189" t="s">
        <v>253</v>
      </c>
      <c r="W410" s="189" t="s">
        <v>253</v>
      </c>
      <c r="X410" s="189" t="s">
        <v>835</v>
      </c>
      <c r="Y410" s="189" t="s">
        <v>836</v>
      </c>
    </row>
    <row r="411" spans="1:25" x14ac:dyDescent="0.2">
      <c r="A411" s="189">
        <v>450</v>
      </c>
      <c r="B411" s="189" t="s">
        <v>339</v>
      </c>
      <c r="C411" s="189" t="s">
        <v>440</v>
      </c>
      <c r="D411" s="189" t="s">
        <v>441</v>
      </c>
      <c r="E411" s="189" t="s">
        <v>268</v>
      </c>
      <c r="F411" s="189" t="s">
        <v>537</v>
      </c>
      <c r="G411" s="189" t="s">
        <v>255</v>
      </c>
      <c r="H411" s="189" t="s">
        <v>256</v>
      </c>
      <c r="I411" s="189">
        <v>4150</v>
      </c>
      <c r="J411" s="189">
        <v>427.37005308753902</v>
      </c>
      <c r="K411" s="189">
        <v>807.52183975634898</v>
      </c>
      <c r="L411" s="189">
        <v>-33.25</v>
      </c>
      <c r="M411" s="189">
        <v>-11.2</v>
      </c>
      <c r="N411" s="189">
        <v>840</v>
      </c>
      <c r="O411" s="189" t="s">
        <v>542</v>
      </c>
      <c r="P411" s="189" t="s">
        <v>543</v>
      </c>
      <c r="Q411" s="189" t="s">
        <v>253</v>
      </c>
      <c r="R411" s="189" t="s">
        <v>253</v>
      </c>
      <c r="S411" s="189" t="s">
        <v>257</v>
      </c>
      <c r="T411" s="189" t="s">
        <v>253</v>
      </c>
      <c r="U411" s="189" t="s">
        <v>258</v>
      </c>
      <c r="V411" s="189" t="s">
        <v>253</v>
      </c>
      <c r="W411" s="189" t="s">
        <v>253</v>
      </c>
      <c r="X411" s="189" t="s">
        <v>544</v>
      </c>
      <c r="Y411" s="189" t="s">
        <v>545</v>
      </c>
    </row>
    <row r="412" spans="1:25" x14ac:dyDescent="0.2">
      <c r="A412" s="189">
        <v>451</v>
      </c>
      <c r="B412" s="189" t="s">
        <v>441</v>
      </c>
      <c r="C412" s="189" t="s">
        <v>440</v>
      </c>
      <c r="D412" s="189" t="s">
        <v>441</v>
      </c>
      <c r="E412" s="189" t="s">
        <v>268</v>
      </c>
      <c r="F412" s="189" t="s">
        <v>537</v>
      </c>
      <c r="G412" s="189" t="s">
        <v>255</v>
      </c>
      <c r="H412" s="189" t="s">
        <v>256</v>
      </c>
      <c r="I412" s="189">
        <v>2171</v>
      </c>
      <c r="J412" s="189">
        <v>465.73</v>
      </c>
      <c r="K412" s="189">
        <v>856.62</v>
      </c>
      <c r="L412" s="189">
        <v>-34.840000000000003</v>
      </c>
      <c r="M412" s="189">
        <v>-9.9600000000000009</v>
      </c>
      <c r="N412" s="189">
        <v>161</v>
      </c>
      <c r="O412" s="189" t="s">
        <v>542</v>
      </c>
      <c r="P412" s="189" t="s">
        <v>543</v>
      </c>
      <c r="Q412" s="189" t="s">
        <v>253</v>
      </c>
      <c r="R412" s="189" t="s">
        <v>259</v>
      </c>
      <c r="S412" s="189" t="s">
        <v>257</v>
      </c>
      <c r="T412" s="189" t="s">
        <v>253</v>
      </c>
      <c r="U412" s="189" t="s">
        <v>253</v>
      </c>
      <c r="V412" s="189" t="s">
        <v>253</v>
      </c>
      <c r="W412" s="189" t="s">
        <v>253</v>
      </c>
      <c r="X412" s="189" t="s">
        <v>546</v>
      </c>
      <c r="Y412" s="189" t="s">
        <v>547</v>
      </c>
    </row>
    <row r="413" spans="1:25" x14ac:dyDescent="0.2">
      <c r="A413" s="189">
        <v>453</v>
      </c>
      <c r="B413" s="189" t="s">
        <v>342</v>
      </c>
      <c r="C413" s="189" t="s">
        <v>469</v>
      </c>
      <c r="D413" s="189" t="s">
        <v>469</v>
      </c>
      <c r="E413" s="189" t="s">
        <v>268</v>
      </c>
      <c r="F413" s="189" t="s">
        <v>537</v>
      </c>
      <c r="G413" s="189" t="s">
        <v>260</v>
      </c>
      <c r="H413" s="189" t="s">
        <v>256</v>
      </c>
      <c r="I413" s="189">
        <v>1931</v>
      </c>
      <c r="J413" s="189">
        <v>590.86864088579898</v>
      </c>
      <c r="K413" s="189">
        <v>899.26476832211495</v>
      </c>
      <c r="L413" s="189">
        <v>-36.22</v>
      </c>
      <c r="M413" s="189">
        <v>-5.92</v>
      </c>
      <c r="N413" s="189">
        <v>52</v>
      </c>
      <c r="O413" s="189" t="s">
        <v>542</v>
      </c>
      <c r="P413" s="189" t="s">
        <v>543</v>
      </c>
      <c r="Q413" s="189" t="s">
        <v>253</v>
      </c>
      <c r="R413" s="189" t="s">
        <v>253</v>
      </c>
      <c r="S413" s="189" t="s">
        <v>257</v>
      </c>
      <c r="T413" s="189" t="s">
        <v>253</v>
      </c>
      <c r="U413" s="189" t="s">
        <v>253</v>
      </c>
      <c r="V413" s="189" t="s">
        <v>253</v>
      </c>
      <c r="W413" s="189" t="s">
        <v>253</v>
      </c>
      <c r="X413" s="189" t="s">
        <v>663</v>
      </c>
      <c r="Y413" s="189" t="s">
        <v>664</v>
      </c>
    </row>
    <row r="414" spans="1:25" x14ac:dyDescent="0.2">
      <c r="A414" s="189">
        <v>454</v>
      </c>
      <c r="B414" s="189" t="s">
        <v>343</v>
      </c>
      <c r="C414" s="189" t="s">
        <v>489</v>
      </c>
      <c r="D414" s="189" t="s">
        <v>343</v>
      </c>
      <c r="E414" s="189" t="s">
        <v>268</v>
      </c>
      <c r="F414" s="189" t="s">
        <v>537</v>
      </c>
      <c r="G414" s="189" t="s">
        <v>260</v>
      </c>
      <c r="H414" s="189" t="s">
        <v>256</v>
      </c>
      <c r="I414" s="189">
        <v>1923</v>
      </c>
      <c r="J414" s="189">
        <v>908.40738133531602</v>
      </c>
      <c r="K414" s="189">
        <v>913.49134464404403</v>
      </c>
      <c r="L414" s="189">
        <v>-36.68</v>
      </c>
      <c r="M414" s="189">
        <v>4.34</v>
      </c>
      <c r="N414" s="189">
        <v>52</v>
      </c>
      <c r="O414" s="189" t="s">
        <v>538</v>
      </c>
      <c r="P414" s="189" t="s">
        <v>539</v>
      </c>
      <c r="Q414" s="189" t="s">
        <v>253</v>
      </c>
      <c r="R414" s="189" t="s">
        <v>253</v>
      </c>
      <c r="S414" s="189" t="s">
        <v>257</v>
      </c>
      <c r="T414" s="189" t="s">
        <v>253</v>
      </c>
      <c r="U414" s="189" t="s">
        <v>253</v>
      </c>
      <c r="V414" s="189" t="s">
        <v>253</v>
      </c>
      <c r="W414" s="189" t="s">
        <v>253</v>
      </c>
      <c r="X414" s="189" t="s">
        <v>843</v>
      </c>
      <c r="Y414" s="189" t="s">
        <v>844</v>
      </c>
    </row>
    <row r="415" spans="1:25" x14ac:dyDescent="0.2">
      <c r="A415" s="189">
        <v>462</v>
      </c>
      <c r="B415" s="189" t="s">
        <v>451</v>
      </c>
      <c r="C415" s="189" t="s">
        <v>450</v>
      </c>
      <c r="D415" s="189" t="s">
        <v>451</v>
      </c>
      <c r="E415" s="189" t="s">
        <v>268</v>
      </c>
      <c r="F415" s="189" t="s">
        <v>537</v>
      </c>
      <c r="G415" s="189" t="s">
        <v>306</v>
      </c>
      <c r="H415" s="189" t="s">
        <v>256</v>
      </c>
      <c r="I415" s="189">
        <v>18184</v>
      </c>
      <c r="J415" s="189">
        <v>227.5</v>
      </c>
      <c r="K415" s="189">
        <v>683.5</v>
      </c>
      <c r="L415" s="189">
        <v>-29.23</v>
      </c>
      <c r="M415" s="189">
        <v>-17.649999999999999</v>
      </c>
      <c r="N415" s="189">
        <v>82</v>
      </c>
      <c r="O415" s="189" t="s">
        <v>550</v>
      </c>
      <c r="P415" s="189" t="s">
        <v>551</v>
      </c>
      <c r="Q415" s="189" t="s">
        <v>253</v>
      </c>
      <c r="R415" s="189" t="s">
        <v>259</v>
      </c>
      <c r="S415" s="189" t="s">
        <v>253</v>
      </c>
      <c r="T415" s="189" t="s">
        <v>253</v>
      </c>
      <c r="U415" s="189" t="s">
        <v>258</v>
      </c>
      <c r="V415" s="189" t="s">
        <v>253</v>
      </c>
      <c r="W415" s="189" t="s">
        <v>253</v>
      </c>
      <c r="X415" s="189" t="s">
        <v>706</v>
      </c>
      <c r="Y415" s="189" t="s">
        <v>707</v>
      </c>
    </row>
    <row r="416" spans="1:25" x14ac:dyDescent="0.2">
      <c r="A416" s="189">
        <v>464</v>
      </c>
      <c r="B416" s="189" t="s">
        <v>345</v>
      </c>
      <c r="C416" s="189" t="s">
        <v>489</v>
      </c>
      <c r="D416" s="189" t="s">
        <v>343</v>
      </c>
      <c r="E416" s="189" t="s">
        <v>268</v>
      </c>
      <c r="F416" s="189" t="s">
        <v>537</v>
      </c>
      <c r="G416" s="189" t="s">
        <v>260</v>
      </c>
      <c r="H416" s="189" t="s">
        <v>256</v>
      </c>
      <c r="I416" s="189">
        <v>9340</v>
      </c>
      <c r="J416" s="189">
        <v>940.88912672697199</v>
      </c>
      <c r="K416" s="189">
        <v>893.93223492648099</v>
      </c>
      <c r="L416" s="189">
        <v>-36.049999999999997</v>
      </c>
      <c r="M416" s="189">
        <v>5.39</v>
      </c>
      <c r="N416" s="189">
        <v>118</v>
      </c>
      <c r="O416" s="189" t="s">
        <v>542</v>
      </c>
      <c r="P416" s="189" t="s">
        <v>543</v>
      </c>
      <c r="Q416" s="189" t="s">
        <v>253</v>
      </c>
      <c r="R416" s="189" t="s">
        <v>253</v>
      </c>
      <c r="S416" s="189" t="s">
        <v>257</v>
      </c>
      <c r="T416" s="189" t="s">
        <v>253</v>
      </c>
      <c r="U416" s="189" t="s">
        <v>253</v>
      </c>
      <c r="V416" s="189" t="s">
        <v>253</v>
      </c>
      <c r="W416" s="189" t="s">
        <v>253</v>
      </c>
      <c r="X416" s="189" t="s">
        <v>845</v>
      </c>
      <c r="Y416" s="189" t="s">
        <v>846</v>
      </c>
    </row>
    <row r="417" spans="1:25" x14ac:dyDescent="0.2">
      <c r="A417" s="189">
        <v>492</v>
      </c>
      <c r="B417" s="189" t="s">
        <v>479</v>
      </c>
      <c r="C417" s="189" t="s">
        <v>478</v>
      </c>
      <c r="D417" s="189" t="s">
        <v>479</v>
      </c>
      <c r="E417" s="189" t="s">
        <v>268</v>
      </c>
      <c r="F417" s="189" t="s">
        <v>537</v>
      </c>
      <c r="G417" s="189" t="s">
        <v>260</v>
      </c>
      <c r="H417" s="189" t="s">
        <v>256</v>
      </c>
      <c r="I417" s="189">
        <v>23430</v>
      </c>
      <c r="J417" s="189">
        <v>776.04767467944703</v>
      </c>
      <c r="K417" s="189">
        <v>684.62056824748004</v>
      </c>
      <c r="L417" s="189">
        <v>-29.27</v>
      </c>
      <c r="M417" s="189">
        <v>7.0000000000000007E-2</v>
      </c>
      <c r="N417" s="189">
        <v>1736</v>
      </c>
      <c r="O417" s="189" t="s">
        <v>538</v>
      </c>
      <c r="P417" s="189" t="s">
        <v>539</v>
      </c>
      <c r="Q417" s="189" t="s">
        <v>253</v>
      </c>
      <c r="R417" s="189" t="s">
        <v>253</v>
      </c>
      <c r="S417" s="189" t="s">
        <v>257</v>
      </c>
      <c r="T417" s="189" t="s">
        <v>261</v>
      </c>
      <c r="U417" s="189" t="s">
        <v>258</v>
      </c>
      <c r="V417" s="189" t="s">
        <v>253</v>
      </c>
      <c r="W417" s="189" t="s">
        <v>253</v>
      </c>
      <c r="X417" s="189" t="s">
        <v>710</v>
      </c>
      <c r="Y417" s="189" t="s">
        <v>711</v>
      </c>
    </row>
    <row r="418" spans="1:25" x14ac:dyDescent="0.2">
      <c r="A418" s="189">
        <v>493</v>
      </c>
      <c r="B418" s="189" t="s">
        <v>347</v>
      </c>
      <c r="C418" s="189" t="s">
        <v>331</v>
      </c>
      <c r="D418" s="189" t="s">
        <v>331</v>
      </c>
      <c r="E418" s="189" t="s">
        <v>268</v>
      </c>
      <c r="F418" s="189" t="s">
        <v>537</v>
      </c>
      <c r="G418" s="189" t="s">
        <v>294</v>
      </c>
      <c r="H418" s="189" t="s">
        <v>256</v>
      </c>
      <c r="I418" s="189">
        <v>17058</v>
      </c>
      <c r="J418" s="189">
        <v>1091.5623878547101</v>
      </c>
      <c r="K418" s="189">
        <v>710.73830480565903</v>
      </c>
      <c r="L418" s="189">
        <v>-30.11</v>
      </c>
      <c r="M418" s="189">
        <v>10.26</v>
      </c>
      <c r="N418" s="189">
        <v>266</v>
      </c>
      <c r="O418" s="189" t="s">
        <v>554</v>
      </c>
      <c r="P418" s="189" t="s">
        <v>555</v>
      </c>
      <c r="Q418" s="189" t="s">
        <v>253</v>
      </c>
      <c r="R418" s="189" t="s">
        <v>253</v>
      </c>
      <c r="S418" s="189" t="s">
        <v>257</v>
      </c>
      <c r="T418" s="189" t="s">
        <v>253</v>
      </c>
      <c r="U418" s="189" t="s">
        <v>253</v>
      </c>
      <c r="V418" s="189" t="s">
        <v>253</v>
      </c>
      <c r="W418" s="189" t="s">
        <v>253</v>
      </c>
      <c r="X418" s="189" t="s">
        <v>694</v>
      </c>
      <c r="Y418" s="189" t="s">
        <v>695</v>
      </c>
    </row>
    <row r="419" spans="1:25" x14ac:dyDescent="0.2">
      <c r="A419" s="189">
        <v>494</v>
      </c>
      <c r="B419" s="189" t="s">
        <v>348</v>
      </c>
      <c r="C419" s="189" t="s">
        <v>489</v>
      </c>
      <c r="D419" s="189" t="s">
        <v>343</v>
      </c>
      <c r="E419" s="189" t="s">
        <v>268</v>
      </c>
      <c r="F419" s="189" t="s">
        <v>537</v>
      </c>
      <c r="G419" s="189" t="s">
        <v>260</v>
      </c>
      <c r="H419" s="189" t="s">
        <v>256</v>
      </c>
      <c r="I419" s="189">
        <v>17983</v>
      </c>
      <c r="J419" s="189">
        <v>906.53904846677301</v>
      </c>
      <c r="K419" s="189">
        <v>930.20903145736395</v>
      </c>
      <c r="L419" s="189">
        <v>-37.22</v>
      </c>
      <c r="M419" s="189">
        <v>4.28</v>
      </c>
      <c r="N419" s="189">
        <v>52</v>
      </c>
      <c r="O419" s="189" t="s">
        <v>538</v>
      </c>
      <c r="P419" s="189" t="s">
        <v>539</v>
      </c>
      <c r="Q419" s="189" t="s">
        <v>253</v>
      </c>
      <c r="R419" s="189" t="s">
        <v>253</v>
      </c>
      <c r="S419" s="189" t="s">
        <v>257</v>
      </c>
      <c r="T419" s="189" t="s">
        <v>253</v>
      </c>
      <c r="U419" s="189" t="s">
        <v>258</v>
      </c>
      <c r="V419" s="189" t="s">
        <v>253</v>
      </c>
      <c r="W419" s="189" t="s">
        <v>253</v>
      </c>
      <c r="X419" s="189" t="s">
        <v>847</v>
      </c>
      <c r="Y419" s="189" t="s">
        <v>848</v>
      </c>
    </row>
    <row r="420" spans="1:25" x14ac:dyDescent="0.2">
      <c r="A420" s="189">
        <v>504</v>
      </c>
      <c r="B420" s="189" t="s">
        <v>349</v>
      </c>
      <c r="C420" s="189" t="s">
        <v>283</v>
      </c>
      <c r="D420" s="189" t="s">
        <v>283</v>
      </c>
      <c r="E420" s="189" t="s">
        <v>268</v>
      </c>
      <c r="F420" s="189" t="s">
        <v>537</v>
      </c>
      <c r="G420" s="189" t="s">
        <v>260</v>
      </c>
      <c r="H420" s="189" t="s">
        <v>256</v>
      </c>
      <c r="I420" s="189">
        <v>3698</v>
      </c>
      <c r="J420" s="189">
        <v>879</v>
      </c>
      <c r="K420" s="189">
        <v>824</v>
      </c>
      <c r="L420" s="189">
        <v>-33.78</v>
      </c>
      <c r="M420" s="189">
        <v>3.39</v>
      </c>
      <c r="N420" s="189">
        <v>82</v>
      </c>
      <c r="O420" s="189" t="s">
        <v>554</v>
      </c>
      <c r="P420" s="189" t="s">
        <v>555</v>
      </c>
      <c r="Q420" s="189" t="s">
        <v>253</v>
      </c>
      <c r="R420" s="189" t="s">
        <v>259</v>
      </c>
      <c r="S420" s="189" t="s">
        <v>257</v>
      </c>
      <c r="T420" s="189" t="s">
        <v>253</v>
      </c>
      <c r="U420" s="189" t="s">
        <v>253</v>
      </c>
      <c r="V420" s="189" t="s">
        <v>253</v>
      </c>
      <c r="W420" s="189" t="s">
        <v>253</v>
      </c>
      <c r="X420" s="189" t="s">
        <v>742</v>
      </c>
      <c r="Y420" s="189" t="s">
        <v>743</v>
      </c>
    </row>
    <row r="421" spans="1:25" x14ac:dyDescent="0.2">
      <c r="A421" s="189">
        <v>522</v>
      </c>
      <c r="B421" s="189" t="s">
        <v>350</v>
      </c>
      <c r="C421" s="189" t="s">
        <v>476</v>
      </c>
      <c r="D421" s="189" t="s">
        <v>298</v>
      </c>
      <c r="E421" s="189" t="s">
        <v>268</v>
      </c>
      <c r="F421" s="189" t="s">
        <v>537</v>
      </c>
      <c r="G421" s="189" t="s">
        <v>260</v>
      </c>
      <c r="H421" s="189" t="s">
        <v>256</v>
      </c>
      <c r="I421" s="189">
        <v>1974</v>
      </c>
      <c r="J421" s="189">
        <v>741.17212779996999</v>
      </c>
      <c r="K421" s="189">
        <v>812.15374832628004</v>
      </c>
      <c r="L421" s="189">
        <v>-33.4</v>
      </c>
      <c r="M421" s="189">
        <v>-1.06</v>
      </c>
      <c r="N421" s="189">
        <v>840</v>
      </c>
      <c r="O421" s="189" t="s">
        <v>542</v>
      </c>
      <c r="P421" s="189" t="s">
        <v>543</v>
      </c>
      <c r="Q421" s="189" t="s">
        <v>253</v>
      </c>
      <c r="R421" s="189" t="s">
        <v>253</v>
      </c>
      <c r="S421" s="189" t="s">
        <v>253</v>
      </c>
      <c r="T421" s="189" t="s">
        <v>253</v>
      </c>
      <c r="U421" s="189" t="s">
        <v>258</v>
      </c>
      <c r="V421" s="189" t="s">
        <v>253</v>
      </c>
      <c r="W421" s="189" t="s">
        <v>253</v>
      </c>
      <c r="X421" s="189" t="s">
        <v>760</v>
      </c>
      <c r="Y421" s="189" t="s">
        <v>761</v>
      </c>
    </row>
    <row r="422" spans="1:25" x14ac:dyDescent="0.2">
      <c r="A422" s="189">
        <v>536</v>
      </c>
      <c r="B422" s="189" t="s">
        <v>455</v>
      </c>
      <c r="C422" s="189" t="s">
        <v>453</v>
      </c>
      <c r="D422" s="189" t="s">
        <v>351</v>
      </c>
      <c r="E422" s="189" t="s">
        <v>268</v>
      </c>
      <c r="F422" s="189" t="s">
        <v>537</v>
      </c>
      <c r="G422" s="189" t="s">
        <v>264</v>
      </c>
      <c r="H422" s="189" t="s">
        <v>256</v>
      </c>
      <c r="I422" s="189">
        <v>2083</v>
      </c>
      <c r="J422" s="189">
        <v>261.76959081216802</v>
      </c>
      <c r="K422" s="189">
        <v>594.14265672812405</v>
      </c>
      <c r="L422" s="189">
        <v>-26.34</v>
      </c>
      <c r="M422" s="189">
        <v>-16.54</v>
      </c>
      <c r="N422" s="189">
        <v>266</v>
      </c>
      <c r="O422" s="189" t="s">
        <v>568</v>
      </c>
      <c r="P422" s="189" t="s">
        <v>569</v>
      </c>
      <c r="Q422" s="189" t="s">
        <v>253</v>
      </c>
      <c r="R422" s="189" t="s">
        <v>253</v>
      </c>
      <c r="S422" s="189" t="s">
        <v>257</v>
      </c>
      <c r="T422" s="189" t="s">
        <v>253</v>
      </c>
      <c r="U422" s="189" t="s">
        <v>253</v>
      </c>
      <c r="V422" s="189" t="s">
        <v>253</v>
      </c>
      <c r="W422" s="189" t="s">
        <v>253</v>
      </c>
      <c r="X422" s="189" t="s">
        <v>752</v>
      </c>
      <c r="Y422" s="189" t="s">
        <v>753</v>
      </c>
    </row>
    <row r="423" spans="1:25" x14ac:dyDescent="0.2">
      <c r="A423" s="189">
        <v>538</v>
      </c>
      <c r="B423" s="189" t="s">
        <v>352</v>
      </c>
      <c r="C423" s="189" t="s">
        <v>448</v>
      </c>
      <c r="D423" s="189" t="s">
        <v>352</v>
      </c>
      <c r="E423" s="189" t="s">
        <v>268</v>
      </c>
      <c r="F423" s="189" t="s">
        <v>537</v>
      </c>
      <c r="G423" s="189" t="s">
        <v>306</v>
      </c>
      <c r="H423" s="189" t="s">
        <v>256</v>
      </c>
      <c r="I423" s="189">
        <v>2159</v>
      </c>
      <c r="J423" s="189">
        <v>239.99183581320901</v>
      </c>
      <c r="K423" s="189">
        <v>738.121058410248</v>
      </c>
      <c r="L423" s="189">
        <v>-31</v>
      </c>
      <c r="M423" s="189">
        <v>-17.25</v>
      </c>
      <c r="N423" s="189">
        <v>266</v>
      </c>
      <c r="O423" s="189" t="s">
        <v>550</v>
      </c>
      <c r="P423" s="189" t="s">
        <v>551</v>
      </c>
      <c r="Q423" s="189" t="s">
        <v>253</v>
      </c>
      <c r="R423" s="189" t="s">
        <v>259</v>
      </c>
      <c r="S423" s="189" t="s">
        <v>257</v>
      </c>
      <c r="T423" s="189" t="s">
        <v>253</v>
      </c>
      <c r="U423" s="189" t="s">
        <v>253</v>
      </c>
      <c r="V423" s="189" t="s">
        <v>253</v>
      </c>
      <c r="W423" s="189" t="s">
        <v>253</v>
      </c>
      <c r="X423" s="189" t="s">
        <v>779</v>
      </c>
      <c r="Y423" s="189" t="s">
        <v>780</v>
      </c>
    </row>
    <row r="424" spans="1:25" x14ac:dyDescent="0.2">
      <c r="A424" s="189">
        <v>541</v>
      </c>
      <c r="B424" s="189" t="s">
        <v>353</v>
      </c>
      <c r="C424" s="189" t="s">
        <v>467</v>
      </c>
      <c r="D424" s="189" t="s">
        <v>353</v>
      </c>
      <c r="E424" s="189" t="s">
        <v>268</v>
      </c>
      <c r="F424" s="189" t="s">
        <v>537</v>
      </c>
      <c r="G424" s="189" t="s">
        <v>265</v>
      </c>
      <c r="H424" s="189" t="s">
        <v>256</v>
      </c>
      <c r="I424" s="189">
        <v>13762</v>
      </c>
      <c r="J424" s="189">
        <v>598.01112174783395</v>
      </c>
      <c r="K424" s="189">
        <v>819.29622918831501</v>
      </c>
      <c r="L424" s="189">
        <v>-33.630000000000003</v>
      </c>
      <c r="M424" s="189">
        <v>-5.68</v>
      </c>
      <c r="N424" s="189">
        <v>161</v>
      </c>
      <c r="O424" s="189" t="s">
        <v>554</v>
      </c>
      <c r="P424" s="189" t="s">
        <v>555</v>
      </c>
      <c r="Q424" s="189" t="s">
        <v>253</v>
      </c>
      <c r="R424" s="189" t="s">
        <v>253</v>
      </c>
      <c r="S424" s="189" t="s">
        <v>257</v>
      </c>
      <c r="T424" s="189" t="s">
        <v>261</v>
      </c>
      <c r="U424" s="189" t="s">
        <v>253</v>
      </c>
      <c r="V424" s="189" t="s">
        <v>253</v>
      </c>
      <c r="W424" s="189" t="s">
        <v>253</v>
      </c>
      <c r="X424" s="189" t="s">
        <v>813</v>
      </c>
      <c r="Y424" s="189" t="s">
        <v>814</v>
      </c>
    </row>
    <row r="425" spans="1:25" x14ac:dyDescent="0.2">
      <c r="A425" s="189">
        <v>542</v>
      </c>
      <c r="B425" s="189" t="s">
        <v>354</v>
      </c>
      <c r="C425" s="189" t="s">
        <v>283</v>
      </c>
      <c r="D425" s="189" t="s">
        <v>283</v>
      </c>
      <c r="E425" s="189" t="s">
        <v>268</v>
      </c>
      <c r="F425" s="189" t="s">
        <v>537</v>
      </c>
      <c r="G425" s="189" t="s">
        <v>260</v>
      </c>
      <c r="H425" s="189" t="s">
        <v>256</v>
      </c>
      <c r="I425" s="189">
        <v>10379</v>
      </c>
      <c r="J425" s="189">
        <v>991.97635360120501</v>
      </c>
      <c r="K425" s="189">
        <v>858.20036881558804</v>
      </c>
      <c r="L425" s="189">
        <v>-34.89</v>
      </c>
      <c r="M425" s="189">
        <v>7.04</v>
      </c>
      <c r="N425" s="189">
        <v>82</v>
      </c>
      <c r="O425" s="189" t="s">
        <v>542</v>
      </c>
      <c r="P425" s="189" t="s">
        <v>543</v>
      </c>
      <c r="Q425" s="189" t="s">
        <v>253</v>
      </c>
      <c r="R425" s="189" t="s">
        <v>253</v>
      </c>
      <c r="S425" s="189" t="s">
        <v>257</v>
      </c>
      <c r="T425" s="189" t="s">
        <v>261</v>
      </c>
      <c r="U425" s="189" t="s">
        <v>253</v>
      </c>
      <c r="V425" s="189" t="s">
        <v>253</v>
      </c>
      <c r="W425" s="189" t="s">
        <v>253</v>
      </c>
      <c r="X425" s="189" t="s">
        <v>744</v>
      </c>
      <c r="Y425" s="189" t="s">
        <v>745</v>
      </c>
    </row>
    <row r="426" spans="1:25" x14ac:dyDescent="0.2">
      <c r="A426" s="189">
        <v>543</v>
      </c>
      <c r="B426" s="189" t="s">
        <v>355</v>
      </c>
      <c r="C426" s="189" t="s">
        <v>443</v>
      </c>
      <c r="D426" s="189" t="s">
        <v>444</v>
      </c>
      <c r="E426" s="189" t="s">
        <v>268</v>
      </c>
      <c r="F426" s="189" t="s">
        <v>537</v>
      </c>
      <c r="G426" s="189" t="s">
        <v>306</v>
      </c>
      <c r="H426" s="189" t="s">
        <v>256</v>
      </c>
      <c r="I426" s="189">
        <v>25544</v>
      </c>
      <c r="J426" s="189">
        <v>402.28379196720101</v>
      </c>
      <c r="K426" s="189">
        <v>892.64775607935701</v>
      </c>
      <c r="L426" s="189">
        <v>-36</v>
      </c>
      <c r="M426" s="189">
        <v>-12.01</v>
      </c>
      <c r="N426" s="189">
        <v>118</v>
      </c>
      <c r="O426" s="189" t="s">
        <v>542</v>
      </c>
      <c r="P426" s="189" t="s">
        <v>543</v>
      </c>
      <c r="Q426" s="189" t="s">
        <v>253</v>
      </c>
      <c r="R426" s="189" t="s">
        <v>253</v>
      </c>
      <c r="S426" s="189" t="s">
        <v>257</v>
      </c>
      <c r="T426" s="189" t="s">
        <v>261</v>
      </c>
      <c r="U426" s="189" t="s">
        <v>253</v>
      </c>
      <c r="V426" s="189" t="s">
        <v>297</v>
      </c>
      <c r="W426" s="189" t="s">
        <v>266</v>
      </c>
      <c r="X426" s="189" t="s">
        <v>625</v>
      </c>
      <c r="Y426" s="189" t="s">
        <v>626</v>
      </c>
    </row>
    <row r="427" spans="1:25" x14ac:dyDescent="0.2">
      <c r="A427" s="189">
        <v>544</v>
      </c>
      <c r="B427" s="189" t="s">
        <v>356</v>
      </c>
      <c r="C427" s="189" t="s">
        <v>443</v>
      </c>
      <c r="D427" s="189" t="s">
        <v>444</v>
      </c>
      <c r="E427" s="189" t="s">
        <v>268</v>
      </c>
      <c r="F427" s="189" t="s">
        <v>537</v>
      </c>
      <c r="G427" s="189" t="s">
        <v>314</v>
      </c>
      <c r="H427" s="189" t="s">
        <v>256</v>
      </c>
      <c r="I427" s="189">
        <v>12339</v>
      </c>
      <c r="J427" s="189">
        <v>293.5</v>
      </c>
      <c r="K427" s="189">
        <v>939</v>
      </c>
      <c r="L427" s="189">
        <v>-37.51</v>
      </c>
      <c r="M427" s="189">
        <v>-15.52</v>
      </c>
      <c r="N427" s="189">
        <v>52</v>
      </c>
      <c r="O427" s="189" t="s">
        <v>538</v>
      </c>
      <c r="P427" s="189" t="s">
        <v>539</v>
      </c>
      <c r="Q427" s="189" t="s">
        <v>253</v>
      </c>
      <c r="R427" s="189" t="s">
        <v>259</v>
      </c>
      <c r="S427" s="189" t="s">
        <v>257</v>
      </c>
      <c r="T427" s="189" t="s">
        <v>253</v>
      </c>
      <c r="U427" s="189" t="s">
        <v>258</v>
      </c>
      <c r="V427" s="189" t="s">
        <v>253</v>
      </c>
      <c r="W427" s="189" t="s">
        <v>253</v>
      </c>
      <c r="X427" s="189" t="s">
        <v>627</v>
      </c>
      <c r="Y427" s="189" t="s">
        <v>628</v>
      </c>
    </row>
    <row r="428" spans="1:25" x14ac:dyDescent="0.2">
      <c r="A428" s="189">
        <v>563</v>
      </c>
      <c r="B428" s="189" t="s">
        <v>357</v>
      </c>
      <c r="C428" s="189" t="s">
        <v>435</v>
      </c>
      <c r="D428" s="189" t="s">
        <v>436</v>
      </c>
      <c r="E428" s="189" t="s">
        <v>268</v>
      </c>
      <c r="F428" s="189" t="s">
        <v>537</v>
      </c>
      <c r="G428" s="189" t="s">
        <v>306</v>
      </c>
      <c r="H428" s="189" t="s">
        <v>256</v>
      </c>
      <c r="I428" s="189">
        <v>11612</v>
      </c>
      <c r="J428" s="189">
        <v>386.71435139600601</v>
      </c>
      <c r="K428" s="189">
        <v>700.55978303224094</v>
      </c>
      <c r="L428" s="189">
        <v>-29.78</v>
      </c>
      <c r="M428" s="189">
        <v>-12.51</v>
      </c>
      <c r="N428" s="189">
        <v>328</v>
      </c>
      <c r="O428" s="189" t="s">
        <v>550</v>
      </c>
      <c r="P428" s="189" t="s">
        <v>551</v>
      </c>
      <c r="Q428" s="189" t="s">
        <v>253</v>
      </c>
      <c r="R428" s="189" t="s">
        <v>253</v>
      </c>
      <c r="S428" s="189" t="s">
        <v>253</v>
      </c>
      <c r="T428" s="189" t="s">
        <v>253</v>
      </c>
      <c r="U428" s="189" t="s">
        <v>258</v>
      </c>
      <c r="V428" s="189" t="s">
        <v>253</v>
      </c>
      <c r="W428" s="189" t="s">
        <v>253</v>
      </c>
      <c r="X428" s="189" t="s">
        <v>805</v>
      </c>
      <c r="Y428" s="189" t="s">
        <v>806</v>
      </c>
    </row>
    <row r="429" spans="1:25" x14ac:dyDescent="0.2">
      <c r="A429" s="189">
        <v>564</v>
      </c>
      <c r="B429" s="189" t="s">
        <v>358</v>
      </c>
      <c r="C429" s="189" t="s">
        <v>399</v>
      </c>
      <c r="D429" s="189" t="s">
        <v>399</v>
      </c>
      <c r="E429" s="189" t="s">
        <v>268</v>
      </c>
      <c r="F429" s="189" t="s">
        <v>537</v>
      </c>
      <c r="G429" s="189" t="s">
        <v>255</v>
      </c>
      <c r="H429" s="189" t="s">
        <v>256</v>
      </c>
      <c r="I429" s="189">
        <v>16032</v>
      </c>
      <c r="J429" s="189">
        <v>513.19659423625001</v>
      </c>
      <c r="K429" s="189">
        <v>699.37261318868696</v>
      </c>
      <c r="L429" s="189">
        <v>-29.75</v>
      </c>
      <c r="M429" s="189">
        <v>-8.42</v>
      </c>
      <c r="N429" s="189">
        <v>1063</v>
      </c>
      <c r="O429" s="189" t="s">
        <v>542</v>
      </c>
      <c r="P429" s="189" t="s">
        <v>543</v>
      </c>
      <c r="Q429" s="189" t="s">
        <v>253</v>
      </c>
      <c r="R429" s="189" t="s">
        <v>253</v>
      </c>
      <c r="S429" s="189" t="s">
        <v>257</v>
      </c>
      <c r="T429" s="189" t="s">
        <v>253</v>
      </c>
      <c r="U429" s="189" t="s">
        <v>253</v>
      </c>
      <c r="V429" s="189" t="s">
        <v>253</v>
      </c>
      <c r="W429" s="189" t="s">
        <v>253</v>
      </c>
      <c r="X429" s="189" t="s">
        <v>837</v>
      </c>
      <c r="Y429" s="189" t="s">
        <v>838</v>
      </c>
    </row>
    <row r="430" spans="1:25" x14ac:dyDescent="0.2">
      <c r="A430" s="189">
        <v>581</v>
      </c>
      <c r="B430" s="189" t="s">
        <v>359</v>
      </c>
      <c r="C430" s="189" t="s">
        <v>365</v>
      </c>
      <c r="D430" s="189" t="s">
        <v>365</v>
      </c>
      <c r="E430" s="189" t="s">
        <v>268</v>
      </c>
      <c r="F430" s="189" t="s">
        <v>537</v>
      </c>
      <c r="G430" s="189" t="s">
        <v>264</v>
      </c>
      <c r="H430" s="189" t="s">
        <v>256</v>
      </c>
      <c r="I430" s="189">
        <v>25350</v>
      </c>
      <c r="J430" s="189">
        <v>357.44380312215998</v>
      </c>
      <c r="K430" s="189">
        <v>607.35721941292604</v>
      </c>
      <c r="L430" s="189">
        <v>-26.77</v>
      </c>
      <c r="M430" s="189">
        <v>-13.45</v>
      </c>
      <c r="N430" s="189">
        <v>118</v>
      </c>
      <c r="O430" s="189" t="s">
        <v>568</v>
      </c>
      <c r="P430" s="189" t="s">
        <v>569</v>
      </c>
      <c r="Q430" s="189" t="s">
        <v>253</v>
      </c>
      <c r="R430" s="189" t="s">
        <v>253</v>
      </c>
      <c r="S430" s="189" t="s">
        <v>253</v>
      </c>
      <c r="T430" s="189" t="s">
        <v>261</v>
      </c>
      <c r="U430" s="189" t="s">
        <v>258</v>
      </c>
      <c r="V430" s="189" t="s">
        <v>253</v>
      </c>
      <c r="W430" s="189" t="s">
        <v>253</v>
      </c>
      <c r="X430" s="189" t="s">
        <v>570</v>
      </c>
      <c r="Y430" s="189" t="s">
        <v>571</v>
      </c>
    </row>
    <row r="431" spans="1:25" x14ac:dyDescent="0.2">
      <c r="A431" s="189">
        <v>583</v>
      </c>
      <c r="B431" s="189" t="s">
        <v>360</v>
      </c>
      <c r="C431" s="189" t="s">
        <v>50</v>
      </c>
      <c r="D431" s="189" t="s">
        <v>50</v>
      </c>
      <c r="E431" s="189" t="s">
        <v>268</v>
      </c>
      <c r="F431" s="189" t="s">
        <v>537</v>
      </c>
      <c r="G431" s="189" t="s">
        <v>265</v>
      </c>
      <c r="H431" s="189" t="s">
        <v>256</v>
      </c>
      <c r="I431" s="189">
        <v>33357</v>
      </c>
      <c r="J431" s="189">
        <v>565.35422014975302</v>
      </c>
      <c r="K431" s="189">
        <v>822.52688810683799</v>
      </c>
      <c r="L431" s="189">
        <v>-33.729999999999997</v>
      </c>
      <c r="M431" s="189">
        <v>-6.74</v>
      </c>
      <c r="N431" s="189">
        <v>118</v>
      </c>
      <c r="O431" s="189" t="s">
        <v>554</v>
      </c>
      <c r="P431" s="189" t="s">
        <v>555</v>
      </c>
      <c r="Q431" s="189" t="s">
        <v>253</v>
      </c>
      <c r="R431" s="189" t="s">
        <v>253</v>
      </c>
      <c r="S431" s="189" t="s">
        <v>257</v>
      </c>
      <c r="T431" s="189" t="s">
        <v>261</v>
      </c>
      <c r="U431" s="189" t="s">
        <v>258</v>
      </c>
      <c r="V431" s="189" t="s">
        <v>253</v>
      </c>
      <c r="W431" s="189" t="s">
        <v>266</v>
      </c>
      <c r="X431" s="189" t="s">
        <v>580</v>
      </c>
      <c r="Y431" s="189" t="s">
        <v>581</v>
      </c>
    </row>
    <row r="432" spans="1:25" x14ac:dyDescent="0.2">
      <c r="A432" s="189">
        <v>584</v>
      </c>
      <c r="B432" s="189" t="s">
        <v>361</v>
      </c>
      <c r="C432" s="189" t="s">
        <v>431</v>
      </c>
      <c r="D432" s="189" t="s">
        <v>432</v>
      </c>
      <c r="E432" s="189" t="s">
        <v>268</v>
      </c>
      <c r="F432" s="189" t="s">
        <v>537</v>
      </c>
      <c r="G432" s="189" t="s">
        <v>306</v>
      </c>
      <c r="H432" s="189" t="s">
        <v>256</v>
      </c>
      <c r="I432" s="189">
        <v>6268</v>
      </c>
      <c r="J432" s="189">
        <v>326.36330738191202</v>
      </c>
      <c r="K432" s="189">
        <v>827.606418093191</v>
      </c>
      <c r="L432" s="189">
        <v>-33.9</v>
      </c>
      <c r="M432" s="189">
        <v>-14.46</v>
      </c>
      <c r="N432" s="189">
        <v>554</v>
      </c>
      <c r="O432" s="189" t="s">
        <v>538</v>
      </c>
      <c r="P432" s="189" t="s">
        <v>539</v>
      </c>
      <c r="Q432" s="189" t="s">
        <v>253</v>
      </c>
      <c r="R432" s="189" t="s">
        <v>253</v>
      </c>
      <c r="S432" s="189" t="s">
        <v>253</v>
      </c>
      <c r="T432" s="189" t="s">
        <v>253</v>
      </c>
      <c r="U432" s="189" t="s">
        <v>253</v>
      </c>
      <c r="V432" s="189" t="s">
        <v>253</v>
      </c>
      <c r="W432" s="189" t="s">
        <v>253</v>
      </c>
      <c r="X432" s="189" t="s">
        <v>865</v>
      </c>
      <c r="Y432" s="189" t="s">
        <v>866</v>
      </c>
    </row>
    <row r="433" spans="1:25" x14ac:dyDescent="0.2">
      <c r="A433" s="189">
        <v>587</v>
      </c>
      <c r="B433" s="189" t="s">
        <v>362</v>
      </c>
      <c r="C433" s="189" t="s">
        <v>431</v>
      </c>
      <c r="D433" s="189" t="s">
        <v>432</v>
      </c>
      <c r="E433" s="189" t="s">
        <v>268</v>
      </c>
      <c r="F433" s="189" t="s">
        <v>537</v>
      </c>
      <c r="G433" s="189" t="s">
        <v>306</v>
      </c>
      <c r="H433" s="189" t="s">
        <v>256</v>
      </c>
      <c r="I433" s="189">
        <v>4459</v>
      </c>
      <c r="J433" s="189">
        <v>309.022842945744</v>
      </c>
      <c r="K433" s="189">
        <v>901.38610459994004</v>
      </c>
      <c r="L433" s="189">
        <v>-36.29</v>
      </c>
      <c r="M433" s="189">
        <v>-15.02</v>
      </c>
      <c r="N433" s="189">
        <v>82</v>
      </c>
      <c r="O433" s="189" t="s">
        <v>542</v>
      </c>
      <c r="P433" s="189" t="s">
        <v>543</v>
      </c>
      <c r="Q433" s="189" t="s">
        <v>253</v>
      </c>
      <c r="R433" s="189" t="s">
        <v>253</v>
      </c>
      <c r="S433" s="189" t="s">
        <v>253</v>
      </c>
      <c r="T433" s="189" t="s">
        <v>253</v>
      </c>
      <c r="U433" s="189" t="s">
        <v>258</v>
      </c>
      <c r="V433" s="189" t="s">
        <v>253</v>
      </c>
      <c r="W433" s="189" t="s">
        <v>253</v>
      </c>
      <c r="X433" s="189" t="s">
        <v>867</v>
      </c>
      <c r="Y433" s="189" t="s">
        <v>868</v>
      </c>
    </row>
    <row r="434" spans="1:25" x14ac:dyDescent="0.2">
      <c r="A434" s="189">
        <v>603</v>
      </c>
      <c r="B434" s="189" t="s">
        <v>469</v>
      </c>
      <c r="C434" s="189" t="s">
        <v>469</v>
      </c>
      <c r="D434" s="189" t="s">
        <v>469</v>
      </c>
      <c r="E434" s="189" t="s">
        <v>268</v>
      </c>
      <c r="F434" s="189" t="s">
        <v>537</v>
      </c>
      <c r="G434" s="189" t="s">
        <v>265</v>
      </c>
      <c r="H434" s="189" t="s">
        <v>256</v>
      </c>
      <c r="I434" s="189">
        <v>2675</v>
      </c>
      <c r="J434" s="189">
        <v>633.78191146015399</v>
      </c>
      <c r="K434" s="189">
        <v>839.92573794514897</v>
      </c>
      <c r="L434" s="189">
        <v>-34.299999999999997</v>
      </c>
      <c r="M434" s="189">
        <v>-4.53</v>
      </c>
      <c r="N434" s="189">
        <v>161</v>
      </c>
      <c r="O434" s="189" t="s">
        <v>542</v>
      </c>
      <c r="P434" s="189" t="s">
        <v>543</v>
      </c>
      <c r="Q434" s="189" t="s">
        <v>253</v>
      </c>
      <c r="R434" s="189" t="s">
        <v>253</v>
      </c>
      <c r="S434" s="189" t="s">
        <v>257</v>
      </c>
      <c r="T434" s="189" t="s">
        <v>253</v>
      </c>
      <c r="U434" s="189" t="s">
        <v>253</v>
      </c>
      <c r="V434" s="189" t="s">
        <v>253</v>
      </c>
      <c r="W434" s="189" t="s">
        <v>253</v>
      </c>
      <c r="X434" s="189" t="s">
        <v>665</v>
      </c>
      <c r="Y434" s="189" t="s">
        <v>666</v>
      </c>
    </row>
    <row r="435" spans="1:25" x14ac:dyDescent="0.2">
      <c r="A435" s="189">
        <v>604</v>
      </c>
      <c r="B435" s="189" t="s">
        <v>364</v>
      </c>
      <c r="C435" s="189" t="s">
        <v>443</v>
      </c>
      <c r="D435" s="189" t="s">
        <v>444</v>
      </c>
      <c r="E435" s="189" t="s">
        <v>268</v>
      </c>
      <c r="F435" s="189" t="s">
        <v>537</v>
      </c>
      <c r="G435" s="189" t="s">
        <v>255</v>
      </c>
      <c r="H435" s="189" t="s">
        <v>256</v>
      </c>
      <c r="I435" s="189">
        <v>1954</v>
      </c>
      <c r="J435" s="189">
        <v>405.02790586787398</v>
      </c>
      <c r="K435" s="189">
        <v>850.27941592499303</v>
      </c>
      <c r="L435" s="189">
        <v>-34.630000000000003</v>
      </c>
      <c r="M435" s="189">
        <v>-11.92</v>
      </c>
      <c r="N435" s="189">
        <v>210</v>
      </c>
      <c r="O435" s="189" t="s">
        <v>542</v>
      </c>
      <c r="P435" s="189" t="s">
        <v>543</v>
      </c>
      <c r="Q435" s="189" t="s">
        <v>253</v>
      </c>
      <c r="R435" s="189" t="s">
        <v>253</v>
      </c>
      <c r="S435" s="189" t="s">
        <v>257</v>
      </c>
      <c r="T435" s="189" t="s">
        <v>253</v>
      </c>
      <c r="U435" s="189" t="s">
        <v>258</v>
      </c>
      <c r="V435" s="189" t="s">
        <v>253</v>
      </c>
      <c r="W435" s="189" t="s">
        <v>253</v>
      </c>
      <c r="X435" s="189" t="s">
        <v>629</v>
      </c>
      <c r="Y435" s="189" t="s">
        <v>630</v>
      </c>
    </row>
    <row r="436" spans="1:25" x14ac:dyDescent="0.2">
      <c r="A436" s="189">
        <v>620</v>
      </c>
      <c r="B436" s="189" t="s">
        <v>365</v>
      </c>
      <c r="C436" s="189" t="s">
        <v>365</v>
      </c>
      <c r="D436" s="189" t="s">
        <v>365</v>
      </c>
      <c r="E436" s="189" t="s">
        <v>268</v>
      </c>
      <c r="F436" s="189" t="s">
        <v>537</v>
      </c>
      <c r="G436" s="189" t="s">
        <v>264</v>
      </c>
      <c r="H436" s="189" t="s">
        <v>256</v>
      </c>
      <c r="I436" s="189">
        <v>53796</v>
      </c>
      <c r="J436" s="189">
        <v>366.25</v>
      </c>
      <c r="K436" s="189">
        <v>659.25</v>
      </c>
      <c r="L436" s="189">
        <v>-28.45</v>
      </c>
      <c r="M436" s="189">
        <v>-13.17</v>
      </c>
      <c r="N436" s="189">
        <v>118</v>
      </c>
      <c r="O436" s="189" t="s">
        <v>564</v>
      </c>
      <c r="P436" s="189" t="s">
        <v>565</v>
      </c>
      <c r="Q436" s="189" t="s">
        <v>253</v>
      </c>
      <c r="R436" s="189" t="s">
        <v>259</v>
      </c>
      <c r="S436" s="189" t="s">
        <v>257</v>
      </c>
      <c r="T436" s="189" t="s">
        <v>253</v>
      </c>
      <c r="U436" s="189" t="s">
        <v>258</v>
      </c>
      <c r="V436" s="189" t="s">
        <v>253</v>
      </c>
      <c r="W436" s="189" t="s">
        <v>253</v>
      </c>
      <c r="X436" s="189" t="s">
        <v>572</v>
      </c>
      <c r="Y436" s="189" t="s">
        <v>573</v>
      </c>
    </row>
    <row r="437" spans="1:25" x14ac:dyDescent="0.2">
      <c r="A437" s="189">
        <v>624</v>
      </c>
      <c r="B437" s="189" t="s">
        <v>366</v>
      </c>
      <c r="C437" s="189" t="s">
        <v>476</v>
      </c>
      <c r="D437" s="189" t="s">
        <v>298</v>
      </c>
      <c r="E437" s="189" t="s">
        <v>268</v>
      </c>
      <c r="F437" s="189" t="s">
        <v>537</v>
      </c>
      <c r="G437" s="189" t="s">
        <v>260</v>
      </c>
      <c r="H437" s="189" t="s">
        <v>256</v>
      </c>
      <c r="I437" s="189">
        <v>16602</v>
      </c>
      <c r="J437" s="189">
        <v>733.56256372079895</v>
      </c>
      <c r="K437" s="189">
        <v>843.21478226581303</v>
      </c>
      <c r="L437" s="189">
        <v>-34.4</v>
      </c>
      <c r="M437" s="189">
        <v>-1.31</v>
      </c>
      <c r="N437" s="189">
        <v>397</v>
      </c>
      <c r="O437" s="189" t="s">
        <v>538</v>
      </c>
      <c r="P437" s="189" t="s">
        <v>539</v>
      </c>
      <c r="Q437" s="189" t="s">
        <v>253</v>
      </c>
      <c r="R437" s="189" t="s">
        <v>253</v>
      </c>
      <c r="S437" s="189" t="s">
        <v>257</v>
      </c>
      <c r="T437" s="189" t="s">
        <v>253</v>
      </c>
      <c r="U437" s="189" t="s">
        <v>258</v>
      </c>
      <c r="V437" s="189" t="s">
        <v>253</v>
      </c>
      <c r="W437" s="189" t="s">
        <v>253</v>
      </c>
      <c r="X437" s="189" t="s">
        <v>762</v>
      </c>
      <c r="Y437" s="189" t="s">
        <v>763</v>
      </c>
    </row>
    <row r="438" spans="1:25" x14ac:dyDescent="0.2">
      <c r="A438" s="189">
        <v>625</v>
      </c>
      <c r="B438" s="189" t="s">
        <v>367</v>
      </c>
      <c r="C438" s="189" t="s">
        <v>443</v>
      </c>
      <c r="D438" s="189" t="s">
        <v>444</v>
      </c>
      <c r="E438" s="189" t="s">
        <v>268</v>
      </c>
      <c r="F438" s="189" t="s">
        <v>537</v>
      </c>
      <c r="G438" s="189" t="s">
        <v>306</v>
      </c>
      <c r="H438" s="189" t="s">
        <v>256</v>
      </c>
      <c r="I438" s="189">
        <v>4974</v>
      </c>
      <c r="J438" s="189">
        <v>411.54760910706199</v>
      </c>
      <c r="K438" s="189">
        <v>859.660003869138</v>
      </c>
      <c r="L438" s="189">
        <v>-34.94</v>
      </c>
      <c r="M438" s="189">
        <v>-11.71</v>
      </c>
      <c r="N438" s="189">
        <v>30</v>
      </c>
      <c r="O438" s="189" t="s">
        <v>542</v>
      </c>
      <c r="P438" s="189" t="s">
        <v>543</v>
      </c>
      <c r="Q438" s="189" t="s">
        <v>253</v>
      </c>
      <c r="R438" s="189" t="s">
        <v>253</v>
      </c>
      <c r="S438" s="189" t="s">
        <v>253</v>
      </c>
      <c r="T438" s="189" t="s">
        <v>261</v>
      </c>
      <c r="U438" s="189" t="s">
        <v>253</v>
      </c>
      <c r="V438" s="189" t="s">
        <v>253</v>
      </c>
      <c r="W438" s="189" t="s">
        <v>253</v>
      </c>
      <c r="X438" s="189" t="s">
        <v>631</v>
      </c>
      <c r="Y438" s="189" t="s">
        <v>632</v>
      </c>
    </row>
    <row r="439" spans="1:25" x14ac:dyDescent="0.2">
      <c r="A439" s="189">
        <v>646</v>
      </c>
      <c r="B439" s="189" t="s">
        <v>368</v>
      </c>
      <c r="C439" s="189" t="s">
        <v>482</v>
      </c>
      <c r="D439" s="189" t="s">
        <v>483</v>
      </c>
      <c r="E439" s="189" t="s">
        <v>268</v>
      </c>
      <c r="F439" s="189" t="s">
        <v>537</v>
      </c>
      <c r="G439" s="189" t="s">
        <v>260</v>
      </c>
      <c r="H439" s="189" t="s">
        <v>256</v>
      </c>
      <c r="I439" s="189">
        <v>13225</v>
      </c>
      <c r="J439" s="189">
        <v>843.13250174058203</v>
      </c>
      <c r="K439" s="189">
        <v>784.40122050812499</v>
      </c>
      <c r="L439" s="189">
        <v>-32.5</v>
      </c>
      <c r="M439" s="189">
        <v>2.23</v>
      </c>
      <c r="N439" s="189">
        <v>266</v>
      </c>
      <c r="O439" s="189" t="s">
        <v>542</v>
      </c>
      <c r="P439" s="189" t="s">
        <v>543</v>
      </c>
      <c r="Q439" s="189" t="s">
        <v>253</v>
      </c>
      <c r="R439" s="189" t="s">
        <v>253</v>
      </c>
      <c r="S439" s="189" t="s">
        <v>253</v>
      </c>
      <c r="T439" s="189" t="s">
        <v>253</v>
      </c>
      <c r="U439" s="189" t="s">
        <v>253</v>
      </c>
      <c r="V439" s="189" t="s">
        <v>253</v>
      </c>
      <c r="W439" s="189" t="s">
        <v>253</v>
      </c>
      <c r="X439" s="189" t="s">
        <v>775</v>
      </c>
      <c r="Y439" s="189" t="s">
        <v>776</v>
      </c>
    </row>
    <row r="440" spans="1:25" x14ac:dyDescent="0.2">
      <c r="A440" s="189">
        <v>647</v>
      </c>
      <c r="B440" s="189" t="s">
        <v>369</v>
      </c>
      <c r="C440" s="189" t="s">
        <v>443</v>
      </c>
      <c r="D440" s="189" t="s">
        <v>444</v>
      </c>
      <c r="E440" s="189" t="s">
        <v>268</v>
      </c>
      <c r="F440" s="189" t="s">
        <v>537</v>
      </c>
      <c r="G440" s="189" t="s">
        <v>306</v>
      </c>
      <c r="H440" s="189" t="s">
        <v>256</v>
      </c>
      <c r="I440" s="189">
        <v>17676</v>
      </c>
      <c r="J440" s="189">
        <v>354.174220602209</v>
      </c>
      <c r="K440" s="189">
        <v>829.08551494745404</v>
      </c>
      <c r="L440" s="189">
        <v>-33.950000000000003</v>
      </c>
      <c r="M440" s="189">
        <v>-13.56</v>
      </c>
      <c r="N440" s="189">
        <v>161</v>
      </c>
      <c r="O440" s="189" t="s">
        <v>542</v>
      </c>
      <c r="P440" s="189" t="s">
        <v>543</v>
      </c>
      <c r="Q440" s="189" t="s">
        <v>253</v>
      </c>
      <c r="R440" s="189" t="s">
        <v>253</v>
      </c>
      <c r="S440" s="189" t="s">
        <v>253</v>
      </c>
      <c r="T440" s="189" t="s">
        <v>261</v>
      </c>
      <c r="U440" s="189" t="s">
        <v>253</v>
      </c>
      <c r="V440" s="189" t="s">
        <v>253</v>
      </c>
      <c r="W440" s="189" t="s">
        <v>253</v>
      </c>
      <c r="X440" s="189" t="s">
        <v>633</v>
      </c>
      <c r="Y440" s="189" t="s">
        <v>634</v>
      </c>
    </row>
    <row r="441" spans="1:25" x14ac:dyDescent="0.2">
      <c r="A441" s="189">
        <v>658</v>
      </c>
      <c r="B441" s="189" t="s">
        <v>370</v>
      </c>
      <c r="C441" s="189" t="s">
        <v>278</v>
      </c>
      <c r="D441" s="189" t="s">
        <v>278</v>
      </c>
      <c r="E441" s="189" t="s">
        <v>268</v>
      </c>
      <c r="F441" s="189" t="s">
        <v>537</v>
      </c>
      <c r="G441" s="189" t="s">
        <v>264</v>
      </c>
      <c r="H441" s="189" t="s">
        <v>256</v>
      </c>
      <c r="I441" s="189">
        <v>1958</v>
      </c>
      <c r="J441" s="189">
        <v>410.12689765494099</v>
      </c>
      <c r="K441" s="189">
        <v>528.28392311197001</v>
      </c>
      <c r="L441" s="189">
        <v>-24.21</v>
      </c>
      <c r="M441" s="189">
        <v>-11.75</v>
      </c>
      <c r="N441" s="189">
        <v>82</v>
      </c>
      <c r="O441" s="189" t="s">
        <v>602</v>
      </c>
      <c r="P441" s="189" t="s">
        <v>603</v>
      </c>
      <c r="Q441" s="189" t="s">
        <v>253</v>
      </c>
      <c r="R441" s="189" t="s">
        <v>253</v>
      </c>
      <c r="S441" s="189" t="s">
        <v>253</v>
      </c>
      <c r="T441" s="189" t="s">
        <v>261</v>
      </c>
      <c r="U441" s="189" t="s">
        <v>258</v>
      </c>
      <c r="V441" s="189" t="s">
        <v>253</v>
      </c>
      <c r="W441" s="189" t="s">
        <v>253</v>
      </c>
      <c r="X441" s="189" t="s">
        <v>604</v>
      </c>
      <c r="Y441" s="189" t="s">
        <v>605</v>
      </c>
    </row>
    <row r="442" spans="1:25" x14ac:dyDescent="0.2">
      <c r="A442" s="189">
        <v>660</v>
      </c>
      <c r="B442" s="189" t="s">
        <v>371</v>
      </c>
      <c r="C442" s="189" t="s">
        <v>411</v>
      </c>
      <c r="D442" s="189" t="s">
        <v>411</v>
      </c>
      <c r="E442" s="189" t="s">
        <v>268</v>
      </c>
      <c r="F442" s="189" t="s">
        <v>537</v>
      </c>
      <c r="G442" s="189" t="s">
        <v>294</v>
      </c>
      <c r="H442" s="189" t="s">
        <v>256</v>
      </c>
      <c r="I442" s="189">
        <v>12334</v>
      </c>
      <c r="J442" s="189">
        <v>1169.5847469171099</v>
      </c>
      <c r="K442" s="189">
        <v>724.78972492116304</v>
      </c>
      <c r="L442" s="189">
        <v>-30.57</v>
      </c>
      <c r="M442" s="189">
        <v>12.78</v>
      </c>
      <c r="N442" s="189">
        <v>210</v>
      </c>
      <c r="O442" s="189" t="s">
        <v>550</v>
      </c>
      <c r="P442" s="189" t="s">
        <v>551</v>
      </c>
      <c r="Q442" s="189" t="s">
        <v>253</v>
      </c>
      <c r="R442" s="189" t="s">
        <v>253</v>
      </c>
      <c r="S442" s="189" t="s">
        <v>257</v>
      </c>
      <c r="T442" s="189" t="s">
        <v>253</v>
      </c>
      <c r="U442" s="189" t="s">
        <v>253</v>
      </c>
      <c r="V442" s="189" t="s">
        <v>253</v>
      </c>
      <c r="W442" s="189" t="s">
        <v>253</v>
      </c>
      <c r="X442" s="189" t="s">
        <v>675</v>
      </c>
      <c r="Y442" s="189" t="s">
        <v>676</v>
      </c>
    </row>
    <row r="443" spans="1:25" x14ac:dyDescent="0.2">
      <c r="A443" s="189">
        <v>662</v>
      </c>
      <c r="B443" s="189" t="s">
        <v>372</v>
      </c>
      <c r="C443" s="189" t="s">
        <v>50</v>
      </c>
      <c r="D443" s="189" t="s">
        <v>50</v>
      </c>
      <c r="E443" s="189" t="s">
        <v>268</v>
      </c>
      <c r="F443" s="189" t="s">
        <v>537</v>
      </c>
      <c r="G443" s="189" t="s">
        <v>265</v>
      </c>
      <c r="H443" s="189" t="s">
        <v>256</v>
      </c>
      <c r="I443" s="189">
        <v>19353</v>
      </c>
      <c r="J443" s="189">
        <v>525.98299730534404</v>
      </c>
      <c r="K443" s="189">
        <v>919.97212428180399</v>
      </c>
      <c r="L443" s="189">
        <v>-36.89</v>
      </c>
      <c r="M443" s="189">
        <v>-8.01</v>
      </c>
      <c r="N443" s="189">
        <v>52</v>
      </c>
      <c r="O443" s="189" t="s">
        <v>538</v>
      </c>
      <c r="P443" s="189" t="s">
        <v>539</v>
      </c>
      <c r="Q443" s="189" t="s">
        <v>253</v>
      </c>
      <c r="R443" s="189" t="s">
        <v>253</v>
      </c>
      <c r="S443" s="189" t="s">
        <v>257</v>
      </c>
      <c r="T443" s="189" t="s">
        <v>261</v>
      </c>
      <c r="U443" s="189" t="s">
        <v>253</v>
      </c>
      <c r="V443" s="189" t="s">
        <v>253</v>
      </c>
      <c r="W443" s="189" t="s">
        <v>253</v>
      </c>
      <c r="X443" s="189" t="s">
        <v>582</v>
      </c>
      <c r="Y443" s="189" t="s">
        <v>583</v>
      </c>
    </row>
    <row r="444" spans="1:25" x14ac:dyDescent="0.2">
      <c r="A444" s="189">
        <v>682</v>
      </c>
      <c r="B444" s="189" t="s">
        <v>373</v>
      </c>
      <c r="C444" s="189" t="s">
        <v>491</v>
      </c>
      <c r="D444" s="189" t="s">
        <v>491</v>
      </c>
      <c r="E444" s="189" t="s">
        <v>268</v>
      </c>
      <c r="F444" s="189" t="s">
        <v>537</v>
      </c>
      <c r="G444" s="189" t="s">
        <v>260</v>
      </c>
      <c r="H444" s="189" t="s">
        <v>256</v>
      </c>
      <c r="I444" s="189">
        <v>2101</v>
      </c>
      <c r="J444" s="189">
        <v>1007.0008637524001</v>
      </c>
      <c r="K444" s="189">
        <v>776.59703842181398</v>
      </c>
      <c r="L444" s="189">
        <v>-32.25</v>
      </c>
      <c r="M444" s="189">
        <v>7.53</v>
      </c>
      <c r="N444" s="189">
        <v>554</v>
      </c>
      <c r="O444" s="189" t="s">
        <v>542</v>
      </c>
      <c r="P444" s="189" t="s">
        <v>543</v>
      </c>
      <c r="Q444" s="189" t="s">
        <v>253</v>
      </c>
      <c r="R444" s="189" t="s">
        <v>253</v>
      </c>
      <c r="S444" s="189" t="s">
        <v>257</v>
      </c>
      <c r="T444" s="189" t="s">
        <v>253</v>
      </c>
      <c r="U444" s="189" t="s">
        <v>253</v>
      </c>
      <c r="V444" s="189" t="s">
        <v>253</v>
      </c>
      <c r="W444" s="189" t="s">
        <v>253</v>
      </c>
      <c r="X444" s="189" t="s">
        <v>821</v>
      </c>
      <c r="Y444" s="189" t="s">
        <v>822</v>
      </c>
    </row>
    <row r="445" spans="1:25" x14ac:dyDescent="0.2">
      <c r="A445" s="189">
        <v>692</v>
      </c>
      <c r="B445" s="189" t="s">
        <v>493</v>
      </c>
      <c r="C445" s="189" t="s">
        <v>493</v>
      </c>
      <c r="D445" s="189" t="s">
        <v>493</v>
      </c>
      <c r="E445" s="189" t="s">
        <v>268</v>
      </c>
      <c r="F445" s="189" t="s">
        <v>537</v>
      </c>
      <c r="G445" s="189" t="s">
        <v>294</v>
      </c>
      <c r="H445" s="189" t="s">
        <v>256</v>
      </c>
      <c r="I445" s="189">
        <v>26830</v>
      </c>
      <c r="J445" s="189">
        <v>993.82522466903401</v>
      </c>
      <c r="K445" s="189">
        <v>627.753186561191</v>
      </c>
      <c r="L445" s="189">
        <v>-27.43</v>
      </c>
      <c r="M445" s="189">
        <v>7.1</v>
      </c>
      <c r="N445" s="189">
        <v>1184</v>
      </c>
      <c r="O445" s="189" t="s">
        <v>554</v>
      </c>
      <c r="P445" s="189" t="s">
        <v>555</v>
      </c>
      <c r="Q445" s="189" t="s">
        <v>253</v>
      </c>
      <c r="R445" s="189" t="s">
        <v>253</v>
      </c>
      <c r="S445" s="189" t="s">
        <v>257</v>
      </c>
      <c r="T445" s="189" t="s">
        <v>261</v>
      </c>
      <c r="U445" s="189" t="s">
        <v>258</v>
      </c>
      <c r="V445" s="189" t="s">
        <v>297</v>
      </c>
      <c r="W445" s="189" t="s">
        <v>266</v>
      </c>
      <c r="X445" s="189" t="s">
        <v>857</v>
      </c>
      <c r="Y445" s="189" t="s">
        <v>858</v>
      </c>
    </row>
    <row r="446" spans="1:25" x14ac:dyDescent="0.2">
      <c r="A446" s="189">
        <v>720</v>
      </c>
      <c r="B446" s="189" t="s">
        <v>375</v>
      </c>
      <c r="C446" s="189" t="s">
        <v>431</v>
      </c>
      <c r="D446" s="189" t="s">
        <v>432</v>
      </c>
      <c r="E446" s="189" t="s">
        <v>268</v>
      </c>
      <c r="F446" s="189" t="s">
        <v>537</v>
      </c>
      <c r="G446" s="189" t="s">
        <v>306</v>
      </c>
      <c r="H446" s="189" t="s">
        <v>256</v>
      </c>
      <c r="I446" s="189">
        <v>12238</v>
      </c>
      <c r="J446" s="189">
        <v>266.94642980208999</v>
      </c>
      <c r="K446" s="189">
        <v>820.07470121687504</v>
      </c>
      <c r="L446" s="189">
        <v>-33.65</v>
      </c>
      <c r="M446" s="189">
        <v>-16.38</v>
      </c>
      <c r="N446" s="189">
        <v>840</v>
      </c>
      <c r="O446" s="189" t="s">
        <v>542</v>
      </c>
      <c r="P446" s="189" t="s">
        <v>543</v>
      </c>
      <c r="Q446" s="189" t="s">
        <v>253</v>
      </c>
      <c r="R446" s="189" t="s">
        <v>253</v>
      </c>
      <c r="S446" s="189" t="s">
        <v>253</v>
      </c>
      <c r="T446" s="189" t="s">
        <v>253</v>
      </c>
      <c r="U446" s="189" t="s">
        <v>253</v>
      </c>
      <c r="V446" s="189" t="s">
        <v>253</v>
      </c>
      <c r="W446" s="189" t="s">
        <v>253</v>
      </c>
      <c r="X446" s="189" t="s">
        <v>869</v>
      </c>
      <c r="Y446" s="189" t="s">
        <v>870</v>
      </c>
    </row>
    <row r="447" spans="1:25" x14ac:dyDescent="0.2">
      <c r="A447" s="189">
        <v>721</v>
      </c>
      <c r="B447" s="189" t="s">
        <v>376</v>
      </c>
      <c r="C447" s="189" t="s">
        <v>443</v>
      </c>
      <c r="D447" s="189" t="s">
        <v>444</v>
      </c>
      <c r="E447" s="189" t="s">
        <v>268</v>
      </c>
      <c r="F447" s="189" t="s">
        <v>537</v>
      </c>
      <c r="G447" s="189" t="s">
        <v>306</v>
      </c>
      <c r="H447" s="189" t="s">
        <v>256</v>
      </c>
      <c r="I447" s="189">
        <v>2191</v>
      </c>
      <c r="J447" s="189">
        <v>369.08195994912802</v>
      </c>
      <c r="K447" s="189">
        <v>857.07158437417695</v>
      </c>
      <c r="L447" s="189">
        <v>-34.85</v>
      </c>
      <c r="M447" s="189">
        <v>-13.08</v>
      </c>
      <c r="N447" s="189">
        <v>266</v>
      </c>
      <c r="O447" s="189" t="s">
        <v>542</v>
      </c>
      <c r="P447" s="189" t="s">
        <v>543</v>
      </c>
      <c r="Q447" s="189" t="s">
        <v>253</v>
      </c>
      <c r="R447" s="189" t="s">
        <v>253</v>
      </c>
      <c r="S447" s="189" t="s">
        <v>257</v>
      </c>
      <c r="T447" s="189" t="s">
        <v>253</v>
      </c>
      <c r="U447" s="189" t="s">
        <v>253</v>
      </c>
      <c r="V447" s="189" t="s">
        <v>253</v>
      </c>
      <c r="W447" s="189" t="s">
        <v>253</v>
      </c>
      <c r="X447" s="189" t="s">
        <v>635</v>
      </c>
      <c r="Y447" s="189" t="s">
        <v>636</v>
      </c>
    </row>
    <row r="448" spans="1:25" x14ac:dyDescent="0.2">
      <c r="A448" s="189">
        <v>734</v>
      </c>
      <c r="B448" s="189" t="s">
        <v>377</v>
      </c>
      <c r="C448" s="189" t="s">
        <v>450</v>
      </c>
      <c r="D448" s="189" t="s">
        <v>451</v>
      </c>
      <c r="E448" s="189" t="s">
        <v>268</v>
      </c>
      <c r="F448" s="189" t="s">
        <v>537</v>
      </c>
      <c r="G448" s="189" t="s">
        <v>264</v>
      </c>
      <c r="H448" s="189" t="s">
        <v>256</v>
      </c>
      <c r="I448" s="189">
        <v>11279</v>
      </c>
      <c r="J448" s="189">
        <v>280.10260708474999</v>
      </c>
      <c r="K448" s="189">
        <v>661.63618160425403</v>
      </c>
      <c r="L448" s="189">
        <v>-28.52</v>
      </c>
      <c r="M448" s="189">
        <v>-15.95</v>
      </c>
      <c r="N448" s="189">
        <v>397</v>
      </c>
      <c r="O448" s="189" t="s">
        <v>550</v>
      </c>
      <c r="P448" s="189" t="s">
        <v>551</v>
      </c>
      <c r="Q448" s="189" t="s">
        <v>253</v>
      </c>
      <c r="R448" s="189" t="s">
        <v>253</v>
      </c>
      <c r="S448" s="189" t="s">
        <v>253</v>
      </c>
      <c r="T448" s="189" t="s">
        <v>261</v>
      </c>
      <c r="U448" s="189" t="s">
        <v>253</v>
      </c>
      <c r="V448" s="189" t="s">
        <v>253</v>
      </c>
      <c r="W448" s="189" t="s">
        <v>253</v>
      </c>
      <c r="X448" s="189" t="s">
        <v>708</v>
      </c>
      <c r="Y448" s="189" t="s">
        <v>709</v>
      </c>
    </row>
    <row r="449" spans="1:25" x14ac:dyDescent="0.2">
      <c r="A449" s="189">
        <v>735</v>
      </c>
      <c r="B449" s="189" t="s">
        <v>378</v>
      </c>
      <c r="C449" s="189" t="s">
        <v>473</v>
      </c>
      <c r="D449" s="189" t="s">
        <v>473</v>
      </c>
      <c r="E449" s="189" t="s">
        <v>268</v>
      </c>
      <c r="F449" s="189" t="s">
        <v>537</v>
      </c>
      <c r="G449" s="189" t="s">
        <v>260</v>
      </c>
      <c r="H449" s="189" t="s">
        <v>256</v>
      </c>
      <c r="I449" s="189">
        <v>15815</v>
      </c>
      <c r="J449" s="189">
        <v>729.86482158514002</v>
      </c>
      <c r="K449" s="189">
        <v>722.92139205261901</v>
      </c>
      <c r="L449" s="189">
        <v>-30.51</v>
      </c>
      <c r="M449" s="189">
        <v>-1.43</v>
      </c>
      <c r="N449" s="189">
        <v>948</v>
      </c>
      <c r="O449" s="189" t="s">
        <v>542</v>
      </c>
      <c r="P449" s="189" t="s">
        <v>543</v>
      </c>
      <c r="Q449" s="189" t="s">
        <v>253</v>
      </c>
      <c r="R449" s="189" t="s">
        <v>253</v>
      </c>
      <c r="S449" s="189" t="s">
        <v>257</v>
      </c>
      <c r="T449" s="189" t="s">
        <v>261</v>
      </c>
      <c r="U449" s="189" t="s">
        <v>253</v>
      </c>
      <c r="V449" s="189" t="s">
        <v>253</v>
      </c>
      <c r="W449" s="189" t="s">
        <v>253</v>
      </c>
      <c r="X449" s="189" t="s">
        <v>781</v>
      </c>
      <c r="Y449" s="189" t="s">
        <v>782</v>
      </c>
    </row>
    <row r="450" spans="1:25" x14ac:dyDescent="0.2">
      <c r="A450" s="189">
        <v>736</v>
      </c>
      <c r="B450" s="189" t="s">
        <v>379</v>
      </c>
      <c r="C450" s="189" t="s">
        <v>331</v>
      </c>
      <c r="D450" s="189" t="s">
        <v>331</v>
      </c>
      <c r="E450" s="189" t="s">
        <v>268</v>
      </c>
      <c r="F450" s="189" t="s">
        <v>537</v>
      </c>
      <c r="G450" s="189" t="s">
        <v>294</v>
      </c>
      <c r="H450" s="189" t="s">
        <v>256</v>
      </c>
      <c r="I450" s="189">
        <v>2220</v>
      </c>
      <c r="J450" s="189">
        <v>1123.2461994170901</v>
      </c>
      <c r="K450" s="189">
        <v>743.08381759231702</v>
      </c>
      <c r="L450" s="189">
        <v>-31.16</v>
      </c>
      <c r="M450" s="189">
        <v>11.28</v>
      </c>
      <c r="N450" s="189">
        <v>328</v>
      </c>
      <c r="O450" s="189" t="s">
        <v>550</v>
      </c>
      <c r="P450" s="189" t="s">
        <v>551</v>
      </c>
      <c r="Q450" s="189" t="s">
        <v>253</v>
      </c>
      <c r="R450" s="189" t="s">
        <v>253</v>
      </c>
      <c r="S450" s="189" t="s">
        <v>253</v>
      </c>
      <c r="T450" s="189" t="s">
        <v>253</v>
      </c>
      <c r="U450" s="189" t="s">
        <v>253</v>
      </c>
      <c r="V450" s="189" t="s">
        <v>253</v>
      </c>
      <c r="W450" s="189" t="s">
        <v>253</v>
      </c>
      <c r="X450" s="189" t="s">
        <v>696</v>
      </c>
      <c r="Y450" s="189" t="s">
        <v>697</v>
      </c>
    </row>
    <row r="451" spans="1:25" x14ac:dyDescent="0.2">
      <c r="A451" s="189">
        <v>737</v>
      </c>
      <c r="B451" s="189" t="s">
        <v>380</v>
      </c>
      <c r="C451" s="189" t="s">
        <v>491</v>
      </c>
      <c r="D451" s="189" t="s">
        <v>491</v>
      </c>
      <c r="E451" s="189" t="s">
        <v>268</v>
      </c>
      <c r="F451" s="189" t="s">
        <v>537</v>
      </c>
      <c r="G451" s="189" t="s">
        <v>294</v>
      </c>
      <c r="H451" s="189" t="s">
        <v>256</v>
      </c>
      <c r="I451" s="189">
        <v>19306</v>
      </c>
      <c r="J451" s="189">
        <v>1040.9422441976101</v>
      </c>
      <c r="K451" s="189">
        <v>773.61938291257297</v>
      </c>
      <c r="L451" s="189">
        <v>-32.15</v>
      </c>
      <c r="M451" s="189">
        <v>8.6199999999999992</v>
      </c>
      <c r="N451" s="189">
        <v>328</v>
      </c>
      <c r="O451" s="189" t="s">
        <v>554</v>
      </c>
      <c r="P451" s="189" t="s">
        <v>555</v>
      </c>
      <c r="Q451" s="189" t="s">
        <v>253</v>
      </c>
      <c r="R451" s="189" t="s">
        <v>253</v>
      </c>
      <c r="S451" s="189" t="s">
        <v>257</v>
      </c>
      <c r="T451" s="189" t="s">
        <v>253</v>
      </c>
      <c r="U451" s="189" t="s">
        <v>258</v>
      </c>
      <c r="V451" s="189" t="s">
        <v>253</v>
      </c>
      <c r="W451" s="189" t="s">
        <v>253</v>
      </c>
      <c r="X451" s="189" t="s">
        <v>823</v>
      </c>
      <c r="Y451" s="189" t="s">
        <v>824</v>
      </c>
    </row>
    <row r="452" spans="1:25" x14ac:dyDescent="0.2">
      <c r="A452" s="189">
        <v>738</v>
      </c>
      <c r="B452" s="189" t="s">
        <v>381</v>
      </c>
      <c r="C452" s="189" t="s">
        <v>411</v>
      </c>
      <c r="D452" s="189" t="s">
        <v>411</v>
      </c>
      <c r="E452" s="189" t="s">
        <v>268</v>
      </c>
      <c r="F452" s="189" t="s">
        <v>537</v>
      </c>
      <c r="G452" s="189" t="s">
        <v>294</v>
      </c>
      <c r="H452" s="189" t="s">
        <v>256</v>
      </c>
      <c r="I452" s="189">
        <v>4936</v>
      </c>
      <c r="J452" s="189">
        <v>1218.1224778978001</v>
      </c>
      <c r="K452" s="189">
        <v>791.64101037373098</v>
      </c>
      <c r="L452" s="189">
        <v>-32.729999999999997</v>
      </c>
      <c r="M452" s="189">
        <v>14.35</v>
      </c>
      <c r="N452" s="189">
        <v>52</v>
      </c>
      <c r="O452" s="189" t="s">
        <v>554</v>
      </c>
      <c r="P452" s="189" t="s">
        <v>555</v>
      </c>
      <c r="Q452" s="189" t="s">
        <v>253</v>
      </c>
      <c r="R452" s="189" t="s">
        <v>253</v>
      </c>
      <c r="S452" s="189" t="s">
        <v>253</v>
      </c>
      <c r="T452" s="189" t="s">
        <v>261</v>
      </c>
      <c r="U452" s="189" t="s">
        <v>253</v>
      </c>
      <c r="V452" s="189" t="s">
        <v>253</v>
      </c>
      <c r="W452" s="189" t="s">
        <v>253</v>
      </c>
      <c r="X452" s="189" t="s">
        <v>677</v>
      </c>
      <c r="Y452" s="189" t="s">
        <v>678</v>
      </c>
    </row>
    <row r="453" spans="1:25" x14ac:dyDescent="0.2">
      <c r="A453" s="189">
        <v>739</v>
      </c>
      <c r="B453" s="189" t="s">
        <v>382</v>
      </c>
      <c r="C453" s="189" t="s">
        <v>440</v>
      </c>
      <c r="D453" s="189" t="s">
        <v>441</v>
      </c>
      <c r="E453" s="189" t="s">
        <v>268</v>
      </c>
      <c r="F453" s="189" t="s">
        <v>537</v>
      </c>
      <c r="G453" s="189" t="s">
        <v>255</v>
      </c>
      <c r="H453" s="189" t="s">
        <v>256</v>
      </c>
      <c r="I453" s="189">
        <v>1961</v>
      </c>
      <c r="J453" s="189">
        <v>447.532478627236</v>
      </c>
      <c r="K453" s="189">
        <v>849.34524949072102</v>
      </c>
      <c r="L453" s="189">
        <v>-34.6</v>
      </c>
      <c r="M453" s="189">
        <v>-10.54</v>
      </c>
      <c r="N453" s="189">
        <v>472</v>
      </c>
      <c r="O453" s="189" t="s">
        <v>538</v>
      </c>
      <c r="P453" s="189" t="s">
        <v>539</v>
      </c>
      <c r="Q453" s="189" t="s">
        <v>253</v>
      </c>
      <c r="R453" s="189" t="s">
        <v>253</v>
      </c>
      <c r="S453" s="189" t="s">
        <v>253</v>
      </c>
      <c r="T453" s="189" t="s">
        <v>253</v>
      </c>
      <c r="U453" s="189" t="s">
        <v>253</v>
      </c>
      <c r="V453" s="189" t="s">
        <v>253</v>
      </c>
      <c r="W453" s="189" t="s">
        <v>253</v>
      </c>
      <c r="X453" s="189" t="s">
        <v>548</v>
      </c>
      <c r="Y453" s="189" t="s">
        <v>549</v>
      </c>
    </row>
    <row r="454" spans="1:25" x14ac:dyDescent="0.2">
      <c r="A454" s="189">
        <v>751</v>
      </c>
      <c r="B454" s="189" t="s">
        <v>383</v>
      </c>
      <c r="C454" s="189" t="s">
        <v>453</v>
      </c>
      <c r="D454" s="189" t="s">
        <v>351</v>
      </c>
      <c r="E454" s="189" t="s">
        <v>268</v>
      </c>
      <c r="F454" s="189" t="s">
        <v>537</v>
      </c>
      <c r="G454" s="189" t="s">
        <v>314</v>
      </c>
      <c r="H454" s="189" t="s">
        <v>256</v>
      </c>
      <c r="I454" s="189">
        <v>12031</v>
      </c>
      <c r="J454" s="189">
        <v>224.753245854152</v>
      </c>
      <c r="K454" s="189">
        <v>580.655628833327</v>
      </c>
      <c r="L454" s="189">
        <v>-25.9</v>
      </c>
      <c r="M454" s="189">
        <v>-17.739999999999998</v>
      </c>
      <c r="N454" s="189">
        <v>161</v>
      </c>
      <c r="O454" s="189" t="s">
        <v>568</v>
      </c>
      <c r="P454" s="189" t="s">
        <v>569</v>
      </c>
      <c r="Q454" s="189" t="s">
        <v>253</v>
      </c>
      <c r="R454" s="189" t="s">
        <v>253</v>
      </c>
      <c r="S454" s="189" t="s">
        <v>257</v>
      </c>
      <c r="T454" s="189" t="s">
        <v>253</v>
      </c>
      <c r="U454" s="189" t="s">
        <v>253</v>
      </c>
      <c r="V454" s="189" t="s">
        <v>253</v>
      </c>
      <c r="W454" s="189" t="s">
        <v>253</v>
      </c>
      <c r="X454" s="189" t="s">
        <v>754</v>
      </c>
      <c r="Y454" s="189" t="s">
        <v>755</v>
      </c>
    </row>
    <row r="455" spans="1:25" x14ac:dyDescent="0.2">
      <c r="A455" s="189">
        <v>758</v>
      </c>
      <c r="B455" s="189" t="s">
        <v>384</v>
      </c>
      <c r="C455" s="189" t="s">
        <v>438</v>
      </c>
      <c r="D455" s="189" t="s">
        <v>434</v>
      </c>
      <c r="E455" s="189" t="s">
        <v>268</v>
      </c>
      <c r="F455" s="189" t="s">
        <v>537</v>
      </c>
      <c r="G455" s="189" t="s">
        <v>255</v>
      </c>
      <c r="H455" s="189" t="s">
        <v>256</v>
      </c>
      <c r="I455" s="189">
        <v>2121</v>
      </c>
      <c r="J455" s="189">
        <v>489.47265916589203</v>
      </c>
      <c r="K455" s="189">
        <v>762.27315309631399</v>
      </c>
      <c r="L455" s="189">
        <v>-31.78</v>
      </c>
      <c r="M455" s="189">
        <v>-9.19</v>
      </c>
      <c r="N455" s="189">
        <v>738</v>
      </c>
      <c r="O455" s="189" t="s">
        <v>542</v>
      </c>
      <c r="P455" s="189" t="s">
        <v>543</v>
      </c>
      <c r="Q455" s="189" t="s">
        <v>253</v>
      </c>
      <c r="R455" s="189" t="s">
        <v>253</v>
      </c>
      <c r="S455" s="189" t="s">
        <v>257</v>
      </c>
      <c r="T455" s="189" t="s">
        <v>253</v>
      </c>
      <c r="U455" s="189" t="s">
        <v>258</v>
      </c>
      <c r="V455" s="189" t="s">
        <v>253</v>
      </c>
      <c r="W455" s="189" t="s">
        <v>253</v>
      </c>
      <c r="X455" s="189" t="s">
        <v>590</v>
      </c>
      <c r="Y455" s="189" t="s">
        <v>591</v>
      </c>
    </row>
    <row r="456" spans="1:25" x14ac:dyDescent="0.2">
      <c r="A456" s="189">
        <v>759</v>
      </c>
      <c r="B456" s="189" t="s">
        <v>385</v>
      </c>
      <c r="C456" s="189" t="s">
        <v>491</v>
      </c>
      <c r="D456" s="189" t="s">
        <v>491</v>
      </c>
      <c r="E456" s="189" t="s">
        <v>268</v>
      </c>
      <c r="F456" s="189" t="s">
        <v>537</v>
      </c>
      <c r="G456" s="189" t="s">
        <v>294</v>
      </c>
      <c r="H456" s="189" t="s">
        <v>256</v>
      </c>
      <c r="I456" s="189">
        <v>3795</v>
      </c>
      <c r="J456" s="189">
        <v>1082.3180325155599</v>
      </c>
      <c r="K456" s="189">
        <v>798.04394280863403</v>
      </c>
      <c r="L456" s="189">
        <v>-32.94</v>
      </c>
      <c r="M456" s="189">
        <v>9.9600000000000009</v>
      </c>
      <c r="N456" s="189">
        <v>210</v>
      </c>
      <c r="O456" s="189" t="s">
        <v>554</v>
      </c>
      <c r="P456" s="189" t="s">
        <v>555</v>
      </c>
      <c r="Q456" s="189" t="s">
        <v>253</v>
      </c>
      <c r="R456" s="189" t="s">
        <v>253</v>
      </c>
      <c r="S456" s="189" t="s">
        <v>257</v>
      </c>
      <c r="T456" s="189" t="s">
        <v>253</v>
      </c>
      <c r="U456" s="189" t="s">
        <v>253</v>
      </c>
      <c r="V456" s="189" t="s">
        <v>253</v>
      </c>
      <c r="W456" s="189" t="s">
        <v>253</v>
      </c>
      <c r="X456" s="189" t="s">
        <v>825</v>
      </c>
      <c r="Y456" s="189" t="s">
        <v>826</v>
      </c>
    </row>
    <row r="457" spans="1:25" x14ac:dyDescent="0.2">
      <c r="A457" s="189">
        <v>760</v>
      </c>
      <c r="B457" s="189" t="s">
        <v>386</v>
      </c>
      <c r="C457" s="189" t="s">
        <v>446</v>
      </c>
      <c r="D457" s="189" t="s">
        <v>296</v>
      </c>
      <c r="E457" s="189" t="s">
        <v>268</v>
      </c>
      <c r="F457" s="189" t="s">
        <v>537</v>
      </c>
      <c r="G457" s="189" t="s">
        <v>255</v>
      </c>
      <c r="H457" s="189" t="s">
        <v>256</v>
      </c>
      <c r="I457" s="189">
        <v>2514</v>
      </c>
      <c r="J457" s="189">
        <v>383.269612669629</v>
      </c>
      <c r="K457" s="189">
        <v>817.73928513119597</v>
      </c>
      <c r="L457" s="189">
        <v>-33.58</v>
      </c>
      <c r="M457" s="189">
        <v>-12.62</v>
      </c>
      <c r="N457" s="189">
        <v>397</v>
      </c>
      <c r="O457" s="189" t="s">
        <v>542</v>
      </c>
      <c r="P457" s="189" t="s">
        <v>543</v>
      </c>
      <c r="Q457" s="189" t="s">
        <v>253</v>
      </c>
      <c r="R457" s="189" t="s">
        <v>253</v>
      </c>
      <c r="S457" s="189" t="s">
        <v>257</v>
      </c>
      <c r="T457" s="189" t="s">
        <v>253</v>
      </c>
      <c r="U457" s="189" t="s">
        <v>253</v>
      </c>
      <c r="V457" s="189" t="s">
        <v>253</v>
      </c>
      <c r="W457" s="189" t="s">
        <v>253</v>
      </c>
      <c r="X457" s="189" t="s">
        <v>651</v>
      </c>
      <c r="Y457" s="189" t="s">
        <v>652</v>
      </c>
    </row>
    <row r="458" spans="1:25" x14ac:dyDescent="0.2">
      <c r="A458" s="189">
        <v>761</v>
      </c>
      <c r="B458" s="189" t="s">
        <v>387</v>
      </c>
      <c r="C458" s="189" t="s">
        <v>469</v>
      </c>
      <c r="D458" s="189" t="s">
        <v>469</v>
      </c>
      <c r="E458" s="189" t="s">
        <v>268</v>
      </c>
      <c r="F458" s="189" t="s">
        <v>537</v>
      </c>
      <c r="G458" s="189" t="s">
        <v>260</v>
      </c>
      <c r="H458" s="189" t="s">
        <v>256</v>
      </c>
      <c r="I458" s="189">
        <v>2154</v>
      </c>
      <c r="J458" s="189">
        <v>671.30426323673396</v>
      </c>
      <c r="K458" s="189">
        <v>839.98412334729005</v>
      </c>
      <c r="L458" s="189">
        <v>-34.299999999999997</v>
      </c>
      <c r="M458" s="189">
        <v>-3.32</v>
      </c>
      <c r="N458" s="189">
        <v>948</v>
      </c>
      <c r="O458" s="189" t="s">
        <v>538</v>
      </c>
      <c r="P458" s="189" t="s">
        <v>539</v>
      </c>
      <c r="Q458" s="189" t="s">
        <v>253</v>
      </c>
      <c r="R458" s="189" t="s">
        <v>253</v>
      </c>
      <c r="S458" s="189" t="s">
        <v>253</v>
      </c>
      <c r="T458" s="189" t="s">
        <v>253</v>
      </c>
      <c r="U458" s="189" t="s">
        <v>253</v>
      </c>
      <c r="V458" s="189" t="s">
        <v>253</v>
      </c>
      <c r="W458" s="189" t="s">
        <v>253</v>
      </c>
      <c r="X458" s="189" t="s">
        <v>667</v>
      </c>
      <c r="Y458" s="189" t="s">
        <v>668</v>
      </c>
    </row>
    <row r="459" spans="1:25" x14ac:dyDescent="0.2">
      <c r="A459" s="189">
        <v>763</v>
      </c>
      <c r="B459" s="189" t="s">
        <v>388</v>
      </c>
      <c r="C459" s="189" t="s">
        <v>443</v>
      </c>
      <c r="D459" s="189" t="s">
        <v>444</v>
      </c>
      <c r="E459" s="189" t="s">
        <v>268</v>
      </c>
      <c r="F459" s="189" t="s">
        <v>537</v>
      </c>
      <c r="G459" s="189" t="s">
        <v>306</v>
      </c>
      <c r="H459" s="189" t="s">
        <v>256</v>
      </c>
      <c r="I459" s="189">
        <v>1971</v>
      </c>
      <c r="J459" s="189">
        <v>390.02285751738498</v>
      </c>
      <c r="K459" s="189">
        <v>846.87360080004396</v>
      </c>
      <c r="L459" s="189">
        <v>-34.520000000000003</v>
      </c>
      <c r="M459" s="189">
        <v>-12.4</v>
      </c>
      <c r="N459" s="189">
        <v>397</v>
      </c>
      <c r="O459" s="189" t="s">
        <v>538</v>
      </c>
      <c r="P459" s="189" t="s">
        <v>539</v>
      </c>
      <c r="Q459" s="189" t="s">
        <v>253</v>
      </c>
      <c r="R459" s="189" t="s">
        <v>253</v>
      </c>
      <c r="S459" s="189" t="s">
        <v>257</v>
      </c>
      <c r="T459" s="189" t="s">
        <v>253</v>
      </c>
      <c r="U459" s="189" t="s">
        <v>253</v>
      </c>
      <c r="V459" s="189" t="s">
        <v>253</v>
      </c>
      <c r="W459" s="189" t="s">
        <v>253</v>
      </c>
      <c r="X459" s="189" t="s">
        <v>637</v>
      </c>
      <c r="Y459" s="189" t="s">
        <v>638</v>
      </c>
    </row>
    <row r="460" spans="1:25" x14ac:dyDescent="0.2">
      <c r="A460" s="189">
        <v>780</v>
      </c>
      <c r="B460" s="189" t="s">
        <v>389</v>
      </c>
      <c r="C460" s="189" t="s">
        <v>435</v>
      </c>
      <c r="D460" s="189" t="s">
        <v>436</v>
      </c>
      <c r="E460" s="189" t="s">
        <v>268</v>
      </c>
      <c r="F460" s="189" t="s">
        <v>537</v>
      </c>
      <c r="G460" s="189" t="s">
        <v>306</v>
      </c>
      <c r="H460" s="189" t="s">
        <v>256</v>
      </c>
      <c r="I460" s="189">
        <v>11051</v>
      </c>
      <c r="J460" s="189">
        <v>376.69152402830002</v>
      </c>
      <c r="K460" s="189">
        <v>734.07300386173802</v>
      </c>
      <c r="L460" s="189">
        <v>-30.87</v>
      </c>
      <c r="M460" s="189">
        <v>-12.83</v>
      </c>
      <c r="N460" s="189">
        <v>210</v>
      </c>
      <c r="O460" s="189" t="s">
        <v>550</v>
      </c>
      <c r="P460" s="189" t="s">
        <v>551</v>
      </c>
      <c r="Q460" s="189" t="s">
        <v>253</v>
      </c>
      <c r="R460" s="189" t="s">
        <v>253</v>
      </c>
      <c r="S460" s="189" t="s">
        <v>257</v>
      </c>
      <c r="T460" s="189" t="s">
        <v>261</v>
      </c>
      <c r="U460" s="189" t="s">
        <v>253</v>
      </c>
      <c r="V460" s="189" t="s">
        <v>253</v>
      </c>
      <c r="W460" s="189" t="s">
        <v>253</v>
      </c>
      <c r="X460" s="189" t="s">
        <v>807</v>
      </c>
      <c r="Y460" s="189" t="s">
        <v>808</v>
      </c>
    </row>
    <row r="461" spans="1:25" x14ac:dyDescent="0.2">
      <c r="A461" s="189">
        <v>782</v>
      </c>
      <c r="B461" s="189" t="s">
        <v>390</v>
      </c>
      <c r="C461" s="189" t="s">
        <v>284</v>
      </c>
      <c r="D461" s="189" t="s">
        <v>284</v>
      </c>
      <c r="E461" s="189" t="s">
        <v>268</v>
      </c>
      <c r="F461" s="189" t="s">
        <v>537</v>
      </c>
      <c r="G461" s="189" t="s">
        <v>260</v>
      </c>
      <c r="H461" s="189" t="s">
        <v>256</v>
      </c>
      <c r="I461" s="189">
        <v>14779</v>
      </c>
      <c r="J461" s="189">
        <v>686.25092618508097</v>
      </c>
      <c r="K461" s="189">
        <v>862.22896156338504</v>
      </c>
      <c r="L461" s="189">
        <v>-35.020000000000003</v>
      </c>
      <c r="M461" s="189">
        <v>-2.83</v>
      </c>
      <c r="N461" s="189">
        <v>328</v>
      </c>
      <c r="O461" s="189" t="s">
        <v>542</v>
      </c>
      <c r="P461" s="189" t="s">
        <v>543</v>
      </c>
      <c r="Q461" s="189" t="s">
        <v>253</v>
      </c>
      <c r="R461" s="189" t="s">
        <v>253</v>
      </c>
      <c r="S461" s="189" t="s">
        <v>253</v>
      </c>
      <c r="T461" s="189" t="s">
        <v>261</v>
      </c>
      <c r="U461" s="189" t="s">
        <v>253</v>
      </c>
      <c r="V461" s="189" t="s">
        <v>253</v>
      </c>
      <c r="W461" s="189" t="s">
        <v>253</v>
      </c>
      <c r="X461" s="189" t="s">
        <v>890</v>
      </c>
      <c r="Y461" s="189" t="s">
        <v>891</v>
      </c>
    </row>
    <row r="462" spans="1:25" x14ac:dyDescent="0.2">
      <c r="A462" s="189">
        <v>783</v>
      </c>
      <c r="B462" s="189" t="s">
        <v>392</v>
      </c>
      <c r="C462" s="189" t="s">
        <v>485</v>
      </c>
      <c r="D462" s="189" t="s">
        <v>309</v>
      </c>
      <c r="E462" s="189" t="s">
        <v>268</v>
      </c>
      <c r="F462" s="189" t="s">
        <v>537</v>
      </c>
      <c r="G462" s="189" t="s">
        <v>260</v>
      </c>
      <c r="H462" s="189" t="s">
        <v>256</v>
      </c>
      <c r="I462" s="189">
        <v>1968</v>
      </c>
      <c r="J462" s="189">
        <v>848.542882339073</v>
      </c>
      <c r="K462" s="189">
        <v>868.02857817615495</v>
      </c>
      <c r="L462" s="189">
        <v>-35.21</v>
      </c>
      <c r="M462" s="189">
        <v>2.41</v>
      </c>
      <c r="N462" s="189">
        <v>328</v>
      </c>
      <c r="O462" s="189" t="s">
        <v>542</v>
      </c>
      <c r="P462" s="189" t="s">
        <v>543</v>
      </c>
      <c r="Q462" s="189" t="s">
        <v>253</v>
      </c>
      <c r="R462" s="189" t="s">
        <v>253</v>
      </c>
      <c r="S462" s="189" t="s">
        <v>257</v>
      </c>
      <c r="T462" s="189" t="s">
        <v>253</v>
      </c>
      <c r="U462" s="189" t="s">
        <v>253</v>
      </c>
      <c r="V462" s="189" t="s">
        <v>253</v>
      </c>
      <c r="W462" s="189" t="s">
        <v>253</v>
      </c>
      <c r="X462" s="189" t="s">
        <v>898</v>
      </c>
      <c r="Y462" s="189" t="s">
        <v>899</v>
      </c>
    </row>
    <row r="463" spans="1:25" x14ac:dyDescent="0.2">
      <c r="A463" s="189">
        <v>803</v>
      </c>
      <c r="B463" s="189" t="s">
        <v>393</v>
      </c>
      <c r="C463" s="189" t="s">
        <v>331</v>
      </c>
      <c r="D463" s="189" t="s">
        <v>331</v>
      </c>
      <c r="E463" s="189" t="s">
        <v>268</v>
      </c>
      <c r="F463" s="189" t="s">
        <v>537</v>
      </c>
      <c r="G463" s="189" t="s">
        <v>294</v>
      </c>
      <c r="H463" s="189" t="s">
        <v>256</v>
      </c>
      <c r="I463" s="189">
        <v>13504</v>
      </c>
      <c r="J463" s="189">
        <v>1106.95667221947</v>
      </c>
      <c r="K463" s="189">
        <v>767.352683082667</v>
      </c>
      <c r="L463" s="189">
        <v>-31.95</v>
      </c>
      <c r="M463" s="189">
        <v>10.75</v>
      </c>
      <c r="N463" s="189">
        <v>328</v>
      </c>
      <c r="O463" s="189" t="s">
        <v>554</v>
      </c>
      <c r="P463" s="189" t="s">
        <v>555</v>
      </c>
      <c r="Q463" s="189" t="s">
        <v>253</v>
      </c>
      <c r="R463" s="189" t="s">
        <v>253</v>
      </c>
      <c r="S463" s="189" t="s">
        <v>253</v>
      </c>
      <c r="T463" s="189" t="s">
        <v>253</v>
      </c>
      <c r="U463" s="189" t="s">
        <v>258</v>
      </c>
      <c r="V463" s="189" t="s">
        <v>253</v>
      </c>
      <c r="W463" s="189" t="s">
        <v>253</v>
      </c>
      <c r="X463" s="189" t="s">
        <v>698</v>
      </c>
      <c r="Y463" s="189" t="s">
        <v>699</v>
      </c>
    </row>
    <row r="464" spans="1:25" x14ac:dyDescent="0.2">
      <c r="A464" s="189">
        <v>804</v>
      </c>
      <c r="B464" s="189" t="s">
        <v>394</v>
      </c>
      <c r="C464" s="189" t="s">
        <v>411</v>
      </c>
      <c r="D464" s="189" t="s">
        <v>411</v>
      </c>
      <c r="E464" s="189" t="s">
        <v>268</v>
      </c>
      <c r="F464" s="189" t="s">
        <v>537</v>
      </c>
      <c r="G464" s="189" t="s">
        <v>294</v>
      </c>
      <c r="H464" s="189" t="s">
        <v>256</v>
      </c>
      <c r="I464" s="189">
        <v>14884</v>
      </c>
      <c r="J464" s="189">
        <v>1204.05159598159</v>
      </c>
      <c r="K464" s="189">
        <v>781.65710660745196</v>
      </c>
      <c r="L464" s="189">
        <v>-32.409999999999997</v>
      </c>
      <c r="M464" s="189">
        <v>13.89</v>
      </c>
      <c r="N464" s="189">
        <v>30</v>
      </c>
      <c r="O464" s="189" t="s">
        <v>554</v>
      </c>
      <c r="P464" s="189" t="s">
        <v>555</v>
      </c>
      <c r="Q464" s="189" t="s">
        <v>253</v>
      </c>
      <c r="R464" s="189" t="s">
        <v>253</v>
      </c>
      <c r="S464" s="189" t="s">
        <v>257</v>
      </c>
      <c r="T464" s="189" t="s">
        <v>261</v>
      </c>
      <c r="U464" s="189" t="s">
        <v>253</v>
      </c>
      <c r="V464" s="189" t="s">
        <v>253</v>
      </c>
      <c r="W464" s="189" t="s">
        <v>253</v>
      </c>
      <c r="X464" s="189" t="s">
        <v>679</v>
      </c>
      <c r="Y464" s="189" t="s">
        <v>680</v>
      </c>
    </row>
    <row r="465" spans="1:25" x14ac:dyDescent="0.2">
      <c r="A465" s="189">
        <v>805</v>
      </c>
      <c r="B465" s="189" t="s">
        <v>396</v>
      </c>
      <c r="C465" s="189" t="s">
        <v>64</v>
      </c>
      <c r="D465" s="189" t="s">
        <v>64</v>
      </c>
      <c r="E465" s="189" t="s">
        <v>268</v>
      </c>
      <c r="F465" s="189" t="s">
        <v>537</v>
      </c>
      <c r="G465" s="189" t="s">
        <v>294</v>
      </c>
      <c r="H465" s="189" t="s">
        <v>256</v>
      </c>
      <c r="I465" s="189">
        <v>6371</v>
      </c>
      <c r="J465" s="189">
        <v>1103.14215927953</v>
      </c>
      <c r="K465" s="189">
        <v>795.299828907961</v>
      </c>
      <c r="L465" s="189">
        <v>-32.85</v>
      </c>
      <c r="M465" s="189">
        <v>10.63</v>
      </c>
      <c r="N465" s="189">
        <v>30</v>
      </c>
      <c r="O465" s="189" t="s">
        <v>554</v>
      </c>
      <c r="P465" s="189" t="s">
        <v>555</v>
      </c>
      <c r="Q465" s="189" t="s">
        <v>253</v>
      </c>
      <c r="R465" s="189" t="s">
        <v>253</v>
      </c>
      <c r="S465" s="189" t="s">
        <v>257</v>
      </c>
      <c r="T465" s="189" t="s">
        <v>261</v>
      </c>
      <c r="U465" s="189" t="s">
        <v>253</v>
      </c>
      <c r="V465" s="189" t="s">
        <v>253</v>
      </c>
      <c r="W465" s="189" t="s">
        <v>253</v>
      </c>
      <c r="X465" s="189" t="s">
        <v>831</v>
      </c>
      <c r="Y465" s="189" t="s">
        <v>832</v>
      </c>
    </row>
    <row r="466" spans="1:25" x14ac:dyDescent="0.2">
      <c r="A466" s="189">
        <v>826</v>
      </c>
      <c r="B466" s="189" t="s">
        <v>397</v>
      </c>
      <c r="C466" s="189" t="s">
        <v>397</v>
      </c>
      <c r="D466" s="189" t="s">
        <v>397</v>
      </c>
      <c r="E466" s="189" t="s">
        <v>268</v>
      </c>
      <c r="F466" s="189" t="s">
        <v>537</v>
      </c>
      <c r="G466" s="189" t="s">
        <v>294</v>
      </c>
      <c r="H466" s="189" t="s">
        <v>256</v>
      </c>
      <c r="I466" s="189">
        <v>10378</v>
      </c>
      <c r="J466" s="189">
        <v>1009.06381462809</v>
      </c>
      <c r="K466" s="189">
        <v>679.77457986969603</v>
      </c>
      <c r="L466" s="189">
        <v>-29.11</v>
      </c>
      <c r="M466" s="189">
        <v>7.59</v>
      </c>
      <c r="N466" s="189">
        <v>2759</v>
      </c>
      <c r="O466" s="189" t="s">
        <v>612</v>
      </c>
      <c r="P466" s="189" t="s">
        <v>613</v>
      </c>
      <c r="Q466" s="189" t="s">
        <v>253</v>
      </c>
      <c r="R466" s="189" t="s">
        <v>253</v>
      </c>
      <c r="S466" s="189" t="s">
        <v>257</v>
      </c>
      <c r="T466" s="189" t="s">
        <v>253</v>
      </c>
      <c r="U466" s="189" t="s">
        <v>253</v>
      </c>
      <c r="V466" s="189" t="s">
        <v>253</v>
      </c>
      <c r="W466" s="189" t="s">
        <v>253</v>
      </c>
      <c r="X466" s="189" t="s">
        <v>614</v>
      </c>
      <c r="Y466" s="189" t="s">
        <v>615</v>
      </c>
    </row>
    <row r="467" spans="1:25" x14ac:dyDescent="0.2">
      <c r="A467" s="189">
        <v>828</v>
      </c>
      <c r="B467" s="189" t="s">
        <v>444</v>
      </c>
      <c r="C467" s="189" t="s">
        <v>443</v>
      </c>
      <c r="D467" s="189" t="s">
        <v>444</v>
      </c>
      <c r="E467" s="189" t="s">
        <v>268</v>
      </c>
      <c r="F467" s="189" t="s">
        <v>537</v>
      </c>
      <c r="G467" s="189" t="s">
        <v>306</v>
      </c>
      <c r="H467" s="189" t="s">
        <v>256</v>
      </c>
      <c r="I467" s="189">
        <v>3202</v>
      </c>
      <c r="J467" s="189">
        <v>395.18</v>
      </c>
      <c r="K467" s="189">
        <v>875.28</v>
      </c>
      <c r="L467" s="189">
        <v>-35.44</v>
      </c>
      <c r="M467" s="189">
        <v>-12.24</v>
      </c>
      <c r="N467" s="189">
        <v>13</v>
      </c>
      <c r="O467" s="189" t="s">
        <v>542</v>
      </c>
      <c r="P467" s="189" t="s">
        <v>543</v>
      </c>
      <c r="Q467" s="189" t="s">
        <v>253</v>
      </c>
      <c r="R467" s="189" t="s">
        <v>259</v>
      </c>
      <c r="S467" s="189" t="s">
        <v>257</v>
      </c>
      <c r="T467" s="189" t="s">
        <v>253</v>
      </c>
      <c r="U467" s="189" t="s">
        <v>258</v>
      </c>
      <c r="V467" s="189" t="s">
        <v>253</v>
      </c>
      <c r="W467" s="189" t="s">
        <v>253</v>
      </c>
      <c r="X467" s="189" t="s">
        <v>639</v>
      </c>
      <c r="Y467" s="189" t="s">
        <v>640</v>
      </c>
    </row>
    <row r="468" spans="1:25" x14ac:dyDescent="0.2">
      <c r="A468" s="189">
        <v>847</v>
      </c>
      <c r="B468" s="189" t="s">
        <v>399</v>
      </c>
      <c r="C468" s="189" t="s">
        <v>399</v>
      </c>
      <c r="D468" s="189" t="s">
        <v>399</v>
      </c>
      <c r="E468" s="189" t="s">
        <v>268</v>
      </c>
      <c r="F468" s="189" t="s">
        <v>537</v>
      </c>
      <c r="G468" s="189" t="s">
        <v>255</v>
      </c>
      <c r="H468" s="189" t="s">
        <v>256</v>
      </c>
      <c r="I468" s="189">
        <v>15417</v>
      </c>
      <c r="J468" s="189">
        <v>502.823454455692</v>
      </c>
      <c r="K468" s="189">
        <v>657.02373483503698</v>
      </c>
      <c r="L468" s="189">
        <v>-28.38</v>
      </c>
      <c r="M468" s="189">
        <v>-8.76</v>
      </c>
      <c r="N468" s="189">
        <v>118</v>
      </c>
      <c r="O468" s="189" t="s">
        <v>564</v>
      </c>
      <c r="P468" s="189" t="s">
        <v>565</v>
      </c>
      <c r="Q468" s="189" t="s">
        <v>253</v>
      </c>
      <c r="R468" s="189" t="s">
        <v>253</v>
      </c>
      <c r="S468" s="189" t="s">
        <v>257</v>
      </c>
      <c r="T468" s="189" t="s">
        <v>253</v>
      </c>
      <c r="U468" s="189" t="s">
        <v>253</v>
      </c>
      <c r="V468" s="189" t="s">
        <v>253</v>
      </c>
      <c r="W468" s="189" t="s">
        <v>253</v>
      </c>
      <c r="X468" s="189" t="s">
        <v>839</v>
      </c>
      <c r="Y468" s="189" t="s">
        <v>840</v>
      </c>
    </row>
    <row r="469" spans="1:25" x14ac:dyDescent="0.2">
      <c r="A469" s="189">
        <v>848</v>
      </c>
      <c r="B469" s="189" t="s">
        <v>400</v>
      </c>
      <c r="C469" s="189" t="s">
        <v>435</v>
      </c>
      <c r="D469" s="189" t="s">
        <v>436</v>
      </c>
      <c r="E469" s="189" t="s">
        <v>268</v>
      </c>
      <c r="F469" s="189" t="s">
        <v>537</v>
      </c>
      <c r="G469" s="189" t="s">
        <v>255</v>
      </c>
      <c r="H469" s="189" t="s">
        <v>256</v>
      </c>
      <c r="I469" s="189">
        <v>2156</v>
      </c>
      <c r="J469" s="189">
        <v>404.40512824502599</v>
      </c>
      <c r="K469" s="189">
        <v>712.15901625778099</v>
      </c>
      <c r="L469" s="189">
        <v>-30.16</v>
      </c>
      <c r="M469" s="189">
        <v>-11.94</v>
      </c>
      <c r="N469" s="189">
        <v>554</v>
      </c>
      <c r="O469" s="189" t="s">
        <v>554</v>
      </c>
      <c r="P469" s="189" t="s">
        <v>555</v>
      </c>
      <c r="Q469" s="189" t="s">
        <v>253</v>
      </c>
      <c r="R469" s="189" t="s">
        <v>253</v>
      </c>
      <c r="S469" s="189" t="s">
        <v>257</v>
      </c>
      <c r="T469" s="189" t="s">
        <v>253</v>
      </c>
      <c r="U469" s="189" t="s">
        <v>258</v>
      </c>
      <c r="V469" s="189" t="s">
        <v>253</v>
      </c>
      <c r="W469" s="189" t="s">
        <v>253</v>
      </c>
      <c r="X469" s="189" t="s">
        <v>809</v>
      </c>
      <c r="Y469" s="189" t="s">
        <v>810</v>
      </c>
    </row>
    <row r="470" spans="1:25" x14ac:dyDescent="0.2">
      <c r="A470" s="189">
        <v>849</v>
      </c>
      <c r="B470" s="189" t="s">
        <v>401</v>
      </c>
      <c r="C470" s="189" t="s">
        <v>331</v>
      </c>
      <c r="D470" s="189" t="s">
        <v>331</v>
      </c>
      <c r="E470" s="189" t="s">
        <v>268</v>
      </c>
      <c r="F470" s="189" t="s">
        <v>537</v>
      </c>
      <c r="G470" s="189" t="s">
        <v>294</v>
      </c>
      <c r="H470" s="189" t="s">
        <v>256</v>
      </c>
      <c r="I470" s="189">
        <v>10742</v>
      </c>
      <c r="J470" s="189">
        <v>1109.19477930158</v>
      </c>
      <c r="K470" s="189">
        <v>734.73470508601395</v>
      </c>
      <c r="L470" s="189">
        <v>-30.89</v>
      </c>
      <c r="M470" s="189">
        <v>10.83</v>
      </c>
      <c r="N470" s="189">
        <v>328</v>
      </c>
      <c r="O470" s="189" t="s">
        <v>550</v>
      </c>
      <c r="P470" s="189" t="s">
        <v>551</v>
      </c>
      <c r="Q470" s="189" t="s">
        <v>253</v>
      </c>
      <c r="R470" s="189" t="s">
        <v>253</v>
      </c>
      <c r="S470" s="189" t="s">
        <v>257</v>
      </c>
      <c r="T470" s="189" t="s">
        <v>253</v>
      </c>
      <c r="U470" s="189" t="s">
        <v>253</v>
      </c>
      <c r="V470" s="189" t="s">
        <v>253</v>
      </c>
      <c r="W470" s="189" t="s">
        <v>253</v>
      </c>
      <c r="X470" s="189" t="s">
        <v>700</v>
      </c>
      <c r="Y470" s="189" t="s">
        <v>701</v>
      </c>
    </row>
    <row r="471" spans="1:25" x14ac:dyDescent="0.2">
      <c r="A471" s="189">
        <v>850</v>
      </c>
      <c r="B471" s="189" t="s">
        <v>402</v>
      </c>
      <c r="C471" s="189" t="s">
        <v>333</v>
      </c>
      <c r="D471" s="189" t="s">
        <v>402</v>
      </c>
      <c r="E471" s="189" t="s">
        <v>268</v>
      </c>
      <c r="F471" s="189" t="s">
        <v>537</v>
      </c>
      <c r="G471" s="189" t="s">
        <v>260</v>
      </c>
      <c r="H471" s="189" t="s">
        <v>256</v>
      </c>
      <c r="I471" s="189">
        <v>14188</v>
      </c>
      <c r="J471" s="189">
        <v>906.88936087962497</v>
      </c>
      <c r="K471" s="189">
        <v>773.09391429329503</v>
      </c>
      <c r="L471" s="189">
        <v>-32.130000000000003</v>
      </c>
      <c r="M471" s="189">
        <v>4.29</v>
      </c>
      <c r="N471" s="189">
        <v>210</v>
      </c>
      <c r="O471" s="189" t="s">
        <v>554</v>
      </c>
      <c r="P471" s="189" t="s">
        <v>555</v>
      </c>
      <c r="Q471" s="189" t="s">
        <v>253</v>
      </c>
      <c r="R471" s="189" t="s">
        <v>253</v>
      </c>
      <c r="S471" s="189" t="s">
        <v>257</v>
      </c>
      <c r="T471" s="189" t="s">
        <v>253</v>
      </c>
      <c r="U471" s="189" t="s">
        <v>258</v>
      </c>
      <c r="V471" s="189" t="s">
        <v>253</v>
      </c>
      <c r="W471" s="189" t="s">
        <v>253</v>
      </c>
      <c r="X471" s="189" t="s">
        <v>556</v>
      </c>
      <c r="Y471" s="189" t="s">
        <v>557</v>
      </c>
    </row>
    <row r="472" spans="1:25" x14ac:dyDescent="0.2">
      <c r="A472" s="189">
        <v>851</v>
      </c>
      <c r="B472" s="189" t="s">
        <v>403</v>
      </c>
      <c r="C472" s="189" t="s">
        <v>438</v>
      </c>
      <c r="D472" s="189" t="s">
        <v>434</v>
      </c>
      <c r="E472" s="189" t="s">
        <v>268</v>
      </c>
      <c r="F472" s="189" t="s">
        <v>537</v>
      </c>
      <c r="G472" s="189" t="s">
        <v>255</v>
      </c>
      <c r="H472" s="189" t="s">
        <v>256</v>
      </c>
      <c r="I472" s="189">
        <v>14504</v>
      </c>
      <c r="J472" s="189">
        <v>465.72926229481999</v>
      </c>
      <c r="K472" s="189">
        <v>777.76474646465294</v>
      </c>
      <c r="L472" s="189">
        <v>-32.28</v>
      </c>
      <c r="M472" s="189">
        <v>-9.9600000000000009</v>
      </c>
      <c r="N472" s="189">
        <v>738</v>
      </c>
      <c r="O472" s="189" t="s">
        <v>542</v>
      </c>
      <c r="P472" s="189" t="s">
        <v>543</v>
      </c>
      <c r="Q472" s="189" t="s">
        <v>253</v>
      </c>
      <c r="R472" s="189" t="s">
        <v>253</v>
      </c>
      <c r="S472" s="189" t="s">
        <v>257</v>
      </c>
      <c r="T472" s="189" t="s">
        <v>253</v>
      </c>
      <c r="U472" s="189" t="s">
        <v>253</v>
      </c>
      <c r="V472" s="189" t="s">
        <v>253</v>
      </c>
      <c r="W472" s="189" t="s">
        <v>253</v>
      </c>
      <c r="X472" s="189" t="s">
        <v>592</v>
      </c>
      <c r="Y472" s="189" t="s">
        <v>593</v>
      </c>
    </row>
    <row r="473" spans="1:25" x14ac:dyDescent="0.2">
      <c r="A473" s="189">
        <v>852</v>
      </c>
      <c r="B473" s="189" t="s">
        <v>404</v>
      </c>
      <c r="C473" s="189" t="s">
        <v>283</v>
      </c>
      <c r="D473" s="189" t="s">
        <v>283</v>
      </c>
      <c r="E473" s="189" t="s">
        <v>268</v>
      </c>
      <c r="F473" s="189" t="s">
        <v>537</v>
      </c>
      <c r="G473" s="189" t="s">
        <v>260</v>
      </c>
      <c r="H473" s="189" t="s">
        <v>256</v>
      </c>
      <c r="I473" s="189">
        <v>22642</v>
      </c>
      <c r="J473" s="189">
        <v>926.52631780004504</v>
      </c>
      <c r="K473" s="189">
        <v>784.323373305269</v>
      </c>
      <c r="L473" s="189">
        <v>-32.5</v>
      </c>
      <c r="M473" s="189">
        <v>4.93</v>
      </c>
      <c r="N473" s="189">
        <v>266</v>
      </c>
      <c r="O473" s="189" t="s">
        <v>554</v>
      </c>
      <c r="P473" s="189" t="s">
        <v>555</v>
      </c>
      <c r="Q473" s="189" t="s">
        <v>253</v>
      </c>
      <c r="R473" s="189" t="s">
        <v>253</v>
      </c>
      <c r="S473" s="189" t="s">
        <v>257</v>
      </c>
      <c r="T473" s="189" t="s">
        <v>261</v>
      </c>
      <c r="U473" s="189" t="s">
        <v>253</v>
      </c>
      <c r="V473" s="189" t="s">
        <v>297</v>
      </c>
      <c r="W473" s="189" t="s">
        <v>253</v>
      </c>
      <c r="X473" s="189" t="s">
        <v>746</v>
      </c>
      <c r="Y473" s="189" t="s">
        <v>747</v>
      </c>
    </row>
    <row r="474" spans="1:25" x14ac:dyDescent="0.2">
      <c r="A474" s="189">
        <v>853</v>
      </c>
      <c r="B474" s="189" t="s">
        <v>405</v>
      </c>
      <c r="C474" s="189" t="s">
        <v>431</v>
      </c>
      <c r="D474" s="189" t="s">
        <v>432</v>
      </c>
      <c r="E474" s="189" t="s">
        <v>268</v>
      </c>
      <c r="F474" s="189" t="s">
        <v>537</v>
      </c>
      <c r="G474" s="189" t="s">
        <v>306</v>
      </c>
      <c r="H474" s="189" t="s">
        <v>256</v>
      </c>
      <c r="I474" s="189">
        <v>17781</v>
      </c>
      <c r="J474" s="189">
        <v>330.43082373113702</v>
      </c>
      <c r="K474" s="189">
        <v>847.554763825034</v>
      </c>
      <c r="L474" s="189">
        <v>-34.54</v>
      </c>
      <c r="M474" s="189">
        <v>-14.33</v>
      </c>
      <c r="N474" s="189">
        <v>52</v>
      </c>
      <c r="O474" s="189" t="s">
        <v>542</v>
      </c>
      <c r="P474" s="189" t="s">
        <v>543</v>
      </c>
      <c r="Q474" s="189" t="s">
        <v>253</v>
      </c>
      <c r="R474" s="189" t="s">
        <v>253</v>
      </c>
      <c r="S474" s="189" t="s">
        <v>253</v>
      </c>
      <c r="T474" s="189" t="s">
        <v>261</v>
      </c>
      <c r="U474" s="189" t="s">
        <v>253</v>
      </c>
      <c r="V474" s="189" t="s">
        <v>253</v>
      </c>
      <c r="W474" s="189" t="s">
        <v>253</v>
      </c>
      <c r="X474" s="189" t="s">
        <v>871</v>
      </c>
      <c r="Y474" s="189" t="s">
        <v>872</v>
      </c>
    </row>
    <row r="475" spans="1:25" x14ac:dyDescent="0.2">
      <c r="A475" s="189">
        <v>873</v>
      </c>
      <c r="B475" s="189" t="s">
        <v>406</v>
      </c>
      <c r="C475" s="189" t="s">
        <v>476</v>
      </c>
      <c r="D475" s="189" t="s">
        <v>298</v>
      </c>
      <c r="E475" s="189" t="s">
        <v>268</v>
      </c>
      <c r="F475" s="189" t="s">
        <v>537</v>
      </c>
      <c r="G475" s="189" t="s">
        <v>260</v>
      </c>
      <c r="H475" s="189" t="s">
        <v>256</v>
      </c>
      <c r="I475" s="189">
        <v>2093</v>
      </c>
      <c r="J475" s="189">
        <v>774.47126882161297</v>
      </c>
      <c r="K475" s="189">
        <v>842.12492142583005</v>
      </c>
      <c r="L475" s="189">
        <v>-34.369999999999997</v>
      </c>
      <c r="M475" s="189">
        <v>0.02</v>
      </c>
      <c r="N475" s="189">
        <v>210</v>
      </c>
      <c r="O475" s="189" t="s">
        <v>542</v>
      </c>
      <c r="P475" s="189" t="s">
        <v>543</v>
      </c>
      <c r="Q475" s="189" t="s">
        <v>253</v>
      </c>
      <c r="R475" s="189" t="s">
        <v>253</v>
      </c>
      <c r="S475" s="189" t="s">
        <v>253</v>
      </c>
      <c r="T475" s="189" t="s">
        <v>261</v>
      </c>
      <c r="U475" s="189" t="s">
        <v>253</v>
      </c>
      <c r="V475" s="189" t="s">
        <v>253</v>
      </c>
      <c r="W475" s="189" t="s">
        <v>253</v>
      </c>
      <c r="X475" s="189" t="s">
        <v>764</v>
      </c>
      <c r="Y475" s="189" t="s">
        <v>765</v>
      </c>
    </row>
    <row r="476" spans="1:25" x14ac:dyDescent="0.2">
      <c r="A476" s="189">
        <v>892</v>
      </c>
      <c r="B476" s="189" t="s">
        <v>407</v>
      </c>
      <c r="C476" s="189" t="s">
        <v>278</v>
      </c>
      <c r="D476" s="189" t="s">
        <v>278</v>
      </c>
      <c r="E476" s="189" t="s">
        <v>268</v>
      </c>
      <c r="F476" s="189" t="s">
        <v>537</v>
      </c>
      <c r="G476" s="189" t="s">
        <v>264</v>
      </c>
      <c r="H476" s="189" t="s">
        <v>256</v>
      </c>
      <c r="I476" s="189">
        <v>9654</v>
      </c>
      <c r="J476" s="189">
        <v>427</v>
      </c>
      <c r="K476" s="189">
        <v>540.5</v>
      </c>
      <c r="L476" s="189">
        <v>-24.6</v>
      </c>
      <c r="M476" s="189">
        <v>-11.21</v>
      </c>
      <c r="N476" s="189">
        <v>161</v>
      </c>
      <c r="O476" s="189" t="s">
        <v>602</v>
      </c>
      <c r="P476" s="189" t="s">
        <v>603</v>
      </c>
      <c r="Q476" s="189" t="s">
        <v>253</v>
      </c>
      <c r="R476" s="189" t="s">
        <v>259</v>
      </c>
      <c r="S476" s="189" t="s">
        <v>253</v>
      </c>
      <c r="T476" s="189" t="s">
        <v>253</v>
      </c>
      <c r="U476" s="189" t="s">
        <v>253</v>
      </c>
      <c r="V476" s="189" t="s">
        <v>253</v>
      </c>
      <c r="W476" s="189" t="s">
        <v>253</v>
      </c>
      <c r="X476" s="189" t="s">
        <v>606</v>
      </c>
      <c r="Y476" s="189" t="s">
        <v>607</v>
      </c>
    </row>
    <row r="477" spans="1:25" x14ac:dyDescent="0.2">
      <c r="A477" s="189">
        <v>899</v>
      </c>
      <c r="B477" s="189" t="s">
        <v>408</v>
      </c>
      <c r="C477" s="189" t="s">
        <v>469</v>
      </c>
      <c r="D477" s="189" t="s">
        <v>469</v>
      </c>
      <c r="E477" s="189" t="s">
        <v>268</v>
      </c>
      <c r="F477" s="189" t="s">
        <v>537</v>
      </c>
      <c r="G477" s="189" t="s">
        <v>260</v>
      </c>
      <c r="H477" s="189" t="s">
        <v>256</v>
      </c>
      <c r="I477" s="189">
        <v>21754</v>
      </c>
      <c r="J477" s="189">
        <v>634.774463296568</v>
      </c>
      <c r="K477" s="189">
        <v>904.811381525603</v>
      </c>
      <c r="L477" s="189">
        <v>-36.4</v>
      </c>
      <c r="M477" s="189">
        <v>-4.5</v>
      </c>
      <c r="N477" s="189">
        <v>472</v>
      </c>
      <c r="O477" s="189" t="s">
        <v>538</v>
      </c>
      <c r="P477" s="189" t="s">
        <v>539</v>
      </c>
      <c r="Q477" s="189" t="s">
        <v>253</v>
      </c>
      <c r="R477" s="189" t="s">
        <v>253</v>
      </c>
      <c r="S477" s="189" t="s">
        <v>257</v>
      </c>
      <c r="T477" s="189" t="s">
        <v>261</v>
      </c>
      <c r="U477" s="189" t="s">
        <v>253</v>
      </c>
      <c r="V477" s="189" t="s">
        <v>297</v>
      </c>
      <c r="W477" s="189" t="s">
        <v>253</v>
      </c>
      <c r="X477" s="189" t="s">
        <v>669</v>
      </c>
      <c r="Y477" s="189" t="s">
        <v>670</v>
      </c>
    </row>
    <row r="478" spans="1:25" x14ac:dyDescent="0.2">
      <c r="A478" s="189">
        <v>920</v>
      </c>
      <c r="B478" s="189" t="s">
        <v>409</v>
      </c>
      <c r="C478" s="189" t="s">
        <v>397</v>
      </c>
      <c r="D478" s="189" t="s">
        <v>397</v>
      </c>
      <c r="E478" s="189" t="s">
        <v>268</v>
      </c>
      <c r="F478" s="189" t="s">
        <v>537</v>
      </c>
      <c r="G478" s="189" t="s">
        <v>294</v>
      </c>
      <c r="H478" s="189" t="s">
        <v>256</v>
      </c>
      <c r="I478" s="189">
        <v>27069</v>
      </c>
      <c r="J478" s="189">
        <v>1046.0606977853899</v>
      </c>
      <c r="K478" s="189">
        <v>713.01533548919701</v>
      </c>
      <c r="L478" s="189">
        <v>-30.19</v>
      </c>
      <c r="M478" s="189">
        <v>8.7899999999999991</v>
      </c>
      <c r="N478" s="189">
        <v>948</v>
      </c>
      <c r="O478" s="189" t="s">
        <v>554</v>
      </c>
      <c r="P478" s="189" t="s">
        <v>555</v>
      </c>
      <c r="Q478" s="189" t="s">
        <v>253</v>
      </c>
      <c r="R478" s="189" t="s">
        <v>253</v>
      </c>
      <c r="S478" s="189" t="s">
        <v>253</v>
      </c>
      <c r="T478" s="189" t="s">
        <v>261</v>
      </c>
      <c r="U478" s="189" t="s">
        <v>258</v>
      </c>
      <c r="V478" s="189" t="s">
        <v>253</v>
      </c>
      <c r="W478" s="189" t="s">
        <v>253</v>
      </c>
      <c r="X478" s="189" t="s">
        <v>616</v>
      </c>
      <c r="Y478" s="189" t="s">
        <v>617</v>
      </c>
    </row>
    <row r="479" spans="1:25" x14ac:dyDescent="0.2">
      <c r="A479" s="189">
        <v>923</v>
      </c>
      <c r="B479" s="189" t="s">
        <v>410</v>
      </c>
      <c r="C479" s="189" t="s">
        <v>61</v>
      </c>
      <c r="D479" s="189" t="s">
        <v>61</v>
      </c>
      <c r="E479" s="189" t="s">
        <v>268</v>
      </c>
      <c r="F479" s="189" t="s">
        <v>537</v>
      </c>
      <c r="G479" s="189" t="s">
        <v>255</v>
      </c>
      <c r="H479" s="189" t="s">
        <v>256</v>
      </c>
      <c r="I479" s="189">
        <v>24215</v>
      </c>
      <c r="J479" s="189">
        <v>465.651415091964</v>
      </c>
      <c r="K479" s="189">
        <v>735.16286470172099</v>
      </c>
      <c r="L479" s="189">
        <v>-30.91</v>
      </c>
      <c r="M479" s="189">
        <v>-9.9600000000000009</v>
      </c>
      <c r="N479" s="189">
        <v>948</v>
      </c>
      <c r="O479" s="189" t="s">
        <v>554</v>
      </c>
      <c r="P479" s="189" t="s">
        <v>555</v>
      </c>
      <c r="Q479" s="189" t="s">
        <v>253</v>
      </c>
      <c r="R479" s="189" t="s">
        <v>253</v>
      </c>
      <c r="S479" s="189" t="s">
        <v>253</v>
      </c>
      <c r="T479" s="189" t="s">
        <v>261</v>
      </c>
      <c r="U479" s="189" t="s">
        <v>258</v>
      </c>
      <c r="V479" s="189" t="s">
        <v>297</v>
      </c>
      <c r="W479" s="189" t="s">
        <v>253</v>
      </c>
      <c r="X479" s="189" t="s">
        <v>791</v>
      </c>
      <c r="Y479" s="189" t="s">
        <v>792</v>
      </c>
    </row>
    <row r="480" spans="1:25" x14ac:dyDescent="0.2">
      <c r="A480" s="189">
        <v>924</v>
      </c>
      <c r="B480" s="189" t="s">
        <v>411</v>
      </c>
      <c r="C480" s="189" t="s">
        <v>411</v>
      </c>
      <c r="D480" s="189" t="s">
        <v>411</v>
      </c>
      <c r="E480" s="189" t="s">
        <v>268</v>
      </c>
      <c r="F480" s="189" t="s">
        <v>537</v>
      </c>
      <c r="G480" s="189" t="s">
        <v>294</v>
      </c>
      <c r="H480" s="189" t="s">
        <v>256</v>
      </c>
      <c r="I480" s="189">
        <v>5362</v>
      </c>
      <c r="J480" s="189">
        <v>1164.6803731371799</v>
      </c>
      <c r="K480" s="189">
        <v>774.98170896255203</v>
      </c>
      <c r="L480" s="189">
        <v>-32.19</v>
      </c>
      <c r="M480" s="189">
        <v>12.62</v>
      </c>
      <c r="N480" s="189">
        <v>161</v>
      </c>
      <c r="O480" s="189" t="s">
        <v>554</v>
      </c>
      <c r="P480" s="189" t="s">
        <v>555</v>
      </c>
      <c r="Q480" s="189" t="s">
        <v>253</v>
      </c>
      <c r="R480" s="189" t="s">
        <v>253</v>
      </c>
      <c r="S480" s="189" t="s">
        <v>257</v>
      </c>
      <c r="T480" s="189" t="s">
        <v>253</v>
      </c>
      <c r="U480" s="189" t="s">
        <v>253</v>
      </c>
      <c r="V480" s="189" t="s">
        <v>253</v>
      </c>
      <c r="W480" s="189" t="s">
        <v>253</v>
      </c>
      <c r="X480" s="189" t="s">
        <v>681</v>
      </c>
      <c r="Y480" s="189" t="s">
        <v>682</v>
      </c>
    </row>
    <row r="481" spans="1:25" x14ac:dyDescent="0.2">
      <c r="A481" s="189">
        <v>925</v>
      </c>
      <c r="B481" s="189" t="s">
        <v>412</v>
      </c>
      <c r="C481" s="189" t="s">
        <v>438</v>
      </c>
      <c r="D481" s="189" t="s">
        <v>434</v>
      </c>
      <c r="E481" s="189" t="s">
        <v>268</v>
      </c>
      <c r="F481" s="189" t="s">
        <v>537</v>
      </c>
      <c r="G481" s="189" t="s">
        <v>255</v>
      </c>
      <c r="H481" s="189" t="s">
        <v>256</v>
      </c>
      <c r="I481" s="189">
        <v>10406</v>
      </c>
      <c r="J481" s="189">
        <v>498.38616389290098</v>
      </c>
      <c r="K481" s="189">
        <v>783.13620346171501</v>
      </c>
      <c r="L481" s="189">
        <v>-32.46</v>
      </c>
      <c r="M481" s="189">
        <v>-8.9</v>
      </c>
      <c r="N481" s="189">
        <v>643</v>
      </c>
      <c r="O481" s="189" t="s">
        <v>542</v>
      </c>
      <c r="P481" s="189" t="s">
        <v>543</v>
      </c>
      <c r="Q481" s="189" t="s">
        <v>253</v>
      </c>
      <c r="R481" s="189" t="s">
        <v>253</v>
      </c>
      <c r="S481" s="189" t="s">
        <v>253</v>
      </c>
      <c r="T481" s="189" t="s">
        <v>253</v>
      </c>
      <c r="U481" s="189" t="s">
        <v>253</v>
      </c>
      <c r="V481" s="189" t="s">
        <v>253</v>
      </c>
      <c r="W481" s="189" t="s">
        <v>253</v>
      </c>
      <c r="X481" s="189" t="s">
        <v>594</v>
      </c>
      <c r="Y481" s="189" t="s">
        <v>595</v>
      </c>
    </row>
    <row r="482" spans="1:25" x14ac:dyDescent="0.2">
      <c r="A482" s="189">
        <v>926</v>
      </c>
      <c r="B482" s="189" t="s">
        <v>64</v>
      </c>
      <c r="C482" s="189" t="s">
        <v>64</v>
      </c>
      <c r="D482" s="189" t="s">
        <v>64</v>
      </c>
      <c r="E482" s="189" t="s">
        <v>268</v>
      </c>
      <c r="F482" s="189" t="s">
        <v>537</v>
      </c>
      <c r="G482" s="189" t="s">
        <v>294</v>
      </c>
      <c r="H482" s="189" t="s">
        <v>256</v>
      </c>
      <c r="I482" s="189">
        <v>19219</v>
      </c>
      <c r="J482" s="189">
        <v>1118.75</v>
      </c>
      <c r="K482" s="189">
        <v>811.75</v>
      </c>
      <c r="L482" s="189">
        <v>-33.39</v>
      </c>
      <c r="M482" s="189">
        <v>11.14</v>
      </c>
      <c r="N482" s="189">
        <v>82</v>
      </c>
      <c r="O482" s="189" t="s">
        <v>554</v>
      </c>
      <c r="P482" s="189" t="s">
        <v>555</v>
      </c>
      <c r="Q482" s="189" t="s">
        <v>253</v>
      </c>
      <c r="R482" s="189" t="s">
        <v>259</v>
      </c>
      <c r="S482" s="189" t="s">
        <v>257</v>
      </c>
      <c r="T482" s="189" t="s">
        <v>261</v>
      </c>
      <c r="U482" s="189" t="s">
        <v>258</v>
      </c>
      <c r="V482" s="189" t="s">
        <v>253</v>
      </c>
      <c r="W482" s="189" t="s">
        <v>253</v>
      </c>
      <c r="X482" s="189" t="s">
        <v>833</v>
      </c>
      <c r="Y482" s="189" t="s">
        <v>834</v>
      </c>
    </row>
    <row r="483" spans="1:25" x14ac:dyDescent="0.2">
      <c r="A483" s="189">
        <v>927</v>
      </c>
      <c r="B483" s="189" t="s">
        <v>413</v>
      </c>
      <c r="C483" s="189" t="s">
        <v>443</v>
      </c>
      <c r="D483" s="189" t="s">
        <v>444</v>
      </c>
      <c r="E483" s="189" t="s">
        <v>268</v>
      </c>
      <c r="F483" s="189" t="s">
        <v>537</v>
      </c>
      <c r="G483" s="189" t="s">
        <v>306</v>
      </c>
      <c r="H483" s="189" t="s">
        <v>256</v>
      </c>
      <c r="I483" s="189">
        <v>6191</v>
      </c>
      <c r="J483" s="189">
        <v>399.69537247224002</v>
      </c>
      <c r="K483" s="189">
        <v>868.06750177758295</v>
      </c>
      <c r="L483" s="189">
        <v>-35.21</v>
      </c>
      <c r="M483" s="189">
        <v>-12.09</v>
      </c>
      <c r="N483" s="189">
        <v>82</v>
      </c>
      <c r="O483" s="189" t="s">
        <v>542</v>
      </c>
      <c r="P483" s="189" t="s">
        <v>543</v>
      </c>
      <c r="Q483" s="189" t="s">
        <v>253</v>
      </c>
      <c r="R483" s="189" t="s">
        <v>253</v>
      </c>
      <c r="S483" s="189" t="s">
        <v>257</v>
      </c>
      <c r="T483" s="189" t="s">
        <v>261</v>
      </c>
      <c r="U483" s="189" t="s">
        <v>258</v>
      </c>
      <c r="V483" s="189" t="s">
        <v>253</v>
      </c>
      <c r="W483" s="189" t="s">
        <v>253</v>
      </c>
      <c r="X483" s="189" t="s">
        <v>641</v>
      </c>
      <c r="Y483" s="189" t="s">
        <v>642</v>
      </c>
    </row>
    <row r="484" spans="1:25" x14ac:dyDescent="0.2">
      <c r="A484" s="189">
        <v>953</v>
      </c>
      <c r="B484" s="189" t="s">
        <v>414</v>
      </c>
      <c r="C484" s="189" t="s">
        <v>473</v>
      </c>
      <c r="D484" s="189" t="s">
        <v>473</v>
      </c>
      <c r="E484" s="189" t="s">
        <v>268</v>
      </c>
      <c r="F484" s="189" t="s">
        <v>537</v>
      </c>
      <c r="G484" s="189" t="s">
        <v>255</v>
      </c>
      <c r="H484" s="189" t="s">
        <v>256</v>
      </c>
      <c r="I484" s="189">
        <v>18741</v>
      </c>
      <c r="J484" s="189">
        <v>722.66395532096203</v>
      </c>
      <c r="K484" s="189">
        <v>675.29836570547695</v>
      </c>
      <c r="L484" s="189">
        <v>-28.97</v>
      </c>
      <c r="M484" s="189">
        <v>-1.66</v>
      </c>
      <c r="N484" s="189">
        <v>3153</v>
      </c>
      <c r="O484" s="189" t="s">
        <v>612</v>
      </c>
      <c r="P484" s="189" t="s">
        <v>613</v>
      </c>
      <c r="Q484" s="189" t="s">
        <v>253</v>
      </c>
      <c r="R484" s="189" t="s">
        <v>253</v>
      </c>
      <c r="S484" s="189" t="s">
        <v>253</v>
      </c>
      <c r="T484" s="189" t="s">
        <v>253</v>
      </c>
      <c r="U484" s="189" t="s">
        <v>253</v>
      </c>
      <c r="V484" s="189" t="s">
        <v>253</v>
      </c>
      <c r="W484" s="189" t="s">
        <v>253</v>
      </c>
      <c r="X484" s="189" t="s">
        <v>783</v>
      </c>
      <c r="Y484" s="189" t="s">
        <v>784</v>
      </c>
    </row>
    <row r="485" spans="1:25" x14ac:dyDescent="0.2">
      <c r="A485" s="189">
        <v>955</v>
      </c>
      <c r="B485" s="189" t="s">
        <v>415</v>
      </c>
      <c r="C485" s="189" t="s">
        <v>333</v>
      </c>
      <c r="D485" s="189" t="s">
        <v>402</v>
      </c>
      <c r="E485" s="189" t="s">
        <v>268</v>
      </c>
      <c r="F485" s="189" t="s">
        <v>537</v>
      </c>
      <c r="G485" s="189" t="s">
        <v>260</v>
      </c>
      <c r="H485" s="189" t="s">
        <v>256</v>
      </c>
      <c r="I485" s="189">
        <v>19714</v>
      </c>
      <c r="J485" s="189">
        <v>916.46456683091003</v>
      </c>
      <c r="K485" s="189">
        <v>735.62994791885706</v>
      </c>
      <c r="L485" s="189">
        <v>-30.92</v>
      </c>
      <c r="M485" s="189">
        <v>4.5999999999999996</v>
      </c>
      <c r="N485" s="189">
        <v>210</v>
      </c>
      <c r="O485" s="189" t="s">
        <v>550</v>
      </c>
      <c r="P485" s="189" t="s">
        <v>551</v>
      </c>
      <c r="Q485" s="189" t="s">
        <v>253</v>
      </c>
      <c r="R485" s="189" t="s">
        <v>253</v>
      </c>
      <c r="S485" s="189" t="s">
        <v>253</v>
      </c>
      <c r="T485" s="189" t="s">
        <v>261</v>
      </c>
      <c r="U485" s="189" t="s">
        <v>258</v>
      </c>
      <c r="V485" s="189" t="s">
        <v>253</v>
      </c>
      <c r="W485" s="189" t="s">
        <v>253</v>
      </c>
      <c r="X485" s="189" t="s">
        <v>558</v>
      </c>
      <c r="Y485" s="189" t="s">
        <v>559</v>
      </c>
    </row>
    <row r="486" spans="1:25" x14ac:dyDescent="0.2">
      <c r="A486" s="189">
        <v>956</v>
      </c>
      <c r="B486" s="189" t="s">
        <v>416</v>
      </c>
      <c r="C486" s="189" t="s">
        <v>431</v>
      </c>
      <c r="D486" s="189" t="s">
        <v>432</v>
      </c>
      <c r="E486" s="189" t="s">
        <v>268</v>
      </c>
      <c r="F486" s="189" t="s">
        <v>537</v>
      </c>
      <c r="G486" s="189" t="s">
        <v>306</v>
      </c>
      <c r="H486" s="189" t="s">
        <v>256</v>
      </c>
      <c r="I486" s="189">
        <v>16708</v>
      </c>
      <c r="J486" s="189">
        <v>290.37843786173801</v>
      </c>
      <c r="K486" s="189">
        <v>816.72727149406796</v>
      </c>
      <c r="L486" s="189">
        <v>-33.549999999999997</v>
      </c>
      <c r="M486" s="189">
        <v>-15.62</v>
      </c>
      <c r="N486" s="189">
        <v>643</v>
      </c>
      <c r="O486" s="189" t="s">
        <v>542</v>
      </c>
      <c r="P486" s="189" t="s">
        <v>543</v>
      </c>
      <c r="Q486" s="189" t="s">
        <v>253</v>
      </c>
      <c r="R486" s="189" t="s">
        <v>253</v>
      </c>
      <c r="S486" s="189" t="s">
        <v>253</v>
      </c>
      <c r="T486" s="189" t="s">
        <v>253</v>
      </c>
      <c r="U486" s="189" t="s">
        <v>253</v>
      </c>
      <c r="V486" s="189" t="s">
        <v>253</v>
      </c>
      <c r="W486" s="189" t="s">
        <v>253</v>
      </c>
      <c r="X486" s="189" t="s">
        <v>873</v>
      </c>
      <c r="Y486" s="189" t="s">
        <v>874</v>
      </c>
    </row>
    <row r="487" spans="1:25" x14ac:dyDescent="0.2">
      <c r="A487" s="189">
        <v>979</v>
      </c>
      <c r="B487" s="189" t="s">
        <v>277</v>
      </c>
      <c r="C487" s="189" t="s">
        <v>493</v>
      </c>
      <c r="D487" s="189" t="s">
        <v>493</v>
      </c>
      <c r="E487" s="189" t="s">
        <v>268</v>
      </c>
      <c r="F487" s="189" t="s">
        <v>537</v>
      </c>
      <c r="G487" s="189" t="s">
        <v>294</v>
      </c>
      <c r="H487" s="189" t="s">
        <v>256</v>
      </c>
      <c r="I487" s="189">
        <v>2286</v>
      </c>
      <c r="J487" s="189">
        <v>1057.8350872173501</v>
      </c>
      <c r="K487" s="189">
        <v>603.83463348369298</v>
      </c>
      <c r="L487" s="189">
        <v>-26.65</v>
      </c>
      <c r="M487" s="189">
        <v>9.17</v>
      </c>
      <c r="N487" s="189">
        <v>2572</v>
      </c>
      <c r="O487" s="189" t="s">
        <v>542</v>
      </c>
      <c r="P487" s="189" t="s">
        <v>543</v>
      </c>
      <c r="Q487" s="189" t="s">
        <v>253</v>
      </c>
      <c r="R487" s="189" t="s">
        <v>253</v>
      </c>
      <c r="S487" s="189" t="s">
        <v>253</v>
      </c>
      <c r="T487" s="189" t="s">
        <v>253</v>
      </c>
      <c r="U487" s="189" t="s">
        <v>253</v>
      </c>
      <c r="V487" s="189" t="s">
        <v>253</v>
      </c>
      <c r="W487" s="189" t="s">
        <v>253</v>
      </c>
      <c r="X487" s="189" t="s">
        <v>859</v>
      </c>
      <c r="Y487" s="189" t="s">
        <v>860</v>
      </c>
    </row>
    <row r="488" spans="1:25" x14ac:dyDescent="0.2">
      <c r="A488" s="189">
        <v>984</v>
      </c>
      <c r="B488" s="189" t="s">
        <v>473</v>
      </c>
      <c r="C488" s="189" t="s">
        <v>473</v>
      </c>
      <c r="D488" s="189" t="s">
        <v>473</v>
      </c>
      <c r="E488" s="189" t="s">
        <v>268</v>
      </c>
      <c r="F488" s="189" t="s">
        <v>537</v>
      </c>
      <c r="G488" s="189" t="s">
        <v>260</v>
      </c>
      <c r="H488" s="189" t="s">
        <v>256</v>
      </c>
      <c r="I488" s="189">
        <v>10356</v>
      </c>
      <c r="J488" s="189">
        <v>691.60292138142904</v>
      </c>
      <c r="K488" s="189">
        <v>814.95624762909495</v>
      </c>
      <c r="L488" s="189">
        <v>-33.49</v>
      </c>
      <c r="M488" s="189">
        <v>-2.66</v>
      </c>
      <c r="N488" s="189">
        <v>1063</v>
      </c>
      <c r="O488" s="189" t="s">
        <v>538</v>
      </c>
      <c r="P488" s="189" t="s">
        <v>539</v>
      </c>
      <c r="Q488" s="189" t="s">
        <v>253</v>
      </c>
      <c r="R488" s="189" t="s">
        <v>253</v>
      </c>
      <c r="S488" s="189" t="s">
        <v>253</v>
      </c>
      <c r="T488" s="189" t="s">
        <v>253</v>
      </c>
      <c r="U488" s="189" t="s">
        <v>253</v>
      </c>
      <c r="V488" s="189" t="s">
        <v>253</v>
      </c>
      <c r="W488" s="189" t="s">
        <v>253</v>
      </c>
      <c r="X488" s="189" t="s">
        <v>785</v>
      </c>
      <c r="Y488" s="189" t="s">
        <v>786</v>
      </c>
    </row>
    <row r="489" spans="1:25" x14ac:dyDescent="0.2">
      <c r="A489" s="189">
        <v>985</v>
      </c>
      <c r="B489" s="189" t="s">
        <v>434</v>
      </c>
      <c r="C489" s="189" t="s">
        <v>438</v>
      </c>
      <c r="D489" s="189" t="s">
        <v>434</v>
      </c>
      <c r="E489" s="189" t="s">
        <v>268</v>
      </c>
      <c r="F489" s="189" t="s">
        <v>537</v>
      </c>
      <c r="G489" s="189" t="s">
        <v>265</v>
      </c>
      <c r="H489" s="189" t="s">
        <v>256</v>
      </c>
      <c r="I489" s="189">
        <v>34107</v>
      </c>
      <c r="J489" s="189">
        <v>535</v>
      </c>
      <c r="K489" s="189">
        <v>833.5</v>
      </c>
      <c r="L489" s="189">
        <v>-34.090000000000003</v>
      </c>
      <c r="M489" s="189">
        <v>-7.72</v>
      </c>
      <c r="N489" s="189">
        <v>13</v>
      </c>
      <c r="O489" s="189" t="s">
        <v>542</v>
      </c>
      <c r="P489" s="189" t="s">
        <v>543</v>
      </c>
      <c r="Q489" s="189" t="s">
        <v>253</v>
      </c>
      <c r="R489" s="189" t="s">
        <v>259</v>
      </c>
      <c r="S489" s="189" t="s">
        <v>253</v>
      </c>
      <c r="T489" s="189" t="s">
        <v>261</v>
      </c>
      <c r="U489" s="189" t="s">
        <v>258</v>
      </c>
      <c r="V489" s="189" t="s">
        <v>253</v>
      </c>
      <c r="W489" s="189" t="s">
        <v>266</v>
      </c>
      <c r="X489" s="189" t="s">
        <v>596</v>
      </c>
      <c r="Y489" s="189" t="s">
        <v>597</v>
      </c>
    </row>
    <row r="490" spans="1:25" x14ac:dyDescent="0.2">
      <c r="A490" s="189">
        <v>987</v>
      </c>
      <c r="B490" s="189" t="s">
        <v>432</v>
      </c>
      <c r="C490" s="189" t="s">
        <v>431</v>
      </c>
      <c r="D490" s="189" t="s">
        <v>432</v>
      </c>
      <c r="E490" s="189" t="s">
        <v>268</v>
      </c>
      <c r="F490" s="189" t="s">
        <v>537</v>
      </c>
      <c r="G490" s="189" t="s">
        <v>306</v>
      </c>
      <c r="H490" s="189" t="s">
        <v>256</v>
      </c>
      <c r="I490" s="189">
        <v>2535</v>
      </c>
      <c r="J490" s="189">
        <v>259.23955671934903</v>
      </c>
      <c r="K490" s="189">
        <v>897.04612304071998</v>
      </c>
      <c r="L490" s="189">
        <v>-36.15</v>
      </c>
      <c r="M490" s="189">
        <v>-16.63</v>
      </c>
      <c r="N490" s="189">
        <v>30</v>
      </c>
      <c r="O490" s="189" t="s">
        <v>542</v>
      </c>
      <c r="P490" s="189" t="s">
        <v>543</v>
      </c>
      <c r="Q490" s="189" t="s">
        <v>253</v>
      </c>
      <c r="R490" s="189" t="s">
        <v>253</v>
      </c>
      <c r="S490" s="189" t="s">
        <v>253</v>
      </c>
      <c r="T490" s="189" t="s">
        <v>253</v>
      </c>
      <c r="U490" s="189" t="s">
        <v>258</v>
      </c>
      <c r="V490" s="189" t="s">
        <v>253</v>
      </c>
      <c r="W490" s="189" t="s">
        <v>253</v>
      </c>
      <c r="X490" s="189" t="s">
        <v>875</v>
      </c>
      <c r="Y490" s="189" t="s">
        <v>876</v>
      </c>
    </row>
    <row r="491" spans="1:25" x14ac:dyDescent="0.2">
      <c r="A491" s="189">
        <v>1011</v>
      </c>
      <c r="B491" s="189" t="s">
        <v>461</v>
      </c>
      <c r="C491" s="189" t="s">
        <v>397</v>
      </c>
      <c r="D491" s="189" t="s">
        <v>397</v>
      </c>
      <c r="E491" s="189" t="s">
        <v>268</v>
      </c>
      <c r="F491" s="189" t="s">
        <v>537</v>
      </c>
      <c r="G491" s="189" t="s">
        <v>294</v>
      </c>
      <c r="H491" s="189" t="s">
        <v>256</v>
      </c>
      <c r="I491" s="189">
        <v>5151</v>
      </c>
      <c r="J491" s="189">
        <v>1023.1541583450201</v>
      </c>
      <c r="K491" s="189">
        <v>719.41826792410097</v>
      </c>
      <c r="L491" s="189">
        <v>-30.4</v>
      </c>
      <c r="M491" s="189">
        <v>8.0500000000000007</v>
      </c>
      <c r="N491" s="189">
        <v>1184</v>
      </c>
      <c r="O491" s="189" t="s">
        <v>542</v>
      </c>
      <c r="P491" s="189" t="s">
        <v>543</v>
      </c>
      <c r="Q491" s="189" t="s">
        <v>253</v>
      </c>
      <c r="R491" s="189" t="s">
        <v>253</v>
      </c>
      <c r="S491" s="189" t="s">
        <v>253</v>
      </c>
      <c r="T491" s="189" t="s">
        <v>253</v>
      </c>
      <c r="U491" s="189" t="s">
        <v>253</v>
      </c>
      <c r="V491" s="189" t="s">
        <v>253</v>
      </c>
      <c r="W491" s="189" t="s">
        <v>253</v>
      </c>
      <c r="X491" s="189" t="s">
        <v>618</v>
      </c>
      <c r="Y491" s="189" t="s">
        <v>619</v>
      </c>
    </row>
    <row r="492" spans="1:25" x14ac:dyDescent="0.2">
      <c r="A492" s="189">
        <v>1012</v>
      </c>
      <c r="B492" s="189" t="s">
        <v>475</v>
      </c>
      <c r="C492" s="189" t="s">
        <v>331</v>
      </c>
      <c r="D492" s="189" t="s">
        <v>331</v>
      </c>
      <c r="E492" s="189" t="s">
        <v>268</v>
      </c>
      <c r="F492" s="189" t="s">
        <v>537</v>
      </c>
      <c r="G492" s="189" t="s">
        <v>294</v>
      </c>
      <c r="H492" s="189" t="s">
        <v>256</v>
      </c>
      <c r="I492" s="189">
        <v>13544</v>
      </c>
      <c r="J492" s="189">
        <v>1139.1270287997099</v>
      </c>
      <c r="K492" s="189">
        <v>778.23182968178901</v>
      </c>
      <c r="L492" s="189">
        <v>-32.299999999999997</v>
      </c>
      <c r="M492" s="189">
        <v>11.79</v>
      </c>
      <c r="N492" s="189">
        <v>13</v>
      </c>
      <c r="O492" s="189" t="s">
        <v>554</v>
      </c>
      <c r="P492" s="189" t="s">
        <v>555</v>
      </c>
      <c r="Q492" s="189" t="s">
        <v>253</v>
      </c>
      <c r="R492" s="189" t="s">
        <v>253</v>
      </c>
      <c r="S492" s="189" t="s">
        <v>253</v>
      </c>
      <c r="T492" s="189" t="s">
        <v>261</v>
      </c>
      <c r="U492" s="189" t="s">
        <v>258</v>
      </c>
      <c r="V492" s="189" t="s">
        <v>253</v>
      </c>
      <c r="W492" s="189" t="s">
        <v>253</v>
      </c>
      <c r="X492" s="189" t="s">
        <v>702</v>
      </c>
      <c r="Y492" s="189" t="s">
        <v>703</v>
      </c>
    </row>
    <row r="493" spans="1:25" x14ac:dyDescent="0.2">
      <c r="A493" s="189">
        <v>1013</v>
      </c>
      <c r="B493" s="189" t="s">
        <v>487</v>
      </c>
      <c r="C493" s="189" t="s">
        <v>50</v>
      </c>
      <c r="D493" s="189" t="s">
        <v>50</v>
      </c>
      <c r="E493" s="189" t="s">
        <v>268</v>
      </c>
      <c r="F493" s="189" t="s">
        <v>537</v>
      </c>
      <c r="G493" s="189" t="s">
        <v>265</v>
      </c>
      <c r="H493" s="189" t="s">
        <v>256</v>
      </c>
      <c r="I493" s="189">
        <v>2337</v>
      </c>
      <c r="J493" s="189">
        <v>538.94455658086395</v>
      </c>
      <c r="K493" s="189">
        <v>801.62491414000897</v>
      </c>
      <c r="L493" s="189">
        <v>-33.06</v>
      </c>
      <c r="M493" s="189">
        <v>-7.59</v>
      </c>
      <c r="N493" s="189">
        <v>52</v>
      </c>
      <c r="O493" s="189" t="s">
        <v>554</v>
      </c>
      <c r="P493" s="189" t="s">
        <v>555</v>
      </c>
      <c r="Q493" s="189" t="s">
        <v>253</v>
      </c>
      <c r="R493" s="189" t="s">
        <v>253</v>
      </c>
      <c r="S493" s="189" t="s">
        <v>253</v>
      </c>
      <c r="T493" s="189" t="s">
        <v>253</v>
      </c>
      <c r="U493" s="189" t="s">
        <v>253</v>
      </c>
      <c r="V493" s="189" t="s">
        <v>253</v>
      </c>
      <c r="W493" s="189" t="s">
        <v>253</v>
      </c>
      <c r="X493" s="189" t="s">
        <v>584</v>
      </c>
      <c r="Y493" s="189" t="s">
        <v>585</v>
      </c>
    </row>
    <row r="494" spans="1:25" x14ac:dyDescent="0.2">
      <c r="A494" s="189">
        <v>1014</v>
      </c>
      <c r="B494" s="189" t="s">
        <v>496</v>
      </c>
      <c r="C494" s="189" t="s">
        <v>431</v>
      </c>
      <c r="D494" s="189" t="s">
        <v>432</v>
      </c>
      <c r="E494" s="189" t="s">
        <v>268</v>
      </c>
      <c r="F494" s="189" t="s">
        <v>537</v>
      </c>
      <c r="G494" s="189" t="s">
        <v>306</v>
      </c>
      <c r="H494" s="189" t="s">
        <v>256</v>
      </c>
      <c r="I494" s="189">
        <v>6982</v>
      </c>
      <c r="J494" s="189">
        <v>259.76502533862703</v>
      </c>
      <c r="K494" s="189">
        <v>849.89017991071296</v>
      </c>
      <c r="L494" s="189">
        <v>-34.619999999999997</v>
      </c>
      <c r="M494" s="189">
        <v>-16.61</v>
      </c>
      <c r="N494" s="189">
        <v>161</v>
      </c>
      <c r="O494" s="189" t="s">
        <v>542</v>
      </c>
      <c r="P494" s="189" t="s">
        <v>543</v>
      </c>
      <c r="Q494" s="189" t="s">
        <v>253</v>
      </c>
      <c r="R494" s="189" t="s">
        <v>253</v>
      </c>
      <c r="S494" s="189" t="s">
        <v>257</v>
      </c>
      <c r="T494" s="189" t="s">
        <v>253</v>
      </c>
      <c r="U494" s="189" t="s">
        <v>258</v>
      </c>
      <c r="V494" s="189" t="s">
        <v>253</v>
      </c>
      <c r="W494" s="189" t="s">
        <v>253</v>
      </c>
      <c r="X494" s="189" t="s">
        <v>877</v>
      </c>
      <c r="Y494" s="189" t="s">
        <v>878</v>
      </c>
    </row>
    <row r="495" spans="1:25" x14ac:dyDescent="0.2">
      <c r="A495" s="189">
        <v>1015</v>
      </c>
      <c r="B495" s="189" t="s">
        <v>509</v>
      </c>
      <c r="C495" s="189" t="s">
        <v>469</v>
      </c>
      <c r="D495" s="189" t="s">
        <v>469</v>
      </c>
      <c r="E495" s="189" t="s">
        <v>268</v>
      </c>
      <c r="F495" s="189" t="s">
        <v>537</v>
      </c>
      <c r="G495" s="189" t="s">
        <v>260</v>
      </c>
      <c r="H495" s="189" t="s">
        <v>256</v>
      </c>
      <c r="I495" s="189">
        <v>9448</v>
      </c>
      <c r="J495" s="189">
        <v>656.76629810338</v>
      </c>
      <c r="K495" s="189">
        <v>855.10594250206304</v>
      </c>
      <c r="L495" s="189">
        <v>-34.79</v>
      </c>
      <c r="M495" s="189">
        <v>-3.79</v>
      </c>
      <c r="N495" s="189">
        <v>643</v>
      </c>
      <c r="O495" s="189" t="s">
        <v>538</v>
      </c>
      <c r="P495" s="189" t="s">
        <v>539</v>
      </c>
      <c r="Q495" s="189" t="s">
        <v>253</v>
      </c>
      <c r="R495" s="189" t="s">
        <v>253</v>
      </c>
      <c r="S495" s="189" t="s">
        <v>253</v>
      </c>
      <c r="T495" s="189" t="s">
        <v>253</v>
      </c>
      <c r="U495" s="189" t="s">
        <v>253</v>
      </c>
      <c r="V495" s="189" t="s">
        <v>253</v>
      </c>
      <c r="W495" s="189" t="s">
        <v>253</v>
      </c>
      <c r="X495" s="189" t="s">
        <v>671</v>
      </c>
      <c r="Y495" s="189" t="s">
        <v>672</v>
      </c>
    </row>
    <row r="496" spans="1:25" x14ac:dyDescent="0.2">
      <c r="A496" s="189">
        <v>1039</v>
      </c>
      <c r="B496" s="189" t="s">
        <v>425</v>
      </c>
      <c r="C496" s="189" t="s">
        <v>425</v>
      </c>
      <c r="D496" s="189" t="s">
        <v>425</v>
      </c>
      <c r="E496" s="189" t="s">
        <v>268</v>
      </c>
      <c r="F496" s="189" t="s">
        <v>537</v>
      </c>
      <c r="G496" s="189" t="s">
        <v>262</v>
      </c>
      <c r="H496" s="189" t="s">
        <v>263</v>
      </c>
      <c r="I496" s="189">
        <v>20004</v>
      </c>
      <c r="J496" s="189">
        <v>886.51285553207401</v>
      </c>
      <c r="K496" s="189">
        <v>434.63373807623299</v>
      </c>
      <c r="L496" s="189">
        <v>-21.17</v>
      </c>
      <c r="M496" s="189">
        <v>3.63</v>
      </c>
      <c r="N496" s="189">
        <v>7559</v>
      </c>
      <c r="O496" s="189" t="s">
        <v>722</v>
      </c>
      <c r="P496" s="189" t="s">
        <v>723</v>
      </c>
      <c r="Q496" s="189" t="s">
        <v>253</v>
      </c>
      <c r="R496" s="189" t="s">
        <v>253</v>
      </c>
      <c r="S496" s="189" t="s">
        <v>257</v>
      </c>
      <c r="T496" s="189" t="s">
        <v>261</v>
      </c>
      <c r="U496" s="189" t="s">
        <v>258</v>
      </c>
      <c r="V496" s="189" t="s">
        <v>253</v>
      </c>
      <c r="W496" s="189" t="s">
        <v>266</v>
      </c>
      <c r="X496" s="189" t="s">
        <v>793</v>
      </c>
      <c r="Y496" s="189" t="s">
        <v>794</v>
      </c>
    </row>
    <row r="497" spans="1:25" x14ac:dyDescent="0.2">
      <c r="A497" s="189">
        <v>1040</v>
      </c>
      <c r="B497" s="189" t="s">
        <v>502</v>
      </c>
      <c r="C497" s="189" t="s">
        <v>501</v>
      </c>
      <c r="D497" s="189" t="s">
        <v>502</v>
      </c>
      <c r="E497" s="189" t="s">
        <v>268</v>
      </c>
      <c r="F497" s="189" t="s">
        <v>537</v>
      </c>
      <c r="G497" s="189" t="s">
        <v>260</v>
      </c>
      <c r="H497" s="189" t="s">
        <v>516</v>
      </c>
      <c r="I497" s="189">
        <v>1115</v>
      </c>
      <c r="J497" s="189">
        <v>865.70819056881498</v>
      </c>
      <c r="K497" s="189">
        <v>604.14602229511695</v>
      </c>
      <c r="L497" s="189">
        <v>-26.66</v>
      </c>
      <c r="M497" s="189">
        <v>2.96</v>
      </c>
      <c r="N497" s="189">
        <v>7248</v>
      </c>
      <c r="O497" s="189" t="s">
        <v>861</v>
      </c>
      <c r="P497" s="189" t="s">
        <v>862</v>
      </c>
      <c r="Q497" s="189" t="s">
        <v>253</v>
      </c>
      <c r="R497" s="189" t="s">
        <v>253</v>
      </c>
      <c r="S497" s="189" t="s">
        <v>253</v>
      </c>
      <c r="T497" s="189" t="s">
        <v>253</v>
      </c>
      <c r="U497" s="189" t="s">
        <v>253</v>
      </c>
      <c r="V497" s="189" t="s">
        <v>253</v>
      </c>
      <c r="W497" s="189" t="s">
        <v>253</v>
      </c>
      <c r="X497" s="189" t="s">
        <v>863</v>
      </c>
      <c r="Y497" s="189" t="s">
        <v>864</v>
      </c>
    </row>
    <row r="498" spans="1:25" x14ac:dyDescent="0.2">
      <c r="A498" s="189">
        <v>1041</v>
      </c>
      <c r="B498" s="189" t="s">
        <v>517</v>
      </c>
      <c r="C498" s="189" t="s">
        <v>504</v>
      </c>
      <c r="D498" s="189" t="s">
        <v>505</v>
      </c>
      <c r="E498" s="189" t="s">
        <v>268</v>
      </c>
      <c r="F498" s="189" t="s">
        <v>537</v>
      </c>
      <c r="G498" s="189" t="s">
        <v>262</v>
      </c>
      <c r="H498" s="189" t="s">
        <v>263</v>
      </c>
      <c r="I498" s="189">
        <v>3288</v>
      </c>
      <c r="J498" s="189">
        <v>870.72933515302498</v>
      </c>
      <c r="K498" s="189">
        <v>531.04749881335704</v>
      </c>
      <c r="L498" s="189">
        <v>-24.3</v>
      </c>
      <c r="M498" s="189">
        <v>3.12</v>
      </c>
      <c r="N498" s="189">
        <v>210</v>
      </c>
      <c r="O498" s="189" t="s">
        <v>602</v>
      </c>
      <c r="P498" s="189" t="s">
        <v>603</v>
      </c>
      <c r="Q498" s="189" t="s">
        <v>253</v>
      </c>
      <c r="R498" s="189" t="s">
        <v>253</v>
      </c>
      <c r="S498" s="189" t="s">
        <v>257</v>
      </c>
      <c r="T498" s="189" t="s">
        <v>253</v>
      </c>
      <c r="U498" s="189" t="s">
        <v>253</v>
      </c>
      <c r="V498" s="189" t="s">
        <v>253</v>
      </c>
      <c r="W498" s="189" t="s">
        <v>253</v>
      </c>
      <c r="X498" s="189" t="s">
        <v>849</v>
      </c>
      <c r="Y498" s="189" t="s">
        <v>850</v>
      </c>
    </row>
    <row r="499" spans="1:25" x14ac:dyDescent="0.2">
      <c r="A499" s="189">
        <v>1042</v>
      </c>
      <c r="B499" s="189" t="s">
        <v>518</v>
      </c>
      <c r="C499" s="189" t="s">
        <v>504</v>
      </c>
      <c r="D499" s="189" t="s">
        <v>505</v>
      </c>
      <c r="E499" s="189" t="s">
        <v>268</v>
      </c>
      <c r="F499" s="189" t="s">
        <v>537</v>
      </c>
      <c r="G499" s="189" t="s">
        <v>262</v>
      </c>
      <c r="H499" s="189" t="s">
        <v>263</v>
      </c>
      <c r="I499" s="189">
        <v>3294</v>
      </c>
      <c r="J499" s="189">
        <v>901.20651507113905</v>
      </c>
      <c r="K499" s="189">
        <v>529.95763797337395</v>
      </c>
      <c r="L499" s="189">
        <v>-24.26</v>
      </c>
      <c r="M499" s="189">
        <v>4.1100000000000003</v>
      </c>
      <c r="N499" s="189">
        <v>554</v>
      </c>
      <c r="O499" s="189" t="s">
        <v>568</v>
      </c>
      <c r="P499" s="189" t="s">
        <v>569</v>
      </c>
      <c r="Q499" s="189" t="s">
        <v>253</v>
      </c>
      <c r="R499" s="189" t="s">
        <v>253</v>
      </c>
      <c r="S499" s="189" t="s">
        <v>253</v>
      </c>
      <c r="T499" s="189" t="s">
        <v>261</v>
      </c>
      <c r="U499" s="189" t="s">
        <v>258</v>
      </c>
      <c r="V499" s="189" t="s">
        <v>253</v>
      </c>
      <c r="W499" s="189" t="s">
        <v>253</v>
      </c>
      <c r="X499" s="189" t="s">
        <v>851</v>
      </c>
      <c r="Y499" s="189" t="s">
        <v>852</v>
      </c>
    </row>
    <row r="500" spans="1:25" x14ac:dyDescent="0.2">
      <c r="A500" s="189">
        <v>1043</v>
      </c>
      <c r="B500" s="189" t="s">
        <v>519</v>
      </c>
      <c r="C500" s="189" t="s">
        <v>425</v>
      </c>
      <c r="D500" s="189" t="s">
        <v>425</v>
      </c>
      <c r="E500" s="189" t="s">
        <v>268</v>
      </c>
      <c r="F500" s="189" t="s">
        <v>537</v>
      </c>
      <c r="G500" s="189" t="s">
        <v>522</v>
      </c>
      <c r="H500" s="189" t="s">
        <v>263</v>
      </c>
      <c r="I500" s="189">
        <v>1472</v>
      </c>
      <c r="J500" s="189">
        <v>1135.2346686569099</v>
      </c>
      <c r="K500" s="189">
        <v>468.32211511215598</v>
      </c>
      <c r="L500" s="189">
        <v>-22.26</v>
      </c>
      <c r="M500" s="189">
        <v>11.67</v>
      </c>
      <c r="N500" s="189">
        <v>6644</v>
      </c>
      <c r="O500" s="189" t="s">
        <v>795</v>
      </c>
      <c r="P500" s="189" t="s">
        <v>796</v>
      </c>
      <c r="Q500" s="189" t="s">
        <v>253</v>
      </c>
      <c r="R500" s="189" t="s">
        <v>253</v>
      </c>
      <c r="S500" s="189" t="s">
        <v>257</v>
      </c>
      <c r="T500" s="189" t="s">
        <v>253</v>
      </c>
      <c r="U500" s="189" t="s">
        <v>253</v>
      </c>
      <c r="V500" s="189" t="s">
        <v>253</v>
      </c>
      <c r="W500" s="189" t="s">
        <v>253</v>
      </c>
      <c r="X500" s="189" t="s">
        <v>797</v>
      </c>
      <c r="Y500" s="189" t="s">
        <v>798</v>
      </c>
    </row>
    <row r="501" spans="1:25" x14ac:dyDescent="0.2">
      <c r="A501" s="189">
        <v>1044</v>
      </c>
      <c r="B501" s="189" t="s">
        <v>520</v>
      </c>
      <c r="C501" s="189" t="s">
        <v>507</v>
      </c>
      <c r="D501" s="189" t="s">
        <v>508</v>
      </c>
      <c r="E501" s="189" t="s">
        <v>268</v>
      </c>
      <c r="F501" s="189" t="s">
        <v>537</v>
      </c>
      <c r="G501" s="189" t="s">
        <v>262</v>
      </c>
      <c r="H501" s="189" t="s">
        <v>263</v>
      </c>
      <c r="I501" s="189">
        <v>2947</v>
      </c>
      <c r="J501" s="189">
        <v>1061.3965967480201</v>
      </c>
      <c r="K501" s="189">
        <v>488.737544061135</v>
      </c>
      <c r="L501" s="189">
        <v>-22.93</v>
      </c>
      <c r="M501" s="189">
        <v>9.2799999999999994</v>
      </c>
      <c r="N501" s="189">
        <v>2392</v>
      </c>
      <c r="O501" s="189" t="s">
        <v>554</v>
      </c>
      <c r="P501" s="189" t="s">
        <v>555</v>
      </c>
      <c r="Q501" s="189" t="s">
        <v>253</v>
      </c>
      <c r="R501" s="189" t="s">
        <v>253</v>
      </c>
      <c r="S501" s="189" t="s">
        <v>253</v>
      </c>
      <c r="T501" s="189" t="s">
        <v>253</v>
      </c>
      <c r="U501" s="189" t="s">
        <v>258</v>
      </c>
      <c r="V501" s="189" t="s">
        <v>253</v>
      </c>
      <c r="W501" s="189" t="s">
        <v>253</v>
      </c>
      <c r="X501" s="189" t="s">
        <v>720</v>
      </c>
      <c r="Y501" s="189" t="s">
        <v>721</v>
      </c>
    </row>
    <row r="502" spans="1:25" x14ac:dyDescent="0.2">
      <c r="A502" s="189">
        <v>1045</v>
      </c>
      <c r="B502" s="189" t="s">
        <v>505</v>
      </c>
      <c r="C502" s="189" t="s">
        <v>504</v>
      </c>
      <c r="D502" s="189" t="s">
        <v>505</v>
      </c>
      <c r="E502" s="189" t="s">
        <v>268</v>
      </c>
      <c r="F502" s="189" t="s">
        <v>537</v>
      </c>
      <c r="G502" s="189" t="s">
        <v>262</v>
      </c>
      <c r="H502" s="189" t="s">
        <v>263</v>
      </c>
      <c r="I502" s="189">
        <v>3250</v>
      </c>
      <c r="J502" s="189">
        <v>846.36316065910501</v>
      </c>
      <c r="K502" s="189">
        <v>548.25173064452804</v>
      </c>
      <c r="L502" s="189">
        <v>-24.85</v>
      </c>
      <c r="M502" s="189">
        <v>2.34</v>
      </c>
      <c r="N502" s="189">
        <v>118</v>
      </c>
      <c r="O502" s="189" t="s">
        <v>568</v>
      </c>
      <c r="P502" s="189" t="s">
        <v>569</v>
      </c>
      <c r="Q502" s="189" t="s">
        <v>253</v>
      </c>
      <c r="R502" s="189" t="s">
        <v>253</v>
      </c>
      <c r="S502" s="189" t="s">
        <v>257</v>
      </c>
      <c r="T502" s="189" t="s">
        <v>253</v>
      </c>
      <c r="U502" s="189" t="s">
        <v>258</v>
      </c>
      <c r="V502" s="189" t="s">
        <v>253</v>
      </c>
      <c r="W502" s="189" t="s">
        <v>253</v>
      </c>
      <c r="X502" s="189" t="s">
        <v>853</v>
      </c>
      <c r="Y502" s="189" t="s">
        <v>854</v>
      </c>
    </row>
    <row r="503" spans="1:25" x14ac:dyDescent="0.2">
      <c r="A503" s="189">
        <v>1046</v>
      </c>
      <c r="B503" s="189" t="s">
        <v>511</v>
      </c>
      <c r="C503" s="189" t="s">
        <v>511</v>
      </c>
      <c r="D503" s="189" t="s">
        <v>511</v>
      </c>
      <c r="E503" s="189" t="s">
        <v>268</v>
      </c>
      <c r="F503" s="189" t="s">
        <v>537</v>
      </c>
      <c r="G503" s="189" t="s">
        <v>522</v>
      </c>
      <c r="H503" s="189" t="s">
        <v>521</v>
      </c>
      <c r="I503" s="189">
        <v>1849</v>
      </c>
      <c r="J503" s="189">
        <v>976.81561084500402</v>
      </c>
      <c r="K503" s="189">
        <v>410.24810178159998</v>
      </c>
      <c r="L503" s="189">
        <v>-20.38</v>
      </c>
      <c r="M503" s="189">
        <v>6.55</v>
      </c>
      <c r="N503" s="189">
        <v>5515</v>
      </c>
      <c r="O503" s="189" t="s">
        <v>560</v>
      </c>
      <c r="P503" s="189" t="s">
        <v>561</v>
      </c>
      <c r="Q503" s="189" t="s">
        <v>253</v>
      </c>
      <c r="R503" s="189" t="s">
        <v>253</v>
      </c>
      <c r="S503" s="189" t="s">
        <v>257</v>
      </c>
      <c r="T503" s="189" t="s">
        <v>261</v>
      </c>
      <c r="U503" s="189" t="s">
        <v>253</v>
      </c>
      <c r="V503" s="189" t="s">
        <v>253</v>
      </c>
      <c r="W503" s="189" t="s">
        <v>253</v>
      </c>
      <c r="X503" s="189" t="s">
        <v>777</v>
      </c>
      <c r="Y503" s="189" t="s">
        <v>778</v>
      </c>
    </row>
    <row r="504" spans="1:25" x14ac:dyDescent="0.2">
      <c r="A504" s="189">
        <v>1047</v>
      </c>
      <c r="B504" s="189" t="s">
        <v>508</v>
      </c>
      <c r="C504" s="189" t="s">
        <v>507</v>
      </c>
      <c r="D504" s="189" t="s">
        <v>508</v>
      </c>
      <c r="E504" s="189" t="s">
        <v>268</v>
      </c>
      <c r="F504" s="189" t="s">
        <v>537</v>
      </c>
      <c r="G504" s="189" t="s">
        <v>395</v>
      </c>
      <c r="H504" s="189" t="s">
        <v>263</v>
      </c>
      <c r="I504" s="189">
        <v>1174</v>
      </c>
      <c r="J504" s="189">
        <v>1073.2293715821199</v>
      </c>
      <c r="K504" s="189">
        <v>564.73587584927998</v>
      </c>
      <c r="L504" s="189">
        <v>-25.39</v>
      </c>
      <c r="M504" s="189">
        <v>9.67</v>
      </c>
      <c r="N504" s="189">
        <v>6644</v>
      </c>
      <c r="O504" s="189" t="s">
        <v>722</v>
      </c>
      <c r="P504" s="189" t="s">
        <v>723</v>
      </c>
      <c r="Q504" s="189" t="s">
        <v>253</v>
      </c>
      <c r="R504" s="189" t="s">
        <v>253</v>
      </c>
      <c r="S504" s="189" t="s">
        <v>253</v>
      </c>
      <c r="T504" s="189" t="s">
        <v>261</v>
      </c>
      <c r="U504" s="189" t="s">
        <v>253</v>
      </c>
      <c r="V504" s="189" t="s">
        <v>253</v>
      </c>
      <c r="W504" s="189" t="s">
        <v>253</v>
      </c>
      <c r="X504" s="189" t="s">
        <v>724</v>
      </c>
      <c r="Y504" s="189" t="s">
        <v>725</v>
      </c>
    </row>
    <row r="505" spans="1:25" x14ac:dyDescent="0.2">
      <c r="A505" s="189">
        <v>1048</v>
      </c>
      <c r="B505" s="189" t="s">
        <v>523</v>
      </c>
      <c r="C505" s="189" t="s">
        <v>507</v>
      </c>
      <c r="D505" s="189" t="s">
        <v>508</v>
      </c>
      <c r="E505" s="189" t="s">
        <v>268</v>
      </c>
      <c r="F505" s="189" t="s">
        <v>537</v>
      </c>
      <c r="G505" s="189" t="s">
        <v>262</v>
      </c>
      <c r="H505" s="189" t="s">
        <v>263</v>
      </c>
      <c r="I505" s="189">
        <v>1857</v>
      </c>
      <c r="J505" s="189">
        <v>1109.0780084973001</v>
      </c>
      <c r="K505" s="189">
        <v>515.98406506072604</v>
      </c>
      <c r="L505" s="189">
        <v>-23.81</v>
      </c>
      <c r="M505" s="189">
        <v>10.82</v>
      </c>
      <c r="N505" s="189">
        <v>4492</v>
      </c>
      <c r="O505" s="189" t="s">
        <v>726</v>
      </c>
      <c r="P505" s="189" t="s">
        <v>727</v>
      </c>
      <c r="Q505" s="189" t="s">
        <v>253</v>
      </c>
      <c r="R505" s="189" t="s">
        <v>253</v>
      </c>
      <c r="S505" s="189" t="s">
        <v>253</v>
      </c>
      <c r="T505" s="189" t="s">
        <v>253</v>
      </c>
      <c r="U505" s="189" t="s">
        <v>253</v>
      </c>
      <c r="V505" s="189" t="s">
        <v>253</v>
      </c>
      <c r="W505" s="189" t="s">
        <v>253</v>
      </c>
      <c r="X505" s="189" t="s">
        <v>728</v>
      </c>
      <c r="Y505" s="189" t="s">
        <v>729</v>
      </c>
    </row>
    <row r="506" spans="1:25" x14ac:dyDescent="0.2">
      <c r="A506" s="189">
        <v>1049</v>
      </c>
      <c r="B506" s="189" t="s">
        <v>524</v>
      </c>
      <c r="C506" s="189" t="s">
        <v>507</v>
      </c>
      <c r="D506" s="189" t="s">
        <v>508</v>
      </c>
      <c r="E506" s="189" t="s">
        <v>268</v>
      </c>
      <c r="F506" s="189" t="s">
        <v>537</v>
      </c>
      <c r="G506" s="189" t="s">
        <v>262</v>
      </c>
      <c r="H506" s="189" t="s">
        <v>263</v>
      </c>
      <c r="I506" s="189">
        <v>1506</v>
      </c>
      <c r="J506" s="189">
        <v>1035.96002321483</v>
      </c>
      <c r="K506" s="189">
        <v>576.91896309623996</v>
      </c>
      <c r="L506" s="189">
        <v>-25.78</v>
      </c>
      <c r="M506" s="189">
        <v>8.4600000000000009</v>
      </c>
      <c r="N506" s="189">
        <v>6067</v>
      </c>
      <c r="O506" s="189" t="s">
        <v>730</v>
      </c>
      <c r="P506" s="189" t="s">
        <v>731</v>
      </c>
      <c r="Q506" s="189" t="s">
        <v>253</v>
      </c>
      <c r="R506" s="189" t="s">
        <v>253</v>
      </c>
      <c r="S506" s="189" t="s">
        <v>253</v>
      </c>
      <c r="T506" s="189" t="s">
        <v>253</v>
      </c>
      <c r="U506" s="189" t="s">
        <v>253</v>
      </c>
      <c r="V506" s="189" t="s">
        <v>253</v>
      </c>
      <c r="W506" s="189" t="s">
        <v>253</v>
      </c>
      <c r="X506" s="189" t="s">
        <v>732</v>
      </c>
      <c r="Y506" s="189" t="s">
        <v>733</v>
      </c>
    </row>
    <row r="507" spans="1:25" x14ac:dyDescent="0.2">
      <c r="A507" s="189">
        <v>1050</v>
      </c>
      <c r="B507" s="189" t="s">
        <v>514</v>
      </c>
      <c r="C507" s="189" t="s">
        <v>513</v>
      </c>
      <c r="D507" s="189" t="s">
        <v>514</v>
      </c>
      <c r="E507" s="189" t="s">
        <v>268</v>
      </c>
      <c r="F507" s="189" t="s">
        <v>537</v>
      </c>
      <c r="G507" s="189" t="s">
        <v>262</v>
      </c>
      <c r="H507" s="189" t="s">
        <v>263</v>
      </c>
      <c r="I507" s="189">
        <v>1867</v>
      </c>
      <c r="J507" s="189">
        <v>967.86318251656701</v>
      </c>
      <c r="K507" s="189">
        <v>534.97878255758405</v>
      </c>
      <c r="L507" s="189">
        <v>-24.42</v>
      </c>
      <c r="M507" s="189">
        <v>6.26</v>
      </c>
      <c r="N507" s="189">
        <v>4738</v>
      </c>
      <c r="O507" s="189" t="s">
        <v>560</v>
      </c>
      <c r="P507" s="189" t="s">
        <v>561</v>
      </c>
      <c r="Q507" s="189" t="s">
        <v>253</v>
      </c>
      <c r="R507" s="189" t="s">
        <v>253</v>
      </c>
      <c r="S507" s="189" t="s">
        <v>253</v>
      </c>
      <c r="T507" s="189" t="s">
        <v>253</v>
      </c>
      <c r="U507" s="189" t="s">
        <v>253</v>
      </c>
      <c r="V507" s="189" t="s">
        <v>253</v>
      </c>
      <c r="W507" s="189" t="s">
        <v>253</v>
      </c>
      <c r="X507" s="189" t="s">
        <v>562</v>
      </c>
      <c r="Y507" s="189" t="s">
        <v>563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26" x14ac:dyDescent="0.2">
      <c r="A1" s="3" t="s">
        <v>417</v>
      </c>
      <c r="B1" s="3" t="s">
        <v>525</v>
      </c>
      <c r="C1" s="3" t="s">
        <v>17</v>
      </c>
      <c r="D1" s="3" t="s">
        <v>526</v>
      </c>
      <c r="E1" s="3" t="s">
        <v>420</v>
      </c>
      <c r="F1" s="3" t="s">
        <v>527</v>
      </c>
      <c r="G1" s="3" t="s">
        <v>238</v>
      </c>
      <c r="H1" s="3" t="s">
        <v>239</v>
      </c>
      <c r="I1" s="3" t="s">
        <v>240</v>
      </c>
      <c r="J1" s="3" t="s">
        <v>528</v>
      </c>
      <c r="K1" s="3" t="s">
        <v>529</v>
      </c>
      <c r="L1" s="3" t="s">
        <v>530</v>
      </c>
      <c r="M1" s="3" t="s">
        <v>531</v>
      </c>
      <c r="N1" s="3" t="s">
        <v>532</v>
      </c>
      <c r="O1" s="3" t="s">
        <v>11</v>
      </c>
      <c r="P1" s="3" t="s">
        <v>241</v>
      </c>
      <c r="Q1" s="3" t="s">
        <v>242</v>
      </c>
      <c r="R1" s="3" t="s">
        <v>243</v>
      </c>
      <c r="S1" s="3" t="s">
        <v>244</v>
      </c>
      <c r="T1" s="3" t="s">
        <v>245</v>
      </c>
      <c r="U1" s="3" t="s">
        <v>246</v>
      </c>
      <c r="V1" s="3"/>
      <c r="W1" s="3"/>
      <c r="X1" s="3"/>
      <c r="Y1" s="3"/>
      <c r="Z1" s="190"/>
    </row>
    <row r="2" spans="1:26" ht="15.75" customHeight="1" x14ac:dyDescent="0.25">
      <c r="A2" s="55">
        <f ca="1">IFERROR(__xludf.DUMMYFUNCTION("FILTER('Cities Import (Ignore)'!A$1:Y$999,'Cities Import (Ignore)'!E:E=""Shavia"")"),6)</f>
        <v>6</v>
      </c>
      <c r="B2" s="55" t="str">
        <f ca="1">IFERROR(__xludf.DUMMYFUNCTION("""COMPUTED_VALUE"""),"Heartwell")</f>
        <v>Heartwell</v>
      </c>
      <c r="C2" s="55" t="str">
        <f ca="1">IFERROR(__xludf.DUMMYFUNCTION("""COMPUTED_VALUE"""),"Crownlands")</f>
        <v>Crownlands</v>
      </c>
      <c r="D2" s="55" t="str">
        <f ca="1">IFERROR(__xludf.DUMMYFUNCTION("""COMPUTED_VALUE"""),"Uzd Province")</f>
        <v>Uzd Province</v>
      </c>
      <c r="E2" s="55" t="str">
        <f ca="1">IFERROR(__xludf.DUMMYFUNCTION("""COMPUTED_VALUE"""),"Shavia")</f>
        <v>Shavia</v>
      </c>
      <c r="F2" s="55" t="str">
        <f ca="1">IFERROR(__xludf.DUMMYFUNCTION("""COMPUTED_VALUE"""),"Kingdom of Shavia")</f>
        <v>Kingdom of Shavia</v>
      </c>
      <c r="G2" s="55" t="str">
        <f ca="1">IFERROR(__xludf.DUMMYFUNCTION("""COMPUTED_VALUE"""),"Shavian")</f>
        <v>Shavian</v>
      </c>
      <c r="H2" s="55" t="str">
        <f ca="1">IFERROR(__xludf.DUMMYFUNCTION("""COMPUTED_VALUE"""),"Path of Guiding Light")</f>
        <v>Path of Guiding Light</v>
      </c>
      <c r="I2" s="55">
        <f ca="1">IFERROR(__xludf.DUMMYFUNCTION("""COMPUTED_VALUE"""),100109)</f>
        <v>100109</v>
      </c>
      <c r="J2" s="55">
        <f ca="1">IFERROR(__xludf.DUMMYFUNCTION("""COMPUTED_VALUE"""),433)</f>
        <v>433</v>
      </c>
      <c r="K2" s="55">
        <f ca="1">IFERROR(__xludf.DUMMYFUNCTION("""COMPUTED_VALUE"""),666)</f>
        <v>666</v>
      </c>
      <c r="L2" s="55">
        <f ca="1">IFERROR(__xludf.DUMMYFUNCTION("""COMPUTED_VALUE"""),-28.67)</f>
        <v>-28.67</v>
      </c>
      <c r="M2" s="55">
        <f ca="1">IFERROR(__xludf.DUMMYFUNCTION("""COMPUTED_VALUE"""),-11.01)</f>
        <v>-11.01</v>
      </c>
      <c r="N2" s="55">
        <f ca="1">IFERROR(__xludf.DUMMYFUNCTION("""COMPUTED_VALUE"""),13)</f>
        <v>13</v>
      </c>
      <c r="O2" s="55" t="str">
        <f ca="1">IFERROR(__xludf.DUMMYFUNCTION("""COMPUTED_VALUE"""),"45°F")</f>
        <v>45°F</v>
      </c>
      <c r="P2" s="55" t="str">
        <f ca="1">IFERROR(__xludf.DUMMYFUNCTION("""COMPUTED_VALUE"""),"Halifax")</f>
        <v>Halifax</v>
      </c>
      <c r="Q2" s="55" t="str">
        <f ca="1">IFERROR(__xludf.DUMMYFUNCTION("""COMPUTED_VALUE"""),"capital")</f>
        <v>capital</v>
      </c>
      <c r="R2" s="55" t="str">
        <f ca="1">IFERROR(__xludf.DUMMYFUNCTION("""COMPUTED_VALUE"""),"port")</f>
        <v>port</v>
      </c>
      <c r="S2" s="55" t="str">
        <f ca="1">IFERROR(__xludf.DUMMYFUNCTION("""COMPUTED_VALUE"""),"citadel")</f>
        <v>citadel</v>
      </c>
      <c r="T2" s="55" t="str">
        <f ca="1">IFERROR(__xludf.DUMMYFUNCTION("""COMPUTED_VALUE"""),"walls")</f>
        <v>walls</v>
      </c>
      <c r="U2" s="55" t="str">
        <f ca="1">IFERROR(__xludf.DUMMYFUNCTION("""COMPUTED_VALUE"""),"plaza")</f>
        <v>plaza</v>
      </c>
      <c r="V2" s="189" t="str">
        <f ca="1">IFERROR(__xludf.DUMMYFUNCTION("""COMPUTED_VALUE"""),"temple")</f>
        <v>temple</v>
      </c>
      <c r="W2" s="189" t="str">
        <f ca="1">IFERROR(__xludf.DUMMYFUNCTION("""COMPUTED_VALUE"""),"shanty town")</f>
        <v>shanty town</v>
      </c>
      <c r="X2" s="189" t="str">
        <f ca="1">IFERROR(__xludf.DUMMYFUNCTION("""COMPUTED_VALUE"""),"{t1:gules;division:{division:perCross;t:or;line:straight};ordinaries:[{ordinary:pall;t:argent}];shield:fantasy5}")</f>
        <v>{t1:gules;division:{division:perCross;t:or;line:straight};ordinaries:[{ordinary:pall;t:argent}];shield:fantasy5}</v>
      </c>
      <c r="Y2" s="193" t="str">
        <f ca="1">IFERROR(__xludf.DUMMYFUNCTION("""COMPUTED_VALUE"""),"https://watabou.github.io/city-generator/?name=Heartwell&amp;population=100109&amp;size=74&amp;seed=3550748350006&amp;river=1&amp;coast=1&amp;farms=0&amp;citadel=1&amp;urban_castle=1&amp;hub=false&amp;plaza=1&amp;temple=1&amp;walls=1&amp;shantytown=1&amp;gates=-1&amp;sea=0.67")</f>
        <v>https://watabou.github.io/city-generator/?name=Heartwell&amp;population=100109&amp;size=74&amp;seed=3550748350006&amp;river=1&amp;coast=1&amp;farms=0&amp;citadel=1&amp;urban_castle=1&amp;hub=false&amp;plaza=1&amp;temple=1&amp;walls=1&amp;shantytown=1&amp;gates=-1&amp;sea=0.67</v>
      </c>
      <c r="Z2" s="189"/>
    </row>
    <row r="3" spans="1:26" ht="15.75" customHeight="1" x14ac:dyDescent="0.25">
      <c r="A3" s="55">
        <f ca="1">IFERROR(__xludf.DUMMYFUNCTION("""COMPUTED_VALUE"""),19)</f>
        <v>19</v>
      </c>
      <c r="B3" s="55" t="str">
        <f ca="1">IFERROR(__xludf.DUMMYFUNCTION("""COMPUTED_VALUE"""),"Shimerme")</f>
        <v>Shimerme</v>
      </c>
      <c r="C3" s="55" t="str">
        <f ca="1">IFERROR(__xludf.DUMMYFUNCTION("""COMPUTED_VALUE"""),"Sirong")</f>
        <v>Sirong</v>
      </c>
      <c r="D3" s="55" t="str">
        <f ca="1">IFERROR(__xludf.DUMMYFUNCTION("""COMPUTED_VALUE"""),"Sirong Lordship")</f>
        <v>Sirong Lordship</v>
      </c>
      <c r="E3" s="55" t="str">
        <f ca="1">IFERROR(__xludf.DUMMYFUNCTION("""COMPUTED_VALUE"""),"Shavia")</f>
        <v>Shavia</v>
      </c>
      <c r="F3" s="55" t="str">
        <f ca="1">IFERROR(__xludf.DUMMYFUNCTION("""COMPUTED_VALUE"""),"Kingdom of Shavia")</f>
        <v>Kingdom of Shavia</v>
      </c>
      <c r="G3" s="55" t="str">
        <f ca="1">IFERROR(__xludf.DUMMYFUNCTION("""COMPUTED_VALUE"""),"Shavian")</f>
        <v>Shavian</v>
      </c>
      <c r="H3" s="55" t="str">
        <f ca="1">IFERROR(__xludf.DUMMYFUNCTION("""COMPUTED_VALUE"""),"Path of Guiding Light")</f>
        <v>Path of Guiding Light</v>
      </c>
      <c r="I3" s="55">
        <f ca="1">IFERROR(__xludf.DUMMYFUNCTION("""COMPUTED_VALUE"""),3360)</f>
        <v>3360</v>
      </c>
      <c r="J3" s="55">
        <f ca="1">IFERROR(__xludf.DUMMYFUNCTION("""COMPUTED_VALUE"""),346.5)</f>
        <v>346.5</v>
      </c>
      <c r="K3" s="55">
        <f ca="1">IFERROR(__xludf.DUMMYFUNCTION("""COMPUTED_VALUE"""),693.5)</f>
        <v>693.5</v>
      </c>
      <c r="L3" s="55">
        <f ca="1">IFERROR(__xludf.DUMMYFUNCTION("""COMPUTED_VALUE"""),-29.56)</f>
        <v>-29.56</v>
      </c>
      <c r="M3" s="55">
        <f ca="1">IFERROR(__xludf.DUMMYFUNCTION("""COMPUTED_VALUE"""),-13.81)</f>
        <v>-13.81</v>
      </c>
      <c r="N3" s="55">
        <f ca="1">IFERROR(__xludf.DUMMYFUNCTION("""COMPUTED_VALUE"""),118)</f>
        <v>118</v>
      </c>
      <c r="O3" s="55" t="str">
        <f ca="1">IFERROR(__xludf.DUMMYFUNCTION("""COMPUTED_VALUE"""),"43°F")</f>
        <v>43°F</v>
      </c>
      <c r="P3" s="55" t="str">
        <f ca="1">IFERROR(__xludf.DUMMYFUNCTION("""COMPUTED_VALUE"""),"Stockholm")</f>
        <v>Stockholm</v>
      </c>
      <c r="Q3" s="55" t="str">
        <f ca="1">IFERROR(__xludf.DUMMYFUNCTION("""COMPUTED_VALUE"""),"")</f>
        <v/>
      </c>
      <c r="R3" s="55" t="str">
        <f ca="1">IFERROR(__xludf.DUMMYFUNCTION("""COMPUTED_VALUE"""),"port")</f>
        <v>port</v>
      </c>
      <c r="S3" s="55" t="str">
        <f ca="1">IFERROR(__xludf.DUMMYFUNCTION("""COMPUTED_VALUE"""),"citadel")</f>
        <v>citadel</v>
      </c>
      <c r="T3" s="55" t="str">
        <f ca="1">IFERROR(__xludf.DUMMYFUNCTION("""COMPUTED_VALUE"""),"walls")</f>
        <v>walls</v>
      </c>
      <c r="U3" s="55" t="str">
        <f ca="1">IFERROR(__xludf.DUMMYFUNCTION("""COMPUTED_VALUE"""),"")</f>
        <v/>
      </c>
      <c r="V3" s="189" t="str">
        <f ca="1">IFERROR(__xludf.DUMMYFUNCTION("""COMPUTED_VALUE"""),"")</f>
        <v/>
      </c>
      <c r="W3" s="189" t="str">
        <f ca="1">IFERROR(__xludf.DUMMYFUNCTION("""COMPUTED_VALUE"""),"")</f>
        <v/>
      </c>
      <c r="X3" s="189" t="str">
        <f ca="1">IFERROR(__xludf.DUMMYFUNCTION("""COMPUTED_VALUE"""),"{t1:purpure;division:{division:chevronny;t:argent};ordinaries:[{ordinary:pale;t:or;line:rayonne}];charges:[{charge:mascle;t:gules;p:e;size:0.7}];shield:fantasy5}")</f>
        <v>{t1:purpure;division:{division:chevronny;t:argent};ordinaries:[{ordinary:pale;t:or;line:rayonne}];charges:[{charge:mascle;t:gules;p:e;size:0.7}];shield:fantasy5}</v>
      </c>
      <c r="Y3" s="193" t="str">
        <f ca="1">IFERROR(__xludf.DUMMYFUNCTION("""COMPUTED_VALUE"""),"https://watabou.github.io/city-generator/?name=Shimerme&amp;population=3360&amp;size=20&amp;seed=3550748350019&amp;river=1&amp;coast=1&amp;farms=0&amp;citadel=1&amp;urban_castle=0&amp;hub=false&amp;plaza=0&amp;temple=0&amp;walls=1&amp;shantytown=0&amp;gates=-1&amp;sea=1.23")</f>
        <v>https://watabou.github.io/city-generator/?name=Shimerme&amp;population=3360&amp;size=20&amp;seed=3550748350019&amp;river=1&amp;coast=1&amp;farms=0&amp;citadel=1&amp;urban_castle=0&amp;hub=false&amp;plaza=0&amp;temple=0&amp;walls=1&amp;shantytown=0&amp;gates=-1&amp;sea=1.23</v>
      </c>
      <c r="Z3" s="189"/>
    </row>
    <row r="4" spans="1:26" ht="15.75" customHeight="1" x14ac:dyDescent="0.25">
      <c r="A4" s="55">
        <f ca="1">IFERROR(__xludf.DUMMYFUNCTION("""COMPUTED_VALUE"""),22)</f>
        <v>22</v>
      </c>
      <c r="B4" s="55" t="str">
        <f ca="1">IFERROR(__xludf.DUMMYFUNCTION("""COMPUTED_VALUE"""),"Timbergro")</f>
        <v>Timbergro</v>
      </c>
      <c r="C4" s="55" t="str">
        <f ca="1">IFERROR(__xludf.DUMMYFUNCTION("""COMPUTED_VALUE"""),"Dreghold")</f>
        <v>Dreghold</v>
      </c>
      <c r="D4" s="55" t="str">
        <f ca="1">IFERROR(__xludf.DUMMYFUNCTION("""COMPUTED_VALUE"""),"Dreghold Province")</f>
        <v>Dreghold Province</v>
      </c>
      <c r="E4" s="55" t="str">
        <f ca="1">IFERROR(__xludf.DUMMYFUNCTION("""COMPUTED_VALUE"""),"Shavia")</f>
        <v>Shavia</v>
      </c>
      <c r="F4" s="55" t="str">
        <f ca="1">IFERROR(__xludf.DUMMYFUNCTION("""COMPUTED_VALUE"""),"Kingdom of Shavia")</f>
        <v>Kingdom of Shavia</v>
      </c>
      <c r="G4" s="55" t="str">
        <f ca="1">IFERROR(__xludf.DUMMYFUNCTION("""COMPUTED_VALUE"""),"Shavian")</f>
        <v>Shavian</v>
      </c>
      <c r="H4" s="55" t="str">
        <f ca="1">IFERROR(__xludf.DUMMYFUNCTION("""COMPUTED_VALUE"""),"Path of Guiding Light")</f>
        <v>Path of Guiding Light</v>
      </c>
      <c r="I4" s="55">
        <f ca="1">IFERROR(__xludf.DUMMYFUNCTION("""COMPUTED_VALUE"""),6916)</f>
        <v>6916</v>
      </c>
      <c r="J4" s="55">
        <f ca="1">IFERROR(__xludf.DUMMYFUNCTION("""COMPUTED_VALUE"""),655.598590060541)</f>
        <v>655.59859006054103</v>
      </c>
      <c r="K4" s="55">
        <f ca="1">IFERROR(__xludf.DUMMYFUNCTION("""COMPUTED_VALUE"""),934.334933208731)</f>
        <v>934.33493320873094</v>
      </c>
      <c r="L4" s="55">
        <f ca="1">IFERROR(__xludf.DUMMYFUNCTION("""COMPUTED_VALUE"""),-37.35)</f>
        <v>-37.35</v>
      </c>
      <c r="M4" s="55">
        <f ca="1">IFERROR(__xludf.DUMMYFUNCTION("""COMPUTED_VALUE"""),-3.82)</f>
        <v>-3.82</v>
      </c>
      <c r="N4" s="55">
        <f ca="1">IFERROR(__xludf.DUMMYFUNCTION("""COMPUTED_VALUE"""),82)</f>
        <v>82</v>
      </c>
      <c r="O4" s="55" t="str">
        <f ca="1">IFERROR(__xludf.DUMMYFUNCTION("""COMPUTED_VALUE"""),"37°F")</f>
        <v>37°F</v>
      </c>
      <c r="P4" s="55" t="str">
        <f ca="1">IFERROR(__xludf.DUMMYFUNCTION("""COMPUTED_VALUE"""),"Tromsø")</f>
        <v>Tromsø</v>
      </c>
      <c r="Q4" s="55" t="str">
        <f ca="1">IFERROR(__xludf.DUMMYFUNCTION("""COMPUTED_VALUE"""),"")</f>
        <v/>
      </c>
      <c r="R4" s="55" t="str">
        <f ca="1">IFERROR(__xludf.DUMMYFUNCTION("""COMPUTED_VALUE"""),"")</f>
        <v/>
      </c>
      <c r="S4" s="55" t="str">
        <f ca="1">IFERROR(__xludf.DUMMYFUNCTION("""COMPUTED_VALUE"""),"citadel")</f>
        <v>citadel</v>
      </c>
      <c r="T4" s="55" t="str">
        <f ca="1">IFERROR(__xludf.DUMMYFUNCTION("""COMPUTED_VALUE"""),"")</f>
        <v/>
      </c>
      <c r="U4" s="55" t="str">
        <f ca="1">IFERROR(__xludf.DUMMYFUNCTION("""COMPUTED_VALUE"""),"")</f>
        <v/>
      </c>
      <c r="V4" s="189" t="str">
        <f ca="1">IFERROR(__xludf.DUMMYFUNCTION("""COMPUTED_VALUE"""),"")</f>
        <v/>
      </c>
      <c r="W4" s="189" t="str">
        <f ca="1">IFERROR(__xludf.DUMMYFUNCTION("""COMPUTED_VALUE"""),"")</f>
        <v/>
      </c>
      <c r="X4" s="189" t="str">
        <f ca="1">IFERROR(__xludf.DUMMYFUNCTION("""COMPUTED_VALUE"""),"{t1:argent;charges:[{charge:key;t:purpure;p:e;size:1.5}];shield:horsehead2}")</f>
        <v>{t1:argent;charges:[{charge:key;t:purpure;p:e;size:1.5}];shield:horsehead2}</v>
      </c>
      <c r="Y4" s="193" t="str">
        <f ca="1">IFERROR(__xludf.DUMMYFUNCTION("""COMPUTED_VALUE"""),"https://watabou.github.io/city-generator/?name=Timbergro&amp;population=6916&amp;size=27&amp;seed=3550748350022&amp;river=0&amp;coast=0&amp;farms=0&amp;citadel=1&amp;urban_castle=1&amp;hub=false&amp;plaza=0&amp;temple=0&amp;walls=0&amp;shantytown=0&amp;gates=-1")</f>
        <v>https://watabou.github.io/city-generator/?name=Timbergro&amp;population=6916&amp;size=27&amp;seed=3550748350022&amp;river=0&amp;coast=0&amp;farms=0&amp;citadel=1&amp;urban_castle=1&amp;hub=false&amp;plaza=0&amp;temple=0&amp;walls=0&amp;shantytown=0&amp;gates=-1</v>
      </c>
      <c r="Z4" s="189"/>
    </row>
    <row r="5" spans="1:26" ht="15.75" customHeight="1" x14ac:dyDescent="0.25">
      <c r="A5" s="55">
        <f ca="1">IFERROR(__xludf.DUMMYFUNCTION("""COMPUTED_VALUE"""),33)</f>
        <v>33</v>
      </c>
      <c r="B5" s="55" t="str">
        <f ca="1">IFERROR(__xludf.DUMMYFUNCTION("""COMPUTED_VALUE"""),"Belldedagon")</f>
        <v>Belldedagon</v>
      </c>
      <c r="C5" s="55" t="str">
        <f ca="1">IFERROR(__xludf.DUMMYFUNCTION("""COMPUTED_VALUE"""),"Sirong")</f>
        <v>Sirong</v>
      </c>
      <c r="D5" s="55" t="str">
        <f ca="1">IFERROR(__xludf.DUMMYFUNCTION("""COMPUTED_VALUE"""),"Sirong Lordship")</f>
        <v>Sirong Lordship</v>
      </c>
      <c r="E5" s="55" t="str">
        <f ca="1">IFERROR(__xludf.DUMMYFUNCTION("""COMPUTED_VALUE"""),"Shavia")</f>
        <v>Shavia</v>
      </c>
      <c r="F5" s="55" t="str">
        <f ca="1">IFERROR(__xludf.DUMMYFUNCTION("""COMPUTED_VALUE"""),"Kingdom of Shavia")</f>
        <v>Kingdom of Shavia</v>
      </c>
      <c r="G5" s="55" t="str">
        <f ca="1">IFERROR(__xludf.DUMMYFUNCTION("""COMPUTED_VALUE"""),"Shavian")</f>
        <v>Shavian</v>
      </c>
      <c r="H5" s="55" t="str">
        <f ca="1">IFERROR(__xludf.DUMMYFUNCTION("""COMPUTED_VALUE"""),"Path of Guiding Light")</f>
        <v>Path of Guiding Light</v>
      </c>
      <c r="I5" s="55">
        <f ca="1">IFERROR(__xludf.DUMMYFUNCTION("""COMPUTED_VALUE"""),1652)</f>
        <v>1652</v>
      </c>
      <c r="J5" s="55">
        <f ca="1">IFERROR(__xludf.DUMMYFUNCTION("""COMPUTED_VALUE"""),447.474093225094)</f>
        <v>447.47409322509401</v>
      </c>
      <c r="K5" s="55">
        <f ca="1">IFERROR(__xludf.DUMMYFUNCTION("""COMPUTED_VALUE"""),835.44952378093)</f>
        <v>835.44952378093001</v>
      </c>
      <c r="L5" s="55">
        <f ca="1">IFERROR(__xludf.DUMMYFUNCTION("""COMPUTED_VALUE"""),-34.15)</f>
        <v>-34.15</v>
      </c>
      <c r="M5" s="55">
        <f ca="1">IFERROR(__xludf.DUMMYFUNCTION("""COMPUTED_VALUE"""),-10.55)</f>
        <v>-10.55</v>
      </c>
      <c r="N5" s="55">
        <f ca="1">IFERROR(__xludf.DUMMYFUNCTION("""COMPUTED_VALUE"""),554)</f>
        <v>554</v>
      </c>
      <c r="O5" s="55" t="str">
        <f ca="1">IFERROR(__xludf.DUMMYFUNCTION("""COMPUTED_VALUE"""),"37°F")</f>
        <v>37°F</v>
      </c>
      <c r="P5" s="55" t="str">
        <f ca="1">IFERROR(__xludf.DUMMYFUNCTION("""COMPUTED_VALUE"""),"Tromsø")</f>
        <v>Tromsø</v>
      </c>
      <c r="Q5" s="55" t="str">
        <f ca="1">IFERROR(__xludf.DUMMYFUNCTION("""COMPUTED_VALUE"""),"")</f>
        <v/>
      </c>
      <c r="R5" s="55" t="str">
        <f ca="1">IFERROR(__xludf.DUMMYFUNCTION("""COMPUTED_VALUE"""),"")</f>
        <v/>
      </c>
      <c r="S5" s="55" t="str">
        <f ca="1">IFERROR(__xludf.DUMMYFUNCTION("""COMPUTED_VALUE"""),"")</f>
        <v/>
      </c>
      <c r="T5" s="55" t="str">
        <f ca="1">IFERROR(__xludf.DUMMYFUNCTION("""COMPUTED_VALUE"""),"")</f>
        <v/>
      </c>
      <c r="U5" s="55" t="str">
        <f ca="1">IFERROR(__xludf.DUMMYFUNCTION("""COMPUTED_VALUE"""),"")</f>
        <v/>
      </c>
      <c r="V5" s="189" t="str">
        <f ca="1">IFERROR(__xludf.DUMMYFUNCTION("""COMPUTED_VALUE"""),"")</f>
        <v/>
      </c>
      <c r="W5" s="189" t="str">
        <f ca="1">IFERROR(__xludf.DUMMYFUNCTION("""COMPUTED_VALUE"""),"")</f>
        <v/>
      </c>
      <c r="X5" s="189" t="str">
        <f ca="1">IFERROR(__xludf.DUMMYFUNCTION("""COMPUTED_VALUE"""),"{t1:argent;charges:[{charge:oak;t:purpure;p:e;size:1.5}];shield:fantasy5}")</f>
        <v>{t1:argent;charges:[{charge:oak;t:purpure;p:e;size:1.5}];shield:fantasy5}</v>
      </c>
      <c r="Y5" s="193" t="str">
        <f ca="1">IFERROR(__xludf.DUMMYFUNCTION("""COMPUTED_VALUE"""),"https://watabou.github.io/village-generator/?pop=1652&amp;name=&amp;seed=3550748350033&amp;width=1600&amp;height=727&amp;tags=highway%2Cno+square%2Cdense")</f>
        <v>https://watabou.github.io/village-generator/?pop=1652&amp;name=&amp;seed=3550748350033&amp;width=1600&amp;height=727&amp;tags=highway%2Cno+square%2Cdense</v>
      </c>
      <c r="Z5" s="189"/>
    </row>
    <row r="6" spans="1:26" ht="15.75" customHeight="1" x14ac:dyDescent="0.25">
      <c r="A6" s="55">
        <f ca="1">IFERROR(__xludf.DUMMYFUNCTION("""COMPUTED_VALUE"""),39)</f>
        <v>39</v>
      </c>
      <c r="B6" s="78" t="str">
        <f ca="1">IFERROR(__xludf.DUMMYFUNCTION("""COMPUTED_VALUE"""),"Banashel'lalos")</f>
        <v>Banashel'lalos</v>
      </c>
      <c r="C6" s="55" t="str">
        <f ca="1">IFERROR(__xludf.DUMMYFUNCTION("""COMPUTED_VALUE"""),"Ralim")</f>
        <v>Ralim</v>
      </c>
      <c r="D6" s="55" t="str">
        <f ca="1">IFERROR(__xludf.DUMMYFUNCTION("""COMPUTED_VALUE"""),"Ralim Province")</f>
        <v>Ralim Province</v>
      </c>
      <c r="E6" s="55" t="str">
        <f ca="1">IFERROR(__xludf.DUMMYFUNCTION("""COMPUTED_VALUE"""),"Shavia")</f>
        <v>Shavia</v>
      </c>
      <c r="F6" s="55" t="str">
        <f ca="1">IFERROR(__xludf.DUMMYFUNCTION("""COMPUTED_VALUE"""),"Kingdom of Shavia")</f>
        <v>Kingdom of Shavia</v>
      </c>
      <c r="G6" s="55" t="str">
        <f ca="1">IFERROR(__xludf.DUMMYFUNCTION("""COMPUTED_VALUE"""),"Aranvers")</f>
        <v>Aranvers</v>
      </c>
      <c r="H6" s="55" t="str">
        <f ca="1">IFERROR(__xludf.DUMMYFUNCTION("""COMPUTED_VALUE"""),"Path of Guiding Light")</f>
        <v>Path of Guiding Light</v>
      </c>
      <c r="I6" s="55">
        <f ca="1">IFERROR(__xludf.DUMMYFUNCTION("""COMPUTED_VALUE"""),5892)</f>
        <v>5892</v>
      </c>
      <c r="J6" s="55">
        <f ca="1">IFERROR(__xludf.DUMMYFUNCTION("""COMPUTED_VALUE"""),303.962774760106)</f>
        <v>303.96277476010602</v>
      </c>
      <c r="K6" s="55">
        <f ca="1">IFERROR(__xludf.DUMMYFUNCTION("""COMPUTED_VALUE"""),583.905749552564)</f>
        <v>583.90574955256398</v>
      </c>
      <c r="L6" s="55">
        <f ca="1">IFERROR(__xludf.DUMMYFUNCTION("""COMPUTED_VALUE"""),-26.01)</f>
        <v>-26.01</v>
      </c>
      <c r="M6" s="55">
        <f ca="1">IFERROR(__xludf.DUMMYFUNCTION("""COMPUTED_VALUE"""),-15.18)</f>
        <v>-15.18</v>
      </c>
      <c r="N6" s="55">
        <f ca="1">IFERROR(__xludf.DUMMYFUNCTION("""COMPUTED_VALUE"""),82)</f>
        <v>82</v>
      </c>
      <c r="O6" s="55" t="str">
        <f ca="1">IFERROR(__xludf.DUMMYFUNCTION("""COMPUTED_VALUE"""),"46°F")</f>
        <v>46°F</v>
      </c>
      <c r="P6" s="55" t="str">
        <f ca="1">IFERROR(__xludf.DUMMYFUNCTION("""COMPUTED_VALUE"""),"Prague")</f>
        <v>Prague</v>
      </c>
      <c r="Q6" s="55" t="str">
        <f ca="1">IFERROR(__xludf.DUMMYFUNCTION("""COMPUTED_VALUE"""),"")</f>
        <v/>
      </c>
      <c r="R6" s="55" t="str">
        <f ca="1">IFERROR(__xludf.DUMMYFUNCTION("""COMPUTED_VALUE"""),"")</f>
        <v/>
      </c>
      <c r="S6" s="55" t="str">
        <f ca="1">IFERROR(__xludf.DUMMYFUNCTION("""COMPUTED_VALUE"""),"citadel")</f>
        <v>citadel</v>
      </c>
      <c r="T6" s="55" t="str">
        <f ca="1">IFERROR(__xludf.DUMMYFUNCTION("""COMPUTED_VALUE"""),"")</f>
        <v/>
      </c>
      <c r="U6" s="55" t="str">
        <f ca="1">IFERROR(__xludf.DUMMYFUNCTION("""COMPUTED_VALUE"""),"")</f>
        <v/>
      </c>
      <c r="V6" s="189" t="str">
        <f ca="1">IFERROR(__xludf.DUMMYFUNCTION("""COMPUTED_VALUE"""),"")</f>
        <v/>
      </c>
      <c r="W6" s="189" t="str">
        <f ca="1">IFERROR(__xludf.DUMMYFUNCTION("""COMPUTED_VALUE"""),"")</f>
        <v/>
      </c>
      <c r="X6" s="189" t="str">
        <f ca="1">IFERROR(__xludf.DUMMYFUNCTION("""COMPUTED_VALUE"""),"{t1:semy_of_crescent-or-azure;division:{division:perCross;t:sable;line:straight};ordinaries:[{ordinary:pale;t:vert;line:straight}];shield:hessen}")</f>
        <v>{t1:semy_of_crescent-or-azure;division:{division:perCross;t:sable;line:straight};ordinaries:[{ordinary:pale;t:vert;line:straight}];shield:hessen}</v>
      </c>
      <c r="Y6" s="193" t="str">
        <f ca="1">IFERROR(__xludf.DUMMYFUNCTION("""COMPUTED_VALUE"""),"https://watabou.github.io/city-generator/?name=Banashel%27lalos&amp;population=5892&amp;size=25&amp;seed=3550748350039&amp;river=1&amp;coast=0&amp;farms=0&amp;citadel=1&amp;urban_castle=0&amp;hub=false&amp;plaza=0&amp;temple=0&amp;walls=0&amp;shantytown=0&amp;gates=-1")</f>
        <v>https://watabou.github.io/city-generator/?name=Banashel%27lalos&amp;population=5892&amp;size=25&amp;seed=3550748350039&amp;river=1&amp;coast=0&amp;farms=0&amp;citadel=1&amp;urban_castle=0&amp;hub=false&amp;plaza=0&amp;temple=0&amp;walls=0&amp;shantytown=0&amp;gates=-1</v>
      </c>
      <c r="Z6" s="189"/>
    </row>
    <row r="7" spans="1:26" ht="15.75" customHeight="1" x14ac:dyDescent="0.25">
      <c r="A7" s="194">
        <f ca="1">IFERROR(__xludf.DUMMYFUNCTION("""COMPUTED_VALUE"""),43)</f>
        <v>43</v>
      </c>
      <c r="B7" s="195" t="str">
        <f ca="1">IFERROR(__xludf.DUMMYFUNCTION("""COMPUTED_VALUE"""),"Whitmegulch")</f>
        <v>Whitmegulch</v>
      </c>
      <c r="C7" s="194" t="str">
        <f ca="1">IFERROR(__xludf.DUMMYFUNCTION("""COMPUTED_VALUE"""),"Swanhall")</f>
        <v>Swanhall</v>
      </c>
      <c r="D7" s="194" t="str">
        <f ca="1">IFERROR(__xludf.DUMMYFUNCTION("""COMPUTED_VALUE"""),"Swanhall Province")</f>
        <v>Swanhall Province</v>
      </c>
      <c r="E7" s="194" t="str">
        <f ca="1">IFERROR(__xludf.DUMMYFUNCTION("""COMPUTED_VALUE"""),"Shavia")</f>
        <v>Shavia</v>
      </c>
      <c r="F7" s="194" t="str">
        <f ca="1">IFERROR(__xludf.DUMMYFUNCTION("""COMPUTED_VALUE"""),"Kingdom of Shavia")</f>
        <v>Kingdom of Shavia</v>
      </c>
      <c r="G7" s="194" t="str">
        <f ca="1">IFERROR(__xludf.DUMMYFUNCTION("""COMPUTED_VALUE"""),"Dail")</f>
        <v>Dail</v>
      </c>
      <c r="H7" s="194" t="str">
        <f ca="1">IFERROR(__xludf.DUMMYFUNCTION("""COMPUTED_VALUE"""),"Path of Guiding Light")</f>
        <v>Path of Guiding Light</v>
      </c>
      <c r="I7" s="194">
        <f ca="1">IFERROR(__xludf.DUMMYFUNCTION("""COMPUTED_VALUE"""),16601)</f>
        <v>16601</v>
      </c>
      <c r="J7" s="194">
        <f ca="1">IFERROR(__xludf.DUMMYFUNCTION("""COMPUTED_VALUE"""),1142.57176752608)</f>
        <v>1142.5717675260801</v>
      </c>
      <c r="K7" s="194">
        <f ca="1">IFERROR(__xludf.DUMMYFUNCTION("""COMPUTED_VALUE"""),800.65182410431)</f>
        <v>800.65182410430998</v>
      </c>
      <c r="L7" s="194">
        <f ca="1">IFERROR(__xludf.DUMMYFUNCTION("""COMPUTED_VALUE"""),-33.03)</f>
        <v>-33.03</v>
      </c>
      <c r="M7" s="194">
        <f ca="1">IFERROR(__xludf.DUMMYFUNCTION("""COMPUTED_VALUE"""),11.9)</f>
        <v>11.9</v>
      </c>
      <c r="N7" s="194">
        <f ca="1">IFERROR(__xludf.DUMMYFUNCTION("""COMPUTED_VALUE"""),82)</f>
        <v>82</v>
      </c>
      <c r="O7" s="194" t="str">
        <f ca="1">IFERROR(__xludf.DUMMYFUNCTION("""COMPUTED_VALUE"""),"41°F")</f>
        <v>41°F</v>
      </c>
      <c r="P7" s="194" t="str">
        <f ca="1">IFERROR(__xludf.DUMMYFUNCTION("""COMPUTED_VALUE"""),"Riga")</f>
        <v>Riga</v>
      </c>
      <c r="Q7" s="194" t="str">
        <f ca="1">IFERROR(__xludf.DUMMYFUNCTION("""COMPUTED_VALUE"""),"")</f>
        <v/>
      </c>
      <c r="R7" s="194" t="str">
        <f ca="1">IFERROR(__xludf.DUMMYFUNCTION("""COMPUTED_VALUE"""),"")</f>
        <v/>
      </c>
      <c r="S7" s="194" t="str">
        <f ca="1">IFERROR(__xludf.DUMMYFUNCTION("""COMPUTED_VALUE"""),"citadel")</f>
        <v>citadel</v>
      </c>
      <c r="T7" s="194" t="str">
        <f ca="1">IFERROR(__xludf.DUMMYFUNCTION("""COMPUTED_VALUE"""),"")</f>
        <v/>
      </c>
      <c r="U7" s="194" t="str">
        <f ca="1">IFERROR(__xludf.DUMMYFUNCTION("""COMPUTED_VALUE"""),"")</f>
        <v/>
      </c>
      <c r="V7" s="196" t="str">
        <f ca="1">IFERROR(__xludf.DUMMYFUNCTION("""COMPUTED_VALUE"""),"")</f>
        <v/>
      </c>
      <c r="W7" s="196" t="str">
        <f ca="1">IFERROR(__xludf.DUMMYFUNCTION("""COMPUTED_VALUE"""),"")</f>
        <v/>
      </c>
      <c r="X7" s="196" t="str">
        <f ca="1">IFERROR(__xludf.DUMMYFUNCTION("""COMPUTED_VALUE"""),"{t1:chequy-gules-argent-small;charges:[{charge:anvil;t:or;p:e;size:1.5}];shield:roman}")</f>
        <v>{t1:chequy-gules-argent-small;charges:[{charge:anvil;t:or;p:e;size:1.5}];shield:roman}</v>
      </c>
      <c r="Y7" s="197" t="str">
        <f ca="1">IFERROR(__xludf.DUMMYFUNCTION("""COMPUTED_VALUE"""),"https://watabou.github.io/city-generator/?name=Whitmegulch&amp;population=16601&amp;size=37&amp;seed=3550748350043&amp;river=0&amp;coast=0&amp;farms=1&amp;citadel=1&amp;urban_castle=0&amp;hub=false&amp;plaza=0&amp;temple=0&amp;walls=0&amp;shantytown=0&amp;gates=-1")</f>
        <v>https://watabou.github.io/city-generator/?name=Whitmegulch&amp;population=16601&amp;size=37&amp;seed=3550748350043&amp;river=0&amp;coast=0&amp;farms=1&amp;citadel=1&amp;urban_castle=0&amp;hub=false&amp;plaza=0&amp;temple=0&amp;walls=0&amp;shantytown=0&amp;gates=-1</v>
      </c>
      <c r="Z7" s="196"/>
    </row>
    <row r="8" spans="1:26" ht="15.75" customHeight="1" x14ac:dyDescent="0.25">
      <c r="A8" s="55">
        <f ca="1">IFERROR(__xludf.DUMMYFUNCTION("""COMPUTED_VALUE"""),47)</f>
        <v>47</v>
      </c>
      <c r="B8" s="55" t="str">
        <f ca="1">IFERROR(__xludf.DUMMYFUNCTION("""COMPUTED_VALUE"""),"Oaledale")</f>
        <v>Oaledale</v>
      </c>
      <c r="C8" s="55" t="str">
        <f ca="1">IFERROR(__xludf.DUMMYFUNCTION("""COMPUTED_VALUE"""),"Ralim")</f>
        <v>Ralim</v>
      </c>
      <c r="D8" s="55" t="str">
        <f ca="1">IFERROR(__xludf.DUMMYFUNCTION("""COMPUTED_VALUE"""),"Ralim Province")</f>
        <v>Ralim Province</v>
      </c>
      <c r="E8" s="55" t="str">
        <f ca="1">IFERROR(__xludf.DUMMYFUNCTION("""COMPUTED_VALUE"""),"Shavia")</f>
        <v>Shavia</v>
      </c>
      <c r="F8" s="55" t="str">
        <f ca="1">IFERROR(__xludf.DUMMYFUNCTION("""COMPUTED_VALUE"""),"Kingdom of Shavia")</f>
        <v>Kingdom of Shavia</v>
      </c>
      <c r="G8" s="55" t="str">
        <f ca="1">IFERROR(__xludf.DUMMYFUNCTION("""COMPUTED_VALUE"""),"Shavian")</f>
        <v>Shavian</v>
      </c>
      <c r="H8" s="55" t="str">
        <f ca="1">IFERROR(__xludf.DUMMYFUNCTION("""COMPUTED_VALUE"""),"Path of Guiding Light")</f>
        <v>Path of Guiding Light</v>
      </c>
      <c r="I8" s="55">
        <f ca="1">IFERROR(__xludf.DUMMYFUNCTION("""COMPUTED_VALUE"""),18598)</f>
        <v>18598</v>
      </c>
      <c r="J8" s="55">
        <f ca="1">IFERROR(__xludf.DUMMYFUNCTION("""COMPUTED_VALUE"""),402.030788557919)</f>
        <v>402.03078855791898</v>
      </c>
      <c r="K8" s="55">
        <f ca="1">IFERROR(__xludf.DUMMYFUNCTION("""COMPUTED_VALUE"""),642.07707188669)</f>
        <v>642.07707188668996</v>
      </c>
      <c r="L8" s="55">
        <f ca="1">IFERROR(__xludf.DUMMYFUNCTION("""COMPUTED_VALUE"""),-27.89)</f>
        <v>-27.89</v>
      </c>
      <c r="M8" s="55">
        <f ca="1">IFERROR(__xludf.DUMMYFUNCTION("""COMPUTED_VALUE"""),-12.01)</f>
        <v>-12.01</v>
      </c>
      <c r="N8" s="55">
        <f ca="1">IFERROR(__xludf.DUMMYFUNCTION("""COMPUTED_VALUE"""),82)</f>
        <v>82</v>
      </c>
      <c r="O8" s="55" t="str">
        <f ca="1">IFERROR(__xludf.DUMMYFUNCTION("""COMPUTED_VALUE"""),"45°F")</f>
        <v>45°F</v>
      </c>
      <c r="P8" s="55" t="str">
        <f ca="1">IFERROR(__xludf.DUMMYFUNCTION("""COMPUTED_VALUE"""),"Halifax")</f>
        <v>Halifax</v>
      </c>
      <c r="Q8" s="55" t="str">
        <f ca="1">IFERROR(__xludf.DUMMYFUNCTION("""COMPUTED_VALUE"""),"")</f>
        <v/>
      </c>
      <c r="R8" s="55" t="str">
        <f ca="1">IFERROR(__xludf.DUMMYFUNCTION("""COMPUTED_VALUE"""),"")</f>
        <v/>
      </c>
      <c r="S8" s="55" t="str">
        <f ca="1">IFERROR(__xludf.DUMMYFUNCTION("""COMPUTED_VALUE"""),"")</f>
        <v/>
      </c>
      <c r="T8" s="55" t="str">
        <f ca="1">IFERROR(__xludf.DUMMYFUNCTION("""COMPUTED_VALUE"""),"walls")</f>
        <v>walls</v>
      </c>
      <c r="U8" s="55" t="str">
        <f ca="1">IFERROR(__xludf.DUMMYFUNCTION("""COMPUTED_VALUE"""),"")</f>
        <v/>
      </c>
      <c r="V8" s="189" t="str">
        <f ca="1">IFERROR(__xludf.DUMMYFUNCTION("""COMPUTED_VALUE"""),"")</f>
        <v/>
      </c>
      <c r="W8" s="189" t="str">
        <f ca="1">IFERROR(__xludf.DUMMYFUNCTION("""COMPUTED_VALUE"""),"")</f>
        <v/>
      </c>
      <c r="X8" s="189" t="str">
        <f ca="1">IFERROR(__xludf.DUMMYFUNCTION("""COMPUTED_VALUE"""),"{t1:sable;charges:[{charge:bearRampant;t:or;p:e;size:1.5}];shield:fantasy5}")</f>
        <v>{t1:sable;charges:[{charge:bearRampant;t:or;p:e;size:1.5}];shield:fantasy5}</v>
      </c>
      <c r="Y8" s="193" t="str">
        <f ca="1">IFERROR(__xludf.DUMMYFUNCTION("""COMPUTED_VALUE"""),"https://watabou.github.io/city-generator/?name=Oaledale&amp;population=18598&amp;size=39&amp;seed=3550748350047&amp;river=1&amp;coast=0&amp;farms=0&amp;citadel=0&amp;urban_castle=0&amp;hub=false&amp;plaza=0&amp;temple=0&amp;walls=1&amp;shantytown=0&amp;gates=-1")</f>
        <v>https://watabou.github.io/city-generator/?name=Oaledale&amp;population=18598&amp;size=39&amp;seed=3550748350047&amp;river=1&amp;coast=0&amp;farms=0&amp;citadel=0&amp;urban_castle=0&amp;hub=false&amp;plaza=0&amp;temple=0&amp;walls=1&amp;shantytown=0&amp;gates=-1</v>
      </c>
      <c r="Z8" s="189"/>
    </row>
    <row r="9" spans="1:26" ht="15.75" customHeight="1" x14ac:dyDescent="0.25">
      <c r="A9" s="55">
        <f ca="1">IFERROR(__xludf.DUMMYFUNCTION("""COMPUTED_VALUE"""),52)</f>
        <v>52</v>
      </c>
      <c r="B9" s="55" t="str">
        <f ca="1">IFERROR(__xludf.DUMMYFUNCTION("""COMPUTED_VALUE"""),"Stagrasp")</f>
        <v>Stagrasp</v>
      </c>
      <c r="C9" s="55" t="str">
        <f ca="1">IFERROR(__xludf.DUMMYFUNCTION("""COMPUTED_VALUE"""),"Swanhall")</f>
        <v>Swanhall</v>
      </c>
      <c r="D9" s="55" t="str">
        <f ca="1">IFERROR(__xludf.DUMMYFUNCTION("""COMPUTED_VALUE"""),"Swanhall Province")</f>
        <v>Swanhall Province</v>
      </c>
      <c r="E9" s="55" t="str">
        <f ca="1">IFERROR(__xludf.DUMMYFUNCTION("""COMPUTED_VALUE"""),"Shavia")</f>
        <v>Shavia</v>
      </c>
      <c r="F9" s="55" t="str">
        <f ca="1">IFERROR(__xludf.DUMMYFUNCTION("""COMPUTED_VALUE"""),"Kingdom of Shavia")</f>
        <v>Kingdom of Shavia</v>
      </c>
      <c r="G9" s="55" t="str">
        <f ca="1">IFERROR(__xludf.DUMMYFUNCTION("""COMPUTED_VALUE"""),"Eastern Shavian")</f>
        <v>Eastern Shavian</v>
      </c>
      <c r="H9" s="55" t="str">
        <f ca="1">IFERROR(__xludf.DUMMYFUNCTION("""COMPUTED_VALUE"""),"Path of Guiding Light")</f>
        <v>Path of Guiding Light</v>
      </c>
      <c r="I9" s="55">
        <f ca="1">IFERROR(__xludf.DUMMYFUNCTION("""COMPUTED_VALUE"""),1727)</f>
        <v>1727</v>
      </c>
      <c r="J9" s="55">
        <f ca="1">IFERROR(__xludf.DUMMYFUNCTION("""COMPUTED_VALUE"""),1084.67291040195)</f>
        <v>1084.67291040195</v>
      </c>
      <c r="K9" s="55">
        <f ca="1">IFERROR(__xludf.DUMMYFUNCTION("""COMPUTED_VALUE"""),773.463688506861)</f>
        <v>773.46368850686099</v>
      </c>
      <c r="L9" s="55">
        <f ca="1">IFERROR(__xludf.DUMMYFUNCTION("""COMPUTED_VALUE"""),-32.15)</f>
        <v>-32.15</v>
      </c>
      <c r="M9" s="55">
        <f ca="1">IFERROR(__xludf.DUMMYFUNCTION("""COMPUTED_VALUE"""),10.03)</f>
        <v>10.029999999999999</v>
      </c>
      <c r="N9" s="55">
        <f ca="1">IFERROR(__xludf.DUMMYFUNCTION("""COMPUTED_VALUE"""),210)</f>
        <v>210</v>
      </c>
      <c r="O9" s="55" t="str">
        <f ca="1">IFERROR(__xludf.DUMMYFUNCTION("""COMPUTED_VALUE"""),"41°F")</f>
        <v>41°F</v>
      </c>
      <c r="P9" s="55" t="str">
        <f ca="1">IFERROR(__xludf.DUMMYFUNCTION("""COMPUTED_VALUE"""),"Riga")</f>
        <v>Riga</v>
      </c>
      <c r="Q9" s="55" t="str">
        <f ca="1">IFERROR(__xludf.DUMMYFUNCTION("""COMPUTED_VALUE"""),"")</f>
        <v/>
      </c>
      <c r="R9" s="55" t="str">
        <f ca="1">IFERROR(__xludf.DUMMYFUNCTION("""COMPUTED_VALUE"""),"")</f>
        <v/>
      </c>
      <c r="S9" s="55" t="str">
        <f ca="1">IFERROR(__xludf.DUMMYFUNCTION("""COMPUTED_VALUE"""),"")</f>
        <v/>
      </c>
      <c r="T9" s="55" t="str">
        <f ca="1">IFERROR(__xludf.DUMMYFUNCTION("""COMPUTED_VALUE"""),"")</f>
        <v/>
      </c>
      <c r="U9" s="55" t="str">
        <f ca="1">IFERROR(__xludf.DUMMYFUNCTION("""COMPUTED_VALUE"""),"")</f>
        <v/>
      </c>
      <c r="V9" s="189" t="str">
        <f ca="1">IFERROR(__xludf.DUMMYFUNCTION("""COMPUTED_VALUE"""),"")</f>
        <v/>
      </c>
      <c r="W9" s="189" t="str">
        <f ca="1">IFERROR(__xludf.DUMMYFUNCTION("""COMPUTED_VALUE"""),"")</f>
        <v/>
      </c>
      <c r="X9" s="189" t="str">
        <f ca="1">IFERROR(__xludf.DUMMYFUNCTION("""COMPUTED_VALUE"""),"{t1:vert;charges:[{charge:rustre;t:argent;p:e;size:1.5}];shield:horsehead2}")</f>
        <v>{t1:vert;charges:[{charge:rustre;t:argent;p:e;size:1.5}];shield:horsehead2}</v>
      </c>
      <c r="Y9" s="193" t="str">
        <f ca="1">IFERROR(__xludf.DUMMYFUNCTION("""COMPUTED_VALUE"""),"https://watabou.github.io/village-generator/?pop=1727&amp;name=&amp;seed=3550748350052&amp;width=1600&amp;height=727&amp;tags=dead+end%2Cuncultivated%2Cno+square%2Cdense")</f>
        <v>https://watabou.github.io/village-generator/?pop=1727&amp;name=&amp;seed=3550748350052&amp;width=1600&amp;height=727&amp;tags=dead+end%2Cuncultivated%2Cno+square%2Cdense</v>
      </c>
      <c r="Z9" s="189"/>
    </row>
    <row r="10" spans="1:26" ht="15.75" customHeight="1" x14ac:dyDescent="0.25">
      <c r="A10" s="55">
        <f ca="1">IFERROR(__xludf.DUMMYFUNCTION("""COMPUTED_VALUE"""),58)</f>
        <v>58</v>
      </c>
      <c r="B10" s="55" t="str">
        <f ca="1">IFERROR(__xludf.DUMMYFUNCTION("""COMPUTED_VALUE"""),"Dogport")</f>
        <v>Dogport</v>
      </c>
      <c r="C10" s="55" t="str">
        <f ca="1">IFERROR(__xludf.DUMMYFUNCTION("""COMPUTED_VALUE"""),"Dreghold")</f>
        <v>Dreghold</v>
      </c>
      <c r="D10" s="55" t="str">
        <f ca="1">IFERROR(__xludf.DUMMYFUNCTION("""COMPUTED_VALUE"""),"Dreghold Province")</f>
        <v>Dreghold Province</v>
      </c>
      <c r="E10" s="55" t="str">
        <f ca="1">IFERROR(__xludf.DUMMYFUNCTION("""COMPUTED_VALUE"""),"Shavia")</f>
        <v>Shavia</v>
      </c>
      <c r="F10" s="55" t="str">
        <f ca="1">IFERROR(__xludf.DUMMYFUNCTION("""COMPUTED_VALUE"""),"Kingdom of Shavia")</f>
        <v>Kingdom of Shavia</v>
      </c>
      <c r="G10" s="55" t="str">
        <f ca="1">IFERROR(__xludf.DUMMYFUNCTION("""COMPUTED_VALUE"""),"Shavian")</f>
        <v>Shavian</v>
      </c>
      <c r="H10" s="55" t="str">
        <f ca="1">IFERROR(__xludf.DUMMYFUNCTION("""COMPUTED_VALUE"""),"Path of Guiding Light")</f>
        <v>Path of Guiding Light</v>
      </c>
      <c r="I10" s="55">
        <f ca="1">IFERROR(__xludf.DUMMYFUNCTION("""COMPUTED_VALUE"""),14433)</f>
        <v>14433</v>
      </c>
      <c r="J10" s="55">
        <f ca="1">IFERROR(__xludf.DUMMYFUNCTION("""COMPUTED_VALUE"""),590.304248665093)</f>
        <v>590.30424866509304</v>
      </c>
      <c r="K10" s="55">
        <f ca="1">IFERROR(__xludf.DUMMYFUNCTION("""COMPUTED_VALUE"""),837.531936457327)</f>
        <v>837.53193645732699</v>
      </c>
      <c r="L10" s="55">
        <f ca="1">IFERROR(__xludf.DUMMYFUNCTION("""COMPUTED_VALUE"""),-34.22)</f>
        <v>-34.22</v>
      </c>
      <c r="M10" s="55">
        <f ca="1">IFERROR(__xludf.DUMMYFUNCTION("""COMPUTED_VALUE"""),-5.93)</f>
        <v>-5.93</v>
      </c>
      <c r="N10" s="55">
        <f ca="1">IFERROR(__xludf.DUMMYFUNCTION("""COMPUTED_VALUE"""),397)</f>
        <v>397</v>
      </c>
      <c r="O10" s="55" t="str">
        <f ca="1">IFERROR(__xludf.DUMMYFUNCTION("""COMPUTED_VALUE"""),"37°F")</f>
        <v>37°F</v>
      </c>
      <c r="P10" s="55" t="str">
        <f ca="1">IFERROR(__xludf.DUMMYFUNCTION("""COMPUTED_VALUE"""),"Tromsø")</f>
        <v>Tromsø</v>
      </c>
      <c r="Q10" s="55" t="str">
        <f ca="1">IFERROR(__xludf.DUMMYFUNCTION("""COMPUTED_VALUE"""),"")</f>
        <v/>
      </c>
      <c r="R10" s="55" t="str">
        <f ca="1">IFERROR(__xludf.DUMMYFUNCTION("""COMPUTED_VALUE"""),"")</f>
        <v/>
      </c>
      <c r="S10" s="55" t="str">
        <f ca="1">IFERROR(__xludf.DUMMYFUNCTION("""COMPUTED_VALUE"""),"citadel")</f>
        <v>citadel</v>
      </c>
      <c r="T10" s="55" t="str">
        <f ca="1">IFERROR(__xludf.DUMMYFUNCTION("""COMPUTED_VALUE"""),"")</f>
        <v/>
      </c>
      <c r="U10" s="55" t="str">
        <f ca="1">IFERROR(__xludf.DUMMYFUNCTION("""COMPUTED_VALUE"""),"plaza")</f>
        <v>plaza</v>
      </c>
      <c r="V10" s="189" t="str">
        <f ca="1">IFERROR(__xludf.DUMMYFUNCTION("""COMPUTED_VALUE"""),"")</f>
        <v/>
      </c>
      <c r="W10" s="189" t="str">
        <f ca="1">IFERROR(__xludf.DUMMYFUNCTION("""COMPUTED_VALUE"""),"")</f>
        <v/>
      </c>
      <c r="X10" s="189" t="str">
        <f ca="1">IFERROR(__xludf.DUMMYFUNCTION("""COMPUTED_VALUE"""),"{t1:gules;charges:[{charge:castle;t:or;p:e;size:1.5}];shield:horsehead2}")</f>
        <v>{t1:gules;charges:[{charge:castle;t:or;p:e;size:1.5}];shield:horsehead2}</v>
      </c>
      <c r="Y10" s="193" t="str">
        <f ca="1">IFERROR(__xludf.DUMMYFUNCTION("""COMPUTED_VALUE"""),"https://watabou.github.io/city-generator/?name=Dogport&amp;population=14433&amp;size=36&amp;seed=3550748350058&amp;river=0&amp;coast=0&amp;farms=1&amp;citadel=1&amp;urban_castle=1&amp;hub=false&amp;plaza=1&amp;temple=0&amp;walls=0&amp;shantytown=0&amp;gates=-1")</f>
        <v>https://watabou.github.io/city-generator/?name=Dogport&amp;population=14433&amp;size=36&amp;seed=3550748350058&amp;river=0&amp;coast=0&amp;farms=1&amp;citadel=1&amp;urban_castle=1&amp;hub=false&amp;plaza=1&amp;temple=0&amp;walls=0&amp;shantytown=0&amp;gates=-1</v>
      </c>
      <c r="Z10" s="189"/>
    </row>
    <row r="11" spans="1:26" ht="15.75" customHeight="1" x14ac:dyDescent="0.25">
      <c r="A11" s="55">
        <f ca="1">IFERROR(__xludf.DUMMYFUNCTION("""COMPUTED_VALUE"""),65)</f>
        <v>65</v>
      </c>
      <c r="B11" s="55" t="str">
        <f ca="1">IFERROR(__xludf.DUMMYFUNCTION("""COMPUTED_VALUE"""),"Drelme")</f>
        <v>Drelme</v>
      </c>
      <c r="C11" s="55" t="str">
        <f ca="1">IFERROR(__xludf.DUMMYFUNCTION("""COMPUTED_VALUE"""),"Crownlands")</f>
        <v>Crownlands</v>
      </c>
      <c r="D11" s="55" t="str">
        <f ca="1">IFERROR(__xludf.DUMMYFUNCTION("""COMPUTED_VALUE"""),"Uzd Province")</f>
        <v>Uzd Province</v>
      </c>
      <c r="E11" s="55" t="str">
        <f ca="1">IFERROR(__xludf.DUMMYFUNCTION("""COMPUTED_VALUE"""),"Shavia")</f>
        <v>Shavia</v>
      </c>
      <c r="F11" s="55" t="str">
        <f ca="1">IFERROR(__xludf.DUMMYFUNCTION("""COMPUTED_VALUE"""),"Kingdom of Shavia")</f>
        <v>Kingdom of Shavia</v>
      </c>
      <c r="G11" s="55" t="str">
        <f ca="1">IFERROR(__xludf.DUMMYFUNCTION("""COMPUTED_VALUE"""),"Aranvers")</f>
        <v>Aranvers</v>
      </c>
      <c r="H11" s="55" t="str">
        <f ca="1">IFERROR(__xludf.DUMMYFUNCTION("""COMPUTED_VALUE"""),"Path of Guiding Light")</f>
        <v>Path of Guiding Light</v>
      </c>
      <c r="I11" s="55">
        <f ca="1">IFERROR(__xludf.DUMMYFUNCTION("""COMPUTED_VALUE"""),11053)</f>
        <v>11053</v>
      </c>
      <c r="J11" s="55">
        <f ca="1">IFERROR(__xludf.DUMMYFUNCTION("""COMPUTED_VALUE"""),376.78883303187)</f>
        <v>376.78883303187001</v>
      </c>
      <c r="K11" s="55">
        <f ca="1">IFERROR(__xludf.DUMMYFUNCTION("""COMPUTED_VALUE"""),566.818288525677)</f>
        <v>566.81828852567696</v>
      </c>
      <c r="L11" s="55">
        <f ca="1">IFERROR(__xludf.DUMMYFUNCTION("""COMPUTED_VALUE"""),-25.45)</f>
        <v>-25.45</v>
      </c>
      <c r="M11" s="55">
        <f ca="1">IFERROR(__xludf.DUMMYFUNCTION("""COMPUTED_VALUE"""),-12.83)</f>
        <v>-12.83</v>
      </c>
      <c r="N11" s="55">
        <f ca="1">IFERROR(__xludf.DUMMYFUNCTION("""COMPUTED_VALUE"""),161)</f>
        <v>161</v>
      </c>
      <c r="O11" s="55" t="str">
        <f ca="1">IFERROR(__xludf.DUMMYFUNCTION("""COMPUTED_VALUE"""),"46°F")</f>
        <v>46°F</v>
      </c>
      <c r="P11" s="55" t="str">
        <f ca="1">IFERROR(__xludf.DUMMYFUNCTION("""COMPUTED_VALUE"""),"Prague")</f>
        <v>Prague</v>
      </c>
      <c r="Q11" s="55" t="str">
        <f ca="1">IFERROR(__xludf.DUMMYFUNCTION("""COMPUTED_VALUE"""),"")</f>
        <v/>
      </c>
      <c r="R11" s="55" t="str">
        <f ca="1">IFERROR(__xludf.DUMMYFUNCTION("""COMPUTED_VALUE"""),"")</f>
        <v/>
      </c>
      <c r="S11" s="55" t="str">
        <f ca="1">IFERROR(__xludf.DUMMYFUNCTION("""COMPUTED_VALUE"""),"")</f>
        <v/>
      </c>
      <c r="T11" s="55" t="str">
        <f ca="1">IFERROR(__xludf.DUMMYFUNCTION("""COMPUTED_VALUE"""),"walls")</f>
        <v>walls</v>
      </c>
      <c r="U11" s="55" t="str">
        <f ca="1">IFERROR(__xludf.DUMMYFUNCTION("""COMPUTED_VALUE"""),"plaza")</f>
        <v>plaza</v>
      </c>
      <c r="V11" s="189" t="str">
        <f ca="1">IFERROR(__xludf.DUMMYFUNCTION("""COMPUTED_VALUE"""),"")</f>
        <v/>
      </c>
      <c r="W11" s="189" t="str">
        <f ca="1">IFERROR(__xludf.DUMMYFUNCTION("""COMPUTED_VALUE"""),"")</f>
        <v/>
      </c>
      <c r="X11" s="189" t="str">
        <f ca="1">IFERROR(__xludf.DUMMYFUNCTION("""COMPUTED_VALUE"""),"{t1:purpure;charges:[{charge:chain;t:or;p:e;size:1.5}];shield:hessen}")</f>
        <v>{t1:purpure;charges:[{charge:chain;t:or;p:e;size:1.5}];shield:hessen}</v>
      </c>
      <c r="Y11" s="193" t="str">
        <f ca="1">IFERROR(__xludf.DUMMYFUNCTION("""COMPUTED_VALUE"""),"https://watabou.github.io/city-generator/?name=Drelme&amp;population=11053&amp;size=32&amp;seed=3550748350065&amp;river=0&amp;coast=0&amp;farms=1&amp;citadel=0&amp;urban_castle=0&amp;hub=false&amp;plaza=1&amp;temple=0&amp;walls=1&amp;shantytown=0&amp;gates=-1")</f>
        <v>https://watabou.github.io/city-generator/?name=Drelme&amp;population=11053&amp;size=32&amp;seed=3550748350065&amp;river=0&amp;coast=0&amp;farms=1&amp;citadel=0&amp;urban_castle=0&amp;hub=false&amp;plaza=1&amp;temple=0&amp;walls=1&amp;shantytown=0&amp;gates=-1</v>
      </c>
      <c r="Z11" s="189"/>
    </row>
    <row r="12" spans="1:26" ht="15.75" customHeight="1" x14ac:dyDescent="0.25">
      <c r="A12" s="55">
        <f ca="1">IFERROR(__xludf.DUMMYFUNCTION("""COMPUTED_VALUE"""),70)</f>
        <v>70</v>
      </c>
      <c r="B12" s="55" t="str">
        <f ca="1">IFERROR(__xludf.DUMMYFUNCTION("""COMPUTED_VALUE"""),"Sirong")</f>
        <v>Sirong</v>
      </c>
      <c r="C12" s="55" t="str">
        <f ca="1">IFERROR(__xludf.DUMMYFUNCTION("""COMPUTED_VALUE"""),"Sirong")</f>
        <v>Sirong</v>
      </c>
      <c r="D12" s="55" t="str">
        <f ca="1">IFERROR(__xludf.DUMMYFUNCTION("""COMPUTED_VALUE"""),"Sirong Lordship")</f>
        <v>Sirong Lordship</v>
      </c>
      <c r="E12" s="55" t="str">
        <f ca="1">IFERROR(__xludf.DUMMYFUNCTION("""COMPUTED_VALUE"""),"Shavia")</f>
        <v>Shavia</v>
      </c>
      <c r="F12" s="55" t="str">
        <f ca="1">IFERROR(__xludf.DUMMYFUNCTION("""COMPUTED_VALUE"""),"Kingdom of Shavia")</f>
        <v>Kingdom of Shavia</v>
      </c>
      <c r="G12" s="55" t="str">
        <f ca="1">IFERROR(__xludf.DUMMYFUNCTION("""COMPUTED_VALUE"""),"Shavian")</f>
        <v>Shavian</v>
      </c>
      <c r="H12" s="55" t="str">
        <f ca="1">IFERROR(__xludf.DUMMYFUNCTION("""COMPUTED_VALUE"""),"Path of Guiding Light")</f>
        <v>Path of Guiding Light</v>
      </c>
      <c r="I12" s="55">
        <f ca="1">IFERROR(__xludf.DUMMYFUNCTION("""COMPUTED_VALUE"""),29657)</f>
        <v>29657</v>
      </c>
      <c r="J12" s="55">
        <f ca="1">IFERROR(__xludf.DUMMYFUNCTION("""COMPUTED_VALUE"""),422.1)</f>
        <v>422.1</v>
      </c>
      <c r="K12" s="55">
        <f ca="1">IFERROR(__xludf.DUMMYFUNCTION("""COMPUTED_VALUE"""),675.82)</f>
        <v>675.82</v>
      </c>
      <c r="L12" s="55">
        <f ca="1">IFERROR(__xludf.DUMMYFUNCTION("""COMPUTED_VALUE"""),-28.98)</f>
        <v>-28.98</v>
      </c>
      <c r="M12" s="55">
        <f ca="1">IFERROR(__xludf.DUMMYFUNCTION("""COMPUTED_VALUE"""),-11.37)</f>
        <v>-11.37</v>
      </c>
      <c r="N12" s="55">
        <f ca="1">IFERROR(__xludf.DUMMYFUNCTION("""COMPUTED_VALUE"""),13)</f>
        <v>13</v>
      </c>
      <c r="O12" s="55" t="str">
        <f ca="1">IFERROR(__xludf.DUMMYFUNCTION("""COMPUTED_VALUE"""),"45°F")</f>
        <v>45°F</v>
      </c>
      <c r="P12" s="55" t="str">
        <f ca="1">IFERROR(__xludf.DUMMYFUNCTION("""COMPUTED_VALUE"""),"Halifax")</f>
        <v>Halifax</v>
      </c>
      <c r="Q12" s="55" t="str">
        <f ca="1">IFERROR(__xludf.DUMMYFUNCTION("""COMPUTED_VALUE"""),"")</f>
        <v/>
      </c>
      <c r="R12" s="55" t="str">
        <f ca="1">IFERROR(__xludf.DUMMYFUNCTION("""COMPUTED_VALUE"""),"port")</f>
        <v>port</v>
      </c>
      <c r="S12" s="55" t="str">
        <f ca="1">IFERROR(__xludf.DUMMYFUNCTION("""COMPUTED_VALUE"""),"citadel")</f>
        <v>citadel</v>
      </c>
      <c r="T12" s="55" t="str">
        <f ca="1">IFERROR(__xludf.DUMMYFUNCTION("""COMPUTED_VALUE"""),"")</f>
        <v/>
      </c>
      <c r="U12" s="55" t="str">
        <f ca="1">IFERROR(__xludf.DUMMYFUNCTION("""COMPUTED_VALUE"""),"")</f>
        <v/>
      </c>
      <c r="V12" s="189" t="str">
        <f ca="1">IFERROR(__xludf.DUMMYFUNCTION("""COMPUTED_VALUE"""),"")</f>
        <v/>
      </c>
      <c r="W12" s="189" t="str">
        <f ca="1">IFERROR(__xludf.DUMMYFUNCTION("""COMPUTED_VALUE"""),"")</f>
        <v/>
      </c>
      <c r="X12" s="189" t="str">
        <f ca="1">IFERROR(__xludf.DUMMYFUNCTION("""COMPUTED_VALUE"""),"{t1:or;charges:[{charge:escallop;t:gules;p:e;size:1.5}];shield:fantasy5}")</f>
        <v>{t1:or;charges:[{charge:escallop;t:gules;p:e;size:1.5}];shield:fantasy5}</v>
      </c>
      <c r="Y12" s="193" t="str">
        <f ca="1">IFERROR(__xludf.DUMMYFUNCTION("""COMPUTED_VALUE"""),"https://watabou.github.io/city-generator/?name=Sirong&amp;population=29657&amp;size=47&amp;seed=3550748350070&amp;river=0&amp;coast=1&amp;farms=0&amp;citadel=1&amp;urban_castle=1&amp;hub=false&amp;plaza=0&amp;temple=0&amp;walls=0&amp;shantytown=0&amp;gates=-1&amp;sea=0.79")</f>
        <v>https://watabou.github.io/city-generator/?name=Sirong&amp;population=29657&amp;size=47&amp;seed=3550748350070&amp;river=0&amp;coast=1&amp;farms=0&amp;citadel=1&amp;urban_castle=1&amp;hub=false&amp;plaza=0&amp;temple=0&amp;walls=0&amp;shantytown=0&amp;gates=-1&amp;sea=0.79</v>
      </c>
      <c r="Z12" s="189"/>
    </row>
    <row r="13" spans="1:26" ht="15.75" customHeight="1" x14ac:dyDescent="0.25">
      <c r="A13" s="55">
        <f ca="1">IFERROR(__xludf.DUMMYFUNCTION("""COMPUTED_VALUE"""),74)</f>
        <v>74</v>
      </c>
      <c r="B13" s="55" t="str">
        <f ca="1">IFERROR(__xludf.DUMMYFUNCTION("""COMPUTED_VALUE"""),"Mistmorest")</f>
        <v>Mistmorest</v>
      </c>
      <c r="C13" s="55" t="str">
        <f ca="1">IFERROR(__xludf.DUMMYFUNCTION("""COMPUTED_VALUE"""),"Crownlands")</f>
        <v>Crownlands</v>
      </c>
      <c r="D13" s="55" t="str">
        <f ca="1">IFERROR(__xludf.DUMMYFUNCTION("""COMPUTED_VALUE"""),"Uzd Province")</f>
        <v>Uzd Province</v>
      </c>
      <c r="E13" s="55" t="str">
        <f ca="1">IFERROR(__xludf.DUMMYFUNCTION("""COMPUTED_VALUE"""),"Shavia")</f>
        <v>Shavia</v>
      </c>
      <c r="F13" s="55" t="str">
        <f ca="1">IFERROR(__xludf.DUMMYFUNCTION("""COMPUTED_VALUE"""),"Kingdom of Shavia")</f>
        <v>Kingdom of Shavia</v>
      </c>
      <c r="G13" s="55" t="str">
        <f ca="1">IFERROR(__xludf.DUMMYFUNCTION("""COMPUTED_VALUE"""),"Shavian")</f>
        <v>Shavian</v>
      </c>
      <c r="H13" s="55" t="str">
        <f ca="1">IFERROR(__xludf.DUMMYFUNCTION("""COMPUTED_VALUE"""),"Path of Guiding Light")</f>
        <v>Path of Guiding Light</v>
      </c>
      <c r="I13" s="55">
        <f ca="1">IFERROR(__xludf.DUMMYFUNCTION("""COMPUTED_VALUE"""),1773)</f>
        <v>1773</v>
      </c>
      <c r="J13" s="55">
        <f ca="1">IFERROR(__xludf.DUMMYFUNCTION("""COMPUTED_VALUE"""),407.908252373545)</f>
        <v>407.908252373545</v>
      </c>
      <c r="K13" s="55">
        <f ca="1">IFERROR(__xludf.DUMMYFUNCTION("""COMPUTED_VALUE"""),619.715462866312)</f>
        <v>619.71546286631201</v>
      </c>
      <c r="L13" s="55">
        <f ca="1">IFERROR(__xludf.DUMMYFUNCTION("""COMPUTED_VALUE"""),-27.17)</f>
        <v>-27.17</v>
      </c>
      <c r="M13" s="55">
        <f ca="1">IFERROR(__xludf.DUMMYFUNCTION("""COMPUTED_VALUE"""),-11.82)</f>
        <v>-11.82</v>
      </c>
      <c r="N13" s="55">
        <f ca="1">IFERROR(__xludf.DUMMYFUNCTION("""COMPUTED_VALUE"""),118)</f>
        <v>118</v>
      </c>
      <c r="O13" s="55" t="str">
        <f ca="1">IFERROR(__xludf.DUMMYFUNCTION("""COMPUTED_VALUE"""),"45°F")</f>
        <v>45°F</v>
      </c>
      <c r="P13" s="55" t="str">
        <f ca="1">IFERROR(__xludf.DUMMYFUNCTION("""COMPUTED_VALUE"""),"Halifax")</f>
        <v>Halifax</v>
      </c>
      <c r="Q13" s="55" t="str">
        <f ca="1">IFERROR(__xludf.DUMMYFUNCTION("""COMPUTED_VALUE"""),"")</f>
        <v/>
      </c>
      <c r="R13" s="55" t="str">
        <f ca="1">IFERROR(__xludf.DUMMYFUNCTION("""COMPUTED_VALUE"""),"")</f>
        <v/>
      </c>
      <c r="S13" s="55" t="str">
        <f ca="1">IFERROR(__xludf.DUMMYFUNCTION("""COMPUTED_VALUE"""),"citadel")</f>
        <v>citadel</v>
      </c>
      <c r="T13" s="55" t="str">
        <f ca="1">IFERROR(__xludf.DUMMYFUNCTION("""COMPUTED_VALUE"""),"")</f>
        <v/>
      </c>
      <c r="U13" s="55" t="str">
        <f ca="1">IFERROR(__xludf.DUMMYFUNCTION("""COMPUTED_VALUE"""),"")</f>
        <v/>
      </c>
      <c r="V13" s="189" t="str">
        <f ca="1">IFERROR(__xludf.DUMMYFUNCTION("""COMPUTED_VALUE"""),"")</f>
        <v/>
      </c>
      <c r="W13" s="189" t="str">
        <f ca="1">IFERROR(__xludf.DUMMYFUNCTION("""COMPUTED_VALUE"""),"")</f>
        <v/>
      </c>
      <c r="X13" s="189" t="str">
        <f ca="1">IFERROR(__xludf.DUMMYFUNCTION("""COMPUTED_VALUE"""),"{t1:or;charges:[{charge:crossHummetty;t:purpure;p:e;size:1.5}];shield:fantasy5}")</f>
        <v>{t1:or;charges:[{charge:crossHummetty;t:purpure;p:e;size:1.5}];shield:fantasy5}</v>
      </c>
      <c r="Y13" s="193" t="str">
        <f ca="1">IFERROR(__xludf.DUMMYFUNCTION("""COMPUTED_VALUE"""),"https://watabou.github.io/city-generator/?name=Mistmorest&amp;population=1773&amp;size=16&amp;seed=3550748350074&amp;river=1&amp;coast=0&amp;farms=1&amp;citadel=1&amp;urban_castle=1&amp;hub=false&amp;plaza=0&amp;temple=0&amp;walls=0&amp;shantytown=0&amp;gates=-1")</f>
        <v>https://watabou.github.io/city-generator/?name=Mistmorest&amp;population=1773&amp;size=16&amp;seed=3550748350074&amp;river=1&amp;coast=0&amp;farms=1&amp;citadel=1&amp;urban_castle=1&amp;hub=false&amp;plaza=0&amp;temple=0&amp;walls=0&amp;shantytown=0&amp;gates=-1</v>
      </c>
      <c r="Z13" s="189"/>
    </row>
    <row r="14" spans="1:26" ht="15.75" customHeight="1" x14ac:dyDescent="0.25">
      <c r="A14" s="55">
        <f ca="1">IFERROR(__xludf.DUMMYFUNCTION("""COMPUTED_VALUE"""),78)</f>
        <v>78</v>
      </c>
      <c r="B14" s="55" t="str">
        <f ca="1">IFERROR(__xludf.DUMMYFUNCTION("""COMPUTED_VALUE"""),"Moonpasshi")</f>
        <v>Moonpasshi</v>
      </c>
      <c r="C14" s="55" t="str">
        <f ca="1">IFERROR(__xludf.DUMMYFUNCTION("""COMPUTED_VALUE"""),"Swanhall")</f>
        <v>Swanhall</v>
      </c>
      <c r="D14" s="55" t="str">
        <f ca="1">IFERROR(__xludf.DUMMYFUNCTION("""COMPUTED_VALUE"""),"Swanhall Province")</f>
        <v>Swanhall Province</v>
      </c>
      <c r="E14" s="55" t="str">
        <f ca="1">IFERROR(__xludf.DUMMYFUNCTION("""COMPUTED_VALUE"""),"Shavia")</f>
        <v>Shavia</v>
      </c>
      <c r="F14" s="55" t="str">
        <f ca="1">IFERROR(__xludf.DUMMYFUNCTION("""COMPUTED_VALUE"""),"Kingdom of Shavia")</f>
        <v>Kingdom of Shavia</v>
      </c>
      <c r="G14" s="55" t="str">
        <f ca="1">IFERROR(__xludf.DUMMYFUNCTION("""COMPUTED_VALUE"""),"Eastern Shavian")</f>
        <v>Eastern Shavian</v>
      </c>
      <c r="H14" s="55" t="str">
        <f ca="1">IFERROR(__xludf.DUMMYFUNCTION("""COMPUTED_VALUE"""),"Path of Guiding Light")</f>
        <v>Path of Guiding Light</v>
      </c>
      <c r="I14" s="55">
        <f ca="1">IFERROR(__xludf.DUMMYFUNCTION("""COMPUTED_VALUE"""),9554)</f>
        <v>9554</v>
      </c>
      <c r="J14" s="55">
        <f ca="1">IFERROR(__xludf.DUMMYFUNCTION("""COMPUTED_VALUE"""),1141.85168089966)</f>
        <v>1141.8516808996601</v>
      </c>
      <c r="K14" s="55">
        <f ca="1">IFERROR(__xludf.DUMMYFUNCTION("""COMPUTED_VALUE"""),762.35100029917)</f>
        <v>762.35100029916998</v>
      </c>
      <c r="L14" s="55">
        <f ca="1">IFERROR(__xludf.DUMMYFUNCTION("""COMPUTED_VALUE"""),-31.79)</f>
        <v>-31.79</v>
      </c>
      <c r="M14" s="55">
        <f ca="1">IFERROR(__xludf.DUMMYFUNCTION("""COMPUTED_VALUE"""),11.88)</f>
        <v>11.88</v>
      </c>
      <c r="N14" s="55">
        <f ca="1">IFERROR(__xludf.DUMMYFUNCTION("""COMPUTED_VALUE"""),82)</f>
        <v>82</v>
      </c>
      <c r="O14" s="55" t="str">
        <f ca="1">IFERROR(__xludf.DUMMYFUNCTION("""COMPUTED_VALUE"""),"41°F")</f>
        <v>41°F</v>
      </c>
      <c r="P14" s="55" t="str">
        <f ca="1">IFERROR(__xludf.DUMMYFUNCTION("""COMPUTED_VALUE"""),"Riga")</f>
        <v>Riga</v>
      </c>
      <c r="Q14" s="55" t="str">
        <f ca="1">IFERROR(__xludf.DUMMYFUNCTION("""COMPUTED_VALUE"""),"")</f>
        <v/>
      </c>
      <c r="R14" s="55" t="str">
        <f ca="1">IFERROR(__xludf.DUMMYFUNCTION("""COMPUTED_VALUE"""),"")</f>
        <v/>
      </c>
      <c r="S14" s="55" t="str">
        <f ca="1">IFERROR(__xludf.DUMMYFUNCTION("""COMPUTED_VALUE"""),"")</f>
        <v/>
      </c>
      <c r="T14" s="55" t="str">
        <f ca="1">IFERROR(__xludf.DUMMYFUNCTION("""COMPUTED_VALUE"""),"")</f>
        <v/>
      </c>
      <c r="U14" s="55" t="str">
        <f ca="1">IFERROR(__xludf.DUMMYFUNCTION("""COMPUTED_VALUE"""),"plaza")</f>
        <v>plaza</v>
      </c>
      <c r="V14" s="189" t="str">
        <f ca="1">IFERROR(__xludf.DUMMYFUNCTION("""COMPUTED_VALUE"""),"")</f>
        <v/>
      </c>
      <c r="W14" s="189" t="str">
        <f ca="1">IFERROR(__xludf.DUMMYFUNCTION("""COMPUTED_VALUE"""),"")</f>
        <v/>
      </c>
      <c r="X14" s="189" t="str">
        <f ca="1">IFERROR(__xludf.DUMMYFUNCTION("""COMPUTED_VALUE"""),"{t1:sable;ordinaries:[{ordinary:pileInBendSinister;t:or}];charges:[{charge:inescutcheon;t:purpure;p:e;size:0.5};{charge:crossFleury;t:argent;p:e;size:0.25}];shield:horsehead2}")</f>
        <v>{t1:sable;ordinaries:[{ordinary:pileInBendSinister;t:or}];charges:[{charge:inescutcheon;t:purpure;p:e;size:0.5};{charge:crossFleury;t:argent;p:e;size:0.25}];shield:horsehead2}</v>
      </c>
      <c r="Y14" s="193" t="str">
        <f ca="1">IFERROR(__xludf.DUMMYFUNCTION("""COMPUTED_VALUE"""),"https://watabou.github.io/city-generator/?name=Moonpasshi&amp;population=9554&amp;size=30&amp;seed=3550748350078&amp;river=0&amp;coast=0&amp;farms=0&amp;citadel=0&amp;urban_castle=0&amp;hub=false&amp;plaza=1&amp;temple=0&amp;walls=0&amp;shantytown=0&amp;gates=-1")</f>
        <v>https://watabou.github.io/city-generator/?name=Moonpasshi&amp;population=9554&amp;size=30&amp;seed=3550748350078&amp;river=0&amp;coast=0&amp;farms=0&amp;citadel=0&amp;urban_castle=0&amp;hub=false&amp;plaza=1&amp;temple=0&amp;walls=0&amp;shantytown=0&amp;gates=-1</v>
      </c>
      <c r="Z14" s="189"/>
    </row>
    <row r="15" spans="1:26" ht="15.75" customHeight="1" x14ac:dyDescent="0.25">
      <c r="A15" s="55">
        <f ca="1">IFERROR(__xludf.DUMMYFUNCTION("""COMPUTED_VALUE"""),86)</f>
        <v>86</v>
      </c>
      <c r="B15" s="55" t="str">
        <f ca="1">IFERROR(__xludf.DUMMYFUNCTION("""COMPUTED_VALUE"""),"Griteshield")</f>
        <v>Griteshield</v>
      </c>
      <c r="C15" s="55" t="str">
        <f ca="1">IFERROR(__xludf.DUMMYFUNCTION("""COMPUTED_VALUE"""),"Swanhall")</f>
        <v>Swanhall</v>
      </c>
      <c r="D15" s="55" t="str">
        <f ca="1">IFERROR(__xludf.DUMMYFUNCTION("""COMPUTED_VALUE"""),"Swanhall Province")</f>
        <v>Swanhall Province</v>
      </c>
      <c r="E15" s="55" t="str">
        <f ca="1">IFERROR(__xludf.DUMMYFUNCTION("""COMPUTED_VALUE"""),"Shavia")</f>
        <v>Shavia</v>
      </c>
      <c r="F15" s="55" t="str">
        <f ca="1">IFERROR(__xludf.DUMMYFUNCTION("""COMPUTED_VALUE"""),"Kingdom of Shavia")</f>
        <v>Kingdom of Shavia</v>
      </c>
      <c r="G15" s="55" t="str">
        <f ca="1">IFERROR(__xludf.DUMMYFUNCTION("""COMPUTED_VALUE"""),"Shavian")</f>
        <v>Shavian</v>
      </c>
      <c r="H15" s="55" t="str">
        <f ca="1">IFERROR(__xludf.DUMMYFUNCTION("""COMPUTED_VALUE"""),"Path of Guiding Light")</f>
        <v>Path of Guiding Light</v>
      </c>
      <c r="I15" s="55">
        <f ca="1">IFERROR(__xludf.DUMMYFUNCTION("""COMPUTED_VALUE"""),1705)</f>
        <v>1705</v>
      </c>
      <c r="J15" s="55">
        <f ca="1">IFERROR(__xludf.DUMMYFUNCTION("""COMPUTED_VALUE"""),815.321588520286)</f>
        <v>815.32158852028601</v>
      </c>
      <c r="K15" s="55">
        <f ca="1">IFERROR(__xludf.DUMMYFUNCTION("""COMPUTED_VALUE"""),782.513425838868)</f>
        <v>782.51342583886799</v>
      </c>
      <c r="L15" s="55">
        <f ca="1">IFERROR(__xludf.DUMMYFUNCTION("""COMPUTED_VALUE"""),-32.44)</f>
        <v>-32.44</v>
      </c>
      <c r="M15" s="55">
        <f ca="1">IFERROR(__xludf.DUMMYFUNCTION("""COMPUTED_VALUE"""),1.33)</f>
        <v>1.33</v>
      </c>
      <c r="N15" s="55">
        <f ca="1">IFERROR(__xludf.DUMMYFUNCTION("""COMPUTED_VALUE"""),1447)</f>
        <v>1447</v>
      </c>
      <c r="O15" s="55" t="str">
        <f ca="1">IFERROR(__xludf.DUMMYFUNCTION("""COMPUTED_VALUE"""),"37°F")</f>
        <v>37°F</v>
      </c>
      <c r="P15" s="55" t="str">
        <f ca="1">IFERROR(__xludf.DUMMYFUNCTION("""COMPUTED_VALUE"""),"Tromsø")</f>
        <v>Tromsø</v>
      </c>
      <c r="Q15" s="55" t="str">
        <f ca="1">IFERROR(__xludf.DUMMYFUNCTION("""COMPUTED_VALUE"""),"")</f>
        <v/>
      </c>
      <c r="R15" s="55" t="str">
        <f ca="1">IFERROR(__xludf.DUMMYFUNCTION("""COMPUTED_VALUE"""),"")</f>
        <v/>
      </c>
      <c r="S15" s="55" t="str">
        <f ca="1">IFERROR(__xludf.DUMMYFUNCTION("""COMPUTED_VALUE"""),"citadel")</f>
        <v>citadel</v>
      </c>
      <c r="T15" s="55" t="str">
        <f ca="1">IFERROR(__xludf.DUMMYFUNCTION("""COMPUTED_VALUE"""),"")</f>
        <v/>
      </c>
      <c r="U15" s="55" t="str">
        <f ca="1">IFERROR(__xludf.DUMMYFUNCTION("""COMPUTED_VALUE"""),"")</f>
        <v/>
      </c>
      <c r="V15" s="189" t="str">
        <f ca="1">IFERROR(__xludf.DUMMYFUNCTION("""COMPUTED_VALUE"""),"")</f>
        <v/>
      </c>
      <c r="W15" s="189" t="str">
        <f ca="1">IFERROR(__xludf.DUMMYFUNCTION("""COMPUTED_VALUE"""),"")</f>
        <v/>
      </c>
      <c r="X15" s="189" t="str">
        <f ca="1">IFERROR(__xludf.DUMMYFUNCTION("""COMPUTED_VALUE"""),"{t1:gules;charges:[{charge:bugleHorn2;t:argent;p:e;size:1.5}];shield:horsehead2}")</f>
        <v>{t1:gules;charges:[{charge:bugleHorn2;t:argent;p:e;size:1.5}];shield:horsehead2}</v>
      </c>
      <c r="Y15" s="193" t="str">
        <f ca="1">IFERROR(__xludf.DUMMYFUNCTION("""COMPUTED_VALUE"""),"https://watabou.github.io/city-generator/?name=Griteshield&amp;population=1705&amp;size=16&amp;seed=3550748350086&amp;river=1&amp;coast=0&amp;farms=1&amp;citadel=1&amp;urban_castle=1&amp;hub=false&amp;plaza=0&amp;temple=0&amp;walls=0&amp;shantytown=0&amp;gates=-1")</f>
        <v>https://watabou.github.io/city-generator/?name=Griteshield&amp;population=1705&amp;size=16&amp;seed=3550748350086&amp;river=1&amp;coast=0&amp;farms=1&amp;citadel=1&amp;urban_castle=1&amp;hub=false&amp;plaza=0&amp;temple=0&amp;walls=0&amp;shantytown=0&amp;gates=-1</v>
      </c>
      <c r="Z15" s="189"/>
    </row>
    <row r="16" spans="1:26" ht="15.75" customHeight="1" x14ac:dyDescent="0.25">
      <c r="A16" s="55">
        <f ca="1">IFERROR(__xludf.DUMMYFUNCTION("""COMPUTED_VALUE"""),87)</f>
        <v>87</v>
      </c>
      <c r="B16" s="55" t="str">
        <f ca="1">IFERROR(__xludf.DUMMYFUNCTION("""COMPUTED_VALUE"""),"Cademire")</f>
        <v>Cademire</v>
      </c>
      <c r="C16" s="55" t="str">
        <f ca="1">IFERROR(__xludf.DUMMYFUNCTION("""COMPUTED_VALUE"""),"Swanhall")</f>
        <v>Swanhall</v>
      </c>
      <c r="D16" s="55" t="str">
        <f ca="1">IFERROR(__xludf.DUMMYFUNCTION("""COMPUTED_VALUE"""),"Swanhall Province")</f>
        <v>Swanhall Province</v>
      </c>
      <c r="E16" s="55" t="str">
        <f ca="1">IFERROR(__xludf.DUMMYFUNCTION("""COMPUTED_VALUE"""),"Shavia")</f>
        <v>Shavia</v>
      </c>
      <c r="F16" s="55" t="str">
        <f ca="1">IFERROR(__xludf.DUMMYFUNCTION("""COMPUTED_VALUE"""),"Kingdom of Shavia")</f>
        <v>Kingdom of Shavia</v>
      </c>
      <c r="G16" s="55" t="str">
        <f ca="1">IFERROR(__xludf.DUMMYFUNCTION("""COMPUTED_VALUE"""),"Dail")</f>
        <v>Dail</v>
      </c>
      <c r="H16" s="55" t="str">
        <f ca="1">IFERROR(__xludf.DUMMYFUNCTION("""COMPUTED_VALUE"""),"Path of Guiding Light")</f>
        <v>Path of Guiding Light</v>
      </c>
      <c r="I16" s="55">
        <f ca="1">IFERROR(__xludf.DUMMYFUNCTION("""COMPUTED_VALUE"""),14383)</f>
        <v>14383</v>
      </c>
      <c r="J16" s="55">
        <f ca="1">IFERROR(__xludf.DUMMYFUNCTION("""COMPUTED_VALUE"""),1105)</f>
        <v>1105</v>
      </c>
      <c r="K16" s="55">
        <f ca="1">IFERROR(__xludf.DUMMYFUNCTION("""COMPUTED_VALUE"""),838)</f>
        <v>838</v>
      </c>
      <c r="L16" s="55">
        <f ca="1">IFERROR(__xludf.DUMMYFUNCTION("""COMPUTED_VALUE"""),-34.24)</f>
        <v>-34.24</v>
      </c>
      <c r="M16" s="55">
        <f ca="1">IFERROR(__xludf.DUMMYFUNCTION("""COMPUTED_VALUE"""),10.69)</f>
        <v>10.69</v>
      </c>
      <c r="N16" s="55">
        <f ca="1">IFERROR(__xludf.DUMMYFUNCTION("""COMPUTED_VALUE"""),118)</f>
        <v>118</v>
      </c>
      <c r="O16" s="55" t="str">
        <f ca="1">IFERROR(__xludf.DUMMYFUNCTION("""COMPUTED_VALUE"""),"39°F")</f>
        <v>39°F</v>
      </c>
      <c r="P16" s="55" t="str">
        <f ca="1">IFERROR(__xludf.DUMMYFUNCTION("""COMPUTED_VALUE"""),"Reykjavik")</f>
        <v>Reykjavik</v>
      </c>
      <c r="Q16" s="55" t="str">
        <f ca="1">IFERROR(__xludf.DUMMYFUNCTION("""COMPUTED_VALUE"""),"")</f>
        <v/>
      </c>
      <c r="R16" s="55" t="str">
        <f ca="1">IFERROR(__xludf.DUMMYFUNCTION("""COMPUTED_VALUE"""),"port")</f>
        <v>port</v>
      </c>
      <c r="S16" s="55" t="str">
        <f ca="1">IFERROR(__xludf.DUMMYFUNCTION("""COMPUTED_VALUE"""),"citadel")</f>
        <v>citadel</v>
      </c>
      <c r="T16" s="55" t="str">
        <f ca="1">IFERROR(__xludf.DUMMYFUNCTION("""COMPUTED_VALUE"""),"walls")</f>
        <v>walls</v>
      </c>
      <c r="U16" s="55" t="str">
        <f ca="1">IFERROR(__xludf.DUMMYFUNCTION("""COMPUTED_VALUE"""),"")</f>
        <v/>
      </c>
      <c r="V16" s="189" t="str">
        <f ca="1">IFERROR(__xludf.DUMMYFUNCTION("""COMPUTED_VALUE"""),"")</f>
        <v/>
      </c>
      <c r="W16" s="189" t="str">
        <f ca="1">IFERROR(__xludf.DUMMYFUNCTION("""COMPUTED_VALUE"""),"")</f>
        <v/>
      </c>
      <c r="X16" s="189" t="str">
        <f ca="1">IFERROR(__xludf.DUMMYFUNCTION("""COMPUTED_VALUE"""),"{t1:argent;charges:[{charge:heart;t:vert;p:def;size:0.5}];shield:roman}")</f>
        <v>{t1:argent;charges:[{charge:heart;t:vert;p:def;size:0.5}];shield:roman}</v>
      </c>
      <c r="Y16" s="193" t="str">
        <f ca="1">IFERROR(__xludf.DUMMYFUNCTION("""COMPUTED_VALUE"""),"https://watabou.github.io/city-generator/?name=Cademire&amp;population=14383&amp;size=36&amp;seed=3550748350087&amp;river=0&amp;coast=1&amp;farms=1&amp;citadel=1&amp;urban_castle=0&amp;hub=false&amp;plaza=0&amp;temple=0&amp;walls=1&amp;shantytown=0&amp;gates=-1&amp;sea=0.18")</f>
        <v>https://watabou.github.io/city-generator/?name=Cademire&amp;population=14383&amp;size=36&amp;seed=3550748350087&amp;river=0&amp;coast=1&amp;farms=1&amp;citadel=1&amp;urban_castle=0&amp;hub=false&amp;plaza=0&amp;temple=0&amp;walls=1&amp;shantytown=0&amp;gates=-1&amp;sea=0.18</v>
      </c>
      <c r="Z16" s="189"/>
    </row>
    <row r="17" spans="1:26" ht="15.75" customHeight="1" x14ac:dyDescent="0.25">
      <c r="A17" s="55">
        <f ca="1">IFERROR(__xludf.DUMMYFUNCTION("""COMPUTED_VALUE"""),99)</f>
        <v>99</v>
      </c>
      <c r="B17" s="55" t="str">
        <f ca="1">IFERROR(__xludf.DUMMYFUNCTION("""COMPUTED_VALUE"""),"Quickwatch")</f>
        <v>Quickwatch</v>
      </c>
      <c r="C17" s="55" t="str">
        <f ca="1">IFERROR(__xludf.DUMMYFUNCTION("""COMPUTED_VALUE"""),"Swanhall")</f>
        <v>Swanhall</v>
      </c>
      <c r="D17" s="55" t="str">
        <f ca="1">IFERROR(__xludf.DUMMYFUNCTION("""COMPUTED_VALUE"""),"Swanhall Province")</f>
        <v>Swanhall Province</v>
      </c>
      <c r="E17" s="55" t="str">
        <f ca="1">IFERROR(__xludf.DUMMYFUNCTION("""COMPUTED_VALUE"""),"Shavia")</f>
        <v>Shavia</v>
      </c>
      <c r="F17" s="55" t="str">
        <f ca="1">IFERROR(__xludf.DUMMYFUNCTION("""COMPUTED_VALUE"""),"Kingdom of Shavia")</f>
        <v>Kingdom of Shavia</v>
      </c>
      <c r="G17" s="55" t="str">
        <f ca="1">IFERROR(__xludf.DUMMYFUNCTION("""COMPUTED_VALUE"""),"Shavian")</f>
        <v>Shavian</v>
      </c>
      <c r="H17" s="55" t="str">
        <f ca="1">IFERROR(__xludf.DUMMYFUNCTION("""COMPUTED_VALUE"""),"Path of Guiding Light")</f>
        <v>Path of Guiding Light</v>
      </c>
      <c r="I17" s="55">
        <f ca="1">IFERROR(__xludf.DUMMYFUNCTION("""COMPUTED_VALUE"""),6128)</f>
        <v>6128</v>
      </c>
      <c r="J17" s="55">
        <f ca="1">IFERROR(__xludf.DUMMYFUNCTION("""COMPUTED_VALUE"""),910.256252403146)</f>
        <v>910.25625240314605</v>
      </c>
      <c r="K17" s="55">
        <f ca="1">IFERROR(__xludf.DUMMYFUNCTION("""COMPUTED_VALUE"""),854.269085071362)</f>
        <v>854.26908507136204</v>
      </c>
      <c r="L17" s="55">
        <f ca="1">IFERROR(__xludf.DUMMYFUNCTION("""COMPUTED_VALUE"""),-34.76)</f>
        <v>-34.76</v>
      </c>
      <c r="M17" s="55">
        <f ca="1">IFERROR(__xludf.DUMMYFUNCTION("""COMPUTED_VALUE"""),4.4)</f>
        <v>4.4000000000000004</v>
      </c>
      <c r="N17" s="55">
        <f ca="1">IFERROR(__xludf.DUMMYFUNCTION("""COMPUTED_VALUE"""),118)</f>
        <v>118</v>
      </c>
      <c r="O17" s="55" t="str">
        <f ca="1">IFERROR(__xludf.DUMMYFUNCTION("""COMPUTED_VALUE"""),"39°F")</f>
        <v>39°F</v>
      </c>
      <c r="P17" s="55" t="str">
        <f ca="1">IFERROR(__xludf.DUMMYFUNCTION("""COMPUTED_VALUE"""),"Reykjavik")</f>
        <v>Reykjavik</v>
      </c>
      <c r="Q17" s="55" t="str">
        <f ca="1">IFERROR(__xludf.DUMMYFUNCTION("""COMPUTED_VALUE"""),"")</f>
        <v/>
      </c>
      <c r="R17" s="55" t="str">
        <f ca="1">IFERROR(__xludf.DUMMYFUNCTION("""COMPUTED_VALUE"""),"")</f>
        <v/>
      </c>
      <c r="S17" s="55" t="str">
        <f ca="1">IFERROR(__xludf.DUMMYFUNCTION("""COMPUTED_VALUE"""),"citadel")</f>
        <v>citadel</v>
      </c>
      <c r="T17" s="55" t="str">
        <f ca="1">IFERROR(__xludf.DUMMYFUNCTION("""COMPUTED_VALUE"""),"walls")</f>
        <v>walls</v>
      </c>
      <c r="U17" s="55" t="str">
        <f ca="1">IFERROR(__xludf.DUMMYFUNCTION("""COMPUTED_VALUE"""),"")</f>
        <v/>
      </c>
      <c r="V17" s="189" t="str">
        <f ca="1">IFERROR(__xludf.DUMMYFUNCTION("""COMPUTED_VALUE"""),"")</f>
        <v/>
      </c>
      <c r="W17" s="189" t="str">
        <f ca="1">IFERROR(__xludf.DUMMYFUNCTION("""COMPUTED_VALUE"""),"")</f>
        <v/>
      </c>
      <c r="X17" s="189" t="str">
        <f ca="1">IFERROR(__xludf.DUMMYFUNCTION("""COMPUTED_VALUE"""),"{t1:or;division:{division:perChevronReversed;t:palyBendy-argent-vert;line:straight};charges:[{charge:crossGamma;t:sable;p:dfh;size:0.5}];shield:horsehead2}")</f>
        <v>{t1:or;division:{division:perChevronReversed;t:palyBendy-argent-vert;line:straight};charges:[{charge:crossGamma;t:sable;p:dfh;size:0.5}];shield:horsehead2}</v>
      </c>
      <c r="Y17" s="193" t="str">
        <f ca="1">IFERROR(__xludf.DUMMYFUNCTION("""COMPUTED_VALUE"""),"https://watabou.github.io/city-generator/?name=Quickwatch&amp;population=6128&amp;size=26&amp;seed=3550748350099&amp;river=1&amp;coast=0&amp;farms=1&amp;citadel=1&amp;urban_castle=0&amp;hub=false&amp;plaza=0&amp;temple=0&amp;walls=1&amp;shantytown=0&amp;gates=-1")</f>
        <v>https://watabou.github.io/city-generator/?name=Quickwatch&amp;population=6128&amp;size=26&amp;seed=3550748350099&amp;river=1&amp;coast=0&amp;farms=1&amp;citadel=1&amp;urban_castle=0&amp;hub=false&amp;plaza=0&amp;temple=0&amp;walls=1&amp;shantytown=0&amp;gates=-1</v>
      </c>
      <c r="Z17" s="189"/>
    </row>
    <row r="18" spans="1:26" ht="15.75" customHeight="1" x14ac:dyDescent="0.25">
      <c r="A18" s="55">
        <f ca="1">IFERROR(__xludf.DUMMYFUNCTION("""COMPUTED_VALUE"""),100)</f>
        <v>100</v>
      </c>
      <c r="B18" s="55" t="str">
        <f ca="1">IFERROR(__xludf.DUMMYFUNCTION("""COMPUTED_VALUE"""),"Westleden")</f>
        <v>Westleden</v>
      </c>
      <c r="C18" s="55" t="str">
        <f ca="1">IFERROR(__xludf.DUMMYFUNCTION("""COMPUTED_VALUE"""),"Dreghold")</f>
        <v>Dreghold</v>
      </c>
      <c r="D18" s="55" t="str">
        <f ca="1">IFERROR(__xludf.DUMMYFUNCTION("""COMPUTED_VALUE"""),"Dreghold Province")</f>
        <v>Dreghold Province</v>
      </c>
      <c r="E18" s="55" t="str">
        <f ca="1">IFERROR(__xludf.DUMMYFUNCTION("""COMPUTED_VALUE"""),"Shavia")</f>
        <v>Shavia</v>
      </c>
      <c r="F18" s="55" t="str">
        <f ca="1">IFERROR(__xludf.DUMMYFUNCTION("""COMPUTED_VALUE"""),"Kingdom of Shavia")</f>
        <v>Kingdom of Shavia</v>
      </c>
      <c r="G18" s="55" t="str">
        <f ca="1">IFERROR(__xludf.DUMMYFUNCTION("""COMPUTED_VALUE"""),"Shavian")</f>
        <v>Shavian</v>
      </c>
      <c r="H18" s="55" t="str">
        <f ca="1">IFERROR(__xludf.DUMMYFUNCTION("""COMPUTED_VALUE"""),"Path of Guiding Light")</f>
        <v>Path of Guiding Light</v>
      </c>
      <c r="I18" s="55">
        <f ca="1">IFERROR(__xludf.DUMMYFUNCTION("""COMPUTED_VALUE"""),1956)</f>
        <v>1956</v>
      </c>
      <c r="J18" s="55">
        <f ca="1">IFERROR(__xludf.DUMMYFUNCTION("""COMPUTED_VALUE"""),738.797788112863)</f>
        <v>738.79778811286303</v>
      </c>
      <c r="K18" s="55">
        <f ca="1">IFERROR(__xludf.DUMMYFUNCTION("""COMPUTED_VALUE"""),879.219113586702)</f>
        <v>879.21911358670195</v>
      </c>
      <c r="L18" s="55">
        <f ca="1">IFERROR(__xludf.DUMMYFUNCTION("""COMPUTED_VALUE"""),-35.57)</f>
        <v>-35.57</v>
      </c>
      <c r="M18" s="55">
        <f ca="1">IFERROR(__xludf.DUMMYFUNCTION("""COMPUTED_VALUE"""),-1.14)</f>
        <v>-1.1399999999999999</v>
      </c>
      <c r="N18" s="55">
        <f ca="1">IFERROR(__xludf.DUMMYFUNCTION("""COMPUTED_VALUE"""),52)</f>
        <v>52</v>
      </c>
      <c r="O18" s="55" t="str">
        <f ca="1">IFERROR(__xludf.DUMMYFUNCTION("""COMPUTED_VALUE"""),"39°F")</f>
        <v>39°F</v>
      </c>
      <c r="P18" s="55" t="str">
        <f ca="1">IFERROR(__xludf.DUMMYFUNCTION("""COMPUTED_VALUE"""),"Reykjavik")</f>
        <v>Reykjavik</v>
      </c>
      <c r="Q18" s="55" t="str">
        <f ca="1">IFERROR(__xludf.DUMMYFUNCTION("""COMPUTED_VALUE"""),"")</f>
        <v/>
      </c>
      <c r="R18" s="55" t="str">
        <f ca="1">IFERROR(__xludf.DUMMYFUNCTION("""COMPUTED_VALUE"""),"")</f>
        <v/>
      </c>
      <c r="S18" s="55" t="str">
        <f ca="1">IFERROR(__xludf.DUMMYFUNCTION("""COMPUTED_VALUE"""),"citadel")</f>
        <v>citadel</v>
      </c>
      <c r="T18" s="55" t="str">
        <f ca="1">IFERROR(__xludf.DUMMYFUNCTION("""COMPUTED_VALUE"""),"")</f>
        <v/>
      </c>
      <c r="U18" s="55" t="str">
        <f ca="1">IFERROR(__xludf.DUMMYFUNCTION("""COMPUTED_VALUE"""),"")</f>
        <v/>
      </c>
      <c r="V18" s="189" t="str">
        <f ca="1">IFERROR(__xludf.DUMMYFUNCTION("""COMPUTED_VALUE"""),"")</f>
        <v/>
      </c>
      <c r="W18" s="189" t="str">
        <f ca="1">IFERROR(__xludf.DUMMYFUNCTION("""COMPUTED_VALUE"""),"")</f>
        <v/>
      </c>
      <c r="X18" s="189" t="str">
        <f ca="1">IFERROR(__xludf.DUMMYFUNCTION("""COMPUTED_VALUE"""),"{t1:azure;division:{division:perCross;t:argent;line:straight};charges:[{charge:lozengeFaceted;t:or;p:j;size:0.6};{charge:lute;t:sable;p:l;size:0.6};{charge:eagleTwoHeards;t:purpure;p:m;size:0.6};{charge:inescutcheon;t:argent;p:o;size:0.6}];shield:horsehea"&amp;"d2}")</f>
        <v>{t1:azure;division:{division:perCross;t:argent;line:straight};charges:[{charge:lozengeFaceted;t:or;p:j;size:0.6};{charge:lute;t:sable;p:l;size:0.6};{charge:eagleTwoHeards;t:purpure;p:m;size:0.6};{charge:inescutcheon;t:argent;p:o;size:0.6}];shield:horsehead2}</v>
      </c>
      <c r="Y18" s="193" t="str">
        <f ca="1">IFERROR(__xludf.DUMMYFUNCTION("""COMPUTED_VALUE"""),"https://watabou.github.io/city-generator/?name=Westleden&amp;population=1956&amp;size=17&amp;seed=3550748350100&amp;river=0&amp;coast=0&amp;farms=1&amp;citadel=1&amp;urban_castle=1&amp;hub=false&amp;plaza=0&amp;temple=0&amp;walls=0&amp;shantytown=0&amp;gates=-1")</f>
        <v>https://watabou.github.io/city-generator/?name=Westleden&amp;population=1956&amp;size=17&amp;seed=3550748350100&amp;river=0&amp;coast=0&amp;farms=1&amp;citadel=1&amp;urban_castle=1&amp;hub=false&amp;plaza=0&amp;temple=0&amp;walls=0&amp;shantytown=0&amp;gates=-1</v>
      </c>
      <c r="Z18" s="189"/>
    </row>
    <row r="19" spans="1:26" ht="15.75" customHeight="1" x14ac:dyDescent="0.25">
      <c r="A19" s="55">
        <f ca="1">IFERROR(__xludf.DUMMYFUNCTION("""COMPUTED_VALUE"""),103)</f>
        <v>103</v>
      </c>
      <c r="B19" s="55" t="str">
        <f ca="1">IFERROR(__xludf.DUMMYFUNCTION("""COMPUTED_VALUE"""),"Draven")</f>
        <v>Draven</v>
      </c>
      <c r="C19" s="55" t="str">
        <f ca="1">IFERROR(__xludf.DUMMYFUNCTION("""COMPUTED_VALUE"""),"Dreghold")</f>
        <v>Dreghold</v>
      </c>
      <c r="D19" s="55" t="str">
        <f ca="1">IFERROR(__xludf.DUMMYFUNCTION("""COMPUTED_VALUE"""),"Dreghold Province")</f>
        <v>Dreghold Province</v>
      </c>
      <c r="E19" s="55" t="str">
        <f ca="1">IFERROR(__xludf.DUMMYFUNCTION("""COMPUTED_VALUE"""),"Shavia")</f>
        <v>Shavia</v>
      </c>
      <c r="F19" s="55" t="str">
        <f ca="1">IFERROR(__xludf.DUMMYFUNCTION("""COMPUTED_VALUE"""),"Kingdom of Shavia")</f>
        <v>Kingdom of Shavia</v>
      </c>
      <c r="G19" s="55" t="str">
        <f ca="1">IFERROR(__xludf.DUMMYFUNCTION("""COMPUTED_VALUE"""),"Shavian")</f>
        <v>Shavian</v>
      </c>
      <c r="H19" s="55" t="str">
        <f ca="1">IFERROR(__xludf.DUMMYFUNCTION("""COMPUTED_VALUE"""),"Path of Guiding Light")</f>
        <v>Path of Guiding Light</v>
      </c>
      <c r="I19" s="55">
        <f ca="1">IFERROR(__xludf.DUMMYFUNCTION("""COMPUTED_VALUE"""),3268)</f>
        <v>3268</v>
      </c>
      <c r="J19" s="55">
        <f ca="1">IFERROR(__xludf.DUMMYFUNCTION("""COMPUTED_VALUE"""),516.5)</f>
        <v>516.5</v>
      </c>
      <c r="K19" s="55">
        <f ca="1">IFERROR(__xludf.DUMMYFUNCTION("""COMPUTED_VALUE"""),620)</f>
        <v>620</v>
      </c>
      <c r="L19" s="55">
        <f ca="1">IFERROR(__xludf.DUMMYFUNCTION("""COMPUTED_VALUE"""),-27.18)</f>
        <v>-27.18</v>
      </c>
      <c r="M19" s="55">
        <f ca="1">IFERROR(__xludf.DUMMYFUNCTION("""COMPUTED_VALUE"""),-8.32)</f>
        <v>-8.32</v>
      </c>
      <c r="N19" s="55">
        <f ca="1">IFERROR(__xludf.DUMMYFUNCTION("""COMPUTED_VALUE"""),210)</f>
        <v>210</v>
      </c>
      <c r="O19" s="55" t="str">
        <f ca="1">IFERROR(__xludf.DUMMYFUNCTION("""COMPUTED_VALUE"""),"45°F")</f>
        <v>45°F</v>
      </c>
      <c r="P19" s="55" t="str">
        <f ca="1">IFERROR(__xludf.DUMMYFUNCTION("""COMPUTED_VALUE"""),"Halifax")</f>
        <v>Halifax</v>
      </c>
      <c r="Q19" s="55" t="str">
        <f ca="1">IFERROR(__xludf.DUMMYFUNCTION("""COMPUTED_VALUE"""),"")</f>
        <v/>
      </c>
      <c r="R19" s="55" t="str">
        <f ca="1">IFERROR(__xludf.DUMMYFUNCTION("""COMPUTED_VALUE"""),"port")</f>
        <v>port</v>
      </c>
      <c r="S19" s="55" t="str">
        <f ca="1">IFERROR(__xludf.DUMMYFUNCTION("""COMPUTED_VALUE"""),"citadel")</f>
        <v>citadel</v>
      </c>
      <c r="T19" s="55" t="str">
        <f ca="1">IFERROR(__xludf.DUMMYFUNCTION("""COMPUTED_VALUE"""),"walls")</f>
        <v>walls</v>
      </c>
      <c r="U19" s="55" t="str">
        <f ca="1">IFERROR(__xludf.DUMMYFUNCTION("""COMPUTED_VALUE"""),"")</f>
        <v/>
      </c>
      <c r="V19" s="189" t="str">
        <f ca="1">IFERROR(__xludf.DUMMYFUNCTION("""COMPUTED_VALUE"""),"")</f>
        <v/>
      </c>
      <c r="W19" s="189" t="str">
        <f ca="1">IFERROR(__xludf.DUMMYFUNCTION("""COMPUTED_VALUE"""),"")</f>
        <v/>
      </c>
      <c r="X19" s="189" t="str">
        <f ca="1">IFERROR(__xludf.DUMMYFUNCTION("""COMPUTED_VALUE"""),"{t1:pally-or-gules;ordinaries:[{ordinary:pileInBendSinister;t:purpure}];shield:fantasy5}")</f>
        <v>{t1:pally-or-gules;ordinaries:[{ordinary:pileInBendSinister;t:purpure}];shield:fantasy5}</v>
      </c>
      <c r="Y19" s="193" t="str">
        <f ca="1">IFERROR(__xludf.DUMMYFUNCTION("""COMPUTED_VALUE"""),"https://watabou.github.io/city-generator/?name=Draven&amp;population=3268&amp;size=20&amp;seed=3550748350103&amp;river=1&amp;coast=1&amp;farms=0&amp;citadel=1&amp;urban_castle=0&amp;hub=false&amp;plaza=0&amp;temple=0&amp;walls=1&amp;shantytown=0&amp;gates=-1&amp;sea=0.69")</f>
        <v>https://watabou.github.io/city-generator/?name=Draven&amp;population=3268&amp;size=20&amp;seed=3550748350103&amp;river=1&amp;coast=1&amp;farms=0&amp;citadel=1&amp;urban_castle=0&amp;hub=false&amp;plaza=0&amp;temple=0&amp;walls=1&amp;shantytown=0&amp;gates=-1&amp;sea=0.69</v>
      </c>
      <c r="Z19" s="189"/>
    </row>
    <row r="20" spans="1:26" ht="15.75" customHeight="1" x14ac:dyDescent="0.25">
      <c r="A20" s="55">
        <f ca="1">IFERROR(__xludf.DUMMYFUNCTION("""COMPUTED_VALUE"""),108)</f>
        <v>108</v>
      </c>
      <c r="B20" s="55" t="str">
        <f ca="1">IFERROR(__xludf.DUMMYFUNCTION("""COMPUTED_VALUE"""),"Shroutumn")</f>
        <v>Shroutumn</v>
      </c>
      <c r="C20" s="55" t="str">
        <f ca="1">IFERROR(__xludf.DUMMYFUNCTION("""COMPUTED_VALUE"""),"Swanhall")</f>
        <v>Swanhall</v>
      </c>
      <c r="D20" s="55" t="str">
        <f ca="1">IFERROR(__xludf.DUMMYFUNCTION("""COMPUTED_VALUE"""),"Swanhall Province")</f>
        <v>Swanhall Province</v>
      </c>
      <c r="E20" s="55" t="str">
        <f ca="1">IFERROR(__xludf.DUMMYFUNCTION("""COMPUTED_VALUE"""),"Shavia")</f>
        <v>Shavia</v>
      </c>
      <c r="F20" s="55" t="str">
        <f ca="1">IFERROR(__xludf.DUMMYFUNCTION("""COMPUTED_VALUE"""),"Kingdom of Shavia")</f>
        <v>Kingdom of Shavia</v>
      </c>
      <c r="G20" s="55" t="str">
        <f ca="1">IFERROR(__xludf.DUMMYFUNCTION("""COMPUTED_VALUE"""),"Shavian")</f>
        <v>Shavian</v>
      </c>
      <c r="H20" s="55" t="str">
        <f ca="1">IFERROR(__xludf.DUMMYFUNCTION("""COMPUTED_VALUE"""),"Path of Guiding Light")</f>
        <v>Path of Guiding Light</v>
      </c>
      <c r="I20" s="55">
        <f ca="1">IFERROR(__xludf.DUMMYFUNCTION("""COMPUTED_VALUE"""),4134)</f>
        <v>4134</v>
      </c>
      <c r="J20" s="55">
        <f ca="1">IFERROR(__xludf.DUMMYFUNCTION("""COMPUTED_VALUE"""),845.5)</f>
        <v>845.5</v>
      </c>
      <c r="K20" s="55">
        <f ca="1">IFERROR(__xludf.DUMMYFUNCTION("""COMPUTED_VALUE"""),830)</f>
        <v>830</v>
      </c>
      <c r="L20" s="55">
        <f ca="1">IFERROR(__xludf.DUMMYFUNCTION("""COMPUTED_VALUE"""),-33.98)</f>
        <v>-33.979999999999997</v>
      </c>
      <c r="M20" s="55">
        <f ca="1">IFERROR(__xludf.DUMMYFUNCTION("""COMPUTED_VALUE"""),2.31)</f>
        <v>2.31</v>
      </c>
      <c r="N20" s="55">
        <f ca="1">IFERROR(__xludf.DUMMYFUNCTION("""COMPUTED_VALUE"""),52)</f>
        <v>52</v>
      </c>
      <c r="O20" s="55" t="str">
        <f ca="1">IFERROR(__xludf.DUMMYFUNCTION("""COMPUTED_VALUE"""),"39°F")</f>
        <v>39°F</v>
      </c>
      <c r="P20" s="55" t="str">
        <f ca="1">IFERROR(__xludf.DUMMYFUNCTION("""COMPUTED_VALUE"""),"Reykjavik")</f>
        <v>Reykjavik</v>
      </c>
      <c r="Q20" s="55" t="str">
        <f ca="1">IFERROR(__xludf.DUMMYFUNCTION("""COMPUTED_VALUE"""),"")</f>
        <v/>
      </c>
      <c r="R20" s="55" t="str">
        <f ca="1">IFERROR(__xludf.DUMMYFUNCTION("""COMPUTED_VALUE"""),"port")</f>
        <v>port</v>
      </c>
      <c r="S20" s="55" t="str">
        <f ca="1">IFERROR(__xludf.DUMMYFUNCTION("""COMPUTED_VALUE"""),"citadel")</f>
        <v>citadel</v>
      </c>
      <c r="T20" s="55" t="str">
        <f ca="1">IFERROR(__xludf.DUMMYFUNCTION("""COMPUTED_VALUE"""),"")</f>
        <v/>
      </c>
      <c r="U20" s="55" t="str">
        <f ca="1">IFERROR(__xludf.DUMMYFUNCTION("""COMPUTED_VALUE"""),"")</f>
        <v/>
      </c>
      <c r="V20" s="189" t="str">
        <f ca="1">IFERROR(__xludf.DUMMYFUNCTION("""COMPUTED_VALUE"""),"")</f>
        <v/>
      </c>
      <c r="W20" s="189" t="str">
        <f ca="1">IFERROR(__xludf.DUMMYFUNCTION("""COMPUTED_VALUE"""),"")</f>
        <v/>
      </c>
      <c r="X20" s="189" t="str">
        <f ca="1">IFERROR(__xludf.DUMMYFUNCTION("""COMPUTED_VALUE"""),"{t1:vair-azure-argent;division:{division:perBendSinister;t:or;line:straight};ordinaries:[{ordinary:saltireParted;t:vert;line:straight}];shield:horsehead2}")</f>
        <v>{t1:vair-azure-argent;division:{division:perBendSinister;t:or;line:straight};ordinaries:[{ordinary:saltireParted;t:vert;line:straight}];shield:horsehead2}</v>
      </c>
      <c r="Y20" s="193" t="str">
        <f ca="1">IFERROR(__xludf.DUMMYFUNCTION("""COMPUTED_VALUE"""),"https://watabou.github.io/city-generator/?name=Shroutumn&amp;population=4134&amp;size=22&amp;seed=3550748350108&amp;river=0&amp;coast=1&amp;farms=0&amp;citadel=1&amp;urban_castle=1&amp;hub=false&amp;plaza=0&amp;temple=0&amp;walls=0&amp;shantytown=0&amp;gates=-1&amp;sea=1.06")</f>
        <v>https://watabou.github.io/city-generator/?name=Shroutumn&amp;population=4134&amp;size=22&amp;seed=3550748350108&amp;river=0&amp;coast=1&amp;farms=0&amp;citadel=1&amp;urban_castle=1&amp;hub=false&amp;plaza=0&amp;temple=0&amp;walls=0&amp;shantytown=0&amp;gates=-1&amp;sea=1.06</v>
      </c>
      <c r="Z20" s="189"/>
    </row>
    <row r="21" spans="1:26" ht="15.75" customHeight="1" x14ac:dyDescent="0.25">
      <c r="A21" s="55">
        <f ca="1">IFERROR(__xludf.DUMMYFUNCTION("""COMPUTED_VALUE"""),115)</f>
        <v>115</v>
      </c>
      <c r="B21" s="55" t="str">
        <f ca="1">IFERROR(__xludf.DUMMYFUNCTION("""COMPUTED_VALUE"""),"Shaledasinf")</f>
        <v>Shaledasinf</v>
      </c>
      <c r="C21" s="55" t="str">
        <f ca="1">IFERROR(__xludf.DUMMYFUNCTION("""COMPUTED_VALUE"""),"Crownlands")</f>
        <v>Crownlands</v>
      </c>
      <c r="D21" s="55" t="str">
        <f ca="1">IFERROR(__xludf.DUMMYFUNCTION("""COMPUTED_VALUE"""),"Uzd Province")</f>
        <v>Uzd Province</v>
      </c>
      <c r="E21" s="55" t="str">
        <f ca="1">IFERROR(__xludf.DUMMYFUNCTION("""COMPUTED_VALUE"""),"Shavia")</f>
        <v>Shavia</v>
      </c>
      <c r="F21" s="55" t="str">
        <f ca="1">IFERROR(__xludf.DUMMYFUNCTION("""COMPUTED_VALUE"""),"Kingdom of Shavia")</f>
        <v>Kingdom of Shavia</v>
      </c>
      <c r="G21" s="55" t="str">
        <f ca="1">IFERROR(__xludf.DUMMYFUNCTION("""COMPUTED_VALUE"""),"Shavian")</f>
        <v>Shavian</v>
      </c>
      <c r="H21" s="55" t="str">
        <f ca="1">IFERROR(__xludf.DUMMYFUNCTION("""COMPUTED_VALUE"""),"Path of Guiding Light")</f>
        <v>Path of Guiding Light</v>
      </c>
      <c r="I21" s="55">
        <f ca="1">IFERROR(__xludf.DUMMYFUNCTION("""COMPUTED_VALUE"""),4744)</f>
        <v>4744</v>
      </c>
      <c r="J21" s="55">
        <f ca="1">IFERROR(__xludf.DUMMYFUNCTION("""COMPUTED_VALUE"""),410.457748267078)</f>
        <v>410.45774826707799</v>
      </c>
      <c r="K21" s="55">
        <f ca="1">IFERROR(__xludf.DUMMYFUNCTION("""COMPUTED_VALUE"""),653.851461318656)</f>
        <v>653.85146131865599</v>
      </c>
      <c r="L21" s="55">
        <f ca="1">IFERROR(__xludf.DUMMYFUNCTION("""COMPUTED_VALUE"""),-28.27)</f>
        <v>-28.27</v>
      </c>
      <c r="M21" s="55">
        <f ca="1">IFERROR(__xludf.DUMMYFUNCTION("""COMPUTED_VALUE"""),-11.74)</f>
        <v>-11.74</v>
      </c>
      <c r="N21" s="55">
        <f ca="1">IFERROR(__xludf.DUMMYFUNCTION("""COMPUTED_VALUE"""),52)</f>
        <v>52</v>
      </c>
      <c r="O21" s="55" t="str">
        <f ca="1">IFERROR(__xludf.DUMMYFUNCTION("""COMPUTED_VALUE"""),"45°F")</f>
        <v>45°F</v>
      </c>
      <c r="P21" s="55" t="str">
        <f ca="1">IFERROR(__xludf.DUMMYFUNCTION("""COMPUTED_VALUE"""),"Halifax")</f>
        <v>Halifax</v>
      </c>
      <c r="Q21" s="55" t="str">
        <f ca="1">IFERROR(__xludf.DUMMYFUNCTION("""COMPUTED_VALUE"""),"")</f>
        <v/>
      </c>
      <c r="R21" s="55" t="str">
        <f ca="1">IFERROR(__xludf.DUMMYFUNCTION("""COMPUTED_VALUE"""),"")</f>
        <v/>
      </c>
      <c r="S21" s="55" t="str">
        <f ca="1">IFERROR(__xludf.DUMMYFUNCTION("""COMPUTED_VALUE"""),"citadel")</f>
        <v>citadel</v>
      </c>
      <c r="T21" s="55" t="str">
        <f ca="1">IFERROR(__xludf.DUMMYFUNCTION("""COMPUTED_VALUE"""),"")</f>
        <v/>
      </c>
      <c r="U21" s="55" t="str">
        <f ca="1">IFERROR(__xludf.DUMMYFUNCTION("""COMPUTED_VALUE"""),"")</f>
        <v/>
      </c>
      <c r="V21" s="189" t="str">
        <f ca="1">IFERROR(__xludf.DUMMYFUNCTION("""COMPUTED_VALUE"""),"")</f>
        <v/>
      </c>
      <c r="W21" s="189" t="str">
        <f ca="1">IFERROR(__xludf.DUMMYFUNCTION("""COMPUTED_VALUE"""),"")</f>
        <v/>
      </c>
      <c r="X21" s="189" t="str">
        <f ca="1">IFERROR(__xludf.DUMMYFUNCTION("""COMPUTED_VALUE"""),"{t1:or;charges:[{charge:pot;t:sable;p:e;size:1.5}];shield:fantasy5}")</f>
        <v>{t1:or;charges:[{charge:pot;t:sable;p:e;size:1.5}];shield:fantasy5}</v>
      </c>
      <c r="Y21" s="193" t="str">
        <f ca="1">IFERROR(__xludf.DUMMYFUNCTION("""COMPUTED_VALUE"""),"https://watabou.github.io/city-generator/?name=Shaledasinf&amp;population=4744&amp;size=23&amp;seed=3550748350115&amp;river=0&amp;coast=0&amp;farms=1&amp;citadel=1&amp;urban_castle=0&amp;hub=false&amp;plaza=0&amp;temple=0&amp;walls=0&amp;shantytown=0&amp;gates=-1")</f>
        <v>https://watabou.github.io/city-generator/?name=Shaledasinf&amp;population=4744&amp;size=23&amp;seed=3550748350115&amp;river=0&amp;coast=0&amp;farms=1&amp;citadel=1&amp;urban_castle=0&amp;hub=false&amp;plaza=0&amp;temple=0&amp;walls=0&amp;shantytown=0&amp;gates=-1</v>
      </c>
      <c r="Z21" s="189"/>
    </row>
    <row r="22" spans="1:26" ht="15.75" customHeight="1" x14ac:dyDescent="0.25">
      <c r="A22" s="55">
        <f ca="1">IFERROR(__xludf.DUMMYFUNCTION("""COMPUTED_VALUE"""),117)</f>
        <v>117</v>
      </c>
      <c r="B22" s="55" t="str">
        <f ca="1">IFERROR(__xludf.DUMMYFUNCTION("""COMPUTED_VALUE"""),"Pearldfair")</f>
        <v>Pearldfair</v>
      </c>
      <c r="C22" s="55" t="str">
        <f ca="1">IFERROR(__xludf.DUMMYFUNCTION("""COMPUTED_VALUE"""),"Swanhall")</f>
        <v>Swanhall</v>
      </c>
      <c r="D22" s="55" t="str">
        <f ca="1">IFERROR(__xludf.DUMMYFUNCTION("""COMPUTED_VALUE"""),"Swanhall Province")</f>
        <v>Swanhall Province</v>
      </c>
      <c r="E22" s="55" t="str">
        <f ca="1">IFERROR(__xludf.DUMMYFUNCTION("""COMPUTED_VALUE"""),"Shavia")</f>
        <v>Shavia</v>
      </c>
      <c r="F22" s="55" t="str">
        <f ca="1">IFERROR(__xludf.DUMMYFUNCTION("""COMPUTED_VALUE"""),"Kingdom of Shavia")</f>
        <v>Kingdom of Shavia</v>
      </c>
      <c r="G22" s="55" t="str">
        <f ca="1">IFERROR(__xludf.DUMMYFUNCTION("""COMPUTED_VALUE"""),"Shavian")</f>
        <v>Shavian</v>
      </c>
      <c r="H22" s="55" t="str">
        <f ca="1">IFERROR(__xludf.DUMMYFUNCTION("""COMPUTED_VALUE"""),"Path of Guiding Light")</f>
        <v>Path of Guiding Light</v>
      </c>
      <c r="I22" s="55">
        <f ca="1">IFERROR(__xludf.DUMMYFUNCTION("""COMPUTED_VALUE"""),7044)</f>
        <v>7044</v>
      </c>
      <c r="J22" s="55">
        <f ca="1">IFERROR(__xludf.DUMMYFUNCTION("""COMPUTED_VALUE"""),931)</f>
        <v>931</v>
      </c>
      <c r="K22" s="55">
        <f ca="1">IFERROR(__xludf.DUMMYFUNCTION("""COMPUTED_VALUE"""),913)</f>
        <v>913</v>
      </c>
      <c r="L22" s="55">
        <f ca="1">IFERROR(__xludf.DUMMYFUNCTION("""COMPUTED_VALUE"""),-36.66)</f>
        <v>-36.659999999999997</v>
      </c>
      <c r="M22" s="55">
        <f ca="1">IFERROR(__xludf.DUMMYFUNCTION("""COMPUTED_VALUE"""),5.07)</f>
        <v>5.07</v>
      </c>
      <c r="N22" s="55">
        <f ca="1">IFERROR(__xludf.DUMMYFUNCTION("""COMPUTED_VALUE"""),118)</f>
        <v>118</v>
      </c>
      <c r="O22" s="55" t="str">
        <f ca="1">IFERROR(__xludf.DUMMYFUNCTION("""COMPUTED_VALUE"""),"37°F")</f>
        <v>37°F</v>
      </c>
      <c r="P22" s="55" t="str">
        <f ca="1">IFERROR(__xludf.DUMMYFUNCTION("""COMPUTED_VALUE"""),"Tromsø")</f>
        <v>Tromsø</v>
      </c>
      <c r="Q22" s="55" t="str">
        <f ca="1">IFERROR(__xludf.DUMMYFUNCTION("""COMPUTED_VALUE"""),"")</f>
        <v/>
      </c>
      <c r="R22" s="55" t="str">
        <f ca="1">IFERROR(__xludf.DUMMYFUNCTION("""COMPUTED_VALUE"""),"port")</f>
        <v>port</v>
      </c>
      <c r="S22" s="55" t="str">
        <f ca="1">IFERROR(__xludf.DUMMYFUNCTION("""COMPUTED_VALUE"""),"")</f>
        <v/>
      </c>
      <c r="T22" s="55" t="str">
        <f ca="1">IFERROR(__xludf.DUMMYFUNCTION("""COMPUTED_VALUE"""),"")</f>
        <v/>
      </c>
      <c r="U22" s="55" t="str">
        <f ca="1">IFERROR(__xludf.DUMMYFUNCTION("""COMPUTED_VALUE"""),"plaza")</f>
        <v>plaza</v>
      </c>
      <c r="V22" s="189" t="str">
        <f ca="1">IFERROR(__xludf.DUMMYFUNCTION("""COMPUTED_VALUE"""),"")</f>
        <v/>
      </c>
      <c r="W22" s="189" t="str">
        <f ca="1">IFERROR(__xludf.DUMMYFUNCTION("""COMPUTED_VALUE"""),"")</f>
        <v/>
      </c>
      <c r="X22" s="189" t="str">
        <f ca="1">IFERROR(__xludf.DUMMYFUNCTION("""COMPUTED_VALUE"""),"{t1:pally-azure-argent;charges:[{charge:wheel;t:or;p:e;size:1.5}];shield:horsehead2}")</f>
        <v>{t1:pally-azure-argent;charges:[{charge:wheel;t:or;p:e;size:1.5}];shield:horsehead2}</v>
      </c>
      <c r="Y22" s="193" t="str">
        <f ca="1">IFERROR(__xludf.DUMMYFUNCTION("""COMPUTED_VALUE"""),"https://watabou.github.io/city-generator/?name=Pearldfair&amp;population=7044&amp;size=27&amp;seed=3550748350117&amp;river=0&amp;coast=1&amp;farms=0&amp;citadel=0&amp;urban_castle=0&amp;hub=false&amp;plaza=1&amp;temple=0&amp;walls=0&amp;shantytown=0&amp;gates=-1&amp;sea=1.93")</f>
        <v>https://watabou.github.io/city-generator/?name=Pearldfair&amp;population=7044&amp;size=27&amp;seed=3550748350117&amp;river=0&amp;coast=1&amp;farms=0&amp;citadel=0&amp;urban_castle=0&amp;hub=false&amp;plaza=1&amp;temple=0&amp;walls=0&amp;shantytown=0&amp;gates=-1&amp;sea=1.93</v>
      </c>
      <c r="Z22" s="189"/>
    </row>
    <row r="23" spans="1:26" ht="15.75" customHeight="1" x14ac:dyDescent="0.25">
      <c r="A23" s="55">
        <f ca="1">IFERROR(__xludf.DUMMYFUNCTION("""COMPUTED_VALUE"""),121)</f>
        <v>121</v>
      </c>
      <c r="B23" s="55" t="str">
        <f ca="1">IFERROR(__xludf.DUMMYFUNCTION("""COMPUTED_VALUE"""),"Bearsimeg")</f>
        <v>Bearsimeg</v>
      </c>
      <c r="C23" s="55" t="str">
        <f ca="1">IFERROR(__xludf.DUMMYFUNCTION("""COMPUTED_VALUE"""),"Ralim")</f>
        <v>Ralim</v>
      </c>
      <c r="D23" s="55" t="str">
        <f ca="1">IFERROR(__xludf.DUMMYFUNCTION("""COMPUTED_VALUE"""),"Ralim Province")</f>
        <v>Ralim Province</v>
      </c>
      <c r="E23" s="55" t="str">
        <f ca="1">IFERROR(__xludf.DUMMYFUNCTION("""COMPUTED_VALUE"""),"Shavia")</f>
        <v>Shavia</v>
      </c>
      <c r="F23" s="55" t="str">
        <f ca="1">IFERROR(__xludf.DUMMYFUNCTION("""COMPUTED_VALUE"""),"Kingdom of Shavia")</f>
        <v>Kingdom of Shavia</v>
      </c>
      <c r="G23" s="55" t="str">
        <f ca="1">IFERROR(__xludf.DUMMYFUNCTION("""COMPUTED_VALUE"""),"Shavian")</f>
        <v>Shavian</v>
      </c>
      <c r="H23" s="55" t="str">
        <f ca="1">IFERROR(__xludf.DUMMYFUNCTION("""COMPUTED_VALUE"""),"Path of Guiding Light")</f>
        <v>Path of Guiding Light</v>
      </c>
      <c r="I23" s="55">
        <f ca="1">IFERROR(__xludf.DUMMYFUNCTION("""COMPUTED_VALUE"""),1784)</f>
        <v>1784</v>
      </c>
      <c r="J23" s="55">
        <f ca="1">IFERROR(__xludf.DUMMYFUNCTION("""COMPUTED_VALUE"""),251.980305053029)</f>
        <v>251.98030505302901</v>
      </c>
      <c r="K23" s="55">
        <f ca="1">IFERROR(__xludf.DUMMYFUNCTION("""COMPUTED_VALUE"""),590.620070798891)</f>
        <v>590.62007079889099</v>
      </c>
      <c r="L23" s="55">
        <f ca="1">IFERROR(__xludf.DUMMYFUNCTION("""COMPUTED_VALUE"""),-26.22)</f>
        <v>-26.22</v>
      </c>
      <c r="M23" s="55">
        <f ca="1">IFERROR(__xludf.DUMMYFUNCTION("""COMPUTED_VALUE"""),-16.86)</f>
        <v>-16.86</v>
      </c>
      <c r="N23" s="55">
        <f ca="1">IFERROR(__xludf.DUMMYFUNCTION("""COMPUTED_VALUE"""),82)</f>
        <v>82</v>
      </c>
      <c r="O23" s="55" t="str">
        <f ca="1">IFERROR(__xludf.DUMMYFUNCTION("""COMPUTED_VALUE"""),"46°F")</f>
        <v>46°F</v>
      </c>
      <c r="P23" s="55" t="str">
        <f ca="1">IFERROR(__xludf.DUMMYFUNCTION("""COMPUTED_VALUE"""),"Prague")</f>
        <v>Prague</v>
      </c>
      <c r="Q23" s="55" t="str">
        <f ca="1">IFERROR(__xludf.DUMMYFUNCTION("""COMPUTED_VALUE"""),"")</f>
        <v/>
      </c>
      <c r="R23" s="55" t="str">
        <f ca="1">IFERROR(__xludf.DUMMYFUNCTION("""COMPUTED_VALUE"""),"")</f>
        <v/>
      </c>
      <c r="S23" s="55" t="str">
        <f ca="1">IFERROR(__xludf.DUMMYFUNCTION("""COMPUTED_VALUE"""),"citadel")</f>
        <v>citadel</v>
      </c>
      <c r="T23" s="55" t="str">
        <f ca="1">IFERROR(__xludf.DUMMYFUNCTION("""COMPUTED_VALUE"""),"")</f>
        <v/>
      </c>
      <c r="U23" s="55" t="str">
        <f ca="1">IFERROR(__xludf.DUMMYFUNCTION("""COMPUTED_VALUE"""),"")</f>
        <v/>
      </c>
      <c r="V23" s="189" t="str">
        <f ca="1">IFERROR(__xludf.DUMMYFUNCTION("""COMPUTED_VALUE"""),"")</f>
        <v/>
      </c>
      <c r="W23" s="189" t="str">
        <f ca="1">IFERROR(__xludf.DUMMYFUNCTION("""COMPUTED_VALUE"""),"")</f>
        <v/>
      </c>
      <c r="X23" s="189" t="str">
        <f ca="1">IFERROR(__xludf.DUMMYFUNCTION("""COMPUTED_VALUE"""),"{t1:azure;ordinaries:[{ordinary:bendlet;t:argent;line:archedReversed}];charges:[{charge:tree;t:purpure;p:joe;size:0.3}];shield:fantasy5}")</f>
        <v>{t1:azure;ordinaries:[{ordinary:bendlet;t:argent;line:archedReversed}];charges:[{charge:tree;t:purpure;p:joe;size:0.3}];shield:fantasy5}</v>
      </c>
      <c r="Y23" s="193" t="str">
        <f ca="1">IFERROR(__xludf.DUMMYFUNCTION("""COMPUTED_VALUE"""),"https://watabou.github.io/city-generator/?name=Bearsimeg&amp;population=1784&amp;size=16&amp;seed=3550748350121&amp;river=0&amp;coast=0&amp;farms=1&amp;citadel=1&amp;urban_castle=0&amp;hub=false&amp;plaza=0&amp;temple=0&amp;walls=0&amp;shantytown=0&amp;gates=-1")</f>
        <v>https://watabou.github.io/city-generator/?name=Bearsimeg&amp;population=1784&amp;size=16&amp;seed=3550748350121&amp;river=0&amp;coast=0&amp;farms=1&amp;citadel=1&amp;urban_castle=0&amp;hub=false&amp;plaza=0&amp;temple=0&amp;walls=0&amp;shantytown=0&amp;gates=-1</v>
      </c>
      <c r="Z23" s="189"/>
    </row>
    <row r="24" spans="1:26" ht="15.75" customHeight="1" x14ac:dyDescent="0.25">
      <c r="A24" s="55">
        <f ca="1">IFERROR(__xludf.DUMMYFUNCTION("""COMPUTED_VALUE"""),122)</f>
        <v>122</v>
      </c>
      <c r="B24" s="55" t="str">
        <f ca="1">IFERROR(__xludf.DUMMYFUNCTION("""COMPUTED_VALUE"""),"Wingmire")</f>
        <v>Wingmire</v>
      </c>
      <c r="C24" s="55" t="str">
        <f ca="1">IFERROR(__xludf.DUMMYFUNCTION("""COMPUTED_VALUE"""),"Swanhall")</f>
        <v>Swanhall</v>
      </c>
      <c r="D24" s="55" t="str">
        <f ca="1">IFERROR(__xludf.DUMMYFUNCTION("""COMPUTED_VALUE"""),"Swanhall Province")</f>
        <v>Swanhall Province</v>
      </c>
      <c r="E24" s="55" t="str">
        <f ca="1">IFERROR(__xludf.DUMMYFUNCTION("""COMPUTED_VALUE"""),"Shavia")</f>
        <v>Shavia</v>
      </c>
      <c r="F24" s="55" t="str">
        <f ca="1">IFERROR(__xludf.DUMMYFUNCTION("""COMPUTED_VALUE"""),"Kingdom of Shavia")</f>
        <v>Kingdom of Shavia</v>
      </c>
      <c r="G24" s="55" t="str">
        <f ca="1">IFERROR(__xludf.DUMMYFUNCTION("""COMPUTED_VALUE"""),"Eastern Shavian")</f>
        <v>Eastern Shavian</v>
      </c>
      <c r="H24" s="55" t="str">
        <f ca="1">IFERROR(__xludf.DUMMYFUNCTION("""COMPUTED_VALUE"""),"Path of Guiding Light")</f>
        <v>Path of Guiding Light</v>
      </c>
      <c r="I24" s="55">
        <f ca="1">IFERROR(__xludf.DUMMYFUNCTION("""COMPUTED_VALUE"""),3608)</f>
        <v>3608</v>
      </c>
      <c r="J24" s="55">
        <f ca="1">IFERROR(__xludf.DUMMYFUNCTION("""COMPUTED_VALUE"""),1142.47445852251)</f>
        <v>1142.4744585225101</v>
      </c>
      <c r="K24" s="55">
        <f ca="1">IFERROR(__xludf.DUMMYFUNCTION("""COMPUTED_VALUE"""),706.339937844297)</f>
        <v>706.33993784429697</v>
      </c>
      <c r="L24" s="55">
        <f ca="1">IFERROR(__xludf.DUMMYFUNCTION("""COMPUTED_VALUE"""),-29.97)</f>
        <v>-29.97</v>
      </c>
      <c r="M24" s="55">
        <f ca="1">IFERROR(__xludf.DUMMYFUNCTION("""COMPUTED_VALUE"""),11.9)</f>
        <v>11.9</v>
      </c>
      <c r="N24" s="55">
        <f ca="1">IFERROR(__xludf.DUMMYFUNCTION("""COMPUTED_VALUE"""),118)</f>
        <v>118</v>
      </c>
      <c r="O24" s="55" t="str">
        <f ca="1">IFERROR(__xludf.DUMMYFUNCTION("""COMPUTED_VALUE"""),"43°F")</f>
        <v>43°F</v>
      </c>
      <c r="P24" s="55" t="str">
        <f ca="1">IFERROR(__xludf.DUMMYFUNCTION("""COMPUTED_VALUE"""),"Stockholm")</f>
        <v>Stockholm</v>
      </c>
      <c r="Q24" s="55" t="str">
        <f ca="1">IFERROR(__xludf.DUMMYFUNCTION("""COMPUTED_VALUE"""),"")</f>
        <v/>
      </c>
      <c r="R24" s="55" t="str">
        <f ca="1">IFERROR(__xludf.DUMMYFUNCTION("""COMPUTED_VALUE"""),"")</f>
        <v/>
      </c>
      <c r="S24" s="55" t="str">
        <f ca="1">IFERROR(__xludf.DUMMYFUNCTION("""COMPUTED_VALUE"""),"citadel")</f>
        <v>citadel</v>
      </c>
      <c r="T24" s="55" t="str">
        <f ca="1">IFERROR(__xludf.DUMMYFUNCTION("""COMPUTED_VALUE"""),"")</f>
        <v/>
      </c>
      <c r="U24" s="55" t="str">
        <f ca="1">IFERROR(__xludf.DUMMYFUNCTION("""COMPUTED_VALUE"""),"plaza")</f>
        <v>plaza</v>
      </c>
      <c r="V24" s="189" t="str">
        <f ca="1">IFERROR(__xludf.DUMMYFUNCTION("""COMPUTED_VALUE"""),"")</f>
        <v/>
      </c>
      <c r="W24" s="189" t="str">
        <f ca="1">IFERROR(__xludf.DUMMYFUNCTION("""COMPUTED_VALUE"""),"")</f>
        <v/>
      </c>
      <c r="X24" s="189" t="str">
        <f ca="1">IFERROR(__xludf.DUMMYFUNCTION("""COMPUTED_VALUE"""),"{t1:or;charges:[{charge:tree;t:azure;p:e;size:1.5}];shield:horsehead2}")</f>
        <v>{t1:or;charges:[{charge:tree;t:azure;p:e;size:1.5}];shield:horsehead2}</v>
      </c>
      <c r="Y24" s="193" t="str">
        <f ca="1">IFERROR(__xludf.DUMMYFUNCTION("""COMPUTED_VALUE"""),"https://watabou.github.io/city-generator/?name=Wingmire&amp;population=3608&amp;size=21&amp;seed=3550748350122&amp;river=1&amp;coast=0&amp;farms=0&amp;citadel=1&amp;urban_castle=1&amp;hub=false&amp;plaza=1&amp;temple=0&amp;walls=0&amp;shantytown=0&amp;gates=-1")</f>
        <v>https://watabou.github.io/city-generator/?name=Wingmire&amp;population=3608&amp;size=21&amp;seed=3550748350122&amp;river=1&amp;coast=0&amp;farms=0&amp;citadel=1&amp;urban_castle=1&amp;hub=false&amp;plaza=1&amp;temple=0&amp;walls=0&amp;shantytown=0&amp;gates=-1</v>
      </c>
      <c r="Z24" s="189"/>
    </row>
    <row r="25" spans="1:26" ht="15.75" customHeight="1" x14ac:dyDescent="0.25">
      <c r="A25" s="55">
        <f ca="1">IFERROR(__xludf.DUMMYFUNCTION("""COMPUTED_VALUE"""),135)</f>
        <v>135</v>
      </c>
      <c r="B25" s="55" t="str">
        <f ca="1">IFERROR(__xludf.DUMMYFUNCTION("""COMPUTED_VALUE"""),"Cadeband")</f>
        <v>Cadeband</v>
      </c>
      <c r="C25" s="55" t="str">
        <f ca="1">IFERROR(__xludf.DUMMYFUNCTION("""COMPUTED_VALUE"""),"Swanhall")</f>
        <v>Swanhall</v>
      </c>
      <c r="D25" s="55" t="str">
        <f ca="1">IFERROR(__xludf.DUMMYFUNCTION("""COMPUTED_VALUE"""),"Swanhall Province")</f>
        <v>Swanhall Province</v>
      </c>
      <c r="E25" s="55" t="str">
        <f ca="1">IFERROR(__xludf.DUMMYFUNCTION("""COMPUTED_VALUE"""),"Shavia")</f>
        <v>Shavia</v>
      </c>
      <c r="F25" s="55" t="str">
        <f ca="1">IFERROR(__xludf.DUMMYFUNCTION("""COMPUTED_VALUE"""),"Kingdom of Shavia")</f>
        <v>Kingdom of Shavia</v>
      </c>
      <c r="G25" s="55" t="str">
        <f ca="1">IFERROR(__xludf.DUMMYFUNCTION("""COMPUTED_VALUE"""),"Shavian")</f>
        <v>Shavian</v>
      </c>
      <c r="H25" s="55" t="str">
        <f ca="1">IFERROR(__xludf.DUMMYFUNCTION("""COMPUTED_VALUE"""),"Path of Guiding Light")</f>
        <v>Path of Guiding Light</v>
      </c>
      <c r="I25" s="55">
        <f ca="1">IFERROR(__xludf.DUMMYFUNCTION("""COMPUTED_VALUE"""),8105)</f>
        <v>8105</v>
      </c>
      <c r="J25" s="55">
        <f ca="1">IFERROR(__xludf.DUMMYFUNCTION("""COMPUTED_VALUE"""),899.824727220446)</f>
        <v>899.82472722044599</v>
      </c>
      <c r="K25" s="55">
        <f ca="1">IFERROR(__xludf.DUMMYFUNCTION("""COMPUTED_VALUE"""),889.047322947268)</f>
        <v>889.04732294726796</v>
      </c>
      <c r="L25" s="55">
        <f ca="1">IFERROR(__xludf.DUMMYFUNCTION("""COMPUTED_VALUE"""),-35.89)</f>
        <v>-35.89</v>
      </c>
      <c r="M25" s="55">
        <f ca="1">IFERROR(__xludf.DUMMYFUNCTION("""COMPUTED_VALUE"""),4.06)</f>
        <v>4.0599999999999996</v>
      </c>
      <c r="N25" s="55">
        <f ca="1">IFERROR(__xludf.DUMMYFUNCTION("""COMPUTED_VALUE"""),118)</f>
        <v>118</v>
      </c>
      <c r="O25" s="55" t="str">
        <f ca="1">IFERROR(__xludf.DUMMYFUNCTION("""COMPUTED_VALUE"""),"39°F")</f>
        <v>39°F</v>
      </c>
      <c r="P25" s="55" t="str">
        <f ca="1">IFERROR(__xludf.DUMMYFUNCTION("""COMPUTED_VALUE"""),"Reykjavik")</f>
        <v>Reykjavik</v>
      </c>
      <c r="Q25" s="55" t="str">
        <f ca="1">IFERROR(__xludf.DUMMYFUNCTION("""COMPUTED_VALUE"""),"")</f>
        <v/>
      </c>
      <c r="R25" s="55" t="str">
        <f ca="1">IFERROR(__xludf.DUMMYFUNCTION("""COMPUTED_VALUE"""),"")</f>
        <v/>
      </c>
      <c r="S25" s="55" t="str">
        <f ca="1">IFERROR(__xludf.DUMMYFUNCTION("""COMPUTED_VALUE"""),"")</f>
        <v/>
      </c>
      <c r="T25" s="55" t="str">
        <f ca="1">IFERROR(__xludf.DUMMYFUNCTION("""COMPUTED_VALUE"""),"")</f>
        <v/>
      </c>
      <c r="U25" s="55" t="str">
        <f ca="1">IFERROR(__xludf.DUMMYFUNCTION("""COMPUTED_VALUE"""),"plaza")</f>
        <v>plaza</v>
      </c>
      <c r="V25" s="189" t="str">
        <f ca="1">IFERROR(__xludf.DUMMYFUNCTION("""COMPUTED_VALUE"""),"")</f>
        <v/>
      </c>
      <c r="W25" s="189" t="str">
        <f ca="1">IFERROR(__xludf.DUMMYFUNCTION("""COMPUTED_VALUE"""),"")</f>
        <v/>
      </c>
      <c r="X25" s="189" t="str">
        <f ca="1">IFERROR(__xludf.DUMMYFUNCTION("""COMPUTED_VALUE"""),"{t1:argent;division:{division:perPale;t:barry-gules-or;line:straight};charges:[{charge:crossMaltese;t:azure;p:p;size:0.7};{charge:roundel;t:purpure;p:q;size:0.7}];shield:horsehead2}")</f>
        <v>{t1:argent;division:{division:perPale;t:barry-gules-or;line:straight};charges:[{charge:crossMaltese;t:azure;p:p;size:0.7};{charge:roundel;t:purpure;p:q;size:0.7}];shield:horsehead2}</v>
      </c>
      <c r="Y25" s="193" t="str">
        <f ca="1">IFERROR(__xludf.DUMMYFUNCTION("""COMPUTED_VALUE"""),"https://watabou.github.io/city-generator/?name=Cadeband&amp;population=8105&amp;size=29&amp;seed=3550748350135&amp;river=0&amp;coast=0&amp;farms=1&amp;citadel=0&amp;urban_castle=0&amp;hub=false&amp;plaza=1&amp;temple=0&amp;walls=0&amp;shantytown=0&amp;gates=-1")</f>
        <v>https://watabou.github.io/city-generator/?name=Cadeband&amp;population=8105&amp;size=29&amp;seed=3550748350135&amp;river=0&amp;coast=0&amp;farms=1&amp;citadel=0&amp;urban_castle=0&amp;hub=false&amp;plaza=1&amp;temple=0&amp;walls=0&amp;shantytown=0&amp;gates=-1</v>
      </c>
      <c r="Z25" s="189"/>
    </row>
    <row r="26" spans="1:26" ht="15.75" customHeight="1" x14ac:dyDescent="0.25">
      <c r="A26" s="55">
        <f ca="1">IFERROR(__xludf.DUMMYFUNCTION("""COMPUTED_VALUE"""),141)</f>
        <v>141</v>
      </c>
      <c r="B26" s="55" t="str">
        <f ca="1">IFERROR(__xludf.DUMMYFUNCTION("""COMPUTED_VALUE"""),"Wildcall")</f>
        <v>Wildcall</v>
      </c>
      <c r="C26" s="55" t="str">
        <f ca="1">IFERROR(__xludf.DUMMYFUNCTION("""COMPUTED_VALUE"""),"Swanhall")</f>
        <v>Swanhall</v>
      </c>
      <c r="D26" s="55" t="str">
        <f ca="1">IFERROR(__xludf.DUMMYFUNCTION("""COMPUTED_VALUE"""),"Swanhall Province")</f>
        <v>Swanhall Province</v>
      </c>
      <c r="E26" s="55" t="str">
        <f ca="1">IFERROR(__xludf.DUMMYFUNCTION("""COMPUTED_VALUE"""),"Shavia")</f>
        <v>Shavia</v>
      </c>
      <c r="F26" s="55" t="str">
        <f ca="1">IFERROR(__xludf.DUMMYFUNCTION("""COMPUTED_VALUE"""),"Kingdom of Shavia")</f>
        <v>Kingdom of Shavia</v>
      </c>
      <c r="G26" s="55" t="str">
        <f ca="1">IFERROR(__xludf.DUMMYFUNCTION("""COMPUTED_VALUE"""),"Eastern Shavian")</f>
        <v>Eastern Shavian</v>
      </c>
      <c r="H26" s="55" t="str">
        <f ca="1">IFERROR(__xludf.DUMMYFUNCTION("""COMPUTED_VALUE"""),"Path of Guiding Light")</f>
        <v>Path of Guiding Light</v>
      </c>
      <c r="I26" s="55">
        <f ca="1">IFERROR(__xludf.DUMMYFUNCTION("""COMPUTED_VALUE"""),24844)</f>
        <v>24844</v>
      </c>
      <c r="J26" s="55">
        <f ca="1">IFERROR(__xludf.DUMMYFUNCTION("""COMPUTED_VALUE"""),1029.82955598992)</f>
        <v>1029.82955598992</v>
      </c>
      <c r="K26" s="55">
        <f ca="1">IFERROR(__xludf.DUMMYFUNCTION("""COMPUTED_VALUE"""),755.753449857127)</f>
        <v>755.75344985712695</v>
      </c>
      <c r="L26" s="55">
        <f ca="1">IFERROR(__xludf.DUMMYFUNCTION("""COMPUTED_VALUE"""),-31.57)</f>
        <v>-31.57</v>
      </c>
      <c r="M26" s="55">
        <f ca="1">IFERROR(__xludf.DUMMYFUNCTION("""COMPUTED_VALUE"""),8.26)</f>
        <v>8.26</v>
      </c>
      <c r="N26" s="55">
        <f ca="1">IFERROR(__xludf.DUMMYFUNCTION("""COMPUTED_VALUE"""),554)</f>
        <v>554</v>
      </c>
      <c r="O26" s="55" t="str">
        <f ca="1">IFERROR(__xludf.DUMMYFUNCTION("""COMPUTED_VALUE"""),"39°F")</f>
        <v>39°F</v>
      </c>
      <c r="P26" s="55" t="str">
        <f ca="1">IFERROR(__xludf.DUMMYFUNCTION("""COMPUTED_VALUE"""),"Reykjavik")</f>
        <v>Reykjavik</v>
      </c>
      <c r="Q26" s="55" t="str">
        <f ca="1">IFERROR(__xludf.DUMMYFUNCTION("""COMPUTED_VALUE"""),"")</f>
        <v/>
      </c>
      <c r="R26" s="55" t="str">
        <f ca="1">IFERROR(__xludf.DUMMYFUNCTION("""COMPUTED_VALUE"""),"")</f>
        <v/>
      </c>
      <c r="S26" s="55" t="str">
        <f ca="1">IFERROR(__xludf.DUMMYFUNCTION("""COMPUTED_VALUE"""),"")</f>
        <v/>
      </c>
      <c r="T26" s="55" t="str">
        <f ca="1">IFERROR(__xludf.DUMMYFUNCTION("""COMPUTED_VALUE"""),"walls")</f>
        <v>walls</v>
      </c>
      <c r="U26" s="55" t="str">
        <f ca="1">IFERROR(__xludf.DUMMYFUNCTION("""COMPUTED_VALUE"""),"plaza")</f>
        <v>plaza</v>
      </c>
      <c r="V26" s="189" t="str">
        <f ca="1">IFERROR(__xludf.DUMMYFUNCTION("""COMPUTED_VALUE"""),"temple")</f>
        <v>temple</v>
      </c>
      <c r="W26" s="189" t="str">
        <f ca="1">IFERROR(__xludf.DUMMYFUNCTION("""COMPUTED_VALUE"""),"")</f>
        <v/>
      </c>
      <c r="X26" s="189" t="str">
        <f ca="1">IFERROR(__xludf.DUMMYFUNCTION("""COMPUTED_VALUE"""),"{t1:vair-azure-argent;charges:[{charge:lochaberAxe;t:or;p:e;size:1.5}];shield:horsehead2}")</f>
        <v>{t1:vair-azure-argent;charges:[{charge:lochaberAxe;t:or;p:e;size:1.5}];shield:horsehead2}</v>
      </c>
      <c r="Y26" s="193" t="str">
        <f ca="1">IFERROR(__xludf.DUMMYFUNCTION("""COMPUTED_VALUE"""),"https://watabou.github.io/city-generator/?name=Wildcall&amp;population=24844&amp;size=44&amp;seed=3550748350141&amp;river=0&amp;coast=0&amp;farms=0&amp;citadel=0&amp;urban_castle=0&amp;hub=false&amp;plaza=1&amp;temple=1&amp;walls=1&amp;shantytown=0&amp;gates=-1")</f>
        <v>https://watabou.github.io/city-generator/?name=Wildcall&amp;population=24844&amp;size=44&amp;seed=3550748350141&amp;river=0&amp;coast=0&amp;farms=0&amp;citadel=0&amp;urban_castle=0&amp;hub=false&amp;plaza=1&amp;temple=1&amp;walls=1&amp;shantytown=0&amp;gates=-1</v>
      </c>
      <c r="Z26" s="189"/>
    </row>
    <row r="27" spans="1:26" ht="15.75" customHeight="1" x14ac:dyDescent="0.25">
      <c r="A27" s="55">
        <f ca="1">IFERROR(__xludf.DUMMYFUNCTION("""COMPUTED_VALUE"""),143)</f>
        <v>143</v>
      </c>
      <c r="B27" s="55" t="str">
        <f ca="1">IFERROR(__xludf.DUMMYFUNCTION("""COMPUTED_VALUE"""),"Nehalle")</f>
        <v>Nehalle</v>
      </c>
      <c r="C27" s="55" t="str">
        <f ca="1">IFERROR(__xludf.DUMMYFUNCTION("""COMPUTED_VALUE"""),"Dreghold")</f>
        <v>Dreghold</v>
      </c>
      <c r="D27" s="55" t="str">
        <f ca="1">IFERROR(__xludf.DUMMYFUNCTION("""COMPUTED_VALUE"""),"Dreghold Province")</f>
        <v>Dreghold Province</v>
      </c>
      <c r="E27" s="55" t="str">
        <f ca="1">IFERROR(__xludf.DUMMYFUNCTION("""COMPUTED_VALUE"""),"Shavia")</f>
        <v>Shavia</v>
      </c>
      <c r="F27" s="55" t="str">
        <f ca="1">IFERROR(__xludf.DUMMYFUNCTION("""COMPUTED_VALUE"""),"Kingdom of Shavia")</f>
        <v>Kingdom of Shavia</v>
      </c>
      <c r="G27" s="55" t="str">
        <f ca="1">IFERROR(__xludf.DUMMYFUNCTION("""COMPUTED_VALUE"""),"Shavian")</f>
        <v>Shavian</v>
      </c>
      <c r="H27" s="55" t="str">
        <f ca="1">IFERROR(__xludf.DUMMYFUNCTION("""COMPUTED_VALUE"""),"Path of Guiding Light")</f>
        <v>Path of Guiding Light</v>
      </c>
      <c r="I27" s="55">
        <f ca="1">IFERROR(__xludf.DUMMYFUNCTION("""COMPUTED_VALUE"""),11784)</f>
        <v>11784</v>
      </c>
      <c r="J27" s="55">
        <f ca="1">IFERROR(__xludf.DUMMYFUNCTION("""COMPUTED_VALUE"""),535.655512260199)</f>
        <v>535.65551226019898</v>
      </c>
      <c r="K27" s="55">
        <f ca="1">IFERROR(__xludf.DUMMYFUNCTION("""COMPUTED_VALUE"""),859.504309463426)</f>
        <v>859.50430946342601</v>
      </c>
      <c r="L27" s="55">
        <f ca="1">IFERROR(__xludf.DUMMYFUNCTION("""COMPUTED_VALUE"""),-34.93)</f>
        <v>-34.93</v>
      </c>
      <c r="M27" s="55">
        <f ca="1">IFERROR(__xludf.DUMMYFUNCTION("""COMPUTED_VALUE"""),-7.7)</f>
        <v>-7.7</v>
      </c>
      <c r="N27" s="55">
        <f ca="1">IFERROR(__xludf.DUMMYFUNCTION("""COMPUTED_VALUE"""),52)</f>
        <v>52</v>
      </c>
      <c r="O27" s="55" t="str">
        <f ca="1">IFERROR(__xludf.DUMMYFUNCTION("""COMPUTED_VALUE"""),"39°F")</f>
        <v>39°F</v>
      </c>
      <c r="P27" s="55" t="str">
        <f ca="1">IFERROR(__xludf.DUMMYFUNCTION("""COMPUTED_VALUE"""),"Reykjavik")</f>
        <v>Reykjavik</v>
      </c>
      <c r="Q27" s="55" t="str">
        <f ca="1">IFERROR(__xludf.DUMMYFUNCTION("""COMPUTED_VALUE"""),"")</f>
        <v/>
      </c>
      <c r="R27" s="55" t="str">
        <f ca="1">IFERROR(__xludf.DUMMYFUNCTION("""COMPUTED_VALUE"""),"")</f>
        <v/>
      </c>
      <c r="S27" s="55" t="str">
        <f ca="1">IFERROR(__xludf.DUMMYFUNCTION("""COMPUTED_VALUE"""),"citadel")</f>
        <v>citadel</v>
      </c>
      <c r="T27" s="55" t="str">
        <f ca="1">IFERROR(__xludf.DUMMYFUNCTION("""COMPUTED_VALUE"""),"walls")</f>
        <v>walls</v>
      </c>
      <c r="U27" s="55" t="str">
        <f ca="1">IFERROR(__xludf.DUMMYFUNCTION("""COMPUTED_VALUE"""),"")</f>
        <v/>
      </c>
      <c r="V27" s="189" t="str">
        <f ca="1">IFERROR(__xludf.DUMMYFUNCTION("""COMPUTED_VALUE"""),"")</f>
        <v/>
      </c>
      <c r="W27" s="189" t="str">
        <f ca="1">IFERROR(__xludf.DUMMYFUNCTION("""COMPUTED_VALUE"""),"")</f>
        <v/>
      </c>
      <c r="X27" s="189" t="str">
        <f ca="1">IFERROR(__xludf.DUMMYFUNCTION("""COMPUTED_VALUE"""),"{t1:or;division:{division:gyronny;t:gules};charges:[{charge:goutte;t:azure;p:e;divided:counter;size:1.5}];shield:fantasy5}")</f>
        <v>{t1:or;division:{division:gyronny;t:gules};charges:[{charge:goutte;t:azure;p:e;divided:counter;size:1.5}];shield:fantasy5}</v>
      </c>
      <c r="Y27" s="193" t="str">
        <f ca="1">IFERROR(__xludf.DUMMYFUNCTION("""COMPUTED_VALUE"""),"https://watabou.github.io/city-generator/?name=Nehalle&amp;population=11784&amp;size=33&amp;seed=3550748350143&amp;river=0&amp;coast=0&amp;farms=1&amp;citadel=1&amp;urban_castle=0&amp;hub=false&amp;plaza=0&amp;temple=0&amp;walls=1&amp;shantytown=0&amp;gates=-1")</f>
        <v>https://watabou.github.io/city-generator/?name=Nehalle&amp;population=11784&amp;size=33&amp;seed=3550748350143&amp;river=0&amp;coast=0&amp;farms=1&amp;citadel=1&amp;urban_castle=0&amp;hub=false&amp;plaza=0&amp;temple=0&amp;walls=1&amp;shantytown=0&amp;gates=-1</v>
      </c>
      <c r="Z27" s="189"/>
    </row>
    <row r="28" spans="1:26" ht="15.75" customHeight="1" x14ac:dyDescent="0.25">
      <c r="A28" s="55">
        <f ca="1">IFERROR(__xludf.DUMMYFUNCTION("""COMPUTED_VALUE"""),156)</f>
        <v>156</v>
      </c>
      <c r="B28" s="55" t="str">
        <f ca="1">IFERROR(__xludf.DUMMYFUNCTION("""COMPUTED_VALUE"""),"Dawnsites")</f>
        <v>Dawnsites</v>
      </c>
      <c r="C28" s="55" t="str">
        <f ca="1">IFERROR(__xludf.DUMMYFUNCTION("""COMPUTED_VALUE"""),"Crownlands")</f>
        <v>Crownlands</v>
      </c>
      <c r="D28" s="55" t="str">
        <f ca="1">IFERROR(__xludf.DUMMYFUNCTION("""COMPUTED_VALUE"""),"Uzd Province")</f>
        <v>Uzd Province</v>
      </c>
      <c r="E28" s="55" t="str">
        <f ca="1">IFERROR(__xludf.DUMMYFUNCTION("""COMPUTED_VALUE"""),"Shavia")</f>
        <v>Shavia</v>
      </c>
      <c r="F28" s="55" t="str">
        <f ca="1">IFERROR(__xludf.DUMMYFUNCTION("""COMPUTED_VALUE"""),"Kingdom of Shavia")</f>
        <v>Kingdom of Shavia</v>
      </c>
      <c r="G28" s="55" t="str">
        <f ca="1">IFERROR(__xludf.DUMMYFUNCTION("""COMPUTED_VALUE"""),"Shavian")</f>
        <v>Shavian</v>
      </c>
      <c r="H28" s="55" t="str">
        <f ca="1">IFERROR(__xludf.DUMMYFUNCTION("""COMPUTED_VALUE"""),"Path of Guiding Light")</f>
        <v>Path of Guiding Light</v>
      </c>
      <c r="I28" s="55">
        <f ca="1">IFERROR(__xludf.DUMMYFUNCTION("""COMPUTED_VALUE"""),11553)</f>
        <v>11553</v>
      </c>
      <c r="J28" s="55">
        <f ca="1">IFERROR(__xludf.DUMMYFUNCTION("""COMPUTED_VALUE"""),415)</f>
        <v>415</v>
      </c>
      <c r="K28" s="55">
        <f ca="1">IFERROR(__xludf.DUMMYFUNCTION("""COMPUTED_VALUE"""),568)</f>
        <v>568</v>
      </c>
      <c r="L28" s="55">
        <f ca="1">IFERROR(__xludf.DUMMYFUNCTION("""COMPUTED_VALUE"""),-25.49)</f>
        <v>-25.49</v>
      </c>
      <c r="M28" s="55">
        <f ca="1">IFERROR(__xludf.DUMMYFUNCTION("""COMPUTED_VALUE"""),-11.6)</f>
        <v>-11.6</v>
      </c>
      <c r="N28" s="55">
        <f ca="1">IFERROR(__xludf.DUMMYFUNCTION("""COMPUTED_VALUE"""),82)</f>
        <v>82</v>
      </c>
      <c r="O28" s="55" t="str">
        <f ca="1">IFERROR(__xludf.DUMMYFUNCTION("""COMPUTED_VALUE"""),"46°F")</f>
        <v>46°F</v>
      </c>
      <c r="P28" s="55" t="str">
        <f ca="1">IFERROR(__xludf.DUMMYFUNCTION("""COMPUTED_VALUE"""),"Prague")</f>
        <v>Prague</v>
      </c>
      <c r="Q28" s="55" t="str">
        <f ca="1">IFERROR(__xludf.DUMMYFUNCTION("""COMPUTED_VALUE"""),"")</f>
        <v/>
      </c>
      <c r="R28" s="55" t="str">
        <f ca="1">IFERROR(__xludf.DUMMYFUNCTION("""COMPUTED_VALUE"""),"port")</f>
        <v>port</v>
      </c>
      <c r="S28" s="55" t="str">
        <f ca="1">IFERROR(__xludf.DUMMYFUNCTION("""COMPUTED_VALUE"""),"")</f>
        <v/>
      </c>
      <c r="T28" s="55" t="str">
        <f ca="1">IFERROR(__xludf.DUMMYFUNCTION("""COMPUTED_VALUE"""),"")</f>
        <v/>
      </c>
      <c r="U28" s="55" t="str">
        <f ca="1">IFERROR(__xludf.DUMMYFUNCTION("""COMPUTED_VALUE"""),"")</f>
        <v/>
      </c>
      <c r="V28" s="189" t="str">
        <f ca="1">IFERROR(__xludf.DUMMYFUNCTION("""COMPUTED_VALUE"""),"")</f>
        <v/>
      </c>
      <c r="W28" s="189" t="str">
        <f ca="1">IFERROR(__xludf.DUMMYFUNCTION("""COMPUTED_VALUE"""),"")</f>
        <v/>
      </c>
      <c r="X28" s="189" t="str">
        <f ca="1">IFERROR(__xludf.DUMMYFUNCTION("""COMPUTED_VALUE"""),"{t1:azure;charges:[{charge:anchor;t:or;p:e;size:1.5}];shield:fantasy5}")</f>
        <v>{t1:azure;charges:[{charge:anchor;t:or;p:e;size:1.5}];shield:fantasy5}</v>
      </c>
      <c r="Y28" s="193" t="str">
        <f ca="1">IFERROR(__xludf.DUMMYFUNCTION("""COMPUTED_VALUE"""),"https://watabou.github.io/city-generator/?name=Dawnsites&amp;population=11553&amp;size=33&amp;seed=3550748350156&amp;river=0&amp;coast=1&amp;farms=1&amp;citadel=0&amp;urban_castle=0&amp;hub=false&amp;plaza=0&amp;temple=0&amp;walls=0&amp;shantytown=0&amp;gates=-1&amp;sea=1.52")</f>
        <v>https://watabou.github.io/city-generator/?name=Dawnsites&amp;population=11553&amp;size=33&amp;seed=3550748350156&amp;river=0&amp;coast=1&amp;farms=1&amp;citadel=0&amp;urban_castle=0&amp;hub=false&amp;plaza=0&amp;temple=0&amp;walls=0&amp;shantytown=0&amp;gates=-1&amp;sea=1.52</v>
      </c>
      <c r="Z28" s="189"/>
    </row>
    <row r="29" spans="1:26" ht="15.75" customHeight="1" x14ac:dyDescent="0.25">
      <c r="A29" s="55">
        <f ca="1">IFERROR(__xludf.DUMMYFUNCTION("""COMPUTED_VALUE"""),157)</f>
        <v>157</v>
      </c>
      <c r="B29" s="55" t="str">
        <f ca="1">IFERROR(__xludf.DUMMYFUNCTION("""COMPUTED_VALUE"""),"Sirongrasp")</f>
        <v>Sirongrasp</v>
      </c>
      <c r="C29" s="55" t="str">
        <f ca="1">IFERROR(__xludf.DUMMYFUNCTION("""COMPUTED_VALUE"""),"Sirong")</f>
        <v>Sirong</v>
      </c>
      <c r="D29" s="55" t="str">
        <f ca="1">IFERROR(__xludf.DUMMYFUNCTION("""COMPUTED_VALUE"""),"Sirong Lordship")</f>
        <v>Sirong Lordship</v>
      </c>
      <c r="E29" s="55" t="str">
        <f ca="1">IFERROR(__xludf.DUMMYFUNCTION("""COMPUTED_VALUE"""),"Shavia")</f>
        <v>Shavia</v>
      </c>
      <c r="F29" s="55" t="str">
        <f ca="1">IFERROR(__xludf.DUMMYFUNCTION("""COMPUTED_VALUE"""),"Kingdom of Shavia")</f>
        <v>Kingdom of Shavia</v>
      </c>
      <c r="G29" s="55" t="str">
        <f ca="1">IFERROR(__xludf.DUMMYFUNCTION("""COMPUTED_VALUE"""),"Shavian")</f>
        <v>Shavian</v>
      </c>
      <c r="H29" s="55" t="str">
        <f ca="1">IFERROR(__xludf.DUMMYFUNCTION("""COMPUTED_VALUE"""),"Path of Guiding Light")</f>
        <v>Path of Guiding Light</v>
      </c>
      <c r="I29" s="55">
        <f ca="1">IFERROR(__xludf.DUMMYFUNCTION("""COMPUTED_VALUE"""),4343)</f>
        <v>4343</v>
      </c>
      <c r="J29" s="55">
        <f ca="1">IFERROR(__xludf.DUMMYFUNCTION("""COMPUTED_VALUE"""),365.09229080276)</f>
        <v>365.09229080275998</v>
      </c>
      <c r="K29" s="55">
        <f ca="1">IFERROR(__xludf.DUMMYFUNCTION("""COMPUTED_VALUE"""),811.355814497006)</f>
        <v>811.35581449700601</v>
      </c>
      <c r="L29" s="55">
        <f ca="1">IFERROR(__xludf.DUMMYFUNCTION("""COMPUTED_VALUE"""),-33.37)</f>
        <v>-33.369999999999997</v>
      </c>
      <c r="M29" s="55">
        <f ca="1">IFERROR(__xludf.DUMMYFUNCTION("""COMPUTED_VALUE"""),-13.21)</f>
        <v>-13.21</v>
      </c>
      <c r="N29" s="55">
        <f ca="1">IFERROR(__xludf.DUMMYFUNCTION("""COMPUTED_VALUE"""),210)</f>
        <v>210</v>
      </c>
      <c r="O29" s="55" t="str">
        <f ca="1">IFERROR(__xludf.DUMMYFUNCTION("""COMPUTED_VALUE"""),"41°F")</f>
        <v>41°F</v>
      </c>
      <c r="P29" s="55" t="str">
        <f ca="1">IFERROR(__xludf.DUMMYFUNCTION("""COMPUTED_VALUE"""),"Riga")</f>
        <v>Riga</v>
      </c>
      <c r="Q29" s="55" t="str">
        <f ca="1">IFERROR(__xludf.DUMMYFUNCTION("""COMPUTED_VALUE"""),"")</f>
        <v/>
      </c>
      <c r="R29" s="55" t="str">
        <f ca="1">IFERROR(__xludf.DUMMYFUNCTION("""COMPUTED_VALUE"""),"")</f>
        <v/>
      </c>
      <c r="S29" s="55" t="str">
        <f ca="1">IFERROR(__xludf.DUMMYFUNCTION("""COMPUTED_VALUE"""),"")</f>
        <v/>
      </c>
      <c r="T29" s="55" t="str">
        <f ca="1">IFERROR(__xludf.DUMMYFUNCTION("""COMPUTED_VALUE"""),"")</f>
        <v/>
      </c>
      <c r="U29" s="55" t="str">
        <f ca="1">IFERROR(__xludf.DUMMYFUNCTION("""COMPUTED_VALUE"""),"")</f>
        <v/>
      </c>
      <c r="V29" s="189" t="str">
        <f ca="1">IFERROR(__xludf.DUMMYFUNCTION("""COMPUTED_VALUE"""),"")</f>
        <v/>
      </c>
      <c r="W29" s="189" t="str">
        <f ca="1">IFERROR(__xludf.DUMMYFUNCTION("""COMPUTED_VALUE"""),"")</f>
        <v/>
      </c>
      <c r="X29" s="189" t="str">
        <f ca="1">IFERROR(__xludf.DUMMYFUNCTION("""COMPUTED_VALUE"""),"{t1:gules;ordinaries:[{ordinary:fess;t:or;line:straight}];charges:[{charge:crosier;t:vert;p:def;size:0.5}];shield:fantasy5}")</f>
        <v>{t1:gules;ordinaries:[{ordinary:fess;t:or;line:straight}];charges:[{charge:crosier;t:vert;p:def;size:0.5}];shield:fantasy5}</v>
      </c>
      <c r="Y29" s="193" t="str">
        <f ca="1">IFERROR(__xludf.DUMMYFUNCTION("""COMPUTED_VALUE"""),"https://watabou.github.io/city-generator/?name=Sirongrasp&amp;population=4343&amp;size=23&amp;seed=3550748350157&amp;river=0&amp;coast=0&amp;farms=1&amp;citadel=0&amp;urban_castle=0&amp;hub=false&amp;plaza=0&amp;temple=0&amp;walls=0&amp;shantytown=0&amp;gates=-1")</f>
        <v>https://watabou.github.io/city-generator/?name=Sirongrasp&amp;population=4343&amp;size=23&amp;seed=3550748350157&amp;river=0&amp;coast=0&amp;farms=1&amp;citadel=0&amp;urban_castle=0&amp;hub=false&amp;plaza=0&amp;temple=0&amp;walls=0&amp;shantytown=0&amp;gates=-1</v>
      </c>
      <c r="Z29" s="189"/>
    </row>
    <row r="30" spans="1:26" ht="15.75" customHeight="1" x14ac:dyDescent="0.25">
      <c r="A30" s="55">
        <f ca="1">IFERROR(__xludf.DUMMYFUNCTION("""COMPUTED_VALUE"""),169)</f>
        <v>169</v>
      </c>
      <c r="B30" s="55" t="str">
        <f ca="1">IFERROR(__xludf.DUMMYFUNCTION("""COMPUTED_VALUE"""),"Dreghold")</f>
        <v>Dreghold</v>
      </c>
      <c r="C30" s="55" t="str">
        <f ca="1">IFERROR(__xludf.DUMMYFUNCTION("""COMPUTED_VALUE"""),"Dreghold")</f>
        <v>Dreghold</v>
      </c>
      <c r="D30" s="55" t="str">
        <f ca="1">IFERROR(__xludf.DUMMYFUNCTION("""COMPUTED_VALUE"""),"Dreghold Province")</f>
        <v>Dreghold Province</v>
      </c>
      <c r="E30" s="55" t="str">
        <f ca="1">IFERROR(__xludf.DUMMYFUNCTION("""COMPUTED_VALUE"""),"Shavia")</f>
        <v>Shavia</v>
      </c>
      <c r="F30" s="55" t="str">
        <f ca="1">IFERROR(__xludf.DUMMYFUNCTION("""COMPUTED_VALUE"""),"Kingdom of Shavia")</f>
        <v>Kingdom of Shavia</v>
      </c>
      <c r="G30" s="55" t="str">
        <f ca="1">IFERROR(__xludf.DUMMYFUNCTION("""COMPUTED_VALUE"""),"Shavian")</f>
        <v>Shavian</v>
      </c>
      <c r="H30" s="55" t="str">
        <f ca="1">IFERROR(__xludf.DUMMYFUNCTION("""COMPUTED_VALUE"""),"Path of Guiding Light")</f>
        <v>Path of Guiding Light</v>
      </c>
      <c r="I30" s="55">
        <f ca="1">IFERROR(__xludf.DUMMYFUNCTION("""COMPUTED_VALUE"""),32035)</f>
        <v>32035</v>
      </c>
      <c r="J30" s="55">
        <f ca="1">IFERROR(__xludf.DUMMYFUNCTION("""COMPUTED_VALUE"""),550.5)</f>
        <v>550.5</v>
      </c>
      <c r="K30" s="55">
        <f ca="1">IFERROR(__xludf.DUMMYFUNCTION("""COMPUTED_VALUE"""),830.5)</f>
        <v>830.5</v>
      </c>
      <c r="L30" s="55">
        <f ca="1">IFERROR(__xludf.DUMMYFUNCTION("""COMPUTED_VALUE"""),-33.99)</f>
        <v>-33.99</v>
      </c>
      <c r="M30" s="55">
        <f ca="1">IFERROR(__xludf.DUMMYFUNCTION("""COMPUTED_VALUE"""),-7.22)</f>
        <v>-7.22</v>
      </c>
      <c r="N30" s="55">
        <f ca="1">IFERROR(__xludf.DUMMYFUNCTION("""COMPUTED_VALUE"""),13)</f>
        <v>13</v>
      </c>
      <c r="O30" s="55" t="str">
        <f ca="1">IFERROR(__xludf.DUMMYFUNCTION("""COMPUTED_VALUE"""),"39°F")</f>
        <v>39°F</v>
      </c>
      <c r="P30" s="55" t="str">
        <f ca="1">IFERROR(__xludf.DUMMYFUNCTION("""COMPUTED_VALUE"""),"Reykjavik")</f>
        <v>Reykjavik</v>
      </c>
      <c r="Q30" s="55" t="str">
        <f ca="1">IFERROR(__xludf.DUMMYFUNCTION("""COMPUTED_VALUE"""),"")</f>
        <v/>
      </c>
      <c r="R30" s="55" t="str">
        <f ca="1">IFERROR(__xludf.DUMMYFUNCTION("""COMPUTED_VALUE"""),"port")</f>
        <v>port</v>
      </c>
      <c r="S30" s="55" t="str">
        <f ca="1">IFERROR(__xludf.DUMMYFUNCTION("""COMPUTED_VALUE"""),"citadel")</f>
        <v>citadel</v>
      </c>
      <c r="T30" s="55" t="str">
        <f ca="1">IFERROR(__xludf.DUMMYFUNCTION("""COMPUTED_VALUE"""),"")</f>
        <v/>
      </c>
      <c r="U30" s="55" t="str">
        <f ca="1">IFERROR(__xludf.DUMMYFUNCTION("""COMPUTED_VALUE"""),"plaza")</f>
        <v>plaza</v>
      </c>
      <c r="V30" s="189" t="str">
        <f ca="1">IFERROR(__xludf.DUMMYFUNCTION("""COMPUTED_VALUE"""),"")</f>
        <v/>
      </c>
      <c r="W30" s="189" t="str">
        <f ca="1">IFERROR(__xludf.DUMMYFUNCTION("""COMPUTED_VALUE"""),"")</f>
        <v/>
      </c>
      <c r="X30" s="189" t="str">
        <f ca="1">IFERROR(__xludf.DUMMYFUNCTION("""COMPUTED_VALUE"""),"{t1:sable;division:{division:perPile;t:or;line:straight};ordinaries:[{ordinary:cross;t:argent;line:straight}];shield:fantasy5}")</f>
        <v>{t1:sable;division:{division:perPile;t:or;line:straight};ordinaries:[{ordinary:cross;t:argent;line:straight}];shield:fantasy5}</v>
      </c>
      <c r="Y30" s="193" t="str">
        <f ca="1">IFERROR(__xludf.DUMMYFUNCTION("""COMPUTED_VALUE"""),"https://watabou.github.io/city-generator/?name=Dreghold&amp;population=32035&amp;size=48&amp;seed=3550748350169&amp;river=0&amp;coast=1&amp;farms=1&amp;citadel=1&amp;urban_castle=0&amp;hub=false&amp;plaza=1&amp;temple=0&amp;walls=0&amp;shantytown=0&amp;gates=-1&amp;sea=1.68")</f>
        <v>https://watabou.github.io/city-generator/?name=Dreghold&amp;population=32035&amp;size=48&amp;seed=3550748350169&amp;river=0&amp;coast=1&amp;farms=1&amp;citadel=1&amp;urban_castle=0&amp;hub=false&amp;plaza=1&amp;temple=0&amp;walls=0&amp;shantytown=0&amp;gates=-1&amp;sea=1.68</v>
      </c>
      <c r="Z30" s="189"/>
    </row>
    <row r="31" spans="1:26" ht="15.75" customHeight="1" x14ac:dyDescent="0.25">
      <c r="A31" s="55">
        <f ca="1">IFERROR(__xludf.DUMMYFUNCTION("""COMPUTED_VALUE"""),178)</f>
        <v>178</v>
      </c>
      <c r="B31" s="55" t="str">
        <f ca="1">IFERROR(__xludf.DUMMYFUNCTION("""COMPUTED_VALUE"""),"Westle")</f>
        <v>Westle</v>
      </c>
      <c r="C31" s="55" t="str">
        <f ca="1">IFERROR(__xludf.DUMMYFUNCTION("""COMPUTED_VALUE"""),"Swanhall")</f>
        <v>Swanhall</v>
      </c>
      <c r="D31" s="55" t="str">
        <f ca="1">IFERROR(__xludf.DUMMYFUNCTION("""COMPUTED_VALUE"""),"Swanhall Province")</f>
        <v>Swanhall Province</v>
      </c>
      <c r="E31" s="55" t="str">
        <f ca="1">IFERROR(__xludf.DUMMYFUNCTION("""COMPUTED_VALUE"""),"Shavia")</f>
        <v>Shavia</v>
      </c>
      <c r="F31" s="55" t="str">
        <f ca="1">IFERROR(__xludf.DUMMYFUNCTION("""COMPUTED_VALUE"""),"Kingdom of Shavia")</f>
        <v>Kingdom of Shavia</v>
      </c>
      <c r="G31" s="55" t="str">
        <f ca="1">IFERROR(__xludf.DUMMYFUNCTION("""COMPUTED_VALUE"""),"Shavian")</f>
        <v>Shavian</v>
      </c>
      <c r="H31" s="55" t="str">
        <f ca="1">IFERROR(__xludf.DUMMYFUNCTION("""COMPUTED_VALUE"""),"Path of Guiding Light")</f>
        <v>Path of Guiding Light</v>
      </c>
      <c r="I31" s="55">
        <f ca="1">IFERROR(__xludf.DUMMYFUNCTION("""COMPUTED_VALUE"""),19230)</f>
        <v>19230</v>
      </c>
      <c r="J31" s="55">
        <f ca="1">IFERROR(__xludf.DUMMYFUNCTION("""COMPUTED_VALUE"""),772)</f>
        <v>772</v>
      </c>
      <c r="K31" s="55">
        <f ca="1">IFERROR(__xludf.DUMMYFUNCTION("""COMPUTED_VALUE"""),861.5)</f>
        <v>861.5</v>
      </c>
      <c r="L31" s="55">
        <f ca="1">IFERROR(__xludf.DUMMYFUNCTION("""COMPUTED_VALUE"""),-35)</f>
        <v>-35</v>
      </c>
      <c r="M31" s="55">
        <f ca="1">IFERROR(__xludf.DUMMYFUNCTION("""COMPUTED_VALUE"""),-0.06)</f>
        <v>-0.06</v>
      </c>
      <c r="N31" s="55">
        <f ca="1">IFERROR(__xludf.DUMMYFUNCTION("""COMPUTED_VALUE"""),82)</f>
        <v>82</v>
      </c>
      <c r="O31" s="55" t="str">
        <f ca="1">IFERROR(__xludf.DUMMYFUNCTION("""COMPUTED_VALUE"""),"39°F")</f>
        <v>39°F</v>
      </c>
      <c r="P31" s="55" t="str">
        <f ca="1">IFERROR(__xludf.DUMMYFUNCTION("""COMPUTED_VALUE"""),"Reykjavik")</f>
        <v>Reykjavik</v>
      </c>
      <c r="Q31" s="55" t="str">
        <f ca="1">IFERROR(__xludf.DUMMYFUNCTION("""COMPUTED_VALUE"""),"")</f>
        <v/>
      </c>
      <c r="R31" s="55" t="str">
        <f ca="1">IFERROR(__xludf.DUMMYFUNCTION("""COMPUTED_VALUE"""),"port")</f>
        <v>port</v>
      </c>
      <c r="S31" s="55" t="str">
        <f ca="1">IFERROR(__xludf.DUMMYFUNCTION("""COMPUTED_VALUE"""),"citadel")</f>
        <v>citadel</v>
      </c>
      <c r="T31" s="55" t="str">
        <f ca="1">IFERROR(__xludf.DUMMYFUNCTION("""COMPUTED_VALUE"""),"walls")</f>
        <v>walls</v>
      </c>
      <c r="U31" s="55" t="str">
        <f ca="1">IFERROR(__xludf.DUMMYFUNCTION("""COMPUTED_VALUE"""),"plaza")</f>
        <v>plaza</v>
      </c>
      <c r="V31" s="189" t="str">
        <f ca="1">IFERROR(__xludf.DUMMYFUNCTION("""COMPUTED_VALUE"""),"")</f>
        <v/>
      </c>
      <c r="W31" s="189" t="str">
        <f ca="1">IFERROR(__xludf.DUMMYFUNCTION("""COMPUTED_VALUE"""),"")</f>
        <v/>
      </c>
      <c r="X31" s="189" t="str">
        <f ca="1">IFERROR(__xludf.DUMMYFUNCTION("""COMPUTED_VALUE"""),"{t1:or;ordinaries:[{ordinary:saltire;t:gules;line:embattledGrady}];shield:horsehead2}")</f>
        <v>{t1:or;ordinaries:[{ordinary:saltire;t:gules;line:embattledGrady}];shield:horsehead2}</v>
      </c>
      <c r="Y31" s="193" t="str">
        <f ca="1">IFERROR(__xludf.DUMMYFUNCTION("""COMPUTED_VALUE"""),"https://watabou.github.io/city-generator/?name=Westle&amp;population=19230&amp;size=40&amp;seed=3550748350178&amp;river=0&amp;coast=1&amp;farms=1&amp;citadel=1&amp;urban_castle=1&amp;hub=false&amp;plaza=1&amp;temple=0&amp;walls=1&amp;shantytown=0&amp;gates=-1&amp;sea=1.65")</f>
        <v>https://watabou.github.io/city-generator/?name=Westle&amp;population=19230&amp;size=40&amp;seed=3550748350178&amp;river=0&amp;coast=1&amp;farms=1&amp;citadel=1&amp;urban_castle=1&amp;hub=false&amp;plaza=1&amp;temple=0&amp;walls=1&amp;shantytown=0&amp;gates=-1&amp;sea=1.65</v>
      </c>
      <c r="Z31" s="189"/>
    </row>
    <row r="32" spans="1:26" ht="15.75" customHeight="1" x14ac:dyDescent="0.25">
      <c r="A32" s="55">
        <f ca="1">IFERROR(__xludf.DUMMYFUNCTION("""COMPUTED_VALUE"""),182)</f>
        <v>182</v>
      </c>
      <c r="B32" s="55" t="str">
        <f ca="1">IFERROR(__xludf.DUMMYFUNCTION("""COMPUTED_VALUE"""),"Heartmorest")</f>
        <v>Heartmorest</v>
      </c>
      <c r="C32" s="55" t="str">
        <f ca="1">IFERROR(__xludf.DUMMYFUNCTION("""COMPUTED_VALUE"""),"Ralim")</f>
        <v>Ralim</v>
      </c>
      <c r="D32" s="55" t="str">
        <f ca="1">IFERROR(__xludf.DUMMYFUNCTION("""COMPUTED_VALUE"""),"Ralim Province")</f>
        <v>Ralim Province</v>
      </c>
      <c r="E32" s="55" t="str">
        <f ca="1">IFERROR(__xludf.DUMMYFUNCTION("""COMPUTED_VALUE"""),"Shavia")</f>
        <v>Shavia</v>
      </c>
      <c r="F32" s="55" t="str">
        <f ca="1">IFERROR(__xludf.DUMMYFUNCTION("""COMPUTED_VALUE"""),"Kingdom of Shavia")</f>
        <v>Kingdom of Shavia</v>
      </c>
      <c r="G32" s="55" t="str">
        <f ca="1">IFERROR(__xludf.DUMMYFUNCTION("""COMPUTED_VALUE"""),"Shavian")</f>
        <v>Shavian</v>
      </c>
      <c r="H32" s="55" t="str">
        <f ca="1">IFERROR(__xludf.DUMMYFUNCTION("""COMPUTED_VALUE"""),"Path of Guiding Light")</f>
        <v>Path of Guiding Light</v>
      </c>
      <c r="I32" s="55">
        <f ca="1">IFERROR(__xludf.DUMMYFUNCTION("""COMPUTED_VALUE"""),8500)</f>
        <v>8500</v>
      </c>
      <c r="J32" s="55">
        <f ca="1">IFERROR(__xludf.DUMMYFUNCTION("""COMPUTED_VALUE"""),286.19415070823)</f>
        <v>286.19415070822998</v>
      </c>
      <c r="K32" s="55">
        <f ca="1">IFERROR(__xludf.DUMMYFUNCTION("""COMPUTED_VALUE"""),682.148919556803)</f>
        <v>682.14891955680298</v>
      </c>
      <c r="L32" s="55">
        <f ca="1">IFERROR(__xludf.DUMMYFUNCTION("""COMPUTED_VALUE"""),-29.19)</f>
        <v>-29.19</v>
      </c>
      <c r="M32" s="55">
        <f ca="1">IFERROR(__xludf.DUMMYFUNCTION("""COMPUTED_VALUE"""),-15.76)</f>
        <v>-15.76</v>
      </c>
      <c r="N32" s="55">
        <f ca="1">IFERROR(__xludf.DUMMYFUNCTION("""COMPUTED_VALUE"""),161)</f>
        <v>161</v>
      </c>
      <c r="O32" s="55" t="str">
        <f ca="1">IFERROR(__xludf.DUMMYFUNCTION("""COMPUTED_VALUE"""),"43°F")</f>
        <v>43°F</v>
      </c>
      <c r="P32" s="55" t="str">
        <f ca="1">IFERROR(__xludf.DUMMYFUNCTION("""COMPUTED_VALUE"""),"Stockholm")</f>
        <v>Stockholm</v>
      </c>
      <c r="Q32" s="55" t="str">
        <f ca="1">IFERROR(__xludf.DUMMYFUNCTION("""COMPUTED_VALUE"""),"")</f>
        <v/>
      </c>
      <c r="R32" s="55" t="str">
        <f ca="1">IFERROR(__xludf.DUMMYFUNCTION("""COMPUTED_VALUE"""),"")</f>
        <v/>
      </c>
      <c r="S32" s="55" t="str">
        <f ca="1">IFERROR(__xludf.DUMMYFUNCTION("""COMPUTED_VALUE"""),"citadel")</f>
        <v>citadel</v>
      </c>
      <c r="T32" s="55" t="str">
        <f ca="1">IFERROR(__xludf.DUMMYFUNCTION("""COMPUTED_VALUE"""),"")</f>
        <v/>
      </c>
      <c r="U32" s="55" t="str">
        <f ca="1">IFERROR(__xludf.DUMMYFUNCTION("""COMPUTED_VALUE"""),"plaza")</f>
        <v>plaza</v>
      </c>
      <c r="V32" s="189" t="str">
        <f ca="1">IFERROR(__xludf.DUMMYFUNCTION("""COMPUTED_VALUE"""),"")</f>
        <v/>
      </c>
      <c r="W32" s="189" t="str">
        <f ca="1">IFERROR(__xludf.DUMMYFUNCTION("""COMPUTED_VALUE"""),"")</f>
        <v/>
      </c>
      <c r="X32" s="189" t="str">
        <f ca="1">IFERROR(__xludf.DUMMYFUNCTION("""COMPUTED_VALUE"""),"{t1:chequy-or-azure;ordinaries:[{ordinary:bordure;t:sable}];charges:[{charge:lionRampant;t:gules;p:jleh;size:0.5}];shield:fantasy5}")</f>
        <v>{t1:chequy-or-azure;ordinaries:[{ordinary:bordure;t:sable}];charges:[{charge:lionRampant;t:gules;p:jleh;size:0.5}];shield:fantasy5}</v>
      </c>
      <c r="Y32" s="193" t="str">
        <f ca="1">IFERROR(__xludf.DUMMYFUNCTION("""COMPUTED_VALUE"""),"https://watabou.github.io/city-generator/?name=Heartmorest&amp;population=8500&amp;size=29&amp;seed=3550748350182&amp;river=1&amp;coast=0&amp;farms=1&amp;citadel=1&amp;urban_castle=1&amp;hub=false&amp;plaza=1&amp;temple=0&amp;walls=0&amp;shantytown=0&amp;gates=-1")</f>
        <v>https://watabou.github.io/city-generator/?name=Heartmorest&amp;population=8500&amp;size=29&amp;seed=3550748350182&amp;river=1&amp;coast=0&amp;farms=1&amp;citadel=1&amp;urban_castle=1&amp;hub=false&amp;plaza=1&amp;temple=0&amp;walls=0&amp;shantytown=0&amp;gates=-1</v>
      </c>
      <c r="Z32" s="189"/>
    </row>
    <row r="33" spans="1:26" ht="15.75" customHeight="1" x14ac:dyDescent="0.25">
      <c r="A33" s="55">
        <f ca="1">IFERROR(__xludf.DUMMYFUNCTION("""COMPUTED_VALUE"""),192)</f>
        <v>192</v>
      </c>
      <c r="B33" s="55" t="str">
        <f ca="1">IFERROR(__xludf.DUMMYFUNCTION("""COMPUTED_VALUE"""),"Eagportford")</f>
        <v>Eagportford</v>
      </c>
      <c r="C33" s="55" t="str">
        <f ca="1">IFERROR(__xludf.DUMMYFUNCTION("""COMPUTED_VALUE"""),"Crownlands")</f>
        <v>Crownlands</v>
      </c>
      <c r="D33" s="55" t="str">
        <f ca="1">IFERROR(__xludf.DUMMYFUNCTION("""COMPUTED_VALUE"""),"Uzd Province")</f>
        <v>Uzd Province</v>
      </c>
      <c r="E33" s="55" t="str">
        <f ca="1">IFERROR(__xludf.DUMMYFUNCTION("""COMPUTED_VALUE"""),"Shavia")</f>
        <v>Shavia</v>
      </c>
      <c r="F33" s="55" t="str">
        <f ca="1">IFERROR(__xludf.DUMMYFUNCTION("""COMPUTED_VALUE"""),"Kingdom of Shavia")</f>
        <v>Kingdom of Shavia</v>
      </c>
      <c r="G33" s="55" t="str">
        <f ca="1">IFERROR(__xludf.DUMMYFUNCTION("""COMPUTED_VALUE"""),"Shavian")</f>
        <v>Shavian</v>
      </c>
      <c r="H33" s="55" t="str">
        <f ca="1">IFERROR(__xludf.DUMMYFUNCTION("""COMPUTED_VALUE"""),"Path of Guiding Light")</f>
        <v>Path of Guiding Light</v>
      </c>
      <c r="I33" s="55">
        <f ca="1">IFERROR(__xludf.DUMMYFUNCTION("""COMPUTED_VALUE"""),14971)</f>
        <v>14971</v>
      </c>
      <c r="J33" s="55">
        <f ca="1">IFERROR(__xludf.DUMMYFUNCTION("""COMPUTED_VALUE"""),365.150676204902)</f>
        <v>365.15067620490203</v>
      </c>
      <c r="K33" s="55">
        <f ca="1">IFERROR(__xludf.DUMMYFUNCTION("""COMPUTED_VALUE"""),591.612622635305)</f>
        <v>591.612622635305</v>
      </c>
      <c r="L33" s="55">
        <f ca="1">IFERROR(__xludf.DUMMYFUNCTION("""COMPUTED_VALUE"""),-26.26)</f>
        <v>-26.26</v>
      </c>
      <c r="M33" s="55">
        <f ca="1">IFERROR(__xludf.DUMMYFUNCTION("""COMPUTED_VALUE"""),-13.21)</f>
        <v>-13.21</v>
      </c>
      <c r="N33" s="55">
        <f ca="1">IFERROR(__xludf.DUMMYFUNCTION("""COMPUTED_VALUE"""),52)</f>
        <v>52</v>
      </c>
      <c r="O33" s="55" t="str">
        <f ca="1">IFERROR(__xludf.DUMMYFUNCTION("""COMPUTED_VALUE"""),"46°F")</f>
        <v>46°F</v>
      </c>
      <c r="P33" s="55" t="str">
        <f ca="1">IFERROR(__xludf.DUMMYFUNCTION("""COMPUTED_VALUE"""),"Prague")</f>
        <v>Prague</v>
      </c>
      <c r="Q33" s="55" t="str">
        <f ca="1">IFERROR(__xludf.DUMMYFUNCTION("""COMPUTED_VALUE"""),"")</f>
        <v/>
      </c>
      <c r="R33" s="55" t="str">
        <f ca="1">IFERROR(__xludf.DUMMYFUNCTION("""COMPUTED_VALUE"""),"")</f>
        <v/>
      </c>
      <c r="S33" s="55" t="str">
        <f ca="1">IFERROR(__xludf.DUMMYFUNCTION("""COMPUTED_VALUE"""),"citadel")</f>
        <v>citadel</v>
      </c>
      <c r="T33" s="55" t="str">
        <f ca="1">IFERROR(__xludf.DUMMYFUNCTION("""COMPUTED_VALUE"""),"walls")</f>
        <v>walls</v>
      </c>
      <c r="U33" s="55" t="str">
        <f ca="1">IFERROR(__xludf.DUMMYFUNCTION("""COMPUTED_VALUE"""),"plaza")</f>
        <v>plaza</v>
      </c>
      <c r="V33" s="189" t="str">
        <f ca="1">IFERROR(__xludf.DUMMYFUNCTION("""COMPUTED_VALUE"""),"")</f>
        <v/>
      </c>
      <c r="W33" s="189" t="str">
        <f ca="1">IFERROR(__xludf.DUMMYFUNCTION("""COMPUTED_VALUE"""),"")</f>
        <v/>
      </c>
      <c r="X33" s="189" t="str">
        <f ca="1">IFERROR(__xludf.DUMMYFUNCTION("""COMPUTED_VALUE"""),"{t1:sable;ordinaries:[{ordinary:bendSinister;t:argent;line:raguly}];charges:[{charge:crossLatin;t:sable;p:lem;size:0.5}];shield:fantasy5}")</f>
        <v>{t1:sable;ordinaries:[{ordinary:bendSinister;t:argent;line:raguly}];charges:[{charge:crossLatin;t:sable;p:lem;size:0.5}];shield:fantasy5}</v>
      </c>
      <c r="Y33" s="193" t="str">
        <f ca="1">IFERROR(__xludf.DUMMYFUNCTION("""COMPUTED_VALUE"""),"https://watabou.github.io/city-generator/?name=Eagportford&amp;population=14971&amp;size=36&amp;seed=3550748350192&amp;river=0&amp;coast=0&amp;farms=1&amp;citadel=1&amp;urban_castle=1&amp;hub=false&amp;plaza=1&amp;temple=0&amp;walls=1&amp;shantytown=0&amp;gates=-1")</f>
        <v>https://watabou.github.io/city-generator/?name=Eagportford&amp;population=14971&amp;size=36&amp;seed=3550748350192&amp;river=0&amp;coast=0&amp;farms=1&amp;citadel=1&amp;urban_castle=1&amp;hub=false&amp;plaza=1&amp;temple=0&amp;walls=1&amp;shantytown=0&amp;gates=-1</v>
      </c>
      <c r="Z33" s="189"/>
    </row>
    <row r="34" spans="1:26" ht="15.75" customHeight="1" x14ac:dyDescent="0.25">
      <c r="A34" s="55">
        <f ca="1">IFERROR(__xludf.DUMMYFUNCTION("""COMPUTED_VALUE"""),195)</f>
        <v>195</v>
      </c>
      <c r="B34" s="55" t="str">
        <f ca="1">IFERROR(__xludf.DUMMYFUNCTION("""COMPUTED_VALUE"""),"Dustvalhave")</f>
        <v>Dustvalhave</v>
      </c>
      <c r="C34" s="55" t="str">
        <f ca="1">IFERROR(__xludf.DUMMYFUNCTION("""COMPUTED_VALUE"""),"Swanhall")</f>
        <v>Swanhall</v>
      </c>
      <c r="D34" s="55" t="str">
        <f ca="1">IFERROR(__xludf.DUMMYFUNCTION("""COMPUTED_VALUE"""),"Swanhall Province")</f>
        <v>Swanhall Province</v>
      </c>
      <c r="E34" s="55" t="str">
        <f ca="1">IFERROR(__xludf.DUMMYFUNCTION("""COMPUTED_VALUE"""),"Shavia")</f>
        <v>Shavia</v>
      </c>
      <c r="F34" s="55" t="str">
        <f ca="1">IFERROR(__xludf.DUMMYFUNCTION("""COMPUTED_VALUE"""),"Kingdom of Shavia")</f>
        <v>Kingdom of Shavia</v>
      </c>
      <c r="G34" s="55" t="str">
        <f ca="1">IFERROR(__xludf.DUMMYFUNCTION("""COMPUTED_VALUE"""),"Shavian")</f>
        <v>Shavian</v>
      </c>
      <c r="H34" s="55" t="str">
        <f ca="1">IFERROR(__xludf.DUMMYFUNCTION("""COMPUTED_VALUE"""),"Path of Guiding Light")</f>
        <v>Path of Guiding Light</v>
      </c>
      <c r="I34" s="55">
        <f ca="1">IFERROR(__xludf.DUMMYFUNCTION("""COMPUTED_VALUE"""),1784)</f>
        <v>1784</v>
      </c>
      <c r="J34" s="55">
        <f ca="1">IFERROR(__xludf.DUMMYFUNCTION("""COMPUTED_VALUE"""),898.073165156186)</f>
        <v>898.07316515618595</v>
      </c>
      <c r="K34" s="55">
        <f ca="1">IFERROR(__xludf.DUMMYFUNCTION("""COMPUTED_VALUE"""),811.881283116284)</f>
        <v>811.88128311628395</v>
      </c>
      <c r="L34" s="55">
        <f ca="1">IFERROR(__xludf.DUMMYFUNCTION("""COMPUTED_VALUE"""),-33.39)</f>
        <v>-33.39</v>
      </c>
      <c r="M34" s="55">
        <f ca="1">IFERROR(__xludf.DUMMYFUNCTION("""COMPUTED_VALUE"""),4.01)</f>
        <v>4.01</v>
      </c>
      <c r="N34" s="55">
        <f ca="1">IFERROR(__xludf.DUMMYFUNCTION("""COMPUTED_VALUE"""),554)</f>
        <v>554</v>
      </c>
      <c r="O34" s="55" t="str">
        <f ca="1">IFERROR(__xludf.DUMMYFUNCTION("""COMPUTED_VALUE"""),"39°F")</f>
        <v>39°F</v>
      </c>
      <c r="P34" s="55" t="str">
        <f ca="1">IFERROR(__xludf.DUMMYFUNCTION("""COMPUTED_VALUE"""),"Reykjavik")</f>
        <v>Reykjavik</v>
      </c>
      <c r="Q34" s="55" t="str">
        <f ca="1">IFERROR(__xludf.DUMMYFUNCTION("""COMPUTED_VALUE"""),"")</f>
        <v/>
      </c>
      <c r="R34" s="55" t="str">
        <f ca="1">IFERROR(__xludf.DUMMYFUNCTION("""COMPUTED_VALUE"""),"")</f>
        <v/>
      </c>
      <c r="S34" s="55" t="str">
        <f ca="1">IFERROR(__xludf.DUMMYFUNCTION("""COMPUTED_VALUE"""),"")</f>
        <v/>
      </c>
      <c r="T34" s="55" t="str">
        <f ca="1">IFERROR(__xludf.DUMMYFUNCTION("""COMPUTED_VALUE"""),"")</f>
        <v/>
      </c>
      <c r="U34" s="55" t="str">
        <f ca="1">IFERROR(__xludf.DUMMYFUNCTION("""COMPUTED_VALUE"""),"plaza")</f>
        <v>plaza</v>
      </c>
      <c r="V34" s="189" t="str">
        <f ca="1">IFERROR(__xludf.DUMMYFUNCTION("""COMPUTED_VALUE"""),"")</f>
        <v/>
      </c>
      <c r="W34" s="189" t="str">
        <f ca="1">IFERROR(__xludf.DUMMYFUNCTION("""COMPUTED_VALUE"""),"")</f>
        <v/>
      </c>
      <c r="X34" s="189" t="str">
        <f ca="1">IFERROR(__xludf.DUMMYFUNCTION("""COMPUTED_VALUE"""),"{t1:vert;ordinaries:[{ordinary:saltire;t:or;line:straight}];charges:[{charge:hatchet;t:vert;p:e;size:0.7}];shield:horsehead2}")</f>
        <v>{t1:vert;ordinaries:[{ordinary:saltire;t:or;line:straight}];charges:[{charge:hatchet;t:vert;p:e;size:0.7}];shield:horsehead2}</v>
      </c>
      <c r="Y34" s="193" t="str">
        <f ca="1">IFERROR(__xludf.DUMMYFUNCTION("""COMPUTED_VALUE"""),"https://watabou.github.io/village-generator/?pop=1784&amp;name=&amp;seed=3550748350195&amp;width=1600&amp;height=727&amp;tags=highway%2Cuncultivated%2Cdense")</f>
        <v>https://watabou.github.io/village-generator/?pop=1784&amp;name=&amp;seed=3550748350195&amp;width=1600&amp;height=727&amp;tags=highway%2Cuncultivated%2Cdense</v>
      </c>
      <c r="Z34" s="189"/>
    </row>
    <row r="35" spans="1:26" ht="15.75" customHeight="1" x14ac:dyDescent="0.25">
      <c r="A35" s="55">
        <f ca="1">IFERROR(__xludf.DUMMYFUNCTION("""COMPUTED_VALUE"""),208)</f>
        <v>208</v>
      </c>
      <c r="B35" s="55" t="str">
        <f ca="1">IFERROR(__xludf.DUMMYFUNCTION("""COMPUTED_VALUE"""),"Eldefones")</f>
        <v>Eldefones</v>
      </c>
      <c r="C35" s="55" t="str">
        <f ca="1">IFERROR(__xludf.DUMMYFUNCTION("""COMPUTED_VALUE"""),"Sirong")</f>
        <v>Sirong</v>
      </c>
      <c r="D35" s="55" t="str">
        <f ca="1">IFERROR(__xludf.DUMMYFUNCTION("""COMPUTED_VALUE"""),"Sirong Lordship")</f>
        <v>Sirong Lordship</v>
      </c>
      <c r="E35" s="55" t="str">
        <f ca="1">IFERROR(__xludf.DUMMYFUNCTION("""COMPUTED_VALUE"""),"Shavia")</f>
        <v>Shavia</v>
      </c>
      <c r="F35" s="55" t="str">
        <f ca="1">IFERROR(__xludf.DUMMYFUNCTION("""COMPUTED_VALUE"""),"Kingdom of Shavia")</f>
        <v>Kingdom of Shavia</v>
      </c>
      <c r="G35" s="55" t="str">
        <f ca="1">IFERROR(__xludf.DUMMYFUNCTION("""COMPUTED_VALUE"""),"Shavian")</f>
        <v>Shavian</v>
      </c>
      <c r="H35" s="55" t="str">
        <f ca="1">IFERROR(__xludf.DUMMYFUNCTION("""COMPUTED_VALUE"""),"Path of Guiding Light")</f>
        <v>Path of Guiding Light</v>
      </c>
      <c r="I35" s="55">
        <f ca="1">IFERROR(__xludf.DUMMYFUNCTION("""COMPUTED_VALUE"""),4216)</f>
        <v>4216</v>
      </c>
      <c r="J35" s="55">
        <f ca="1">IFERROR(__xludf.DUMMYFUNCTION("""COMPUTED_VALUE"""),414.486341014875)</f>
        <v>414.48634101487499</v>
      </c>
      <c r="K35" s="55">
        <f ca="1">IFERROR(__xludf.DUMMYFUNCTION("""COMPUTED_VALUE"""),794.56028048083)</f>
        <v>794.56028048082999</v>
      </c>
      <c r="L35" s="55">
        <f ca="1">IFERROR(__xludf.DUMMYFUNCTION("""COMPUTED_VALUE"""),-32.83)</f>
        <v>-32.83</v>
      </c>
      <c r="M35" s="55">
        <f ca="1">IFERROR(__xludf.DUMMYFUNCTION("""COMPUTED_VALUE"""),-11.61)</f>
        <v>-11.61</v>
      </c>
      <c r="N35" s="55">
        <f ca="1">IFERROR(__xludf.DUMMYFUNCTION("""COMPUTED_VALUE"""),738)</f>
        <v>738</v>
      </c>
      <c r="O35" s="55" t="str">
        <f ca="1">IFERROR(__xludf.DUMMYFUNCTION("""COMPUTED_VALUE"""),"39°F")</f>
        <v>39°F</v>
      </c>
      <c r="P35" s="55" t="str">
        <f ca="1">IFERROR(__xludf.DUMMYFUNCTION("""COMPUTED_VALUE"""),"Reykjavik")</f>
        <v>Reykjavik</v>
      </c>
      <c r="Q35" s="55" t="str">
        <f ca="1">IFERROR(__xludf.DUMMYFUNCTION("""COMPUTED_VALUE"""),"")</f>
        <v/>
      </c>
      <c r="R35" s="55" t="str">
        <f ca="1">IFERROR(__xludf.DUMMYFUNCTION("""COMPUTED_VALUE"""),"")</f>
        <v/>
      </c>
      <c r="S35" s="55" t="str">
        <f ca="1">IFERROR(__xludf.DUMMYFUNCTION("""COMPUTED_VALUE"""),"citadel")</f>
        <v>citadel</v>
      </c>
      <c r="T35" s="55" t="str">
        <f ca="1">IFERROR(__xludf.DUMMYFUNCTION("""COMPUTED_VALUE"""),"")</f>
        <v/>
      </c>
      <c r="U35" s="55" t="str">
        <f ca="1">IFERROR(__xludf.DUMMYFUNCTION("""COMPUTED_VALUE"""),"")</f>
        <v/>
      </c>
      <c r="V35" s="189" t="str">
        <f ca="1">IFERROR(__xludf.DUMMYFUNCTION("""COMPUTED_VALUE"""),"")</f>
        <v/>
      </c>
      <c r="W35" s="189" t="str">
        <f ca="1">IFERROR(__xludf.DUMMYFUNCTION("""COMPUTED_VALUE"""),"")</f>
        <v/>
      </c>
      <c r="X35" s="189" t="str">
        <f ca="1">IFERROR(__xludf.DUMMYFUNCTION("""COMPUTED_VALUE"""),"{t1:chequy-argent-gules;charges:[{charge:camel;t:purpure;p:e;size:1.5}];shield:fantasy5}")</f>
        <v>{t1:chequy-argent-gules;charges:[{charge:camel;t:purpure;p:e;size:1.5}];shield:fantasy5}</v>
      </c>
      <c r="Y35" s="193" t="str">
        <f ca="1">IFERROR(__xludf.DUMMYFUNCTION("""COMPUTED_VALUE"""),"https://watabou.github.io/city-generator/?name=Eldefones&amp;population=4216&amp;size=22&amp;seed=3550748350208&amp;river=0&amp;coast=0&amp;farms=1&amp;citadel=1&amp;urban_castle=1&amp;hub=false&amp;plaza=0&amp;temple=0&amp;walls=0&amp;shantytown=0&amp;gates=-1")</f>
        <v>https://watabou.github.io/city-generator/?name=Eldefones&amp;population=4216&amp;size=22&amp;seed=3550748350208&amp;river=0&amp;coast=0&amp;farms=1&amp;citadel=1&amp;urban_castle=1&amp;hub=false&amp;plaza=0&amp;temple=0&amp;walls=0&amp;shantytown=0&amp;gates=-1</v>
      </c>
      <c r="Z35" s="189"/>
    </row>
    <row r="36" spans="1:26" ht="15.75" customHeight="1" x14ac:dyDescent="0.25">
      <c r="A36" s="55">
        <f ca="1">IFERROR(__xludf.DUMMYFUNCTION("""COMPUTED_VALUE"""),209)</f>
        <v>209</v>
      </c>
      <c r="B36" s="55" t="str">
        <f ca="1">IFERROR(__xludf.DUMMYFUNCTION("""COMPUTED_VALUE"""),"Batereach")</f>
        <v>Batereach</v>
      </c>
      <c r="C36" s="55" t="str">
        <f ca="1">IFERROR(__xludf.DUMMYFUNCTION("""COMPUTED_VALUE"""),"Swanhall")</f>
        <v>Swanhall</v>
      </c>
      <c r="D36" s="55" t="str">
        <f ca="1">IFERROR(__xludf.DUMMYFUNCTION("""COMPUTED_VALUE"""),"Swanhall Province")</f>
        <v>Swanhall Province</v>
      </c>
      <c r="E36" s="55" t="str">
        <f ca="1">IFERROR(__xludf.DUMMYFUNCTION("""COMPUTED_VALUE"""),"Shavia")</f>
        <v>Shavia</v>
      </c>
      <c r="F36" s="55" t="str">
        <f ca="1">IFERROR(__xludf.DUMMYFUNCTION("""COMPUTED_VALUE"""),"Kingdom of Shavia")</f>
        <v>Kingdom of Shavia</v>
      </c>
      <c r="G36" s="55" t="str">
        <f ca="1">IFERROR(__xludf.DUMMYFUNCTION("""COMPUTED_VALUE"""),"Shavian")</f>
        <v>Shavian</v>
      </c>
      <c r="H36" s="55" t="str">
        <f ca="1">IFERROR(__xludf.DUMMYFUNCTION("""COMPUTED_VALUE"""),"Path of Guiding Light")</f>
        <v>Path of Guiding Light</v>
      </c>
      <c r="I36" s="55">
        <f ca="1">IFERROR(__xludf.DUMMYFUNCTION("""COMPUTED_VALUE"""),1856)</f>
        <v>1856</v>
      </c>
      <c r="J36" s="55">
        <f ca="1">IFERROR(__xludf.DUMMYFUNCTION("""COMPUTED_VALUE"""),816.761761773121)</f>
        <v>816.76176177312095</v>
      </c>
      <c r="K36" s="55">
        <f ca="1">IFERROR(__xludf.DUMMYFUNCTION("""COMPUTED_VALUE"""),806.64605872422)</f>
        <v>806.64605872421998</v>
      </c>
      <c r="L36" s="55">
        <f ca="1">IFERROR(__xludf.DUMMYFUNCTION("""COMPUTED_VALUE"""),-33.22)</f>
        <v>-33.22</v>
      </c>
      <c r="M36" s="55">
        <f ca="1">IFERROR(__xludf.DUMMYFUNCTION("""COMPUTED_VALUE"""),1.38)</f>
        <v>1.38</v>
      </c>
      <c r="N36" s="55">
        <f ca="1">IFERROR(__xludf.DUMMYFUNCTION("""COMPUTED_VALUE"""),328)</f>
        <v>328</v>
      </c>
      <c r="O36" s="55" t="str">
        <f ca="1">IFERROR(__xludf.DUMMYFUNCTION("""COMPUTED_VALUE"""),"39°F")</f>
        <v>39°F</v>
      </c>
      <c r="P36" s="55" t="str">
        <f ca="1">IFERROR(__xludf.DUMMYFUNCTION("""COMPUTED_VALUE"""),"Reykjavik")</f>
        <v>Reykjavik</v>
      </c>
      <c r="Q36" s="55" t="str">
        <f ca="1">IFERROR(__xludf.DUMMYFUNCTION("""COMPUTED_VALUE"""),"")</f>
        <v/>
      </c>
      <c r="R36" s="55" t="str">
        <f ca="1">IFERROR(__xludf.DUMMYFUNCTION("""COMPUTED_VALUE"""),"")</f>
        <v/>
      </c>
      <c r="S36" s="55" t="str">
        <f ca="1">IFERROR(__xludf.DUMMYFUNCTION("""COMPUTED_VALUE"""),"")</f>
        <v/>
      </c>
      <c r="T36" s="55" t="str">
        <f ca="1">IFERROR(__xludf.DUMMYFUNCTION("""COMPUTED_VALUE"""),"")</f>
        <v/>
      </c>
      <c r="U36" s="55" t="str">
        <f ca="1">IFERROR(__xludf.DUMMYFUNCTION("""COMPUTED_VALUE"""),"")</f>
        <v/>
      </c>
      <c r="V36" s="189" t="str">
        <f ca="1">IFERROR(__xludf.DUMMYFUNCTION("""COMPUTED_VALUE"""),"")</f>
        <v/>
      </c>
      <c r="W36" s="189" t="str">
        <f ca="1">IFERROR(__xludf.DUMMYFUNCTION("""COMPUTED_VALUE"""),"")</f>
        <v/>
      </c>
      <c r="X36" s="189" t="str">
        <f ca="1">IFERROR(__xludf.DUMMYFUNCTION("""COMPUTED_VALUE"""),"{t1:azure;charges:[{charge:crescent;t:argent;p:beh;size:0.5}];shield:horsehead2}")</f>
        <v>{t1:azure;charges:[{charge:crescent;t:argent;p:beh;size:0.5}];shield:horsehead2}</v>
      </c>
      <c r="Y36" s="193" t="str">
        <f ca="1">IFERROR(__xludf.DUMMYFUNCTION("""COMPUTED_VALUE"""),"https://watabou.github.io/village-generator/?pop=1856&amp;name=&amp;seed=3550748350209&amp;width=1600&amp;height=727&amp;tags=river%2Chighway%2Cno+square%2Cdense")</f>
        <v>https://watabou.github.io/village-generator/?pop=1856&amp;name=&amp;seed=3550748350209&amp;width=1600&amp;height=727&amp;tags=river%2Chighway%2Cno+square%2Cdense</v>
      </c>
      <c r="Z36" s="189"/>
    </row>
    <row r="37" spans="1:26" ht="15.75" customHeight="1" x14ac:dyDescent="0.25">
      <c r="A37" s="55">
        <f ca="1">IFERROR(__xludf.DUMMYFUNCTION("""COMPUTED_VALUE"""),210)</f>
        <v>210</v>
      </c>
      <c r="B37" s="55" t="str">
        <f ca="1">IFERROR(__xludf.DUMMYFUNCTION("""COMPUTED_VALUE"""),"Autumngulf")</f>
        <v>Autumngulf</v>
      </c>
      <c r="C37" s="55" t="str">
        <f ca="1">IFERROR(__xludf.DUMMYFUNCTION("""COMPUTED_VALUE"""),"Swanhall")</f>
        <v>Swanhall</v>
      </c>
      <c r="D37" s="55" t="str">
        <f ca="1">IFERROR(__xludf.DUMMYFUNCTION("""COMPUTED_VALUE"""),"Swanhall Province")</f>
        <v>Swanhall Province</v>
      </c>
      <c r="E37" s="55" t="str">
        <f ca="1">IFERROR(__xludf.DUMMYFUNCTION("""COMPUTED_VALUE"""),"Shavia")</f>
        <v>Shavia</v>
      </c>
      <c r="F37" s="55" t="str">
        <f ca="1">IFERROR(__xludf.DUMMYFUNCTION("""COMPUTED_VALUE"""),"Kingdom of Shavia")</f>
        <v>Kingdom of Shavia</v>
      </c>
      <c r="G37" s="55" t="str">
        <f ca="1">IFERROR(__xludf.DUMMYFUNCTION("""COMPUTED_VALUE"""),"Shavian")</f>
        <v>Shavian</v>
      </c>
      <c r="H37" s="55" t="str">
        <f ca="1">IFERROR(__xludf.DUMMYFUNCTION("""COMPUTED_VALUE"""),"Path of Guiding Light")</f>
        <v>Path of Guiding Light</v>
      </c>
      <c r="I37" s="55">
        <f ca="1">IFERROR(__xludf.DUMMYFUNCTION("""COMPUTED_VALUE"""),4057)</f>
        <v>4057</v>
      </c>
      <c r="J37" s="55">
        <f ca="1">IFERROR(__xludf.DUMMYFUNCTION("""COMPUTED_VALUE"""),844.375)</f>
        <v>844.375</v>
      </c>
      <c r="K37" s="55">
        <f ca="1">IFERROR(__xludf.DUMMYFUNCTION("""COMPUTED_VALUE"""),826.625)</f>
        <v>826.625</v>
      </c>
      <c r="L37" s="55">
        <f ca="1">IFERROR(__xludf.DUMMYFUNCTION("""COMPUTED_VALUE"""),-33.87)</f>
        <v>-33.869999999999997</v>
      </c>
      <c r="M37" s="55">
        <f ca="1">IFERROR(__xludf.DUMMYFUNCTION("""COMPUTED_VALUE"""),2.27)</f>
        <v>2.27</v>
      </c>
      <c r="N37" s="55">
        <f ca="1">IFERROR(__xludf.DUMMYFUNCTION("""COMPUTED_VALUE"""),266)</f>
        <v>266</v>
      </c>
      <c r="O37" s="55" t="str">
        <f ca="1">IFERROR(__xludf.DUMMYFUNCTION("""COMPUTED_VALUE"""),"41°F")</f>
        <v>41°F</v>
      </c>
      <c r="P37" s="55" t="str">
        <f ca="1">IFERROR(__xludf.DUMMYFUNCTION("""COMPUTED_VALUE"""),"Riga")</f>
        <v>Riga</v>
      </c>
      <c r="Q37" s="55" t="str">
        <f ca="1">IFERROR(__xludf.DUMMYFUNCTION("""COMPUTED_VALUE"""),"")</f>
        <v/>
      </c>
      <c r="R37" s="55" t="str">
        <f ca="1">IFERROR(__xludf.DUMMYFUNCTION("""COMPUTED_VALUE"""),"port")</f>
        <v>port</v>
      </c>
      <c r="S37" s="55" t="str">
        <f ca="1">IFERROR(__xludf.DUMMYFUNCTION("""COMPUTED_VALUE"""),"")</f>
        <v/>
      </c>
      <c r="T37" s="55" t="str">
        <f ca="1">IFERROR(__xludf.DUMMYFUNCTION("""COMPUTED_VALUE"""),"")</f>
        <v/>
      </c>
      <c r="U37" s="55" t="str">
        <f ca="1">IFERROR(__xludf.DUMMYFUNCTION("""COMPUTED_VALUE"""),"")</f>
        <v/>
      </c>
      <c r="V37" s="189" t="str">
        <f ca="1">IFERROR(__xludf.DUMMYFUNCTION("""COMPUTED_VALUE"""),"")</f>
        <v/>
      </c>
      <c r="W37" s="189" t="str">
        <f ca="1">IFERROR(__xludf.DUMMYFUNCTION("""COMPUTED_VALUE"""),"")</f>
        <v/>
      </c>
      <c r="X37" s="189" t="str">
        <f ca="1">IFERROR(__xludf.DUMMYFUNCTION("""COMPUTED_VALUE"""),"{t1:argent;ordinaries:[{ordinary:chief;t:vert;line:potentyDexter}];charges:[{charge:cancer;t:argent;p:b;size:0.5}];shield:horsehead2}")</f>
        <v>{t1:argent;ordinaries:[{ordinary:chief;t:vert;line:potentyDexter}];charges:[{charge:cancer;t:argent;p:b;size:0.5}];shield:horsehead2}</v>
      </c>
      <c r="Y37" s="193" t="str">
        <f ca="1">IFERROR(__xludf.DUMMYFUNCTION("""COMPUTED_VALUE"""),"https://watabou.github.io/city-generator/?name=Autumngulf&amp;population=4057&amp;size=22&amp;seed=3550748350210&amp;river=0&amp;coast=1&amp;farms=0&amp;citadel=0&amp;urban_castle=0&amp;hub=false&amp;plaza=0&amp;temple=0&amp;walls=0&amp;shantytown=0&amp;gates=-1&amp;sea=1.85")</f>
        <v>https://watabou.github.io/city-generator/?name=Autumngulf&amp;population=4057&amp;size=22&amp;seed=3550748350210&amp;river=0&amp;coast=1&amp;farms=0&amp;citadel=0&amp;urban_castle=0&amp;hub=false&amp;plaza=0&amp;temple=0&amp;walls=0&amp;shantytown=0&amp;gates=-1&amp;sea=1.85</v>
      </c>
      <c r="Z37" s="189"/>
    </row>
    <row r="38" spans="1:26" ht="15" x14ac:dyDescent="0.25">
      <c r="A38" s="55">
        <f ca="1">IFERROR(__xludf.DUMMYFUNCTION("""COMPUTED_VALUE"""),211)</f>
        <v>211</v>
      </c>
      <c r="B38" s="55" t="str">
        <f ca="1">IFERROR(__xludf.DUMMYFUNCTION("""COMPUTED_VALUE"""),"Mudband")</f>
        <v>Mudband</v>
      </c>
      <c r="C38" s="55" t="str">
        <f ca="1">IFERROR(__xludf.DUMMYFUNCTION("""COMPUTED_VALUE"""),"Swanhall")</f>
        <v>Swanhall</v>
      </c>
      <c r="D38" s="55" t="str">
        <f ca="1">IFERROR(__xludf.DUMMYFUNCTION("""COMPUTED_VALUE"""),"Swanhall Province")</f>
        <v>Swanhall Province</v>
      </c>
      <c r="E38" s="55" t="str">
        <f ca="1">IFERROR(__xludf.DUMMYFUNCTION("""COMPUTED_VALUE"""),"Shavia")</f>
        <v>Shavia</v>
      </c>
      <c r="F38" s="55" t="str">
        <f ca="1">IFERROR(__xludf.DUMMYFUNCTION("""COMPUTED_VALUE"""),"Kingdom of Shavia")</f>
        <v>Kingdom of Shavia</v>
      </c>
      <c r="G38" s="55" t="str">
        <f ca="1">IFERROR(__xludf.DUMMYFUNCTION("""COMPUTED_VALUE"""),"Dail")</f>
        <v>Dail</v>
      </c>
      <c r="H38" s="55" t="str">
        <f ca="1">IFERROR(__xludf.DUMMYFUNCTION("""COMPUTED_VALUE"""),"Path of Guiding Light")</f>
        <v>Path of Guiding Light</v>
      </c>
      <c r="I38" s="55">
        <f ca="1">IFERROR(__xludf.DUMMYFUNCTION("""COMPUTED_VALUE"""),4433)</f>
        <v>4433</v>
      </c>
      <c r="J38" s="55">
        <f ca="1">IFERROR(__xludf.DUMMYFUNCTION("""COMPUTED_VALUE"""),1155.06624358447)</f>
        <v>1155.0662435844699</v>
      </c>
      <c r="K38" s="55">
        <f ca="1">IFERROR(__xludf.DUMMYFUNCTION("""COMPUTED_VALUE"""),822.77989151612)</f>
        <v>822.77989151611996</v>
      </c>
      <c r="L38" s="55">
        <f ca="1">IFERROR(__xludf.DUMMYFUNCTION("""COMPUTED_VALUE"""),-33.74)</f>
        <v>-33.74</v>
      </c>
      <c r="M38" s="55">
        <f ca="1">IFERROR(__xludf.DUMMYFUNCTION("""COMPUTED_VALUE"""),12.31)</f>
        <v>12.31</v>
      </c>
      <c r="N38" s="55">
        <f ca="1">IFERROR(__xludf.DUMMYFUNCTION("""COMPUTED_VALUE"""),82)</f>
        <v>82</v>
      </c>
      <c r="O38" s="55" t="str">
        <f ca="1">IFERROR(__xludf.DUMMYFUNCTION("""COMPUTED_VALUE"""),"41°F")</f>
        <v>41°F</v>
      </c>
      <c r="P38" s="55" t="str">
        <f ca="1">IFERROR(__xludf.DUMMYFUNCTION("""COMPUTED_VALUE"""),"Riga")</f>
        <v>Riga</v>
      </c>
      <c r="Q38" s="55" t="str">
        <f ca="1">IFERROR(__xludf.DUMMYFUNCTION("""COMPUTED_VALUE"""),"")</f>
        <v/>
      </c>
      <c r="R38" s="55" t="str">
        <f ca="1">IFERROR(__xludf.DUMMYFUNCTION("""COMPUTED_VALUE"""),"")</f>
        <v/>
      </c>
      <c r="S38" s="55" t="str">
        <f ca="1">IFERROR(__xludf.DUMMYFUNCTION("""COMPUTED_VALUE"""),"citadel")</f>
        <v>citadel</v>
      </c>
      <c r="T38" s="55" t="str">
        <f ca="1">IFERROR(__xludf.DUMMYFUNCTION("""COMPUTED_VALUE"""),"")</f>
        <v/>
      </c>
      <c r="U38" s="55" t="str">
        <f ca="1">IFERROR(__xludf.DUMMYFUNCTION("""COMPUTED_VALUE"""),"")</f>
        <v/>
      </c>
      <c r="V38" s="189" t="str">
        <f ca="1">IFERROR(__xludf.DUMMYFUNCTION("""COMPUTED_VALUE"""),"")</f>
        <v/>
      </c>
      <c r="W38" s="189" t="str">
        <f ca="1">IFERROR(__xludf.DUMMYFUNCTION("""COMPUTED_VALUE"""),"")</f>
        <v/>
      </c>
      <c r="X38" s="189" t="str">
        <f ca="1">IFERROR(__xludf.DUMMYFUNCTION("""COMPUTED_VALUE"""),"{t1:gules;division:{division:perCross;t:or;line:straight};ordinaries:[{ordinary:pale;t:argent;line:wavy}];charges:[{charge:escallop;t:purpure;p:e;size:0.7}];shield:roman}")</f>
        <v>{t1:gules;division:{division:perCross;t:or;line:straight};ordinaries:[{ordinary:pale;t:argent;line:wavy}];charges:[{charge:escallop;t:purpure;p:e;size:0.7}];shield:roman}</v>
      </c>
      <c r="Y38" s="193" t="str">
        <f ca="1">IFERROR(__xludf.DUMMYFUNCTION("""COMPUTED_VALUE"""),"https://watabou.github.io/city-generator/?name=Mudband&amp;population=4433&amp;size=23&amp;seed=3550748350211&amp;river=0&amp;coast=0&amp;farms=1&amp;citadel=1&amp;urban_castle=0&amp;hub=false&amp;plaza=0&amp;temple=0&amp;walls=0&amp;shantytown=0&amp;gates=-1")</f>
        <v>https://watabou.github.io/city-generator/?name=Mudband&amp;population=4433&amp;size=23&amp;seed=3550748350211&amp;river=0&amp;coast=0&amp;farms=1&amp;citadel=1&amp;urban_castle=0&amp;hub=false&amp;plaza=0&amp;temple=0&amp;walls=0&amp;shantytown=0&amp;gates=-1</v>
      </c>
      <c r="Z38" s="189"/>
    </row>
    <row r="39" spans="1:26" ht="15" x14ac:dyDescent="0.25">
      <c r="A39" s="55">
        <f ca="1">IFERROR(__xludf.DUMMYFUNCTION("""COMPUTED_VALUE"""),222)</f>
        <v>222</v>
      </c>
      <c r="B39" s="55" t="str">
        <f ca="1">IFERROR(__xludf.DUMMYFUNCTION("""COMPUTED_VALUE"""),"Drakefair")</f>
        <v>Drakefair</v>
      </c>
      <c r="C39" s="55" t="str">
        <f ca="1">IFERROR(__xludf.DUMMYFUNCTION("""COMPUTED_VALUE"""),"Dreghold")</f>
        <v>Dreghold</v>
      </c>
      <c r="D39" s="55" t="str">
        <f ca="1">IFERROR(__xludf.DUMMYFUNCTION("""COMPUTED_VALUE"""),"Dreghold Province")</f>
        <v>Dreghold Province</v>
      </c>
      <c r="E39" s="55" t="str">
        <f ca="1">IFERROR(__xludf.DUMMYFUNCTION("""COMPUTED_VALUE"""),"Shavia")</f>
        <v>Shavia</v>
      </c>
      <c r="F39" s="55" t="str">
        <f ca="1">IFERROR(__xludf.DUMMYFUNCTION("""COMPUTED_VALUE"""),"Kingdom of Shavia")</f>
        <v>Kingdom of Shavia</v>
      </c>
      <c r="G39" s="55" t="str">
        <f ca="1">IFERROR(__xludf.DUMMYFUNCTION("""COMPUTED_VALUE"""),"Shavian")</f>
        <v>Shavian</v>
      </c>
      <c r="H39" s="55" t="str">
        <f ca="1">IFERROR(__xludf.DUMMYFUNCTION("""COMPUTED_VALUE"""),"Path of Guiding Light")</f>
        <v>Path of Guiding Light</v>
      </c>
      <c r="I39" s="55">
        <f ca="1">IFERROR(__xludf.DUMMYFUNCTION("""COMPUTED_VALUE"""),2200)</f>
        <v>2200</v>
      </c>
      <c r="J39" s="55">
        <f ca="1">IFERROR(__xludf.DUMMYFUNCTION("""COMPUTED_VALUE"""),623.33092447674)</f>
        <v>623.33092447674005</v>
      </c>
      <c r="K39" s="55">
        <f ca="1">IFERROR(__xludf.DUMMYFUNCTION("""COMPUTED_VALUE"""),864.875766460488)</f>
        <v>864.87576646048797</v>
      </c>
      <c r="L39" s="55">
        <f ca="1">IFERROR(__xludf.DUMMYFUNCTION("""COMPUTED_VALUE"""),-35.11)</f>
        <v>-35.11</v>
      </c>
      <c r="M39" s="55">
        <f ca="1">IFERROR(__xludf.DUMMYFUNCTION("""COMPUTED_VALUE"""),-4.87)</f>
        <v>-4.87</v>
      </c>
      <c r="N39" s="55">
        <f ca="1">IFERROR(__xludf.DUMMYFUNCTION("""COMPUTED_VALUE"""),30)</f>
        <v>30</v>
      </c>
      <c r="O39" s="55" t="str">
        <f ca="1">IFERROR(__xludf.DUMMYFUNCTION("""COMPUTED_VALUE"""),"39°F")</f>
        <v>39°F</v>
      </c>
      <c r="P39" s="55" t="str">
        <f ca="1">IFERROR(__xludf.DUMMYFUNCTION("""COMPUTED_VALUE"""),"Reykjavik")</f>
        <v>Reykjavik</v>
      </c>
      <c r="Q39" s="55" t="str">
        <f ca="1">IFERROR(__xludf.DUMMYFUNCTION("""COMPUTED_VALUE"""),"")</f>
        <v/>
      </c>
      <c r="R39" s="55" t="str">
        <f ca="1">IFERROR(__xludf.DUMMYFUNCTION("""COMPUTED_VALUE"""),"")</f>
        <v/>
      </c>
      <c r="S39" s="55" t="str">
        <f ca="1">IFERROR(__xludf.DUMMYFUNCTION("""COMPUTED_VALUE"""),"citadel")</f>
        <v>citadel</v>
      </c>
      <c r="T39" s="55" t="str">
        <f ca="1">IFERROR(__xludf.DUMMYFUNCTION("""COMPUTED_VALUE"""),"")</f>
        <v/>
      </c>
      <c r="U39" s="55" t="str">
        <f ca="1">IFERROR(__xludf.DUMMYFUNCTION("""COMPUTED_VALUE"""),"plaza")</f>
        <v>plaza</v>
      </c>
      <c r="V39" s="189" t="str">
        <f ca="1">IFERROR(__xludf.DUMMYFUNCTION("""COMPUTED_VALUE"""),"")</f>
        <v/>
      </c>
      <c r="W39" s="189" t="str">
        <f ca="1">IFERROR(__xludf.DUMMYFUNCTION("""COMPUTED_VALUE"""),"")</f>
        <v/>
      </c>
      <c r="X39" s="189" t="str">
        <f ca="1">IFERROR(__xludf.DUMMYFUNCTION("""COMPUTED_VALUE"""),"{t1:purpure;division:{division:perCross;t:or;line:indented};charges:[{charge:inescutcheon;t:argent;p:jlmo;divided:counter;size:0.6}];shield:horsehead2}")</f>
        <v>{t1:purpure;division:{division:perCross;t:or;line:indented};charges:[{charge:inescutcheon;t:argent;p:jlmo;divided:counter;size:0.6}];shield:horsehead2}</v>
      </c>
      <c r="Y39" s="193" t="str">
        <f ca="1">IFERROR(__xludf.DUMMYFUNCTION("""COMPUTED_VALUE"""),"https://watabou.github.io/city-generator/?name=Drakefair&amp;population=2200&amp;size=17&amp;seed=3550748350222&amp;river=1&amp;coast=0&amp;farms=1&amp;citadel=1&amp;urban_castle=1&amp;hub=false&amp;plaza=1&amp;temple=0&amp;walls=0&amp;shantytown=0&amp;gates=-1")</f>
        <v>https://watabou.github.io/city-generator/?name=Drakefair&amp;population=2200&amp;size=17&amp;seed=3550748350222&amp;river=1&amp;coast=0&amp;farms=1&amp;citadel=1&amp;urban_castle=1&amp;hub=false&amp;plaza=1&amp;temple=0&amp;walls=0&amp;shantytown=0&amp;gates=-1</v>
      </c>
      <c r="Z39" s="189"/>
    </row>
    <row r="40" spans="1:26" ht="15" x14ac:dyDescent="0.25">
      <c r="A40" s="55">
        <f ca="1">IFERROR(__xludf.DUMMYFUNCTION("""COMPUTED_VALUE"""),226)</f>
        <v>226</v>
      </c>
      <c r="B40" s="55" t="str">
        <f ca="1">IFERROR(__xludf.DUMMYFUNCTION("""COMPUTED_VALUE"""),"Casthclif")</f>
        <v>Casthclif</v>
      </c>
      <c r="C40" s="55" t="str">
        <f ca="1">IFERROR(__xludf.DUMMYFUNCTION("""COMPUTED_VALUE"""),"Sirong")</f>
        <v>Sirong</v>
      </c>
      <c r="D40" s="55" t="str">
        <f ca="1">IFERROR(__xludf.DUMMYFUNCTION("""COMPUTED_VALUE"""),"Sirong Lordship")</f>
        <v>Sirong Lordship</v>
      </c>
      <c r="E40" s="55" t="str">
        <f ca="1">IFERROR(__xludf.DUMMYFUNCTION("""COMPUTED_VALUE"""),"Shavia")</f>
        <v>Shavia</v>
      </c>
      <c r="F40" s="55" t="str">
        <f ca="1">IFERROR(__xludf.DUMMYFUNCTION("""COMPUTED_VALUE"""),"Kingdom of Shavia")</f>
        <v>Kingdom of Shavia</v>
      </c>
      <c r="G40" s="55" t="str">
        <f ca="1">IFERROR(__xludf.DUMMYFUNCTION("""COMPUTED_VALUE"""),"Shavian")</f>
        <v>Shavian</v>
      </c>
      <c r="H40" s="55" t="str">
        <f ca="1">IFERROR(__xludf.DUMMYFUNCTION("""COMPUTED_VALUE"""),"Path of Guiding Light")</f>
        <v>Path of Guiding Light</v>
      </c>
      <c r="I40" s="55">
        <f ca="1">IFERROR(__xludf.DUMMYFUNCTION("""COMPUTED_VALUE"""),18673)</f>
        <v>18673</v>
      </c>
      <c r="J40" s="55">
        <f ca="1">IFERROR(__xludf.DUMMYFUNCTION("""COMPUTED_VALUE"""),412.423390139192)</f>
        <v>412.42339013919201</v>
      </c>
      <c r="K40" s="55">
        <f ca="1">IFERROR(__xludf.DUMMYFUNCTION("""COMPUTED_VALUE"""),762.857007117734)</f>
        <v>762.85700711773404</v>
      </c>
      <c r="L40" s="55">
        <f ca="1">IFERROR(__xludf.DUMMYFUNCTION("""COMPUTED_VALUE"""),-31.8)</f>
        <v>-31.8</v>
      </c>
      <c r="M40" s="55">
        <f ca="1">IFERROR(__xludf.DUMMYFUNCTION("""COMPUTED_VALUE"""),-11.68)</f>
        <v>-11.68</v>
      </c>
      <c r="N40" s="55">
        <f ca="1">IFERROR(__xludf.DUMMYFUNCTION("""COMPUTED_VALUE"""),1063)</f>
        <v>1063</v>
      </c>
      <c r="O40" s="55" t="str">
        <f ca="1">IFERROR(__xludf.DUMMYFUNCTION("""COMPUTED_VALUE"""),"37°F")</f>
        <v>37°F</v>
      </c>
      <c r="P40" s="55" t="str">
        <f ca="1">IFERROR(__xludf.DUMMYFUNCTION("""COMPUTED_VALUE"""),"Tromsø")</f>
        <v>Tromsø</v>
      </c>
      <c r="Q40" s="55" t="str">
        <f ca="1">IFERROR(__xludf.DUMMYFUNCTION("""COMPUTED_VALUE"""),"")</f>
        <v/>
      </c>
      <c r="R40" s="55" t="str">
        <f ca="1">IFERROR(__xludf.DUMMYFUNCTION("""COMPUTED_VALUE"""),"")</f>
        <v/>
      </c>
      <c r="S40" s="55" t="str">
        <f ca="1">IFERROR(__xludf.DUMMYFUNCTION("""COMPUTED_VALUE"""),"citadel")</f>
        <v>citadel</v>
      </c>
      <c r="T40" s="55" t="str">
        <f ca="1">IFERROR(__xludf.DUMMYFUNCTION("""COMPUTED_VALUE"""),"")</f>
        <v/>
      </c>
      <c r="U40" s="55" t="str">
        <f ca="1">IFERROR(__xludf.DUMMYFUNCTION("""COMPUTED_VALUE"""),"")</f>
        <v/>
      </c>
      <c r="V40" s="189" t="str">
        <f ca="1">IFERROR(__xludf.DUMMYFUNCTION("""COMPUTED_VALUE"""),"")</f>
        <v/>
      </c>
      <c r="W40" s="189" t="str">
        <f ca="1">IFERROR(__xludf.DUMMYFUNCTION("""COMPUTED_VALUE"""),"")</f>
        <v/>
      </c>
      <c r="X40" s="189" t="str">
        <f ca="1">IFERROR(__xludf.DUMMYFUNCTION("""COMPUTED_VALUE"""),"{t1:gules;division:{division:perFess;t:argent;line:dentilly};charges:[{charge:lionRampant;t:or;p:k;size:0.7};{charge:dragonRampant;t:azure;p:n;size:0.7}];shield:fantasy5}")</f>
        <v>{t1:gules;division:{division:perFess;t:argent;line:dentilly};charges:[{charge:lionRampant;t:or;p:k;size:0.7};{charge:dragonRampant;t:azure;p:n;size:0.7}];shield:fantasy5}</v>
      </c>
      <c r="Y40" s="193" t="str">
        <f ca="1">IFERROR(__xludf.DUMMYFUNCTION("""COMPUTED_VALUE"""),"https://watabou.github.io/city-generator/?name=Casthclif&amp;population=18673&amp;size=39&amp;seed=3550748350226&amp;river=1&amp;coast=0&amp;farms=1&amp;citadel=1&amp;urban_castle=1&amp;hub=false&amp;plaza=0&amp;temple=0&amp;walls=0&amp;shantytown=0&amp;gates=-1")</f>
        <v>https://watabou.github.io/city-generator/?name=Casthclif&amp;population=18673&amp;size=39&amp;seed=3550748350226&amp;river=1&amp;coast=0&amp;farms=1&amp;citadel=1&amp;urban_castle=1&amp;hub=false&amp;plaza=0&amp;temple=0&amp;walls=0&amp;shantytown=0&amp;gates=-1</v>
      </c>
      <c r="Z40" s="189"/>
    </row>
    <row r="41" spans="1:26" ht="15" x14ac:dyDescent="0.25">
      <c r="A41" s="55">
        <f ca="1">IFERROR(__xludf.DUMMYFUNCTION("""COMPUTED_VALUE"""),236)</f>
        <v>236</v>
      </c>
      <c r="B41" s="55" t="str">
        <f ca="1">IFERROR(__xludf.DUMMYFUNCTION("""COMPUTED_VALUE"""),"Shaterse")</f>
        <v>Shaterse</v>
      </c>
      <c r="C41" s="55" t="str">
        <f ca="1">IFERROR(__xludf.DUMMYFUNCTION("""COMPUTED_VALUE"""),"Swanhall")</f>
        <v>Swanhall</v>
      </c>
      <c r="D41" s="55" t="str">
        <f ca="1">IFERROR(__xludf.DUMMYFUNCTION("""COMPUTED_VALUE"""),"Swanhall Province")</f>
        <v>Swanhall Province</v>
      </c>
      <c r="E41" s="55" t="str">
        <f ca="1">IFERROR(__xludf.DUMMYFUNCTION("""COMPUTED_VALUE"""),"Shavia")</f>
        <v>Shavia</v>
      </c>
      <c r="F41" s="55" t="str">
        <f ca="1">IFERROR(__xludf.DUMMYFUNCTION("""COMPUTED_VALUE"""),"Kingdom of Shavia")</f>
        <v>Kingdom of Shavia</v>
      </c>
      <c r="G41" s="55" t="str">
        <f ca="1">IFERROR(__xludf.DUMMYFUNCTION("""COMPUTED_VALUE"""),"Shavian")</f>
        <v>Shavian</v>
      </c>
      <c r="H41" s="55" t="str">
        <f ca="1">IFERROR(__xludf.DUMMYFUNCTION("""COMPUTED_VALUE"""),"Path of Guiding Light")</f>
        <v>Path of Guiding Light</v>
      </c>
      <c r="I41" s="55">
        <f ca="1">IFERROR(__xludf.DUMMYFUNCTION("""COMPUTED_VALUE"""),2831)</f>
        <v>2831</v>
      </c>
      <c r="J41" s="55">
        <f ca="1">IFERROR(__xludf.DUMMYFUNCTION("""COMPUTED_VALUE"""),871.5)</f>
        <v>871.5</v>
      </c>
      <c r="K41" s="55">
        <f ca="1">IFERROR(__xludf.DUMMYFUNCTION("""COMPUTED_VALUE"""),835.5)</f>
        <v>835.5</v>
      </c>
      <c r="L41" s="55">
        <f ca="1">IFERROR(__xludf.DUMMYFUNCTION("""COMPUTED_VALUE"""),-34.15)</f>
        <v>-34.15</v>
      </c>
      <c r="M41" s="55">
        <f ca="1">IFERROR(__xludf.DUMMYFUNCTION("""COMPUTED_VALUE"""),3.15)</f>
        <v>3.15</v>
      </c>
      <c r="N41" s="55">
        <f ca="1">IFERROR(__xludf.DUMMYFUNCTION("""COMPUTED_VALUE"""),82)</f>
        <v>82</v>
      </c>
      <c r="O41" s="55" t="str">
        <f ca="1">IFERROR(__xludf.DUMMYFUNCTION("""COMPUTED_VALUE"""),"39°F")</f>
        <v>39°F</v>
      </c>
      <c r="P41" s="55" t="str">
        <f ca="1">IFERROR(__xludf.DUMMYFUNCTION("""COMPUTED_VALUE"""),"Reykjavik")</f>
        <v>Reykjavik</v>
      </c>
      <c r="Q41" s="55" t="str">
        <f ca="1">IFERROR(__xludf.DUMMYFUNCTION("""COMPUTED_VALUE"""),"")</f>
        <v/>
      </c>
      <c r="R41" s="55" t="str">
        <f ca="1">IFERROR(__xludf.DUMMYFUNCTION("""COMPUTED_VALUE"""),"port")</f>
        <v>port</v>
      </c>
      <c r="S41" s="55" t="str">
        <f ca="1">IFERROR(__xludf.DUMMYFUNCTION("""COMPUTED_VALUE"""),"citadel")</f>
        <v>citadel</v>
      </c>
      <c r="T41" s="55" t="str">
        <f ca="1">IFERROR(__xludf.DUMMYFUNCTION("""COMPUTED_VALUE"""),"walls")</f>
        <v>walls</v>
      </c>
      <c r="U41" s="55" t="str">
        <f ca="1">IFERROR(__xludf.DUMMYFUNCTION("""COMPUTED_VALUE"""),"plaza")</f>
        <v>plaza</v>
      </c>
      <c r="V41" s="189" t="str">
        <f ca="1">IFERROR(__xludf.DUMMYFUNCTION("""COMPUTED_VALUE"""),"")</f>
        <v/>
      </c>
      <c r="W41" s="189" t="str">
        <f ca="1">IFERROR(__xludf.DUMMYFUNCTION("""COMPUTED_VALUE"""),"")</f>
        <v/>
      </c>
      <c r="X41" s="189" t="str">
        <f ca="1">IFERROR(__xludf.DUMMYFUNCTION("""COMPUTED_VALUE"""),"{t1:azure;ordinaries:[{ordinary:cross;t:argent;line:wavy}];charges:[{charge:inescutcheon;t:sable;p:behdf;size:0.3};{charge:sabre2;t:or;p:behdf;size:0.15}];shield:horsehead2}")</f>
        <v>{t1:azure;ordinaries:[{ordinary:cross;t:argent;line:wavy}];charges:[{charge:inescutcheon;t:sable;p:behdf;size:0.3};{charge:sabre2;t:or;p:behdf;size:0.15}];shield:horsehead2}</v>
      </c>
      <c r="Y41" s="193" t="str">
        <f ca="1">IFERROR(__xludf.DUMMYFUNCTION("""COMPUTED_VALUE"""),"https://watabou.github.io/city-generator/?name=Shaterse&amp;population=2831&amp;size=19&amp;seed=3550748350236&amp;river=0&amp;coast=1&amp;farms=1&amp;citadel=1&amp;urban_castle=1&amp;hub=false&amp;plaza=1&amp;temple=0&amp;walls=1&amp;shantytown=0&amp;gates=-1&amp;sea=1.57")</f>
        <v>https://watabou.github.io/city-generator/?name=Shaterse&amp;population=2831&amp;size=19&amp;seed=3550748350236&amp;river=0&amp;coast=1&amp;farms=1&amp;citadel=1&amp;urban_castle=1&amp;hub=false&amp;plaza=1&amp;temple=0&amp;walls=1&amp;shantytown=0&amp;gates=-1&amp;sea=1.57</v>
      </c>
      <c r="Z41" s="189"/>
    </row>
    <row r="42" spans="1:26" ht="15" x14ac:dyDescent="0.25">
      <c r="A42" s="55">
        <f ca="1">IFERROR(__xludf.DUMMYFUNCTION("""COMPUTED_VALUE"""),246)</f>
        <v>246</v>
      </c>
      <c r="B42" s="55" t="str">
        <f ca="1">IFERROR(__xludf.DUMMYFUNCTION("""COMPUTED_VALUE"""),"Rorestle")</f>
        <v>Rorestle</v>
      </c>
      <c r="C42" s="55" t="str">
        <f ca="1">IFERROR(__xludf.DUMMYFUNCTION("""COMPUTED_VALUE"""),"Sirong")</f>
        <v>Sirong</v>
      </c>
      <c r="D42" s="55" t="str">
        <f ca="1">IFERROR(__xludf.DUMMYFUNCTION("""COMPUTED_VALUE"""),"Sirong Lordship")</f>
        <v>Sirong Lordship</v>
      </c>
      <c r="E42" s="55" t="str">
        <f ca="1">IFERROR(__xludf.DUMMYFUNCTION("""COMPUTED_VALUE"""),"Shavia")</f>
        <v>Shavia</v>
      </c>
      <c r="F42" s="55" t="str">
        <f ca="1">IFERROR(__xludf.DUMMYFUNCTION("""COMPUTED_VALUE"""),"Kingdom of Shavia")</f>
        <v>Kingdom of Shavia</v>
      </c>
      <c r="G42" s="55" t="str">
        <f ca="1">IFERROR(__xludf.DUMMYFUNCTION("""COMPUTED_VALUE"""),"Shavian")</f>
        <v>Shavian</v>
      </c>
      <c r="H42" s="55" t="str">
        <f ca="1">IFERROR(__xludf.DUMMYFUNCTION("""COMPUTED_VALUE"""),"Path of Guiding Light")</f>
        <v>Path of Guiding Light</v>
      </c>
      <c r="I42" s="55">
        <f ca="1">IFERROR(__xludf.DUMMYFUNCTION("""COMPUTED_VALUE"""),1788)</f>
        <v>1788</v>
      </c>
      <c r="J42" s="55">
        <f ca="1">IFERROR(__xludf.DUMMYFUNCTION("""COMPUTED_VALUE"""),381.089890989662)</f>
        <v>381.08989098966202</v>
      </c>
      <c r="K42" s="55">
        <f ca="1">IFERROR(__xludf.DUMMYFUNCTION("""COMPUTED_VALUE"""),724.770263120449)</f>
        <v>724.77026312044904</v>
      </c>
      <c r="L42" s="55">
        <f ca="1">IFERROR(__xludf.DUMMYFUNCTION("""COMPUTED_VALUE"""),-30.57)</f>
        <v>-30.57</v>
      </c>
      <c r="M42" s="55">
        <f ca="1">IFERROR(__xludf.DUMMYFUNCTION("""COMPUTED_VALUE"""),-12.69)</f>
        <v>-12.69</v>
      </c>
      <c r="N42" s="55">
        <f ca="1">IFERROR(__xludf.DUMMYFUNCTION("""COMPUTED_VALUE"""),397)</f>
        <v>397</v>
      </c>
      <c r="O42" s="55" t="str">
        <f ca="1">IFERROR(__xludf.DUMMYFUNCTION("""COMPUTED_VALUE"""),"41°F")</f>
        <v>41°F</v>
      </c>
      <c r="P42" s="55" t="str">
        <f ca="1">IFERROR(__xludf.DUMMYFUNCTION("""COMPUTED_VALUE"""),"Riga")</f>
        <v>Riga</v>
      </c>
      <c r="Q42" s="55" t="str">
        <f ca="1">IFERROR(__xludf.DUMMYFUNCTION("""COMPUTED_VALUE"""),"")</f>
        <v/>
      </c>
      <c r="R42" s="55" t="str">
        <f ca="1">IFERROR(__xludf.DUMMYFUNCTION("""COMPUTED_VALUE"""),"")</f>
        <v/>
      </c>
      <c r="S42" s="55" t="str">
        <f ca="1">IFERROR(__xludf.DUMMYFUNCTION("""COMPUTED_VALUE"""),"citadel")</f>
        <v>citadel</v>
      </c>
      <c r="T42" s="55" t="str">
        <f ca="1">IFERROR(__xludf.DUMMYFUNCTION("""COMPUTED_VALUE"""),"walls")</f>
        <v>walls</v>
      </c>
      <c r="U42" s="55" t="str">
        <f ca="1">IFERROR(__xludf.DUMMYFUNCTION("""COMPUTED_VALUE"""),"")</f>
        <v/>
      </c>
      <c r="V42" s="189" t="str">
        <f ca="1">IFERROR(__xludf.DUMMYFUNCTION("""COMPUTED_VALUE"""),"")</f>
        <v/>
      </c>
      <c r="W42" s="189" t="str">
        <f ca="1">IFERROR(__xludf.DUMMYFUNCTION("""COMPUTED_VALUE"""),"")</f>
        <v/>
      </c>
      <c r="X42" s="189" t="str">
        <f ca="1">IFERROR(__xludf.DUMMYFUNCTION("""COMPUTED_VALUE"""),"{t1:gules;charges:[{charge:lionRampant;t:argent;p:def;size:0.5}];shield:fantasy5}")</f>
        <v>{t1:gules;charges:[{charge:lionRampant;t:argent;p:def;size:0.5}];shield:fantasy5}</v>
      </c>
      <c r="Y42" s="193" t="str">
        <f ca="1">IFERROR(__xludf.DUMMYFUNCTION("""COMPUTED_VALUE"""),"https://watabou.github.io/city-generator/?name=Rorestle&amp;population=1788&amp;size=16&amp;seed=3550748350246&amp;river=0&amp;coast=0&amp;farms=1&amp;citadel=1&amp;urban_castle=1&amp;hub=false&amp;plaza=0&amp;temple=0&amp;walls=1&amp;shantytown=0&amp;gates=-1")</f>
        <v>https://watabou.github.io/city-generator/?name=Rorestle&amp;population=1788&amp;size=16&amp;seed=3550748350246&amp;river=0&amp;coast=0&amp;farms=1&amp;citadel=1&amp;urban_castle=1&amp;hub=false&amp;plaza=0&amp;temple=0&amp;walls=1&amp;shantytown=0&amp;gates=-1</v>
      </c>
      <c r="Z42" s="189"/>
    </row>
    <row r="43" spans="1:26" ht="15" x14ac:dyDescent="0.25">
      <c r="A43" s="55">
        <f ca="1">IFERROR(__xludf.DUMMYFUNCTION("""COMPUTED_VALUE"""),247)</f>
        <v>247</v>
      </c>
      <c r="B43" s="55" t="str">
        <f ca="1">IFERROR(__xludf.DUMMYFUNCTION("""COMPUTED_VALUE"""),"Pondhol")</f>
        <v>Pondhol</v>
      </c>
      <c r="C43" s="55" t="str">
        <f ca="1">IFERROR(__xludf.DUMMYFUNCTION("""COMPUTED_VALUE"""),"Dreghold")</f>
        <v>Dreghold</v>
      </c>
      <c r="D43" s="55" t="str">
        <f ca="1">IFERROR(__xludf.DUMMYFUNCTION("""COMPUTED_VALUE"""),"Dreghold Province")</f>
        <v>Dreghold Province</v>
      </c>
      <c r="E43" s="55" t="str">
        <f ca="1">IFERROR(__xludf.DUMMYFUNCTION("""COMPUTED_VALUE"""),"Shavia")</f>
        <v>Shavia</v>
      </c>
      <c r="F43" s="55" t="str">
        <f ca="1">IFERROR(__xludf.DUMMYFUNCTION("""COMPUTED_VALUE"""),"Kingdom of Shavia")</f>
        <v>Kingdom of Shavia</v>
      </c>
      <c r="G43" s="55" t="str">
        <f ca="1">IFERROR(__xludf.DUMMYFUNCTION("""COMPUTED_VALUE"""),"Shavian")</f>
        <v>Shavian</v>
      </c>
      <c r="H43" s="55" t="str">
        <f ca="1">IFERROR(__xludf.DUMMYFUNCTION("""COMPUTED_VALUE"""),"Path of Guiding Light")</f>
        <v>Path of Guiding Light</v>
      </c>
      <c r="I43" s="55">
        <f ca="1">IFERROR(__xludf.DUMMYFUNCTION("""COMPUTED_VALUE"""),23261)</f>
        <v>23261</v>
      </c>
      <c r="J43" s="55">
        <f ca="1">IFERROR(__xludf.DUMMYFUNCTION("""COMPUTED_VALUE"""),596.317945085717)</f>
        <v>596.31794508571704</v>
      </c>
      <c r="K43" s="55">
        <f ca="1">IFERROR(__xludf.DUMMYFUNCTION("""COMPUTED_VALUE"""),894.593936150756)</f>
        <v>894.59393615075601</v>
      </c>
      <c r="L43" s="55">
        <f ca="1">IFERROR(__xludf.DUMMYFUNCTION("""COMPUTED_VALUE"""),-36.07)</f>
        <v>-36.07</v>
      </c>
      <c r="M43" s="55">
        <f ca="1">IFERROR(__xludf.DUMMYFUNCTION("""COMPUTED_VALUE"""),-5.74)</f>
        <v>-5.74</v>
      </c>
      <c r="N43" s="55">
        <f ca="1">IFERROR(__xludf.DUMMYFUNCTION("""COMPUTED_VALUE"""),82)</f>
        <v>82</v>
      </c>
      <c r="O43" s="55" t="str">
        <f ca="1">IFERROR(__xludf.DUMMYFUNCTION("""COMPUTED_VALUE"""),"39°F")</f>
        <v>39°F</v>
      </c>
      <c r="P43" s="55" t="str">
        <f ca="1">IFERROR(__xludf.DUMMYFUNCTION("""COMPUTED_VALUE"""),"Reykjavik")</f>
        <v>Reykjavik</v>
      </c>
      <c r="Q43" s="55" t="str">
        <f ca="1">IFERROR(__xludf.DUMMYFUNCTION("""COMPUTED_VALUE"""),"")</f>
        <v/>
      </c>
      <c r="R43" s="55" t="str">
        <f ca="1">IFERROR(__xludf.DUMMYFUNCTION("""COMPUTED_VALUE"""),"")</f>
        <v/>
      </c>
      <c r="S43" s="55" t="str">
        <f ca="1">IFERROR(__xludf.DUMMYFUNCTION("""COMPUTED_VALUE"""),"")</f>
        <v/>
      </c>
      <c r="T43" s="55" t="str">
        <f ca="1">IFERROR(__xludf.DUMMYFUNCTION("""COMPUTED_VALUE"""),"walls")</f>
        <v>walls</v>
      </c>
      <c r="U43" s="55" t="str">
        <f ca="1">IFERROR(__xludf.DUMMYFUNCTION("""COMPUTED_VALUE"""),"")</f>
        <v/>
      </c>
      <c r="V43" s="189" t="str">
        <f ca="1">IFERROR(__xludf.DUMMYFUNCTION("""COMPUTED_VALUE"""),"temple")</f>
        <v>temple</v>
      </c>
      <c r="W43" s="189" t="str">
        <f ca="1">IFERROR(__xludf.DUMMYFUNCTION("""COMPUTED_VALUE"""),"")</f>
        <v/>
      </c>
      <c r="X43" s="189" t="str">
        <f ca="1">IFERROR(__xludf.DUMMYFUNCTION("""COMPUTED_VALUE"""),"{t1:gules;division:{division:perFess;t:chainy-argent-sable-small;line:straight};charges:[{charge:crossPattee;t:or;p:k;size:0.7};{charge:anchor;t:azure;p:n;size:0.7}];shield:horsehead2}")</f>
        <v>{t1:gules;division:{division:perFess;t:chainy-argent-sable-small;line:straight};charges:[{charge:crossPattee;t:or;p:k;size:0.7};{charge:anchor;t:azure;p:n;size:0.7}];shield:horsehead2}</v>
      </c>
      <c r="Y43" s="193" t="str">
        <f ca="1">IFERROR(__xludf.DUMMYFUNCTION("""COMPUTED_VALUE"""),"https://watabou.github.io/city-generator/?name=Pondhol&amp;population=23261&amp;size=43&amp;seed=3550748350247&amp;river=0&amp;coast=0&amp;farms=1&amp;citadel=0&amp;urban_castle=0&amp;hub=false&amp;plaza=0&amp;temple=1&amp;walls=1&amp;shantytown=0&amp;gates=-1")</f>
        <v>https://watabou.github.io/city-generator/?name=Pondhol&amp;population=23261&amp;size=43&amp;seed=3550748350247&amp;river=0&amp;coast=0&amp;farms=1&amp;citadel=0&amp;urban_castle=0&amp;hub=false&amp;plaza=0&amp;temple=1&amp;walls=1&amp;shantytown=0&amp;gates=-1</v>
      </c>
      <c r="Z43" s="189"/>
    </row>
    <row r="44" spans="1:26" ht="15" x14ac:dyDescent="0.25">
      <c r="A44" s="55">
        <f ca="1">IFERROR(__xludf.DUMMYFUNCTION("""COMPUTED_VALUE"""),260)</f>
        <v>260</v>
      </c>
      <c r="B44" s="55" t="str">
        <f ca="1">IFERROR(__xludf.DUMMYFUNCTION("""COMPUTED_VALUE"""),"Drayvakec")</f>
        <v>Drayvakec</v>
      </c>
      <c r="C44" s="55" t="str">
        <f ca="1">IFERROR(__xludf.DUMMYFUNCTION("""COMPUTED_VALUE"""),"Swanhall")</f>
        <v>Swanhall</v>
      </c>
      <c r="D44" s="55" t="str">
        <f ca="1">IFERROR(__xludf.DUMMYFUNCTION("""COMPUTED_VALUE"""),"Swanhall Province")</f>
        <v>Swanhall Province</v>
      </c>
      <c r="E44" s="55" t="str">
        <f ca="1">IFERROR(__xludf.DUMMYFUNCTION("""COMPUTED_VALUE"""),"Shavia")</f>
        <v>Shavia</v>
      </c>
      <c r="F44" s="55" t="str">
        <f ca="1">IFERROR(__xludf.DUMMYFUNCTION("""COMPUTED_VALUE"""),"Kingdom of Shavia")</f>
        <v>Kingdom of Shavia</v>
      </c>
      <c r="G44" s="55" t="str">
        <f ca="1">IFERROR(__xludf.DUMMYFUNCTION("""COMPUTED_VALUE"""),"Eastern Shavian")</f>
        <v>Eastern Shavian</v>
      </c>
      <c r="H44" s="55" t="str">
        <f ca="1">IFERROR(__xludf.DUMMYFUNCTION("""COMPUTED_VALUE"""),"Path of Guiding Light")</f>
        <v>Path of Guiding Light</v>
      </c>
      <c r="I44" s="55">
        <f ca="1">IFERROR(__xludf.DUMMYFUNCTION("""COMPUTED_VALUE"""),1875)</f>
        <v>1875</v>
      </c>
      <c r="J44" s="55">
        <f ca="1">IFERROR(__xludf.DUMMYFUNCTION("""COMPUTED_VALUE"""),1193.25029658532)</f>
        <v>1193.25029658532</v>
      </c>
      <c r="K44" s="55">
        <f ca="1">IFERROR(__xludf.DUMMYFUNCTION("""COMPUTED_VALUE"""),790.414916928749)</f>
        <v>790.41491692874899</v>
      </c>
      <c r="L44" s="55">
        <f ca="1">IFERROR(__xludf.DUMMYFUNCTION("""COMPUTED_VALUE"""),-32.69)</f>
        <v>-32.69</v>
      </c>
      <c r="M44" s="55">
        <f ca="1">IFERROR(__xludf.DUMMYFUNCTION("""COMPUTED_VALUE"""),13.54)</f>
        <v>13.54</v>
      </c>
      <c r="N44" s="55">
        <f ca="1">IFERROR(__xludf.DUMMYFUNCTION("""COMPUTED_VALUE"""),52)</f>
        <v>52</v>
      </c>
      <c r="O44" s="55" t="str">
        <f ca="1">IFERROR(__xludf.DUMMYFUNCTION("""COMPUTED_VALUE"""),"41°F")</f>
        <v>41°F</v>
      </c>
      <c r="P44" s="55" t="str">
        <f ca="1">IFERROR(__xludf.DUMMYFUNCTION("""COMPUTED_VALUE"""),"Riga")</f>
        <v>Riga</v>
      </c>
      <c r="Q44" s="55" t="str">
        <f ca="1">IFERROR(__xludf.DUMMYFUNCTION("""COMPUTED_VALUE"""),"")</f>
        <v/>
      </c>
      <c r="R44" s="55" t="str">
        <f ca="1">IFERROR(__xludf.DUMMYFUNCTION("""COMPUTED_VALUE"""),"")</f>
        <v/>
      </c>
      <c r="S44" s="55" t="str">
        <f ca="1">IFERROR(__xludf.DUMMYFUNCTION("""COMPUTED_VALUE"""),"")</f>
        <v/>
      </c>
      <c r="T44" s="55" t="str">
        <f ca="1">IFERROR(__xludf.DUMMYFUNCTION("""COMPUTED_VALUE"""),"")</f>
        <v/>
      </c>
      <c r="U44" s="55" t="str">
        <f ca="1">IFERROR(__xludf.DUMMYFUNCTION("""COMPUTED_VALUE"""),"plaza")</f>
        <v>plaza</v>
      </c>
      <c r="V44" s="189" t="str">
        <f ca="1">IFERROR(__xludf.DUMMYFUNCTION("""COMPUTED_VALUE"""),"")</f>
        <v/>
      </c>
      <c r="W44" s="189" t="str">
        <f ca="1">IFERROR(__xludf.DUMMYFUNCTION("""COMPUTED_VALUE"""),"")</f>
        <v/>
      </c>
      <c r="X44" s="189" t="str">
        <f ca="1">IFERROR(__xludf.DUMMYFUNCTION("""COMPUTED_VALUE"""),"{t1:vert;ordinaries:[{ordinary:cross;t:or;line:bevilled}];charges:[{charge:oak;t:azure;p:beh;size:0.3}];shield:horsehead2}")</f>
        <v>{t1:vert;ordinaries:[{ordinary:cross;t:or;line:bevilled}];charges:[{charge:oak;t:azure;p:beh;size:0.3}];shield:horsehead2}</v>
      </c>
      <c r="Y44" s="193" t="str">
        <f ca="1">IFERROR(__xludf.DUMMYFUNCTION("""COMPUTED_VALUE"""),"https://watabou.github.io/village-generator/?pop=1875&amp;name=&amp;seed=3550748350260&amp;width=1600&amp;height=727&amp;tags=highway%2Cdense")</f>
        <v>https://watabou.github.io/village-generator/?pop=1875&amp;name=&amp;seed=3550748350260&amp;width=1600&amp;height=727&amp;tags=highway%2Cdense</v>
      </c>
      <c r="Z44" s="189"/>
    </row>
    <row r="45" spans="1:26" ht="15" x14ac:dyDescent="0.25">
      <c r="A45" s="55">
        <f ca="1">IFERROR(__xludf.DUMMYFUNCTION("""COMPUTED_VALUE"""),261)</f>
        <v>261</v>
      </c>
      <c r="B45" s="55" t="str">
        <f ca="1">IFERROR(__xludf.DUMMYFUNCTION("""COMPUTED_VALUE"""),"Deercross")</f>
        <v>Deercross</v>
      </c>
      <c r="C45" s="55" t="str">
        <f ca="1">IFERROR(__xludf.DUMMYFUNCTION("""COMPUTED_VALUE"""),"Swanhall")</f>
        <v>Swanhall</v>
      </c>
      <c r="D45" s="55" t="str">
        <f ca="1">IFERROR(__xludf.DUMMYFUNCTION("""COMPUTED_VALUE"""),"Swanhall Province")</f>
        <v>Swanhall Province</v>
      </c>
      <c r="E45" s="55" t="str">
        <f ca="1">IFERROR(__xludf.DUMMYFUNCTION("""COMPUTED_VALUE"""),"Shavia")</f>
        <v>Shavia</v>
      </c>
      <c r="F45" s="55" t="str">
        <f ca="1">IFERROR(__xludf.DUMMYFUNCTION("""COMPUTED_VALUE"""),"Kingdom of Shavia")</f>
        <v>Kingdom of Shavia</v>
      </c>
      <c r="G45" s="55" t="str">
        <f ca="1">IFERROR(__xludf.DUMMYFUNCTION("""COMPUTED_VALUE"""),"Shavian")</f>
        <v>Shavian</v>
      </c>
      <c r="H45" s="55" t="str">
        <f ca="1">IFERROR(__xludf.DUMMYFUNCTION("""COMPUTED_VALUE"""),"Path of Guiding Light")</f>
        <v>Path of Guiding Light</v>
      </c>
      <c r="I45" s="55">
        <f ca="1">IFERROR(__xludf.DUMMYFUNCTION("""COMPUTED_VALUE"""),2192)</f>
        <v>2192</v>
      </c>
      <c r="J45" s="55">
        <f ca="1">IFERROR(__xludf.DUMMYFUNCTION("""COMPUTED_VALUE"""),852.201700873303)</f>
        <v>852.20170087330303</v>
      </c>
      <c r="K45" s="55">
        <f ca="1">IFERROR(__xludf.DUMMYFUNCTION("""COMPUTED_VALUE"""),840.704209973708)</f>
        <v>840.70420997370798</v>
      </c>
      <c r="L45" s="55">
        <f ca="1">IFERROR(__xludf.DUMMYFUNCTION("""COMPUTED_VALUE"""),-34.32)</f>
        <v>-34.32</v>
      </c>
      <c r="M45" s="55">
        <f ca="1">IFERROR(__xludf.DUMMYFUNCTION("""COMPUTED_VALUE"""),2.53)</f>
        <v>2.5299999999999998</v>
      </c>
      <c r="N45" s="55">
        <f ca="1">IFERROR(__xludf.DUMMYFUNCTION("""COMPUTED_VALUE"""),82)</f>
        <v>82</v>
      </c>
      <c r="O45" s="55" t="str">
        <f ca="1">IFERROR(__xludf.DUMMYFUNCTION("""COMPUTED_VALUE"""),"39°F")</f>
        <v>39°F</v>
      </c>
      <c r="P45" s="55" t="str">
        <f ca="1">IFERROR(__xludf.DUMMYFUNCTION("""COMPUTED_VALUE"""),"Reykjavik")</f>
        <v>Reykjavik</v>
      </c>
      <c r="Q45" s="55" t="str">
        <f ca="1">IFERROR(__xludf.DUMMYFUNCTION("""COMPUTED_VALUE"""),"")</f>
        <v/>
      </c>
      <c r="R45" s="55" t="str">
        <f ca="1">IFERROR(__xludf.DUMMYFUNCTION("""COMPUTED_VALUE"""),"")</f>
        <v/>
      </c>
      <c r="S45" s="55" t="str">
        <f ca="1">IFERROR(__xludf.DUMMYFUNCTION("""COMPUTED_VALUE"""),"citadel")</f>
        <v>citadel</v>
      </c>
      <c r="T45" s="55" t="str">
        <f ca="1">IFERROR(__xludf.DUMMYFUNCTION("""COMPUTED_VALUE"""),"walls")</f>
        <v>walls</v>
      </c>
      <c r="U45" s="55" t="str">
        <f ca="1">IFERROR(__xludf.DUMMYFUNCTION("""COMPUTED_VALUE"""),"")</f>
        <v/>
      </c>
      <c r="V45" s="189" t="str">
        <f ca="1">IFERROR(__xludf.DUMMYFUNCTION("""COMPUTED_VALUE"""),"")</f>
        <v/>
      </c>
      <c r="W45" s="189" t="str">
        <f ca="1">IFERROR(__xludf.DUMMYFUNCTION("""COMPUTED_VALUE"""),"")</f>
        <v/>
      </c>
      <c r="X45" s="189" t="str">
        <f ca="1">IFERROR(__xludf.DUMMYFUNCTION("""COMPUTED_VALUE"""),"{t1:bendySinister-azure-or;division:{division:perPale;t:palyBendy-argent-gules;line:straight};charges:[{charge:carreau;t:purpure;p:p;size:0.7};{charge:bell;t:purpure;p:q;size:0.7}];shield:horsehead2}")</f>
        <v>{t1:bendySinister-azure-or;division:{division:perPale;t:palyBendy-argent-gules;line:straight};charges:[{charge:carreau;t:purpure;p:p;size:0.7};{charge:bell;t:purpure;p:q;size:0.7}];shield:horsehead2}</v>
      </c>
      <c r="Y45" s="193" t="str">
        <f ca="1">IFERROR(__xludf.DUMMYFUNCTION("""COMPUTED_VALUE"""),"https://watabou.github.io/city-generator/?name=Deercross&amp;population=2192&amp;size=17&amp;seed=3550748350261&amp;river=1&amp;coast=0&amp;farms=1&amp;citadel=1&amp;urban_castle=0&amp;hub=false&amp;plaza=0&amp;temple=0&amp;walls=1&amp;shantytown=0&amp;gates=-1")</f>
        <v>https://watabou.github.io/city-generator/?name=Deercross&amp;population=2192&amp;size=17&amp;seed=3550748350261&amp;river=1&amp;coast=0&amp;farms=1&amp;citadel=1&amp;urban_castle=0&amp;hub=false&amp;plaza=0&amp;temple=0&amp;walls=1&amp;shantytown=0&amp;gates=-1</v>
      </c>
      <c r="Z45" s="189"/>
    </row>
    <row r="46" spans="1:26" ht="15" x14ac:dyDescent="0.25">
      <c r="A46" s="55">
        <f ca="1">IFERROR(__xludf.DUMMYFUNCTION("""COMPUTED_VALUE"""),262)</f>
        <v>262</v>
      </c>
      <c r="B46" s="55" t="str">
        <f ca="1">IFERROR(__xludf.DUMMYFUNCTION("""COMPUTED_VALUE"""),"Shaken")</f>
        <v>Shaken</v>
      </c>
      <c r="C46" s="55" t="str">
        <f ca="1">IFERROR(__xludf.DUMMYFUNCTION("""COMPUTED_VALUE"""),"Swanhall")</f>
        <v>Swanhall</v>
      </c>
      <c r="D46" s="55" t="str">
        <f ca="1">IFERROR(__xludf.DUMMYFUNCTION("""COMPUTED_VALUE"""),"Swanhall Province")</f>
        <v>Swanhall Province</v>
      </c>
      <c r="E46" s="55" t="str">
        <f ca="1">IFERROR(__xludf.DUMMYFUNCTION("""COMPUTED_VALUE"""),"Shavia")</f>
        <v>Shavia</v>
      </c>
      <c r="F46" s="55" t="str">
        <f ca="1">IFERROR(__xludf.DUMMYFUNCTION("""COMPUTED_VALUE"""),"Kingdom of Shavia")</f>
        <v>Kingdom of Shavia</v>
      </c>
      <c r="G46" s="55" t="str">
        <f ca="1">IFERROR(__xludf.DUMMYFUNCTION("""COMPUTED_VALUE"""),"Dail")</f>
        <v>Dail</v>
      </c>
      <c r="H46" s="55" t="str">
        <f ca="1">IFERROR(__xludf.DUMMYFUNCTION("""COMPUTED_VALUE"""),"Path of Guiding Light")</f>
        <v>Path of Guiding Light</v>
      </c>
      <c r="I46" s="55">
        <f ca="1">IFERROR(__xludf.DUMMYFUNCTION("""COMPUTED_VALUE"""),8656)</f>
        <v>8656</v>
      </c>
      <c r="J46" s="55">
        <f ca="1">IFERROR(__xludf.DUMMYFUNCTION("""COMPUTED_VALUE"""),1167.32717803428)</f>
        <v>1167.32717803428</v>
      </c>
      <c r="K46" s="55">
        <f ca="1">IFERROR(__xludf.DUMMYFUNCTION("""COMPUTED_VALUE"""),846.328670380052)</f>
        <v>846.32867038005202</v>
      </c>
      <c r="L46" s="55">
        <f ca="1">IFERROR(__xludf.DUMMYFUNCTION("""COMPUTED_VALUE"""),-34.5)</f>
        <v>-34.5</v>
      </c>
      <c r="M46" s="55">
        <f ca="1">IFERROR(__xludf.DUMMYFUNCTION("""COMPUTED_VALUE"""),12.7)</f>
        <v>12.7</v>
      </c>
      <c r="N46" s="55">
        <f ca="1">IFERROR(__xludf.DUMMYFUNCTION("""COMPUTED_VALUE"""),52)</f>
        <v>52</v>
      </c>
      <c r="O46" s="55" t="str">
        <f ca="1">IFERROR(__xludf.DUMMYFUNCTION("""COMPUTED_VALUE"""),"39°F")</f>
        <v>39°F</v>
      </c>
      <c r="P46" s="55" t="str">
        <f ca="1">IFERROR(__xludf.DUMMYFUNCTION("""COMPUTED_VALUE"""),"Reykjavik")</f>
        <v>Reykjavik</v>
      </c>
      <c r="Q46" s="55" t="str">
        <f ca="1">IFERROR(__xludf.DUMMYFUNCTION("""COMPUTED_VALUE"""),"")</f>
        <v/>
      </c>
      <c r="R46" s="55" t="str">
        <f ca="1">IFERROR(__xludf.DUMMYFUNCTION("""COMPUTED_VALUE"""),"")</f>
        <v/>
      </c>
      <c r="S46" s="55" t="str">
        <f ca="1">IFERROR(__xludf.DUMMYFUNCTION("""COMPUTED_VALUE"""),"citadel")</f>
        <v>citadel</v>
      </c>
      <c r="T46" s="55" t="str">
        <f ca="1">IFERROR(__xludf.DUMMYFUNCTION("""COMPUTED_VALUE"""),"")</f>
        <v/>
      </c>
      <c r="U46" s="55" t="str">
        <f ca="1">IFERROR(__xludf.DUMMYFUNCTION("""COMPUTED_VALUE"""),"")</f>
        <v/>
      </c>
      <c r="V46" s="189" t="str">
        <f ca="1">IFERROR(__xludf.DUMMYFUNCTION("""COMPUTED_VALUE"""),"")</f>
        <v/>
      </c>
      <c r="W46" s="189" t="str">
        <f ca="1">IFERROR(__xludf.DUMMYFUNCTION("""COMPUTED_VALUE"""),"")</f>
        <v/>
      </c>
      <c r="X46" s="189" t="str">
        <f ca="1">IFERROR(__xludf.DUMMYFUNCTION("""COMPUTED_VALUE"""),"{t1:argent;charges:[{charge:key;t:vert;p:e;size:1.5}];shield:roman}")</f>
        <v>{t1:argent;charges:[{charge:key;t:vert;p:e;size:1.5}];shield:roman}</v>
      </c>
      <c r="Y46" s="193" t="str">
        <f ca="1">IFERROR(__xludf.DUMMYFUNCTION("""COMPUTED_VALUE"""),"https://watabou.github.io/city-generator/?name=Shaken&amp;population=8656&amp;size=29&amp;seed=3550748350262&amp;river=1&amp;coast=0&amp;farms=0&amp;citadel=1&amp;urban_castle=1&amp;hub=false&amp;plaza=0&amp;temple=0&amp;walls=0&amp;shantytown=0&amp;gates=-1")</f>
        <v>https://watabou.github.io/city-generator/?name=Shaken&amp;population=8656&amp;size=29&amp;seed=3550748350262&amp;river=1&amp;coast=0&amp;farms=0&amp;citadel=1&amp;urban_castle=1&amp;hub=false&amp;plaza=0&amp;temple=0&amp;walls=0&amp;shantytown=0&amp;gates=-1</v>
      </c>
      <c r="Z46" s="189"/>
    </row>
    <row r="47" spans="1:26" ht="15" x14ac:dyDescent="0.25">
      <c r="A47" s="55">
        <f ca="1">IFERROR(__xludf.DUMMYFUNCTION("""COMPUTED_VALUE"""),263)</f>
        <v>263</v>
      </c>
      <c r="B47" s="55" t="str">
        <f ca="1">IFERROR(__xludf.DUMMYFUNCTION("""COMPUTED_VALUE"""),"Clifrost")</f>
        <v>Clifrost</v>
      </c>
      <c r="C47" s="55" t="str">
        <f ca="1">IFERROR(__xludf.DUMMYFUNCTION("""COMPUTED_VALUE"""),"Dreghold")</f>
        <v>Dreghold</v>
      </c>
      <c r="D47" s="55" t="str">
        <f ca="1">IFERROR(__xludf.DUMMYFUNCTION("""COMPUTED_VALUE"""),"Dreghold Province")</f>
        <v>Dreghold Province</v>
      </c>
      <c r="E47" s="55" t="str">
        <f ca="1">IFERROR(__xludf.DUMMYFUNCTION("""COMPUTED_VALUE"""),"Shavia")</f>
        <v>Shavia</v>
      </c>
      <c r="F47" s="55" t="str">
        <f ca="1">IFERROR(__xludf.DUMMYFUNCTION("""COMPUTED_VALUE"""),"Kingdom of Shavia")</f>
        <v>Kingdom of Shavia</v>
      </c>
      <c r="G47" s="55" t="str">
        <f ca="1">IFERROR(__xludf.DUMMYFUNCTION("""COMPUTED_VALUE"""),"Shavian")</f>
        <v>Shavian</v>
      </c>
      <c r="H47" s="55" t="str">
        <f ca="1">IFERROR(__xludf.DUMMYFUNCTION("""COMPUTED_VALUE"""),"Path of Guiding Light")</f>
        <v>Path of Guiding Light</v>
      </c>
      <c r="I47" s="55">
        <f ca="1">IFERROR(__xludf.DUMMYFUNCTION("""COMPUTED_VALUE"""),1634)</f>
        <v>1634</v>
      </c>
      <c r="J47" s="55">
        <f ca="1">IFERROR(__xludf.DUMMYFUNCTION("""COMPUTED_VALUE"""),669.92247538604)</f>
        <v>669.92247538603999</v>
      </c>
      <c r="K47" s="55">
        <f ca="1">IFERROR(__xludf.DUMMYFUNCTION("""COMPUTED_VALUE"""),887.918538505856)</f>
        <v>887.91853850585596</v>
      </c>
      <c r="L47" s="55">
        <f ca="1">IFERROR(__xludf.DUMMYFUNCTION("""COMPUTED_VALUE"""),-35.85)</f>
        <v>-35.85</v>
      </c>
      <c r="M47" s="55">
        <f ca="1">IFERROR(__xludf.DUMMYFUNCTION("""COMPUTED_VALUE"""),-3.36)</f>
        <v>-3.36</v>
      </c>
      <c r="N47" s="55">
        <f ca="1">IFERROR(__xludf.DUMMYFUNCTION("""COMPUTED_VALUE"""),472)</f>
        <v>472</v>
      </c>
      <c r="O47" s="55" t="str">
        <f ca="1">IFERROR(__xludf.DUMMYFUNCTION("""COMPUTED_VALUE"""),"37°F")</f>
        <v>37°F</v>
      </c>
      <c r="P47" s="55" t="str">
        <f ca="1">IFERROR(__xludf.DUMMYFUNCTION("""COMPUTED_VALUE"""),"Tromsø")</f>
        <v>Tromsø</v>
      </c>
      <c r="Q47" s="55" t="str">
        <f ca="1">IFERROR(__xludf.DUMMYFUNCTION("""COMPUTED_VALUE"""),"")</f>
        <v/>
      </c>
      <c r="R47" s="55" t="str">
        <f ca="1">IFERROR(__xludf.DUMMYFUNCTION("""COMPUTED_VALUE"""),"")</f>
        <v/>
      </c>
      <c r="S47" s="55" t="str">
        <f ca="1">IFERROR(__xludf.DUMMYFUNCTION("""COMPUTED_VALUE"""),"citadel")</f>
        <v>citadel</v>
      </c>
      <c r="T47" s="55" t="str">
        <f ca="1">IFERROR(__xludf.DUMMYFUNCTION("""COMPUTED_VALUE"""),"")</f>
        <v/>
      </c>
      <c r="U47" s="55" t="str">
        <f ca="1">IFERROR(__xludf.DUMMYFUNCTION("""COMPUTED_VALUE"""),"plaza")</f>
        <v>plaza</v>
      </c>
      <c r="V47" s="189" t="str">
        <f ca="1">IFERROR(__xludf.DUMMYFUNCTION("""COMPUTED_VALUE"""),"")</f>
        <v/>
      </c>
      <c r="W47" s="189" t="str">
        <f ca="1">IFERROR(__xludf.DUMMYFUNCTION("""COMPUTED_VALUE"""),"")</f>
        <v/>
      </c>
      <c r="X47" s="189" t="str">
        <f ca="1">IFERROR(__xludf.DUMMYFUNCTION("""COMPUTED_VALUE"""),"{t1:or;charges:[{charge:bugleHorn;t:azure;p:e;size:1.5}];shield:horsehead2}")</f>
        <v>{t1:or;charges:[{charge:bugleHorn;t:azure;p:e;size:1.5}];shield:horsehead2}</v>
      </c>
      <c r="Y47" s="193" t="str">
        <f ca="1">IFERROR(__xludf.DUMMYFUNCTION("""COMPUTED_VALUE"""),"https://watabou.github.io/city-generator/?name=Clifrost&amp;population=1634&amp;size=16&amp;seed=3550748350263&amp;river=0&amp;coast=0&amp;farms=0&amp;citadel=1&amp;urban_castle=0&amp;hub=false&amp;plaza=1&amp;temple=0&amp;walls=0&amp;shantytown=0&amp;gates=-1")</f>
        <v>https://watabou.github.io/city-generator/?name=Clifrost&amp;population=1634&amp;size=16&amp;seed=3550748350263&amp;river=0&amp;coast=0&amp;farms=0&amp;citadel=1&amp;urban_castle=0&amp;hub=false&amp;plaza=1&amp;temple=0&amp;walls=0&amp;shantytown=0&amp;gates=-1</v>
      </c>
      <c r="Z47" s="189"/>
    </row>
    <row r="48" spans="1:26" ht="15" x14ac:dyDescent="0.25">
      <c r="A48" s="55">
        <f ca="1">IFERROR(__xludf.DUMMYFUNCTION("""COMPUTED_VALUE"""),271)</f>
        <v>271</v>
      </c>
      <c r="B48" s="55" t="str">
        <f ca="1">IFERROR(__xludf.DUMMYFUNCTION("""COMPUTED_VALUE"""),"Direlight")</f>
        <v>Direlight</v>
      </c>
      <c r="C48" s="55" t="str">
        <f ca="1">IFERROR(__xludf.DUMMYFUNCTION("""COMPUTED_VALUE"""),"Ralim")</f>
        <v>Ralim</v>
      </c>
      <c r="D48" s="55" t="str">
        <f ca="1">IFERROR(__xludf.DUMMYFUNCTION("""COMPUTED_VALUE"""),"Ralim Province")</f>
        <v>Ralim Province</v>
      </c>
      <c r="E48" s="55" t="str">
        <f ca="1">IFERROR(__xludf.DUMMYFUNCTION("""COMPUTED_VALUE"""),"Shavia")</f>
        <v>Shavia</v>
      </c>
      <c r="F48" s="55" t="str">
        <f ca="1">IFERROR(__xludf.DUMMYFUNCTION("""COMPUTED_VALUE"""),"Kingdom of Shavia")</f>
        <v>Kingdom of Shavia</v>
      </c>
      <c r="G48" s="55" t="str">
        <f ca="1">IFERROR(__xludf.DUMMYFUNCTION("""COMPUTED_VALUE"""),"Shavian")</f>
        <v>Shavian</v>
      </c>
      <c r="H48" s="55" t="str">
        <f ca="1">IFERROR(__xludf.DUMMYFUNCTION("""COMPUTED_VALUE"""),"Path of Guiding Light")</f>
        <v>Path of Guiding Light</v>
      </c>
      <c r="I48" s="55">
        <f ca="1">IFERROR(__xludf.DUMMYFUNCTION("""COMPUTED_VALUE"""),1895)</f>
        <v>1895</v>
      </c>
      <c r="J48" s="55">
        <f ca="1">IFERROR(__xludf.DUMMYFUNCTION("""COMPUTED_VALUE"""),391.988499389499)</f>
        <v>391.988499389499</v>
      </c>
      <c r="K48" s="55">
        <f ca="1">IFERROR(__xludf.DUMMYFUNCTION("""COMPUTED_VALUE"""),617.535741186345)</f>
        <v>617.53574118634504</v>
      </c>
      <c r="L48" s="55">
        <f ca="1">IFERROR(__xludf.DUMMYFUNCTION("""COMPUTED_VALUE"""),-27.1)</f>
        <v>-27.1</v>
      </c>
      <c r="M48" s="55">
        <f ca="1">IFERROR(__xludf.DUMMYFUNCTION("""COMPUTED_VALUE"""),-12.34)</f>
        <v>-12.34</v>
      </c>
      <c r="N48" s="55">
        <f ca="1">IFERROR(__xludf.DUMMYFUNCTION("""COMPUTED_VALUE"""),82)</f>
        <v>82</v>
      </c>
      <c r="O48" s="55" t="str">
        <f ca="1">IFERROR(__xludf.DUMMYFUNCTION("""COMPUTED_VALUE"""),"45°F")</f>
        <v>45°F</v>
      </c>
      <c r="P48" s="55" t="str">
        <f ca="1">IFERROR(__xludf.DUMMYFUNCTION("""COMPUTED_VALUE"""),"Halifax")</f>
        <v>Halifax</v>
      </c>
      <c r="Q48" s="55" t="str">
        <f ca="1">IFERROR(__xludf.DUMMYFUNCTION("""COMPUTED_VALUE"""),"")</f>
        <v/>
      </c>
      <c r="R48" s="55" t="str">
        <f ca="1">IFERROR(__xludf.DUMMYFUNCTION("""COMPUTED_VALUE"""),"")</f>
        <v/>
      </c>
      <c r="S48" s="55" t="str">
        <f ca="1">IFERROR(__xludf.DUMMYFUNCTION("""COMPUTED_VALUE"""),"citadel")</f>
        <v>citadel</v>
      </c>
      <c r="T48" s="55" t="str">
        <f ca="1">IFERROR(__xludf.DUMMYFUNCTION("""COMPUTED_VALUE"""),"")</f>
        <v/>
      </c>
      <c r="U48" s="55" t="str">
        <f ca="1">IFERROR(__xludf.DUMMYFUNCTION("""COMPUTED_VALUE"""),"")</f>
        <v/>
      </c>
      <c r="V48" s="189" t="str">
        <f ca="1">IFERROR(__xludf.DUMMYFUNCTION("""COMPUTED_VALUE"""),"")</f>
        <v/>
      </c>
      <c r="W48" s="189" t="str">
        <f ca="1">IFERROR(__xludf.DUMMYFUNCTION("""COMPUTED_VALUE"""),"")</f>
        <v/>
      </c>
      <c r="X48" s="189" t="str">
        <f ca="1">IFERROR(__xludf.DUMMYFUNCTION("""COMPUTED_VALUE"""),"{t1:azure;ordinaries:[{ordinary:bar;t:or;line:straight}];charges:[{charge:greyhoundCourant;t:purpure;p:def;size:0.3}];shield:fantasy5}")</f>
        <v>{t1:azure;ordinaries:[{ordinary:bar;t:or;line:straight}];charges:[{charge:greyhoundCourant;t:purpure;p:def;size:0.3}];shield:fantasy5}</v>
      </c>
      <c r="Y48" s="193" t="str">
        <f ca="1">IFERROR(__xludf.DUMMYFUNCTION("""COMPUTED_VALUE"""),"https://watabou.github.io/city-generator/?name=Direlight&amp;population=1895&amp;size=17&amp;seed=3550748350271&amp;river=0&amp;coast=0&amp;farms=1&amp;citadel=1&amp;urban_castle=0&amp;hub=false&amp;plaza=0&amp;temple=0&amp;walls=0&amp;shantytown=0&amp;gates=-1")</f>
        <v>https://watabou.github.io/city-generator/?name=Direlight&amp;population=1895&amp;size=17&amp;seed=3550748350271&amp;river=0&amp;coast=0&amp;farms=1&amp;citadel=1&amp;urban_castle=0&amp;hub=false&amp;plaza=0&amp;temple=0&amp;walls=0&amp;shantytown=0&amp;gates=-1</v>
      </c>
      <c r="Z48" s="189"/>
    </row>
    <row r="49" spans="1:26" ht="15" x14ac:dyDescent="0.25">
      <c r="A49" s="55">
        <f ca="1">IFERROR(__xludf.DUMMYFUNCTION("""COMPUTED_VALUE"""),281)</f>
        <v>281</v>
      </c>
      <c r="B49" s="55" t="str">
        <f ca="1">IFERROR(__xludf.DUMMYFUNCTION("""COMPUTED_VALUE"""),"Clearmire")</f>
        <v>Clearmire</v>
      </c>
      <c r="C49" s="55" t="str">
        <f ca="1">IFERROR(__xludf.DUMMYFUNCTION("""COMPUTED_VALUE"""),"Swanhall")</f>
        <v>Swanhall</v>
      </c>
      <c r="D49" s="55" t="str">
        <f ca="1">IFERROR(__xludf.DUMMYFUNCTION("""COMPUTED_VALUE"""),"Swanhall Province")</f>
        <v>Swanhall Province</v>
      </c>
      <c r="E49" s="55" t="str">
        <f ca="1">IFERROR(__xludf.DUMMYFUNCTION("""COMPUTED_VALUE"""),"Shavia")</f>
        <v>Shavia</v>
      </c>
      <c r="F49" s="55" t="str">
        <f ca="1">IFERROR(__xludf.DUMMYFUNCTION("""COMPUTED_VALUE"""),"Kingdom of Shavia")</f>
        <v>Kingdom of Shavia</v>
      </c>
      <c r="G49" s="55" t="str">
        <f ca="1">IFERROR(__xludf.DUMMYFUNCTION("""COMPUTED_VALUE"""),"Eastern Shavian")</f>
        <v>Eastern Shavian</v>
      </c>
      <c r="H49" s="55" t="str">
        <f ca="1">IFERROR(__xludf.DUMMYFUNCTION("""COMPUTED_VALUE"""),"Path of Guiding Light")</f>
        <v>Path of Guiding Light</v>
      </c>
      <c r="I49" s="55">
        <f ca="1">IFERROR(__xludf.DUMMYFUNCTION("""COMPUTED_VALUE"""),5319)</f>
        <v>5319</v>
      </c>
      <c r="J49" s="55">
        <f ca="1">IFERROR(__xludf.DUMMYFUNCTION("""COMPUTED_VALUE"""),1111.17988297441)</f>
        <v>1111.17988297441</v>
      </c>
      <c r="K49" s="55">
        <f ca="1">IFERROR(__xludf.DUMMYFUNCTION("""COMPUTED_VALUE"""),677.380778381875)</f>
        <v>677.38077838187496</v>
      </c>
      <c r="L49" s="55">
        <f ca="1">IFERROR(__xludf.DUMMYFUNCTION("""COMPUTED_VALUE"""),-29.03)</f>
        <v>-29.03</v>
      </c>
      <c r="M49" s="55">
        <f ca="1">IFERROR(__xludf.DUMMYFUNCTION("""COMPUTED_VALUE"""),10.89)</f>
        <v>10.89</v>
      </c>
      <c r="N49" s="55">
        <f ca="1">IFERROR(__xludf.DUMMYFUNCTION("""COMPUTED_VALUE"""),554)</f>
        <v>554</v>
      </c>
      <c r="O49" s="55" t="str">
        <f ca="1">IFERROR(__xludf.DUMMYFUNCTION("""COMPUTED_VALUE"""),"43°F")</f>
        <v>43°F</v>
      </c>
      <c r="P49" s="55" t="str">
        <f ca="1">IFERROR(__xludf.DUMMYFUNCTION("""COMPUTED_VALUE"""),"Stockholm")</f>
        <v>Stockholm</v>
      </c>
      <c r="Q49" s="55" t="str">
        <f ca="1">IFERROR(__xludf.DUMMYFUNCTION("""COMPUTED_VALUE"""),"")</f>
        <v/>
      </c>
      <c r="R49" s="55" t="str">
        <f ca="1">IFERROR(__xludf.DUMMYFUNCTION("""COMPUTED_VALUE"""),"")</f>
        <v/>
      </c>
      <c r="S49" s="55" t="str">
        <f ca="1">IFERROR(__xludf.DUMMYFUNCTION("""COMPUTED_VALUE"""),"citadel")</f>
        <v>citadel</v>
      </c>
      <c r="T49" s="55" t="str">
        <f ca="1">IFERROR(__xludf.DUMMYFUNCTION("""COMPUTED_VALUE"""),"")</f>
        <v/>
      </c>
      <c r="U49" s="55" t="str">
        <f ca="1">IFERROR(__xludf.DUMMYFUNCTION("""COMPUTED_VALUE"""),"")</f>
        <v/>
      </c>
      <c r="V49" s="189" t="str">
        <f ca="1">IFERROR(__xludf.DUMMYFUNCTION("""COMPUTED_VALUE"""),"")</f>
        <v/>
      </c>
      <c r="W49" s="189" t="str">
        <f ca="1">IFERROR(__xludf.DUMMYFUNCTION("""COMPUTED_VALUE"""),"")</f>
        <v/>
      </c>
      <c r="X49" s="189" t="str">
        <f ca="1">IFERROR(__xludf.DUMMYFUNCTION("""COMPUTED_VALUE"""),"{t1:semy_of_crossGamma-vert-or;charges:[{charge:dolphin;t:argent;p:e;size:1.5}];shield:horsehead2}")</f>
        <v>{t1:semy_of_crossGamma-vert-or;charges:[{charge:dolphin;t:argent;p:e;size:1.5}];shield:horsehead2}</v>
      </c>
      <c r="Y49" s="193" t="str">
        <f ca="1">IFERROR(__xludf.DUMMYFUNCTION("""COMPUTED_VALUE"""),"https://watabou.github.io/city-generator/?name=Clearmire&amp;population=5319&amp;size=24&amp;seed=3550748350281&amp;river=0&amp;coast=0&amp;farms=0&amp;citadel=1&amp;urban_castle=0&amp;hub=false&amp;plaza=0&amp;temple=0&amp;walls=0&amp;shantytown=0&amp;gates=-1")</f>
        <v>https://watabou.github.io/city-generator/?name=Clearmire&amp;population=5319&amp;size=24&amp;seed=3550748350281&amp;river=0&amp;coast=0&amp;farms=0&amp;citadel=1&amp;urban_castle=0&amp;hub=false&amp;plaza=0&amp;temple=0&amp;walls=0&amp;shantytown=0&amp;gates=-1</v>
      </c>
      <c r="Z49" s="189"/>
    </row>
    <row r="50" spans="1:26" ht="15" x14ac:dyDescent="0.25">
      <c r="A50" s="55">
        <f ca="1">IFERROR(__xludf.DUMMYFUNCTION("""COMPUTED_VALUE"""),282)</f>
        <v>282</v>
      </c>
      <c r="B50" s="55" t="str">
        <f ca="1">IFERROR(__xludf.DUMMYFUNCTION("""COMPUTED_VALUE"""),"Scorchill")</f>
        <v>Scorchill</v>
      </c>
      <c r="C50" s="55" t="str">
        <f ca="1">IFERROR(__xludf.DUMMYFUNCTION("""COMPUTED_VALUE"""),"Sirong")</f>
        <v>Sirong</v>
      </c>
      <c r="D50" s="55" t="str">
        <f ca="1">IFERROR(__xludf.DUMMYFUNCTION("""COMPUTED_VALUE"""),"Sirong Lordship")</f>
        <v>Sirong Lordship</v>
      </c>
      <c r="E50" s="55" t="str">
        <f ca="1">IFERROR(__xludf.DUMMYFUNCTION("""COMPUTED_VALUE"""),"Shavia")</f>
        <v>Shavia</v>
      </c>
      <c r="F50" s="55" t="str">
        <f ca="1">IFERROR(__xludf.DUMMYFUNCTION("""COMPUTED_VALUE"""),"Kingdom of Shavia")</f>
        <v>Kingdom of Shavia</v>
      </c>
      <c r="G50" s="55" t="str">
        <f ca="1">IFERROR(__xludf.DUMMYFUNCTION("""COMPUTED_VALUE"""),"Shavian")</f>
        <v>Shavian</v>
      </c>
      <c r="H50" s="55" t="str">
        <f ca="1">IFERROR(__xludf.DUMMYFUNCTION("""COMPUTED_VALUE"""),"Path of Guiding Light")</f>
        <v>Path of Guiding Light</v>
      </c>
      <c r="I50" s="55">
        <f ca="1">IFERROR(__xludf.DUMMYFUNCTION("""COMPUTED_VALUE"""),2212)</f>
        <v>2212</v>
      </c>
      <c r="J50" s="55">
        <f ca="1">IFERROR(__xludf.DUMMYFUNCTION("""COMPUTED_VALUE"""),369.802046575546)</f>
        <v>369.802046575546</v>
      </c>
      <c r="K50" s="55">
        <f ca="1">IFERROR(__xludf.DUMMYFUNCTION("""COMPUTED_VALUE"""),700.890633644379)</f>
        <v>700.89063364437902</v>
      </c>
      <c r="L50" s="55">
        <f ca="1">IFERROR(__xludf.DUMMYFUNCTION("""COMPUTED_VALUE"""),-29.8)</f>
        <v>-29.8</v>
      </c>
      <c r="M50" s="55">
        <f ca="1">IFERROR(__xludf.DUMMYFUNCTION("""COMPUTED_VALUE"""),-13.06)</f>
        <v>-13.06</v>
      </c>
      <c r="N50" s="55">
        <f ca="1">IFERROR(__xludf.DUMMYFUNCTION("""COMPUTED_VALUE"""),52)</f>
        <v>52</v>
      </c>
      <c r="O50" s="55" t="str">
        <f ca="1">IFERROR(__xludf.DUMMYFUNCTION("""COMPUTED_VALUE"""),"43°F")</f>
        <v>43°F</v>
      </c>
      <c r="P50" s="55" t="str">
        <f ca="1">IFERROR(__xludf.DUMMYFUNCTION("""COMPUTED_VALUE"""),"Stockholm")</f>
        <v>Stockholm</v>
      </c>
      <c r="Q50" s="55" t="str">
        <f ca="1">IFERROR(__xludf.DUMMYFUNCTION("""COMPUTED_VALUE"""),"")</f>
        <v/>
      </c>
      <c r="R50" s="55" t="str">
        <f ca="1">IFERROR(__xludf.DUMMYFUNCTION("""COMPUTED_VALUE"""),"")</f>
        <v/>
      </c>
      <c r="S50" s="55" t="str">
        <f ca="1">IFERROR(__xludf.DUMMYFUNCTION("""COMPUTED_VALUE"""),"citadel")</f>
        <v>citadel</v>
      </c>
      <c r="T50" s="55" t="str">
        <f ca="1">IFERROR(__xludf.DUMMYFUNCTION("""COMPUTED_VALUE"""),"")</f>
        <v/>
      </c>
      <c r="U50" s="55" t="str">
        <f ca="1">IFERROR(__xludf.DUMMYFUNCTION("""COMPUTED_VALUE"""),"plaza")</f>
        <v>plaza</v>
      </c>
      <c r="V50" s="189" t="str">
        <f ca="1">IFERROR(__xludf.DUMMYFUNCTION("""COMPUTED_VALUE"""),"")</f>
        <v/>
      </c>
      <c r="W50" s="189" t="str">
        <f ca="1">IFERROR(__xludf.DUMMYFUNCTION("""COMPUTED_VALUE"""),"")</f>
        <v/>
      </c>
      <c r="X50" s="189" t="str">
        <f ca="1">IFERROR(__xludf.DUMMYFUNCTION("""COMPUTED_VALUE"""),"{t1:gules;charges:[{charge:crossMaltese;t:argent;p:e;size:1.5}];shield:fantasy5}")</f>
        <v>{t1:gules;charges:[{charge:crossMaltese;t:argent;p:e;size:1.5}];shield:fantasy5}</v>
      </c>
      <c r="Y50" s="193" t="str">
        <f ca="1">IFERROR(__xludf.DUMMYFUNCTION("""COMPUTED_VALUE"""),"https://watabou.github.io/city-generator/?name=Scorchill&amp;population=2212&amp;size=18&amp;seed=3550748350282&amp;river=0&amp;coast=0&amp;farms=0&amp;citadel=1&amp;urban_castle=1&amp;hub=false&amp;plaza=1&amp;temple=0&amp;walls=0&amp;shantytown=0&amp;gates=-1")</f>
        <v>https://watabou.github.io/city-generator/?name=Scorchill&amp;population=2212&amp;size=18&amp;seed=3550748350282&amp;river=0&amp;coast=0&amp;farms=0&amp;citadel=1&amp;urban_castle=1&amp;hub=false&amp;plaza=1&amp;temple=0&amp;walls=0&amp;shantytown=0&amp;gates=-1</v>
      </c>
      <c r="Z50" s="189"/>
    </row>
    <row r="51" spans="1:26" ht="15" x14ac:dyDescent="0.25">
      <c r="A51" s="55">
        <f ca="1">IFERROR(__xludf.DUMMYFUNCTION("""COMPUTED_VALUE"""),283)</f>
        <v>283</v>
      </c>
      <c r="B51" s="55" t="str">
        <f ca="1">IFERROR(__xludf.DUMMYFUNCTION("""COMPUTED_VALUE"""),"Brittvault")</f>
        <v>Brittvault</v>
      </c>
      <c r="C51" s="55" t="str">
        <f ca="1">IFERROR(__xludf.DUMMYFUNCTION("""COMPUTED_VALUE"""),"Dreghold")</f>
        <v>Dreghold</v>
      </c>
      <c r="D51" s="55" t="str">
        <f ca="1">IFERROR(__xludf.DUMMYFUNCTION("""COMPUTED_VALUE"""),"Dreghold Province")</f>
        <v>Dreghold Province</v>
      </c>
      <c r="E51" s="55" t="str">
        <f ca="1">IFERROR(__xludf.DUMMYFUNCTION("""COMPUTED_VALUE"""),"Shavia")</f>
        <v>Shavia</v>
      </c>
      <c r="F51" s="55" t="str">
        <f ca="1">IFERROR(__xludf.DUMMYFUNCTION("""COMPUTED_VALUE"""),"Kingdom of Shavia")</f>
        <v>Kingdom of Shavia</v>
      </c>
      <c r="G51" s="55" t="str">
        <f ca="1">IFERROR(__xludf.DUMMYFUNCTION("""COMPUTED_VALUE"""),"Shavian")</f>
        <v>Shavian</v>
      </c>
      <c r="H51" s="55" t="str">
        <f ca="1">IFERROR(__xludf.DUMMYFUNCTION("""COMPUTED_VALUE"""),"Path of Guiding Light")</f>
        <v>Path of Guiding Light</v>
      </c>
      <c r="I51" s="55">
        <f ca="1">IFERROR(__xludf.DUMMYFUNCTION("""COMPUTED_VALUE"""),19837)</f>
        <v>19837</v>
      </c>
      <c r="J51" s="55">
        <f ca="1">IFERROR(__xludf.DUMMYFUNCTION("""COMPUTED_VALUE"""),645.283835682124)</f>
        <v>645.28383568212405</v>
      </c>
      <c r="K51" s="55">
        <f ca="1">IFERROR(__xludf.DUMMYFUNCTION("""COMPUTED_VALUE"""),940.212397024357)</f>
        <v>940.21239702435696</v>
      </c>
      <c r="L51" s="55">
        <f ca="1">IFERROR(__xludf.DUMMYFUNCTION("""COMPUTED_VALUE"""),-37.54)</f>
        <v>-37.54</v>
      </c>
      <c r="M51" s="55">
        <f ca="1">IFERROR(__xludf.DUMMYFUNCTION("""COMPUTED_VALUE"""),-4.16)</f>
        <v>-4.16</v>
      </c>
      <c r="N51" s="55">
        <f ca="1">IFERROR(__xludf.DUMMYFUNCTION("""COMPUTED_VALUE"""),13)</f>
        <v>13</v>
      </c>
      <c r="O51" s="55" t="str">
        <f ca="1">IFERROR(__xludf.DUMMYFUNCTION("""COMPUTED_VALUE"""),"37°F")</f>
        <v>37°F</v>
      </c>
      <c r="P51" s="55" t="str">
        <f ca="1">IFERROR(__xludf.DUMMYFUNCTION("""COMPUTED_VALUE"""),"Tromsø")</f>
        <v>Tromsø</v>
      </c>
      <c r="Q51" s="55" t="str">
        <f ca="1">IFERROR(__xludf.DUMMYFUNCTION("""COMPUTED_VALUE"""),"")</f>
        <v/>
      </c>
      <c r="R51" s="55" t="str">
        <f ca="1">IFERROR(__xludf.DUMMYFUNCTION("""COMPUTED_VALUE"""),"")</f>
        <v/>
      </c>
      <c r="S51" s="55" t="str">
        <f ca="1">IFERROR(__xludf.DUMMYFUNCTION("""COMPUTED_VALUE"""),"")</f>
        <v/>
      </c>
      <c r="T51" s="55" t="str">
        <f ca="1">IFERROR(__xludf.DUMMYFUNCTION("""COMPUTED_VALUE"""),"")</f>
        <v/>
      </c>
      <c r="U51" s="55" t="str">
        <f ca="1">IFERROR(__xludf.DUMMYFUNCTION("""COMPUTED_VALUE"""),"")</f>
        <v/>
      </c>
      <c r="V51" s="189" t="str">
        <f ca="1">IFERROR(__xludf.DUMMYFUNCTION("""COMPUTED_VALUE"""),"")</f>
        <v/>
      </c>
      <c r="W51" s="189" t="str">
        <f ca="1">IFERROR(__xludf.DUMMYFUNCTION("""COMPUTED_VALUE"""),"")</f>
        <v/>
      </c>
      <c r="X51" s="189" t="str">
        <f ca="1">IFERROR(__xludf.DUMMYFUNCTION("""COMPUTED_VALUE"""),"{t1:vert;charges:[{charge:lozengeFaceted;t:or;p:abc;size:0.5}];shield:horsehead2}")</f>
        <v>{t1:vert;charges:[{charge:lozengeFaceted;t:or;p:abc;size:0.5}];shield:horsehead2}</v>
      </c>
      <c r="Y51" s="193" t="str">
        <f ca="1">IFERROR(__xludf.DUMMYFUNCTION("""COMPUTED_VALUE"""),"https://watabou.github.io/city-generator/?name=Brittvault&amp;population=19837&amp;size=40&amp;seed=3550748350283&amp;river=1&amp;coast=0&amp;farms=0&amp;citadel=0&amp;urban_castle=0&amp;hub=false&amp;plaza=0&amp;temple=0&amp;walls=0&amp;shantytown=0&amp;gates=-1")</f>
        <v>https://watabou.github.io/city-generator/?name=Brittvault&amp;population=19837&amp;size=40&amp;seed=3550748350283&amp;river=1&amp;coast=0&amp;farms=0&amp;citadel=0&amp;urban_castle=0&amp;hub=false&amp;plaza=0&amp;temple=0&amp;walls=0&amp;shantytown=0&amp;gates=-1</v>
      </c>
      <c r="Z51" s="189"/>
    </row>
    <row r="52" spans="1:26" ht="15" x14ac:dyDescent="0.25">
      <c r="A52" s="55">
        <f ca="1">IFERROR(__xludf.DUMMYFUNCTION("""COMPUTED_VALUE"""),297)</f>
        <v>297</v>
      </c>
      <c r="B52" s="55" t="str">
        <f ca="1">IFERROR(__xludf.DUMMYFUNCTION("""COMPUTED_VALUE"""),"Eguard")</f>
        <v>Eguard</v>
      </c>
      <c r="C52" s="55" t="str">
        <f ca="1">IFERROR(__xludf.DUMMYFUNCTION("""COMPUTED_VALUE"""),"Swanhall")</f>
        <v>Swanhall</v>
      </c>
      <c r="D52" s="55" t="str">
        <f ca="1">IFERROR(__xludf.DUMMYFUNCTION("""COMPUTED_VALUE"""),"Swanhall Province")</f>
        <v>Swanhall Province</v>
      </c>
      <c r="E52" s="55" t="str">
        <f ca="1">IFERROR(__xludf.DUMMYFUNCTION("""COMPUTED_VALUE"""),"Shavia")</f>
        <v>Shavia</v>
      </c>
      <c r="F52" s="55" t="str">
        <f ca="1">IFERROR(__xludf.DUMMYFUNCTION("""COMPUTED_VALUE"""),"Kingdom of Shavia")</f>
        <v>Kingdom of Shavia</v>
      </c>
      <c r="G52" s="55" t="str">
        <f ca="1">IFERROR(__xludf.DUMMYFUNCTION("""COMPUTED_VALUE"""),"Dail")</f>
        <v>Dail</v>
      </c>
      <c r="H52" s="55" t="str">
        <f ca="1">IFERROR(__xludf.DUMMYFUNCTION("""COMPUTED_VALUE"""),"Path of Guiding Light")</f>
        <v>Path of Guiding Light</v>
      </c>
      <c r="I52" s="55">
        <f ca="1">IFERROR(__xludf.DUMMYFUNCTION("""COMPUTED_VALUE"""),31105)</f>
        <v>31105</v>
      </c>
      <c r="J52" s="55">
        <f ca="1">IFERROR(__xludf.DUMMYFUNCTION("""COMPUTED_VALUE"""),1194)</f>
        <v>1194</v>
      </c>
      <c r="K52" s="55">
        <f ca="1">IFERROR(__xludf.DUMMYFUNCTION("""COMPUTED_VALUE"""),816)</f>
        <v>816</v>
      </c>
      <c r="L52" s="55">
        <f ca="1">IFERROR(__xludf.DUMMYFUNCTION("""COMPUTED_VALUE"""),-33.52)</f>
        <v>-33.520000000000003</v>
      </c>
      <c r="M52" s="55">
        <f ca="1">IFERROR(__xludf.DUMMYFUNCTION("""COMPUTED_VALUE"""),13.57)</f>
        <v>13.57</v>
      </c>
      <c r="N52" s="55">
        <f ca="1">IFERROR(__xludf.DUMMYFUNCTION("""COMPUTED_VALUE"""),52)</f>
        <v>52</v>
      </c>
      <c r="O52" s="55" t="str">
        <f ca="1">IFERROR(__xludf.DUMMYFUNCTION("""COMPUTED_VALUE"""),"41°F")</f>
        <v>41°F</v>
      </c>
      <c r="P52" s="55" t="str">
        <f ca="1">IFERROR(__xludf.DUMMYFUNCTION("""COMPUTED_VALUE"""),"Riga")</f>
        <v>Riga</v>
      </c>
      <c r="Q52" s="55" t="str">
        <f ca="1">IFERROR(__xludf.DUMMYFUNCTION("""COMPUTED_VALUE"""),"")</f>
        <v/>
      </c>
      <c r="R52" s="55" t="str">
        <f ca="1">IFERROR(__xludf.DUMMYFUNCTION("""COMPUTED_VALUE"""),"port")</f>
        <v>port</v>
      </c>
      <c r="S52" s="55" t="str">
        <f ca="1">IFERROR(__xludf.DUMMYFUNCTION("""COMPUTED_VALUE"""),"")</f>
        <v/>
      </c>
      <c r="T52" s="55" t="str">
        <f ca="1">IFERROR(__xludf.DUMMYFUNCTION("""COMPUTED_VALUE"""),"walls")</f>
        <v>walls</v>
      </c>
      <c r="U52" s="55" t="str">
        <f ca="1">IFERROR(__xludf.DUMMYFUNCTION("""COMPUTED_VALUE"""),"plaza")</f>
        <v>plaza</v>
      </c>
      <c r="V52" s="189" t="str">
        <f ca="1">IFERROR(__xludf.DUMMYFUNCTION("""COMPUTED_VALUE"""),"temple")</f>
        <v>temple</v>
      </c>
      <c r="W52" s="189" t="str">
        <f ca="1">IFERROR(__xludf.DUMMYFUNCTION("""COMPUTED_VALUE"""),"shanty town")</f>
        <v>shanty town</v>
      </c>
      <c r="X52" s="189" t="str">
        <f ca="1">IFERROR(__xludf.DUMMYFUNCTION("""COMPUTED_VALUE"""),"{t1:or;ordinaries:[{ordinary:saltireParted;t:purpure;line:straight}];charges:[{charge:dragonRampant;t:or;p:e;size:1.5}];shield:roman}")</f>
        <v>{t1:or;ordinaries:[{ordinary:saltireParted;t:purpure;line:straight}];charges:[{charge:dragonRampant;t:or;p:e;size:1.5}];shield:roman}</v>
      </c>
      <c r="Y52" s="193" t="str">
        <f ca="1">IFERROR(__xludf.DUMMYFUNCTION("""COMPUTED_VALUE"""),"https://watabou.github.io/city-generator/?name=Eguard&amp;population=31105&amp;size=48&amp;seed=3550748350297&amp;river=1&amp;coast=1&amp;farms=1&amp;citadel=0&amp;urban_castle=0&amp;hub=false&amp;plaza=1&amp;temple=1&amp;walls=1&amp;shantytown=1&amp;gates=-1&amp;sea=1.7")</f>
        <v>https://watabou.github.io/city-generator/?name=Eguard&amp;population=31105&amp;size=48&amp;seed=3550748350297&amp;river=1&amp;coast=1&amp;farms=1&amp;citadel=0&amp;urban_castle=0&amp;hub=false&amp;plaza=1&amp;temple=1&amp;walls=1&amp;shantytown=1&amp;gates=-1&amp;sea=1.7</v>
      </c>
      <c r="Z52" s="189"/>
    </row>
    <row r="53" spans="1:26" ht="15" x14ac:dyDescent="0.25">
      <c r="A53" s="55">
        <f ca="1">IFERROR(__xludf.DUMMYFUNCTION("""COMPUTED_VALUE"""),305)</f>
        <v>305</v>
      </c>
      <c r="B53" s="55" t="str">
        <f ca="1">IFERROR(__xludf.DUMMYFUNCTION("""COMPUTED_VALUE"""),"Borehelmber")</f>
        <v>Borehelmber</v>
      </c>
      <c r="C53" s="55" t="str">
        <f ca="1">IFERROR(__xludf.DUMMYFUNCTION("""COMPUTED_VALUE"""),"Swanhall")</f>
        <v>Swanhall</v>
      </c>
      <c r="D53" s="55" t="str">
        <f ca="1">IFERROR(__xludf.DUMMYFUNCTION("""COMPUTED_VALUE"""),"Swanhall Province")</f>
        <v>Swanhall Province</v>
      </c>
      <c r="E53" s="55" t="str">
        <f ca="1">IFERROR(__xludf.DUMMYFUNCTION("""COMPUTED_VALUE"""),"Shavia")</f>
        <v>Shavia</v>
      </c>
      <c r="F53" s="55" t="str">
        <f ca="1">IFERROR(__xludf.DUMMYFUNCTION("""COMPUTED_VALUE"""),"Kingdom of Shavia")</f>
        <v>Kingdom of Shavia</v>
      </c>
      <c r="G53" s="55" t="str">
        <f ca="1">IFERROR(__xludf.DUMMYFUNCTION("""COMPUTED_VALUE"""),"Eastern Shavian")</f>
        <v>Eastern Shavian</v>
      </c>
      <c r="H53" s="55" t="str">
        <f ca="1">IFERROR(__xludf.DUMMYFUNCTION("""COMPUTED_VALUE"""),"Path of Guiding Light")</f>
        <v>Path of Guiding Light</v>
      </c>
      <c r="I53" s="55">
        <f ca="1">IFERROR(__xludf.DUMMYFUNCTION("""COMPUTED_VALUE"""),10757)</f>
        <v>10757</v>
      </c>
      <c r="J53" s="55">
        <f ca="1">IFERROR(__xludf.DUMMYFUNCTION("""COMPUTED_VALUE"""),1056.49222296809)</f>
        <v>1056.4922229680899</v>
      </c>
      <c r="K53" s="55">
        <f ca="1">IFERROR(__xludf.DUMMYFUNCTION("""COMPUTED_VALUE"""),798.452640623628)</f>
        <v>798.45264062362799</v>
      </c>
      <c r="L53" s="55">
        <f ca="1">IFERROR(__xludf.DUMMYFUNCTION("""COMPUTED_VALUE"""),-32.95)</f>
        <v>-32.950000000000003</v>
      </c>
      <c r="M53" s="55">
        <f ca="1">IFERROR(__xludf.DUMMYFUNCTION("""COMPUTED_VALUE"""),9.12)</f>
        <v>9.1199999999999992</v>
      </c>
      <c r="N53" s="55">
        <f ca="1">IFERROR(__xludf.DUMMYFUNCTION("""COMPUTED_VALUE"""),52)</f>
        <v>52</v>
      </c>
      <c r="O53" s="55" t="str">
        <f ca="1">IFERROR(__xludf.DUMMYFUNCTION("""COMPUTED_VALUE"""),"41°F")</f>
        <v>41°F</v>
      </c>
      <c r="P53" s="55" t="str">
        <f ca="1">IFERROR(__xludf.DUMMYFUNCTION("""COMPUTED_VALUE"""),"Riga")</f>
        <v>Riga</v>
      </c>
      <c r="Q53" s="55" t="str">
        <f ca="1">IFERROR(__xludf.DUMMYFUNCTION("""COMPUTED_VALUE"""),"")</f>
        <v/>
      </c>
      <c r="R53" s="55" t="str">
        <f ca="1">IFERROR(__xludf.DUMMYFUNCTION("""COMPUTED_VALUE"""),"")</f>
        <v/>
      </c>
      <c r="S53" s="55" t="str">
        <f ca="1">IFERROR(__xludf.DUMMYFUNCTION("""COMPUTED_VALUE"""),"citadel")</f>
        <v>citadel</v>
      </c>
      <c r="T53" s="55" t="str">
        <f ca="1">IFERROR(__xludf.DUMMYFUNCTION("""COMPUTED_VALUE"""),"walls")</f>
        <v>walls</v>
      </c>
      <c r="U53" s="55" t="str">
        <f ca="1">IFERROR(__xludf.DUMMYFUNCTION("""COMPUTED_VALUE"""),"plaza")</f>
        <v>plaza</v>
      </c>
      <c r="V53" s="189" t="str">
        <f ca="1">IFERROR(__xludf.DUMMYFUNCTION("""COMPUTED_VALUE"""),"")</f>
        <v/>
      </c>
      <c r="W53" s="189" t="str">
        <f ca="1">IFERROR(__xludf.DUMMYFUNCTION("""COMPUTED_VALUE"""),"")</f>
        <v/>
      </c>
      <c r="X53" s="189" t="str">
        <f ca="1">IFERROR(__xludf.DUMMYFUNCTION("""COMPUTED_VALUE"""),"{t1:gules;division:{division:perPale;t:argent;line:wavy};charges:[{charge:lute;t:or;p:jo;divided:counter;size:0.7}];shield:horsehead2}")</f>
        <v>{t1:gules;division:{division:perPale;t:argent;line:wavy};charges:[{charge:lute;t:or;p:jo;divided:counter;size:0.7}];shield:horsehead2}</v>
      </c>
      <c r="Y53" s="193" t="str">
        <f ca="1">IFERROR(__xludf.DUMMYFUNCTION("""COMPUTED_VALUE"""),"https://watabou.github.io/city-generator/?name=Borehelmber&amp;population=10757&amp;size=32&amp;seed=3550748350305&amp;river=0&amp;coast=0&amp;farms=1&amp;citadel=1&amp;urban_castle=0&amp;hub=false&amp;plaza=1&amp;temple=0&amp;walls=1&amp;shantytown=0&amp;gates=-1")</f>
        <v>https://watabou.github.io/city-generator/?name=Borehelmber&amp;population=10757&amp;size=32&amp;seed=3550748350305&amp;river=0&amp;coast=0&amp;farms=1&amp;citadel=1&amp;urban_castle=0&amp;hub=false&amp;plaza=1&amp;temple=0&amp;walls=1&amp;shantytown=0&amp;gates=-1</v>
      </c>
      <c r="Z53" s="189"/>
    </row>
    <row r="54" spans="1:26" ht="15" x14ac:dyDescent="0.25">
      <c r="A54" s="55">
        <f ca="1">IFERROR(__xludf.DUMMYFUNCTION("""COMPUTED_VALUE"""),315)</f>
        <v>315</v>
      </c>
      <c r="B54" s="55" t="str">
        <f ca="1">IFERROR(__xludf.DUMMYFUNCTION("""COMPUTED_VALUE"""),"Grideborn")</f>
        <v>Grideborn</v>
      </c>
      <c r="C54" s="55" t="str">
        <f ca="1">IFERROR(__xludf.DUMMYFUNCTION("""COMPUTED_VALUE"""),"Swanhall")</f>
        <v>Swanhall</v>
      </c>
      <c r="D54" s="55" t="str">
        <f ca="1">IFERROR(__xludf.DUMMYFUNCTION("""COMPUTED_VALUE"""),"Swanhall Province")</f>
        <v>Swanhall Province</v>
      </c>
      <c r="E54" s="55" t="str">
        <f ca="1">IFERROR(__xludf.DUMMYFUNCTION("""COMPUTED_VALUE"""),"Shavia")</f>
        <v>Shavia</v>
      </c>
      <c r="F54" s="55" t="str">
        <f ca="1">IFERROR(__xludf.DUMMYFUNCTION("""COMPUTED_VALUE"""),"Kingdom of Shavia")</f>
        <v>Kingdom of Shavia</v>
      </c>
      <c r="G54" s="55" t="str">
        <f ca="1">IFERROR(__xludf.DUMMYFUNCTION("""COMPUTED_VALUE"""),"Shavian")</f>
        <v>Shavian</v>
      </c>
      <c r="H54" s="55" t="str">
        <f ca="1">IFERROR(__xludf.DUMMYFUNCTION("""COMPUTED_VALUE"""),"Path of Guiding Light")</f>
        <v>Path of Guiding Light</v>
      </c>
      <c r="I54" s="55">
        <f ca="1">IFERROR(__xludf.DUMMYFUNCTION("""COMPUTED_VALUE"""),1850)</f>
        <v>1850</v>
      </c>
      <c r="J54" s="55">
        <f ca="1">IFERROR(__xludf.DUMMYFUNCTION("""COMPUTED_VALUE"""),797.397270062698)</f>
        <v>797.397270062698</v>
      </c>
      <c r="K54" s="55">
        <f ca="1">IFERROR(__xludf.DUMMYFUNCTION("""COMPUTED_VALUE"""),788.351966053066)</f>
        <v>788.35196605306601</v>
      </c>
      <c r="L54" s="55">
        <f ca="1">IFERROR(__xludf.DUMMYFUNCTION("""COMPUTED_VALUE"""),-32.63)</f>
        <v>-32.630000000000003</v>
      </c>
      <c r="M54" s="55">
        <f ca="1">IFERROR(__xludf.DUMMYFUNCTION("""COMPUTED_VALUE"""),0.76)</f>
        <v>0.76</v>
      </c>
      <c r="N54" s="55">
        <f ca="1">IFERROR(__xludf.DUMMYFUNCTION("""COMPUTED_VALUE"""),2572)</f>
        <v>2572</v>
      </c>
      <c r="O54" s="55" t="str">
        <f ca="1">IFERROR(__xludf.DUMMYFUNCTION("""COMPUTED_VALUE"""),"34°F")</f>
        <v>34°F</v>
      </c>
      <c r="P54" s="55" t="str">
        <f ca="1">IFERROR(__xludf.DUMMYFUNCTION("""COMPUTED_VALUE"""),"Arkhangelsk")</f>
        <v>Arkhangelsk</v>
      </c>
      <c r="Q54" s="55" t="str">
        <f ca="1">IFERROR(__xludf.DUMMYFUNCTION("""COMPUTED_VALUE"""),"")</f>
        <v/>
      </c>
      <c r="R54" s="55" t="str">
        <f ca="1">IFERROR(__xludf.DUMMYFUNCTION("""COMPUTED_VALUE"""),"")</f>
        <v/>
      </c>
      <c r="S54" s="55" t="str">
        <f ca="1">IFERROR(__xludf.DUMMYFUNCTION("""COMPUTED_VALUE"""),"citadel")</f>
        <v>citadel</v>
      </c>
      <c r="T54" s="55" t="str">
        <f ca="1">IFERROR(__xludf.DUMMYFUNCTION("""COMPUTED_VALUE"""),"")</f>
        <v/>
      </c>
      <c r="U54" s="55" t="str">
        <f ca="1">IFERROR(__xludf.DUMMYFUNCTION("""COMPUTED_VALUE"""),"")</f>
        <v/>
      </c>
      <c r="V54" s="189" t="str">
        <f ca="1">IFERROR(__xludf.DUMMYFUNCTION("""COMPUTED_VALUE"""),"")</f>
        <v/>
      </c>
      <c r="W54" s="189" t="str">
        <f ca="1">IFERROR(__xludf.DUMMYFUNCTION("""COMPUTED_VALUE"""),"")</f>
        <v/>
      </c>
      <c r="X54" s="189" t="str">
        <f ca="1">IFERROR(__xludf.DUMMYFUNCTION("""COMPUTED_VALUE"""),"{t1:azure;ordinaries:[{ordinary:cross;t:argent;line:straight}];charges:[{charge:crosier;t:azure;p:behdf;size:0.3}];shield:horsehead2}")</f>
        <v>{t1:azure;ordinaries:[{ordinary:cross;t:argent;line:straight}];charges:[{charge:crosier;t:azure;p:behdf;size:0.3}];shield:horsehead2}</v>
      </c>
      <c r="Y54" s="193" t="str">
        <f ca="1">IFERROR(__xludf.DUMMYFUNCTION("""COMPUTED_VALUE"""),"https://watabou.github.io/city-generator/?name=Grideborn&amp;population=1850&amp;size=16&amp;seed=3550748350315&amp;river=0&amp;coast=0&amp;farms=0&amp;citadel=1&amp;urban_castle=0&amp;hub=false&amp;plaza=0&amp;temple=0&amp;walls=0&amp;shantytown=0&amp;gates=-1")</f>
        <v>https://watabou.github.io/city-generator/?name=Grideborn&amp;population=1850&amp;size=16&amp;seed=3550748350315&amp;river=0&amp;coast=0&amp;farms=0&amp;citadel=1&amp;urban_castle=0&amp;hub=false&amp;plaza=0&amp;temple=0&amp;walls=0&amp;shantytown=0&amp;gates=-1</v>
      </c>
      <c r="Z54" s="189"/>
    </row>
    <row r="55" spans="1:26" ht="15" x14ac:dyDescent="0.25">
      <c r="A55" s="55">
        <f ca="1">IFERROR(__xludf.DUMMYFUNCTION("""COMPUTED_VALUE"""),326)</f>
        <v>326</v>
      </c>
      <c r="B55" s="55" t="str">
        <f ca="1">IFERROR(__xludf.DUMMYFUNCTION("""COMPUTED_VALUE"""),"Gnilaurthi")</f>
        <v>Gnilaurthi</v>
      </c>
      <c r="C55" s="55" t="str">
        <f ca="1">IFERROR(__xludf.DUMMYFUNCTION("""COMPUTED_VALUE"""),"Crownlands")</f>
        <v>Crownlands</v>
      </c>
      <c r="D55" s="55" t="str">
        <f ca="1">IFERROR(__xludf.DUMMYFUNCTION("""COMPUTED_VALUE"""),"Uzd Province")</f>
        <v>Uzd Province</v>
      </c>
      <c r="E55" s="55" t="str">
        <f ca="1">IFERROR(__xludf.DUMMYFUNCTION("""COMPUTED_VALUE"""),"Shavia")</f>
        <v>Shavia</v>
      </c>
      <c r="F55" s="55" t="str">
        <f ca="1">IFERROR(__xludf.DUMMYFUNCTION("""COMPUTED_VALUE"""),"Kingdom of Shavia")</f>
        <v>Kingdom of Shavia</v>
      </c>
      <c r="G55" s="55" t="str">
        <f ca="1">IFERROR(__xludf.DUMMYFUNCTION("""COMPUTED_VALUE"""),"Aranvers")</f>
        <v>Aranvers</v>
      </c>
      <c r="H55" s="55" t="str">
        <f ca="1">IFERROR(__xludf.DUMMYFUNCTION("""COMPUTED_VALUE"""),"Path of Guiding Light")</f>
        <v>Path of Guiding Light</v>
      </c>
      <c r="I55" s="55">
        <f ca="1">IFERROR(__xludf.DUMMYFUNCTION("""COMPUTED_VALUE"""),9267)</f>
        <v>9267</v>
      </c>
      <c r="J55" s="55">
        <f ca="1">IFERROR(__xludf.DUMMYFUNCTION("""COMPUTED_VALUE"""),338)</f>
        <v>338</v>
      </c>
      <c r="K55" s="55">
        <f ca="1">IFERROR(__xludf.DUMMYFUNCTION("""COMPUTED_VALUE"""),571)</f>
        <v>571</v>
      </c>
      <c r="L55" s="55">
        <f ca="1">IFERROR(__xludf.DUMMYFUNCTION("""COMPUTED_VALUE"""),-25.59)</f>
        <v>-25.59</v>
      </c>
      <c r="M55" s="55">
        <f ca="1">IFERROR(__xludf.DUMMYFUNCTION("""COMPUTED_VALUE"""),-14.08)</f>
        <v>-14.08</v>
      </c>
      <c r="N55" s="55">
        <f ca="1">IFERROR(__xludf.DUMMYFUNCTION("""COMPUTED_VALUE"""),82)</f>
        <v>82</v>
      </c>
      <c r="O55" s="55" t="str">
        <f ca="1">IFERROR(__xludf.DUMMYFUNCTION("""COMPUTED_VALUE"""),"46°F")</f>
        <v>46°F</v>
      </c>
      <c r="P55" s="55" t="str">
        <f ca="1">IFERROR(__xludf.DUMMYFUNCTION("""COMPUTED_VALUE"""),"Prague")</f>
        <v>Prague</v>
      </c>
      <c r="Q55" s="55" t="str">
        <f ca="1">IFERROR(__xludf.DUMMYFUNCTION("""COMPUTED_VALUE"""),"")</f>
        <v/>
      </c>
      <c r="R55" s="55" t="str">
        <f ca="1">IFERROR(__xludf.DUMMYFUNCTION("""COMPUTED_VALUE"""),"port")</f>
        <v>port</v>
      </c>
      <c r="S55" s="55" t="str">
        <f ca="1">IFERROR(__xludf.DUMMYFUNCTION("""COMPUTED_VALUE"""),"")</f>
        <v/>
      </c>
      <c r="T55" s="55" t="str">
        <f ca="1">IFERROR(__xludf.DUMMYFUNCTION("""COMPUTED_VALUE"""),"")</f>
        <v/>
      </c>
      <c r="U55" s="55" t="str">
        <f ca="1">IFERROR(__xludf.DUMMYFUNCTION("""COMPUTED_VALUE"""),"")</f>
        <v/>
      </c>
      <c r="V55" s="189" t="str">
        <f ca="1">IFERROR(__xludf.DUMMYFUNCTION("""COMPUTED_VALUE"""),"")</f>
        <v/>
      </c>
      <c r="W55" s="189" t="str">
        <f ca="1">IFERROR(__xludf.DUMMYFUNCTION("""COMPUTED_VALUE"""),"")</f>
        <v/>
      </c>
      <c r="X55" s="189" t="str">
        <f ca="1">IFERROR(__xludf.DUMMYFUNCTION("""COMPUTED_VALUE"""),"{t1:gules;charges:[{charge:billet;t:argent;p:e;size:1.5}];shield:hessen}")</f>
        <v>{t1:gules;charges:[{charge:billet;t:argent;p:e;size:1.5}];shield:hessen}</v>
      </c>
      <c r="Y55" s="193" t="str">
        <f ca="1">IFERROR(__xludf.DUMMYFUNCTION("""COMPUTED_VALUE"""),"https://watabou.github.io/city-generator/?name=Gnilaurthi&amp;population=9267&amp;size=30&amp;seed=3550748350326&amp;river=0&amp;coast=1&amp;farms=1&amp;citadel=0&amp;urban_castle=0&amp;hub=false&amp;plaza=0&amp;temple=0&amp;walls=0&amp;shantytown=0&amp;gates=-1&amp;sea=0.99")</f>
        <v>https://watabou.github.io/city-generator/?name=Gnilaurthi&amp;population=9267&amp;size=30&amp;seed=3550748350326&amp;river=0&amp;coast=1&amp;farms=1&amp;citadel=0&amp;urban_castle=0&amp;hub=false&amp;plaza=0&amp;temple=0&amp;walls=0&amp;shantytown=0&amp;gates=-1&amp;sea=0.99</v>
      </c>
      <c r="Z55" s="189"/>
    </row>
    <row r="56" spans="1:26" ht="15" x14ac:dyDescent="0.25">
      <c r="A56" s="55">
        <f ca="1">IFERROR(__xludf.DUMMYFUNCTION("""COMPUTED_VALUE"""),349)</f>
        <v>349</v>
      </c>
      <c r="B56" s="55" t="str">
        <f ca="1">IFERROR(__xludf.DUMMYFUNCTION("""COMPUTED_VALUE"""),"Goldbrook")</f>
        <v>Goldbrook</v>
      </c>
      <c r="C56" s="55" t="str">
        <f ca="1">IFERROR(__xludf.DUMMYFUNCTION("""COMPUTED_VALUE"""),"Sirong")</f>
        <v>Sirong</v>
      </c>
      <c r="D56" s="55" t="str">
        <f ca="1">IFERROR(__xludf.DUMMYFUNCTION("""COMPUTED_VALUE"""),"Sirong Lordship")</f>
        <v>Sirong Lordship</v>
      </c>
      <c r="E56" s="55" t="str">
        <f ca="1">IFERROR(__xludf.DUMMYFUNCTION("""COMPUTED_VALUE"""),"Shavia")</f>
        <v>Shavia</v>
      </c>
      <c r="F56" s="55" t="str">
        <f ca="1">IFERROR(__xludf.DUMMYFUNCTION("""COMPUTED_VALUE"""),"Kingdom of Shavia")</f>
        <v>Kingdom of Shavia</v>
      </c>
      <c r="G56" s="55" t="str">
        <f ca="1">IFERROR(__xludf.DUMMYFUNCTION("""COMPUTED_VALUE"""),"Shavian")</f>
        <v>Shavian</v>
      </c>
      <c r="H56" s="55" t="str">
        <f ca="1">IFERROR(__xludf.DUMMYFUNCTION("""COMPUTED_VALUE"""),"Path of Guiding Light")</f>
        <v>Path of Guiding Light</v>
      </c>
      <c r="I56" s="55">
        <f ca="1">IFERROR(__xludf.DUMMYFUNCTION("""COMPUTED_VALUE"""),2822)</f>
        <v>2822</v>
      </c>
      <c r="J56" s="55">
        <f ca="1">IFERROR(__xludf.DUMMYFUNCTION("""COMPUTED_VALUE"""),489)</f>
        <v>489</v>
      </c>
      <c r="K56" s="55">
        <f ca="1">IFERROR(__xludf.DUMMYFUNCTION("""COMPUTED_VALUE"""),840)</f>
        <v>840</v>
      </c>
      <c r="L56" s="55">
        <f ca="1">IFERROR(__xludf.DUMMYFUNCTION("""COMPUTED_VALUE"""),-34.3)</f>
        <v>-34.299999999999997</v>
      </c>
      <c r="M56" s="55">
        <f ca="1">IFERROR(__xludf.DUMMYFUNCTION("""COMPUTED_VALUE"""),-9.21)</f>
        <v>-9.2100000000000009</v>
      </c>
      <c r="N56" s="55">
        <f ca="1">IFERROR(__xludf.DUMMYFUNCTION("""COMPUTED_VALUE"""),161)</f>
        <v>161</v>
      </c>
      <c r="O56" s="55" t="str">
        <f ca="1">IFERROR(__xludf.DUMMYFUNCTION("""COMPUTED_VALUE"""),"39°F")</f>
        <v>39°F</v>
      </c>
      <c r="P56" s="55" t="str">
        <f ca="1">IFERROR(__xludf.DUMMYFUNCTION("""COMPUTED_VALUE"""),"Reykjavik")</f>
        <v>Reykjavik</v>
      </c>
      <c r="Q56" s="55" t="str">
        <f ca="1">IFERROR(__xludf.DUMMYFUNCTION("""COMPUTED_VALUE"""),"")</f>
        <v/>
      </c>
      <c r="R56" s="55" t="str">
        <f ca="1">IFERROR(__xludf.DUMMYFUNCTION("""COMPUTED_VALUE"""),"port")</f>
        <v>port</v>
      </c>
      <c r="S56" s="55" t="str">
        <f ca="1">IFERROR(__xludf.DUMMYFUNCTION("""COMPUTED_VALUE"""),"citadel")</f>
        <v>citadel</v>
      </c>
      <c r="T56" s="55" t="str">
        <f ca="1">IFERROR(__xludf.DUMMYFUNCTION("""COMPUTED_VALUE"""),"")</f>
        <v/>
      </c>
      <c r="U56" s="55" t="str">
        <f ca="1">IFERROR(__xludf.DUMMYFUNCTION("""COMPUTED_VALUE"""),"plaza")</f>
        <v>plaza</v>
      </c>
      <c r="V56" s="189" t="str">
        <f ca="1">IFERROR(__xludf.DUMMYFUNCTION("""COMPUTED_VALUE"""),"")</f>
        <v/>
      </c>
      <c r="W56" s="189" t="str">
        <f ca="1">IFERROR(__xludf.DUMMYFUNCTION("""COMPUTED_VALUE"""),"")</f>
        <v/>
      </c>
      <c r="X56" s="189" t="str">
        <f ca="1">IFERROR(__xludf.DUMMYFUNCTION("""COMPUTED_VALUE"""),"{t1:argent;charges:[{charge:monk;t:gules;p:jeo;size:0.5}];shield:fantasy5}")</f>
        <v>{t1:argent;charges:[{charge:monk;t:gules;p:jeo;size:0.5}];shield:fantasy5}</v>
      </c>
      <c r="Y56" s="193" t="str">
        <f ca="1">IFERROR(__xludf.DUMMYFUNCTION("""COMPUTED_VALUE"""),"https://watabou.github.io/city-generator/?name=Goldbrook&amp;population=2822&amp;size=19&amp;seed=3550748350349&amp;river=0&amp;coast=1&amp;farms=1&amp;citadel=1&amp;urban_castle=0&amp;hub=false&amp;plaza=1&amp;temple=0&amp;walls=0&amp;shantytown=0&amp;gates=-1&amp;sea=0.01")</f>
        <v>https://watabou.github.io/city-generator/?name=Goldbrook&amp;population=2822&amp;size=19&amp;seed=3550748350349&amp;river=0&amp;coast=1&amp;farms=1&amp;citadel=1&amp;urban_castle=0&amp;hub=false&amp;plaza=1&amp;temple=0&amp;walls=0&amp;shantytown=0&amp;gates=-1&amp;sea=0.01</v>
      </c>
      <c r="Z56" s="189"/>
    </row>
    <row r="57" spans="1:26" ht="15" x14ac:dyDescent="0.25">
      <c r="A57" s="55">
        <f ca="1">IFERROR(__xludf.DUMMYFUNCTION("""COMPUTED_VALUE"""),351)</f>
        <v>351</v>
      </c>
      <c r="B57" s="55" t="str">
        <f ca="1">IFERROR(__xludf.DUMMYFUNCTION("""COMPUTED_VALUE"""),"Barondrith")</f>
        <v>Barondrith</v>
      </c>
      <c r="C57" s="55" t="str">
        <f ca="1">IFERROR(__xludf.DUMMYFUNCTION("""COMPUTED_VALUE"""),"Sirong")</f>
        <v>Sirong</v>
      </c>
      <c r="D57" s="55" t="str">
        <f ca="1">IFERROR(__xludf.DUMMYFUNCTION("""COMPUTED_VALUE"""),"Sirong Lordship")</f>
        <v>Sirong Lordship</v>
      </c>
      <c r="E57" s="55" t="str">
        <f ca="1">IFERROR(__xludf.DUMMYFUNCTION("""COMPUTED_VALUE"""),"Shavia")</f>
        <v>Shavia</v>
      </c>
      <c r="F57" s="55" t="str">
        <f ca="1">IFERROR(__xludf.DUMMYFUNCTION("""COMPUTED_VALUE"""),"Kingdom of Shavia")</f>
        <v>Kingdom of Shavia</v>
      </c>
      <c r="G57" s="55" t="str">
        <f ca="1">IFERROR(__xludf.DUMMYFUNCTION("""COMPUTED_VALUE"""),"Aranvers")</f>
        <v>Aranvers</v>
      </c>
      <c r="H57" s="55" t="str">
        <f ca="1">IFERROR(__xludf.DUMMYFUNCTION("""COMPUTED_VALUE"""),"Path of Guiding Light")</f>
        <v>Path of Guiding Light</v>
      </c>
      <c r="I57" s="55">
        <f ca="1">IFERROR(__xludf.DUMMYFUNCTION("""COMPUTED_VALUE"""),8507)</f>
        <v>8507</v>
      </c>
      <c r="J57" s="55">
        <f ca="1">IFERROR(__xludf.DUMMYFUNCTION("""COMPUTED_VALUE"""),415.848667064855)</f>
        <v>415.84866706485502</v>
      </c>
      <c r="K57" s="55">
        <f ca="1">IFERROR(__xludf.DUMMYFUNCTION("""COMPUTED_VALUE"""),871.745782112528)</f>
        <v>871.74578211252799</v>
      </c>
      <c r="L57" s="55">
        <f ca="1">IFERROR(__xludf.DUMMYFUNCTION("""COMPUTED_VALUE"""),-35.33)</f>
        <v>-35.33</v>
      </c>
      <c r="M57" s="55">
        <f ca="1">IFERROR(__xludf.DUMMYFUNCTION("""COMPUTED_VALUE"""),-11.57)</f>
        <v>-11.57</v>
      </c>
      <c r="N57" s="55">
        <f ca="1">IFERROR(__xludf.DUMMYFUNCTION("""COMPUTED_VALUE"""),266)</f>
        <v>266</v>
      </c>
      <c r="O57" s="55" t="str">
        <f ca="1">IFERROR(__xludf.DUMMYFUNCTION("""COMPUTED_VALUE"""),"39°F")</f>
        <v>39°F</v>
      </c>
      <c r="P57" s="55" t="str">
        <f ca="1">IFERROR(__xludf.DUMMYFUNCTION("""COMPUTED_VALUE"""),"Reykjavik")</f>
        <v>Reykjavik</v>
      </c>
      <c r="Q57" s="55" t="str">
        <f ca="1">IFERROR(__xludf.DUMMYFUNCTION("""COMPUTED_VALUE"""),"")</f>
        <v/>
      </c>
      <c r="R57" s="55" t="str">
        <f ca="1">IFERROR(__xludf.DUMMYFUNCTION("""COMPUTED_VALUE"""),"")</f>
        <v/>
      </c>
      <c r="S57" s="55" t="str">
        <f ca="1">IFERROR(__xludf.DUMMYFUNCTION("""COMPUTED_VALUE"""),"")</f>
        <v/>
      </c>
      <c r="T57" s="55" t="str">
        <f ca="1">IFERROR(__xludf.DUMMYFUNCTION("""COMPUTED_VALUE"""),"")</f>
        <v/>
      </c>
      <c r="U57" s="55" t="str">
        <f ca="1">IFERROR(__xludf.DUMMYFUNCTION("""COMPUTED_VALUE"""),"")</f>
        <v/>
      </c>
      <c r="V57" s="189" t="str">
        <f ca="1">IFERROR(__xludf.DUMMYFUNCTION("""COMPUTED_VALUE"""),"")</f>
        <v/>
      </c>
      <c r="W57" s="189" t="str">
        <f ca="1">IFERROR(__xludf.DUMMYFUNCTION("""COMPUTED_VALUE"""),"")</f>
        <v/>
      </c>
      <c r="X57" s="189" t="str">
        <f ca="1">IFERROR(__xludf.DUMMYFUNCTION("""COMPUTED_VALUE"""),"{t1:or;ordinaries:[{ordinary:pallReversed;t:vert}];charges:[{charge:fusil;t:or;p:bemo;size:0.5}];shield:hessen}")</f>
        <v>{t1:or;ordinaries:[{ordinary:pallReversed;t:vert}];charges:[{charge:fusil;t:or;p:bemo;size:0.5}];shield:hessen}</v>
      </c>
      <c r="Y57" s="193" t="str">
        <f ca="1">IFERROR(__xludf.DUMMYFUNCTION("""COMPUTED_VALUE"""),"https://watabou.github.io/city-generator/?name=Barondrith&amp;population=8507&amp;size=29&amp;seed=3550748350351&amp;river=0&amp;coast=0&amp;farms=1&amp;citadel=0&amp;urban_castle=0&amp;hub=false&amp;plaza=0&amp;temple=0&amp;walls=0&amp;shantytown=0&amp;gates=-1")</f>
        <v>https://watabou.github.io/city-generator/?name=Barondrith&amp;population=8507&amp;size=29&amp;seed=3550748350351&amp;river=0&amp;coast=0&amp;farms=1&amp;citadel=0&amp;urban_castle=0&amp;hub=false&amp;plaza=0&amp;temple=0&amp;walls=0&amp;shantytown=0&amp;gates=-1</v>
      </c>
      <c r="Z57" s="189"/>
    </row>
    <row r="58" spans="1:26" ht="15" x14ac:dyDescent="0.25">
      <c r="A58" s="55">
        <f ca="1">IFERROR(__xludf.DUMMYFUNCTION("""COMPUTED_VALUE"""),376)</f>
        <v>376</v>
      </c>
      <c r="B58" s="55" t="str">
        <f ca="1">IFERROR(__xludf.DUMMYFUNCTION("""COMPUTED_VALUE"""),"Pearlpass")</f>
        <v>Pearlpass</v>
      </c>
      <c r="C58" s="55" t="str">
        <f ca="1">IFERROR(__xludf.DUMMYFUNCTION("""COMPUTED_VALUE"""),"Dreghold")</f>
        <v>Dreghold</v>
      </c>
      <c r="D58" s="55" t="str">
        <f ca="1">IFERROR(__xludf.DUMMYFUNCTION("""COMPUTED_VALUE"""),"Dreghold Province")</f>
        <v>Dreghold Province</v>
      </c>
      <c r="E58" s="55" t="str">
        <f ca="1">IFERROR(__xludf.DUMMYFUNCTION("""COMPUTED_VALUE"""),"Shavia")</f>
        <v>Shavia</v>
      </c>
      <c r="F58" s="55" t="str">
        <f ca="1">IFERROR(__xludf.DUMMYFUNCTION("""COMPUTED_VALUE"""),"Kingdom of Shavia")</f>
        <v>Kingdom of Shavia</v>
      </c>
      <c r="G58" s="55" t="str">
        <f ca="1">IFERROR(__xludf.DUMMYFUNCTION("""COMPUTED_VALUE"""),"Shavian")</f>
        <v>Shavian</v>
      </c>
      <c r="H58" s="55" t="str">
        <f ca="1">IFERROR(__xludf.DUMMYFUNCTION("""COMPUTED_VALUE"""),"Path of Guiding Light")</f>
        <v>Path of Guiding Light</v>
      </c>
      <c r="I58" s="55">
        <f ca="1">IFERROR(__xludf.DUMMYFUNCTION("""COMPUTED_VALUE"""),23705)</f>
        <v>23705</v>
      </c>
      <c r="J58" s="55">
        <f ca="1">IFERROR(__xludf.DUMMYFUNCTION("""COMPUTED_VALUE"""),523.803275625377)</f>
        <v>523.80327562537695</v>
      </c>
      <c r="K58" s="55">
        <f ca="1">IFERROR(__xludf.DUMMYFUNCTION("""COMPUTED_VALUE"""),531.105884215499)</f>
        <v>531.10588421549903</v>
      </c>
      <c r="L58" s="55">
        <f ca="1">IFERROR(__xludf.DUMMYFUNCTION("""COMPUTED_VALUE"""),-24.3)</f>
        <v>-24.3</v>
      </c>
      <c r="M58" s="55">
        <f ca="1">IFERROR(__xludf.DUMMYFUNCTION("""COMPUTED_VALUE"""),-8.08)</f>
        <v>-8.08</v>
      </c>
      <c r="N58" s="55">
        <f ca="1">IFERROR(__xludf.DUMMYFUNCTION("""COMPUTED_VALUE"""),266)</f>
        <v>266</v>
      </c>
      <c r="O58" s="55" t="str">
        <f ca="1">IFERROR(__xludf.DUMMYFUNCTION("""COMPUTED_VALUE"""),"48°F")</f>
        <v>48°F</v>
      </c>
      <c r="P58" s="55" t="str">
        <f ca="1">IFERROR(__xludf.DUMMYFUNCTION("""COMPUTED_VALUE"""),"Copenhagen")</f>
        <v>Copenhagen</v>
      </c>
      <c r="Q58" s="55" t="str">
        <f ca="1">IFERROR(__xludf.DUMMYFUNCTION("""COMPUTED_VALUE"""),"")</f>
        <v/>
      </c>
      <c r="R58" s="55" t="str">
        <f ca="1">IFERROR(__xludf.DUMMYFUNCTION("""COMPUTED_VALUE"""),"")</f>
        <v/>
      </c>
      <c r="S58" s="55" t="str">
        <f ca="1">IFERROR(__xludf.DUMMYFUNCTION("""COMPUTED_VALUE"""),"citadel")</f>
        <v>citadel</v>
      </c>
      <c r="T58" s="55" t="str">
        <f ca="1">IFERROR(__xludf.DUMMYFUNCTION("""COMPUTED_VALUE"""),"")</f>
        <v/>
      </c>
      <c r="U58" s="55" t="str">
        <f ca="1">IFERROR(__xludf.DUMMYFUNCTION("""COMPUTED_VALUE"""),"plaza")</f>
        <v>plaza</v>
      </c>
      <c r="V58" s="189" t="str">
        <f ca="1">IFERROR(__xludf.DUMMYFUNCTION("""COMPUTED_VALUE"""),"")</f>
        <v/>
      </c>
      <c r="W58" s="189" t="str">
        <f ca="1">IFERROR(__xludf.DUMMYFUNCTION("""COMPUTED_VALUE"""),"")</f>
        <v/>
      </c>
      <c r="X58" s="189" t="str">
        <f ca="1">IFERROR(__xludf.DUMMYFUNCTION("""COMPUTED_VALUE"""),"{t1:bendy-or-gules;charges:[{charge:lionRampant;t:purpure;p:abc;size:0.5}];shield:fantasy5}")</f>
        <v>{t1:bendy-or-gules;charges:[{charge:lionRampant;t:purpure;p:abc;size:0.5}];shield:fantasy5}</v>
      </c>
      <c r="Y58" s="193" t="str">
        <f ca="1">IFERROR(__xludf.DUMMYFUNCTION("""COMPUTED_VALUE"""),"https://watabou.github.io/city-generator/?name=Pearlpass&amp;population=23705&amp;size=43&amp;seed=3550748350376&amp;river=0&amp;coast=0&amp;farms=1&amp;citadel=1&amp;urban_castle=1&amp;hub=false&amp;plaza=1&amp;temple=0&amp;walls=0&amp;shantytown=0&amp;gates=-1")</f>
        <v>https://watabou.github.io/city-generator/?name=Pearlpass&amp;population=23705&amp;size=43&amp;seed=3550748350376&amp;river=0&amp;coast=0&amp;farms=1&amp;citadel=1&amp;urban_castle=1&amp;hub=false&amp;plaza=1&amp;temple=0&amp;walls=0&amp;shantytown=0&amp;gates=-1</v>
      </c>
      <c r="Z58" s="189"/>
    </row>
    <row r="59" spans="1:26" ht="15" x14ac:dyDescent="0.25">
      <c r="A59" s="55">
        <f ca="1">IFERROR(__xludf.DUMMYFUNCTION("""COMPUTED_VALUE"""),378)</f>
        <v>378</v>
      </c>
      <c r="B59" s="55" t="str">
        <f ca="1">IFERROR(__xludf.DUMMYFUNCTION("""COMPUTED_VALUE"""),"Clifgasinf")</f>
        <v>Clifgasinf</v>
      </c>
      <c r="C59" s="55" t="str">
        <f ca="1">IFERROR(__xludf.DUMMYFUNCTION("""COMPUTED_VALUE"""),"Swanhall")</f>
        <v>Swanhall</v>
      </c>
      <c r="D59" s="55" t="str">
        <f ca="1">IFERROR(__xludf.DUMMYFUNCTION("""COMPUTED_VALUE"""),"Swanhall Province")</f>
        <v>Swanhall Province</v>
      </c>
      <c r="E59" s="55" t="str">
        <f ca="1">IFERROR(__xludf.DUMMYFUNCTION("""COMPUTED_VALUE"""),"Shavia")</f>
        <v>Shavia</v>
      </c>
      <c r="F59" s="55" t="str">
        <f ca="1">IFERROR(__xludf.DUMMYFUNCTION("""COMPUTED_VALUE"""),"Kingdom of Shavia")</f>
        <v>Kingdom of Shavia</v>
      </c>
      <c r="G59" s="55" t="str">
        <f ca="1">IFERROR(__xludf.DUMMYFUNCTION("""COMPUTED_VALUE"""),"Eastern Shavian")</f>
        <v>Eastern Shavian</v>
      </c>
      <c r="H59" s="55" t="str">
        <f ca="1">IFERROR(__xludf.DUMMYFUNCTION("""COMPUTED_VALUE"""),"Path of Guiding Light")</f>
        <v>Path of Guiding Light</v>
      </c>
      <c r="I59" s="55">
        <f ca="1">IFERROR(__xludf.DUMMYFUNCTION("""COMPUTED_VALUE"""),2932)</f>
        <v>2932</v>
      </c>
      <c r="J59" s="55">
        <f ca="1">IFERROR(__xludf.DUMMYFUNCTION("""COMPUTED_VALUE"""),1116.5)</f>
        <v>1116.5</v>
      </c>
      <c r="K59" s="55">
        <f ca="1">IFERROR(__xludf.DUMMYFUNCTION("""COMPUTED_VALUE"""),791.5)</f>
        <v>791.5</v>
      </c>
      <c r="L59" s="55">
        <f ca="1">IFERROR(__xludf.DUMMYFUNCTION("""COMPUTED_VALUE"""),-32.73)</f>
        <v>-32.729999999999997</v>
      </c>
      <c r="M59" s="55">
        <f ca="1">IFERROR(__xludf.DUMMYFUNCTION("""COMPUTED_VALUE"""),11.06)</f>
        <v>11.06</v>
      </c>
      <c r="N59" s="55">
        <f ca="1">IFERROR(__xludf.DUMMYFUNCTION("""COMPUTED_VALUE"""),161)</f>
        <v>161</v>
      </c>
      <c r="O59" s="55" t="str">
        <f ca="1">IFERROR(__xludf.DUMMYFUNCTION("""COMPUTED_VALUE"""),"41°F")</f>
        <v>41°F</v>
      </c>
      <c r="P59" s="55" t="str">
        <f ca="1">IFERROR(__xludf.DUMMYFUNCTION("""COMPUTED_VALUE"""),"Riga")</f>
        <v>Riga</v>
      </c>
      <c r="Q59" s="55" t="str">
        <f ca="1">IFERROR(__xludf.DUMMYFUNCTION("""COMPUTED_VALUE"""),"")</f>
        <v/>
      </c>
      <c r="R59" s="55" t="str">
        <f ca="1">IFERROR(__xludf.DUMMYFUNCTION("""COMPUTED_VALUE"""),"port")</f>
        <v>port</v>
      </c>
      <c r="S59" s="55" t="str">
        <f ca="1">IFERROR(__xludf.DUMMYFUNCTION("""COMPUTED_VALUE"""),"")</f>
        <v/>
      </c>
      <c r="T59" s="55" t="str">
        <f ca="1">IFERROR(__xludf.DUMMYFUNCTION("""COMPUTED_VALUE"""),"")</f>
        <v/>
      </c>
      <c r="U59" s="55" t="str">
        <f ca="1">IFERROR(__xludf.DUMMYFUNCTION("""COMPUTED_VALUE"""),"")</f>
        <v/>
      </c>
      <c r="V59" s="189" t="str">
        <f ca="1">IFERROR(__xludf.DUMMYFUNCTION("""COMPUTED_VALUE"""),"")</f>
        <v/>
      </c>
      <c r="W59" s="189" t="str">
        <f ca="1">IFERROR(__xludf.DUMMYFUNCTION("""COMPUTED_VALUE"""),"")</f>
        <v/>
      </c>
      <c r="X59" s="189" t="str">
        <f ca="1">IFERROR(__xludf.DUMMYFUNCTION("""COMPUTED_VALUE"""),"{t1:azure;ordinaries:[{ordinary:fess;t:argent;line:rayonne}];charges:[{charge:lymphad;t:argent;p:abc;size:0.5}];shield:horsehead2}")</f>
        <v>{t1:azure;ordinaries:[{ordinary:fess;t:argent;line:rayonne}];charges:[{charge:lymphad;t:argent;p:abc;size:0.5}];shield:horsehead2}</v>
      </c>
      <c r="Y59" s="193" t="str">
        <f ca="1">IFERROR(__xludf.DUMMYFUNCTION("""COMPUTED_VALUE"""),"https://watabou.github.io/city-generator/?name=Clifgasinf&amp;population=2932&amp;size=19&amp;seed=3550748350378&amp;river=0&amp;coast=1&amp;farms=1&amp;citadel=0&amp;urban_castle=0&amp;hub=false&amp;plaza=0&amp;temple=0&amp;walls=0&amp;shantytown=0&amp;gates=-1&amp;sea=1.85")</f>
        <v>https://watabou.github.io/city-generator/?name=Clifgasinf&amp;population=2932&amp;size=19&amp;seed=3550748350378&amp;river=0&amp;coast=1&amp;farms=1&amp;citadel=0&amp;urban_castle=0&amp;hub=false&amp;plaza=0&amp;temple=0&amp;walls=0&amp;shantytown=0&amp;gates=-1&amp;sea=1.85</v>
      </c>
      <c r="Z59" s="189"/>
    </row>
    <row r="60" spans="1:26" ht="15" x14ac:dyDescent="0.25">
      <c r="A60" s="55">
        <f ca="1">IFERROR(__xludf.DUMMYFUNCTION("""COMPUTED_VALUE"""),380)</f>
        <v>380</v>
      </c>
      <c r="B60" s="55" t="str">
        <f ca="1">IFERROR(__xludf.DUMMYFUNCTION("""COMPUTED_VALUE"""),"Bugausth'vhala")</f>
        <v>Bugausth'vhala</v>
      </c>
      <c r="C60" s="55" t="str">
        <f ca="1">IFERROR(__xludf.DUMMYFUNCTION("""COMPUTED_VALUE"""),"Sirong")</f>
        <v>Sirong</v>
      </c>
      <c r="D60" s="55" t="str">
        <f ca="1">IFERROR(__xludf.DUMMYFUNCTION("""COMPUTED_VALUE"""),"Sirong Lordship")</f>
        <v>Sirong Lordship</v>
      </c>
      <c r="E60" s="55" t="str">
        <f ca="1">IFERROR(__xludf.DUMMYFUNCTION("""COMPUTED_VALUE"""),"Shavia")</f>
        <v>Shavia</v>
      </c>
      <c r="F60" s="55" t="str">
        <f ca="1">IFERROR(__xludf.DUMMYFUNCTION("""COMPUTED_VALUE"""),"Kingdom of Shavia")</f>
        <v>Kingdom of Shavia</v>
      </c>
      <c r="G60" s="55" t="str">
        <f ca="1">IFERROR(__xludf.DUMMYFUNCTION("""COMPUTED_VALUE"""),"Aranvers")</f>
        <v>Aranvers</v>
      </c>
      <c r="H60" s="55" t="str">
        <f ca="1">IFERROR(__xludf.DUMMYFUNCTION("""COMPUTED_VALUE"""),"Path of Guiding Light")</f>
        <v>Path of Guiding Light</v>
      </c>
      <c r="I60" s="55">
        <f ca="1">IFERROR(__xludf.DUMMYFUNCTION("""COMPUTED_VALUE"""),32536)</f>
        <v>32536</v>
      </c>
      <c r="J60" s="55">
        <f ca="1">IFERROR(__xludf.DUMMYFUNCTION("""COMPUTED_VALUE"""),345.825108095906)</f>
        <v>345.82510809590599</v>
      </c>
      <c r="K60" s="55">
        <f ca="1">IFERROR(__xludf.DUMMYFUNCTION("""COMPUTED_VALUE"""),885.933434833029)</f>
        <v>885.93343483302897</v>
      </c>
      <c r="L60" s="55">
        <f ca="1">IFERROR(__xludf.DUMMYFUNCTION("""COMPUTED_VALUE"""),-35.79)</f>
        <v>-35.79</v>
      </c>
      <c r="M60" s="55">
        <f ca="1">IFERROR(__xludf.DUMMYFUNCTION("""COMPUTED_VALUE"""),-13.83)</f>
        <v>-13.83</v>
      </c>
      <c r="N60" s="55">
        <f ca="1">IFERROR(__xludf.DUMMYFUNCTION("""COMPUTED_VALUE"""),118)</f>
        <v>118</v>
      </c>
      <c r="O60" s="55" t="str">
        <f ca="1">IFERROR(__xludf.DUMMYFUNCTION("""COMPUTED_VALUE"""),"39°F")</f>
        <v>39°F</v>
      </c>
      <c r="P60" s="55" t="str">
        <f ca="1">IFERROR(__xludf.DUMMYFUNCTION("""COMPUTED_VALUE"""),"Reykjavik")</f>
        <v>Reykjavik</v>
      </c>
      <c r="Q60" s="55" t="str">
        <f ca="1">IFERROR(__xludf.DUMMYFUNCTION("""COMPUTED_VALUE"""),"")</f>
        <v/>
      </c>
      <c r="R60" s="55" t="str">
        <f ca="1">IFERROR(__xludf.DUMMYFUNCTION("""COMPUTED_VALUE"""),"")</f>
        <v/>
      </c>
      <c r="S60" s="55" t="str">
        <f ca="1">IFERROR(__xludf.DUMMYFUNCTION("""COMPUTED_VALUE"""),"citadel")</f>
        <v>citadel</v>
      </c>
      <c r="T60" s="55" t="str">
        <f ca="1">IFERROR(__xludf.DUMMYFUNCTION("""COMPUTED_VALUE"""),"walls")</f>
        <v>walls</v>
      </c>
      <c r="U60" s="55" t="str">
        <f ca="1">IFERROR(__xludf.DUMMYFUNCTION("""COMPUTED_VALUE"""),"plaza")</f>
        <v>plaza</v>
      </c>
      <c r="V60" s="189" t="str">
        <f ca="1">IFERROR(__xludf.DUMMYFUNCTION("""COMPUTED_VALUE"""),"")</f>
        <v/>
      </c>
      <c r="W60" s="189" t="str">
        <f ca="1">IFERROR(__xludf.DUMMYFUNCTION("""COMPUTED_VALUE"""),"")</f>
        <v/>
      </c>
      <c r="X60" s="189" t="str">
        <f ca="1">IFERROR(__xludf.DUMMYFUNCTION("""COMPUTED_VALUE"""),"{t1:argent;charges:[{charge:helmet;t:sable;p:abc;size:0.5}];shield:hessen}")</f>
        <v>{t1:argent;charges:[{charge:helmet;t:sable;p:abc;size:0.5}];shield:hessen}</v>
      </c>
      <c r="Y60" s="193" t="str">
        <f ca="1">IFERROR(__xludf.DUMMYFUNCTION("""COMPUTED_VALUE"""),"https://watabou.github.io/city-generator/?name=Bugausth%27vhala&amp;population=32536&amp;size=48&amp;seed=3550748350380&amp;river=0&amp;coast=0&amp;farms=1&amp;citadel=1&amp;urban_castle=1&amp;hub=false&amp;plaza=1&amp;temple=0&amp;walls=1&amp;shantytown=0&amp;gates=-1")</f>
        <v>https://watabou.github.io/city-generator/?name=Bugausth%27vhala&amp;population=32536&amp;size=48&amp;seed=3550748350380&amp;river=0&amp;coast=0&amp;farms=1&amp;citadel=1&amp;urban_castle=1&amp;hub=false&amp;plaza=1&amp;temple=0&amp;walls=1&amp;shantytown=0&amp;gates=-1</v>
      </c>
      <c r="Z60" s="189"/>
    </row>
    <row r="61" spans="1:26" ht="15" x14ac:dyDescent="0.25">
      <c r="A61" s="55">
        <f ca="1">IFERROR(__xludf.DUMMYFUNCTION("""COMPUTED_VALUE"""),381)</f>
        <v>381</v>
      </c>
      <c r="B61" s="55" t="str">
        <f ca="1">IFERROR(__xludf.DUMMYFUNCTION("""COMPUTED_VALUE"""),"Clearse")</f>
        <v>Clearse</v>
      </c>
      <c r="C61" s="55" t="str">
        <f ca="1">IFERROR(__xludf.DUMMYFUNCTION("""COMPUTED_VALUE"""),"Dreghold")</f>
        <v>Dreghold</v>
      </c>
      <c r="D61" s="55" t="str">
        <f ca="1">IFERROR(__xludf.DUMMYFUNCTION("""COMPUTED_VALUE"""),"Dreghold Province")</f>
        <v>Dreghold Province</v>
      </c>
      <c r="E61" s="55" t="str">
        <f ca="1">IFERROR(__xludf.DUMMYFUNCTION("""COMPUTED_VALUE"""),"Shavia")</f>
        <v>Shavia</v>
      </c>
      <c r="F61" s="55" t="str">
        <f ca="1">IFERROR(__xludf.DUMMYFUNCTION("""COMPUTED_VALUE"""),"Kingdom of Shavia")</f>
        <v>Kingdom of Shavia</v>
      </c>
      <c r="G61" s="55" t="str">
        <f ca="1">IFERROR(__xludf.DUMMYFUNCTION("""COMPUTED_VALUE"""),"Shavian")</f>
        <v>Shavian</v>
      </c>
      <c r="H61" s="55" t="str">
        <f ca="1">IFERROR(__xludf.DUMMYFUNCTION("""COMPUTED_VALUE"""),"Path of Guiding Light")</f>
        <v>Path of Guiding Light</v>
      </c>
      <c r="I61" s="55">
        <f ca="1">IFERROR(__xludf.DUMMYFUNCTION("""COMPUTED_VALUE"""),1799)</f>
        <v>1799</v>
      </c>
      <c r="J61" s="55">
        <f ca="1">IFERROR(__xludf.DUMMYFUNCTION("""COMPUTED_VALUE"""),522.304716970399)</f>
        <v>522.304716970399</v>
      </c>
      <c r="K61" s="55">
        <f ca="1">IFERROR(__xludf.DUMMYFUNCTION("""COMPUTED_VALUE"""),899.167459318545)</f>
        <v>899.16745931854496</v>
      </c>
      <c r="L61" s="55">
        <f ca="1">IFERROR(__xludf.DUMMYFUNCTION("""COMPUTED_VALUE"""),-36.22)</f>
        <v>-36.22</v>
      </c>
      <c r="M61" s="55">
        <f ca="1">IFERROR(__xludf.DUMMYFUNCTION("""COMPUTED_VALUE"""),-8.13)</f>
        <v>-8.1300000000000008</v>
      </c>
      <c r="N61" s="55">
        <f ca="1">IFERROR(__xludf.DUMMYFUNCTION("""COMPUTED_VALUE"""),52)</f>
        <v>52</v>
      </c>
      <c r="O61" s="55" t="str">
        <f ca="1">IFERROR(__xludf.DUMMYFUNCTION("""COMPUTED_VALUE"""),"39°F")</f>
        <v>39°F</v>
      </c>
      <c r="P61" s="55" t="str">
        <f ca="1">IFERROR(__xludf.DUMMYFUNCTION("""COMPUTED_VALUE"""),"Reykjavik")</f>
        <v>Reykjavik</v>
      </c>
      <c r="Q61" s="55" t="str">
        <f ca="1">IFERROR(__xludf.DUMMYFUNCTION("""COMPUTED_VALUE"""),"")</f>
        <v/>
      </c>
      <c r="R61" s="55" t="str">
        <f ca="1">IFERROR(__xludf.DUMMYFUNCTION("""COMPUTED_VALUE"""),"")</f>
        <v/>
      </c>
      <c r="S61" s="55" t="str">
        <f ca="1">IFERROR(__xludf.DUMMYFUNCTION("""COMPUTED_VALUE"""),"")</f>
        <v/>
      </c>
      <c r="T61" s="55" t="str">
        <f ca="1">IFERROR(__xludf.DUMMYFUNCTION("""COMPUTED_VALUE"""),"")</f>
        <v/>
      </c>
      <c r="U61" s="55" t="str">
        <f ca="1">IFERROR(__xludf.DUMMYFUNCTION("""COMPUTED_VALUE"""),"")</f>
        <v/>
      </c>
      <c r="V61" s="189" t="str">
        <f ca="1">IFERROR(__xludf.DUMMYFUNCTION("""COMPUTED_VALUE"""),"")</f>
        <v/>
      </c>
      <c r="W61" s="189" t="str">
        <f ca="1">IFERROR(__xludf.DUMMYFUNCTION("""COMPUTED_VALUE"""),"")</f>
        <v/>
      </c>
      <c r="X61" s="189" t="str">
        <f ca="1">IFERROR(__xludf.DUMMYFUNCTION("""COMPUTED_VALUE"""),"{t1:argent;charges:[{charge:wheel;t:vert;p:e;size:1.5}];shield:fantasy5}")</f>
        <v>{t1:argent;charges:[{charge:wheel;t:vert;p:e;size:1.5}];shield:fantasy5}</v>
      </c>
      <c r="Y61" s="193" t="str">
        <f ca="1">IFERROR(__xludf.DUMMYFUNCTION("""COMPUTED_VALUE"""),"https://watabou.github.io/village-generator/?pop=1799&amp;name=&amp;seed=3550748350381&amp;width=1600&amp;height=727&amp;tags=dead+end%2Cno+square%2Cdense")</f>
        <v>https://watabou.github.io/village-generator/?pop=1799&amp;name=&amp;seed=3550748350381&amp;width=1600&amp;height=727&amp;tags=dead+end%2Cno+square%2Cdense</v>
      </c>
      <c r="Z61" s="189"/>
    </row>
    <row r="62" spans="1:26" ht="15" x14ac:dyDescent="0.25">
      <c r="A62" s="55">
        <f ca="1">IFERROR(__xludf.DUMMYFUNCTION("""COMPUTED_VALUE"""),396)</f>
        <v>396</v>
      </c>
      <c r="B62" s="55" t="str">
        <f ca="1">IFERROR(__xludf.DUMMYFUNCTION("""COMPUTED_VALUE"""),"Boceans")</f>
        <v>Boceans</v>
      </c>
      <c r="C62" s="55" t="str">
        <f ca="1">IFERROR(__xludf.DUMMYFUNCTION("""COMPUTED_VALUE"""),"Sirong")</f>
        <v>Sirong</v>
      </c>
      <c r="D62" s="55" t="str">
        <f ca="1">IFERROR(__xludf.DUMMYFUNCTION("""COMPUTED_VALUE"""),"Sirong Lordship")</f>
        <v>Sirong Lordship</v>
      </c>
      <c r="E62" s="55" t="str">
        <f ca="1">IFERROR(__xludf.DUMMYFUNCTION("""COMPUTED_VALUE"""),"Shavia")</f>
        <v>Shavia</v>
      </c>
      <c r="F62" s="55" t="str">
        <f ca="1">IFERROR(__xludf.DUMMYFUNCTION("""COMPUTED_VALUE"""),"Kingdom of Shavia")</f>
        <v>Kingdom of Shavia</v>
      </c>
      <c r="G62" s="55" t="str">
        <f ca="1">IFERROR(__xludf.DUMMYFUNCTION("""COMPUTED_VALUE"""),"Shavian")</f>
        <v>Shavian</v>
      </c>
      <c r="H62" s="55" t="str">
        <f ca="1">IFERROR(__xludf.DUMMYFUNCTION("""COMPUTED_VALUE"""),"Path of Guiding Light")</f>
        <v>Path of Guiding Light</v>
      </c>
      <c r="I62" s="55">
        <f ca="1">IFERROR(__xludf.DUMMYFUNCTION("""COMPUTED_VALUE"""),5387)</f>
        <v>5387</v>
      </c>
      <c r="J62" s="55">
        <f ca="1">IFERROR(__xludf.DUMMYFUNCTION("""COMPUTED_VALUE"""),478.087505748206)</f>
        <v>478.08750574820601</v>
      </c>
      <c r="K62" s="55">
        <f ca="1">IFERROR(__xludf.DUMMYFUNCTION("""COMPUTED_VALUE"""),696.41441948016)</f>
        <v>696.41441948015995</v>
      </c>
      <c r="L62" s="55">
        <f ca="1">IFERROR(__xludf.DUMMYFUNCTION("""COMPUTED_VALUE"""),-29.65)</f>
        <v>-29.65</v>
      </c>
      <c r="M62" s="55">
        <f ca="1">IFERROR(__xludf.DUMMYFUNCTION("""COMPUTED_VALUE"""),-9.56)</f>
        <v>-9.56</v>
      </c>
      <c r="N62" s="55">
        <f ca="1">IFERROR(__xludf.DUMMYFUNCTION("""COMPUTED_VALUE"""),328)</f>
        <v>328</v>
      </c>
      <c r="O62" s="55" t="str">
        <f ca="1">IFERROR(__xludf.DUMMYFUNCTION("""COMPUTED_VALUE"""),"41°F")</f>
        <v>41°F</v>
      </c>
      <c r="P62" s="55" t="str">
        <f ca="1">IFERROR(__xludf.DUMMYFUNCTION("""COMPUTED_VALUE"""),"Riga")</f>
        <v>Riga</v>
      </c>
      <c r="Q62" s="55" t="str">
        <f ca="1">IFERROR(__xludf.DUMMYFUNCTION("""COMPUTED_VALUE"""),"")</f>
        <v/>
      </c>
      <c r="R62" s="55" t="str">
        <f ca="1">IFERROR(__xludf.DUMMYFUNCTION("""COMPUTED_VALUE"""),"")</f>
        <v/>
      </c>
      <c r="S62" s="55" t="str">
        <f ca="1">IFERROR(__xludf.DUMMYFUNCTION("""COMPUTED_VALUE"""),"citadel")</f>
        <v>citadel</v>
      </c>
      <c r="T62" s="55" t="str">
        <f ca="1">IFERROR(__xludf.DUMMYFUNCTION("""COMPUTED_VALUE"""),"")</f>
        <v/>
      </c>
      <c r="U62" s="55" t="str">
        <f ca="1">IFERROR(__xludf.DUMMYFUNCTION("""COMPUTED_VALUE"""),"")</f>
        <v/>
      </c>
      <c r="V62" s="189" t="str">
        <f ca="1">IFERROR(__xludf.DUMMYFUNCTION("""COMPUTED_VALUE"""),"")</f>
        <v/>
      </c>
      <c r="W62" s="189" t="str">
        <f ca="1">IFERROR(__xludf.DUMMYFUNCTION("""COMPUTED_VALUE"""),"")</f>
        <v/>
      </c>
      <c r="X62" s="189" t="str">
        <f ca="1">IFERROR(__xludf.DUMMYFUNCTION("""COMPUTED_VALUE"""),"{t1:azure;charges:[{charge:bugleHorn;t:or;p:e;size:1.5}];shield:fantasy5}")</f>
        <v>{t1:azure;charges:[{charge:bugleHorn;t:or;p:e;size:1.5}];shield:fantasy5}</v>
      </c>
      <c r="Y62" s="193" t="str">
        <f ca="1">IFERROR(__xludf.DUMMYFUNCTION("""COMPUTED_VALUE"""),"https://watabou.github.io/city-generator/?name=Boceans&amp;population=5387&amp;size=24&amp;seed=3550748350396&amp;river=1&amp;coast=0&amp;farms=1&amp;citadel=1&amp;urban_castle=1&amp;hub=false&amp;plaza=0&amp;temple=0&amp;walls=0&amp;shantytown=0&amp;gates=-1")</f>
        <v>https://watabou.github.io/city-generator/?name=Boceans&amp;population=5387&amp;size=24&amp;seed=3550748350396&amp;river=1&amp;coast=0&amp;farms=1&amp;citadel=1&amp;urban_castle=1&amp;hub=false&amp;plaza=0&amp;temple=0&amp;walls=0&amp;shantytown=0&amp;gates=-1</v>
      </c>
      <c r="Z62" s="189"/>
    </row>
    <row r="63" spans="1:26" ht="15" x14ac:dyDescent="0.25">
      <c r="A63" s="55">
        <f ca="1">IFERROR(__xludf.DUMMYFUNCTION("""COMPUTED_VALUE"""),397)</f>
        <v>397</v>
      </c>
      <c r="B63" s="55" t="str">
        <f ca="1">IFERROR(__xludf.DUMMYFUNCTION("""COMPUTED_VALUE"""),"Mightkeep")</f>
        <v>Mightkeep</v>
      </c>
      <c r="C63" s="55" t="str">
        <f ca="1">IFERROR(__xludf.DUMMYFUNCTION("""COMPUTED_VALUE"""),"Swanhall")</f>
        <v>Swanhall</v>
      </c>
      <c r="D63" s="55" t="str">
        <f ca="1">IFERROR(__xludf.DUMMYFUNCTION("""COMPUTED_VALUE"""),"Swanhall Province")</f>
        <v>Swanhall Province</v>
      </c>
      <c r="E63" s="55" t="str">
        <f ca="1">IFERROR(__xludf.DUMMYFUNCTION("""COMPUTED_VALUE"""),"Shavia")</f>
        <v>Shavia</v>
      </c>
      <c r="F63" s="55" t="str">
        <f ca="1">IFERROR(__xludf.DUMMYFUNCTION("""COMPUTED_VALUE"""),"Kingdom of Shavia")</f>
        <v>Kingdom of Shavia</v>
      </c>
      <c r="G63" s="55" t="str">
        <f ca="1">IFERROR(__xludf.DUMMYFUNCTION("""COMPUTED_VALUE"""),"Eastern Shavian")</f>
        <v>Eastern Shavian</v>
      </c>
      <c r="H63" s="55" t="str">
        <f ca="1">IFERROR(__xludf.DUMMYFUNCTION("""COMPUTED_VALUE"""),"Path of Guiding Light")</f>
        <v>Path of Guiding Light</v>
      </c>
      <c r="I63" s="55">
        <f ca="1">IFERROR(__xludf.DUMMYFUNCTION("""COMPUTED_VALUE"""),1924)</f>
        <v>1924</v>
      </c>
      <c r="J63" s="55">
        <f ca="1">IFERROR(__xludf.DUMMYFUNCTION("""COMPUTED_VALUE"""),1092.69117229612)</f>
        <v>1092.6911722961199</v>
      </c>
      <c r="K63" s="55">
        <f ca="1">IFERROR(__xludf.DUMMYFUNCTION("""COMPUTED_VALUE"""),741.487949933769)</f>
        <v>741.48794993376896</v>
      </c>
      <c r="L63" s="55">
        <f ca="1">IFERROR(__xludf.DUMMYFUNCTION("""COMPUTED_VALUE"""),-31.11)</f>
        <v>-31.11</v>
      </c>
      <c r="M63" s="55">
        <f ca="1">IFERROR(__xludf.DUMMYFUNCTION("""COMPUTED_VALUE"""),10.29)</f>
        <v>10.29</v>
      </c>
      <c r="N63" s="55">
        <f ca="1">IFERROR(__xludf.DUMMYFUNCTION("""COMPUTED_VALUE"""),472)</f>
        <v>472</v>
      </c>
      <c r="O63" s="55" t="str">
        <f ca="1">IFERROR(__xludf.DUMMYFUNCTION("""COMPUTED_VALUE"""),"41°F")</f>
        <v>41°F</v>
      </c>
      <c r="P63" s="55" t="str">
        <f ca="1">IFERROR(__xludf.DUMMYFUNCTION("""COMPUTED_VALUE"""),"Riga")</f>
        <v>Riga</v>
      </c>
      <c r="Q63" s="55" t="str">
        <f ca="1">IFERROR(__xludf.DUMMYFUNCTION("""COMPUTED_VALUE"""),"")</f>
        <v/>
      </c>
      <c r="R63" s="55" t="str">
        <f ca="1">IFERROR(__xludf.DUMMYFUNCTION("""COMPUTED_VALUE"""),"")</f>
        <v/>
      </c>
      <c r="S63" s="55" t="str">
        <f ca="1">IFERROR(__xludf.DUMMYFUNCTION("""COMPUTED_VALUE"""),"")</f>
        <v/>
      </c>
      <c r="T63" s="55" t="str">
        <f ca="1">IFERROR(__xludf.DUMMYFUNCTION("""COMPUTED_VALUE"""),"")</f>
        <v/>
      </c>
      <c r="U63" s="55" t="str">
        <f ca="1">IFERROR(__xludf.DUMMYFUNCTION("""COMPUTED_VALUE"""),"plaza")</f>
        <v>plaza</v>
      </c>
      <c r="V63" s="189" t="str">
        <f ca="1">IFERROR(__xludf.DUMMYFUNCTION("""COMPUTED_VALUE"""),"")</f>
        <v/>
      </c>
      <c r="W63" s="189" t="str">
        <f ca="1">IFERROR(__xludf.DUMMYFUNCTION("""COMPUTED_VALUE"""),"")</f>
        <v/>
      </c>
      <c r="X63" s="189" t="str">
        <f ca="1">IFERROR(__xludf.DUMMYFUNCTION("""COMPUTED_VALUE"""),"{t1:argent;division:{division:perPale;t:vert;line:straight};ordinaries:[{ordinary:fess;t:azure;line:straight}];charges:[{charge:attire;t:azure;p:abcz;size:0.5}];shield:horsehead2}")</f>
        <v>{t1:argent;division:{division:perPale;t:vert;line:straight};ordinaries:[{ordinary:fess;t:azure;line:straight}];charges:[{charge:attire;t:azure;p:abcz;size:0.5}];shield:horsehead2}</v>
      </c>
      <c r="Y63" s="193" t="str">
        <f ca="1">IFERROR(__xludf.DUMMYFUNCTION("""COMPUTED_VALUE"""),"https://watabou.github.io/village-generator/?pop=1924&amp;name=&amp;seed=3550748350397&amp;width=1600&amp;height=727&amp;tags=dead+end%2Cuncultivated%2Cdense")</f>
        <v>https://watabou.github.io/village-generator/?pop=1924&amp;name=&amp;seed=3550748350397&amp;width=1600&amp;height=727&amp;tags=dead+end%2Cuncultivated%2Cdense</v>
      </c>
      <c r="Z63" s="189"/>
    </row>
    <row r="64" spans="1:26" ht="15" x14ac:dyDescent="0.25">
      <c r="A64" s="55">
        <f ca="1">IFERROR(__xludf.DUMMYFUNCTION("""COMPUTED_VALUE"""),398)</f>
        <v>398</v>
      </c>
      <c r="B64" s="55" t="str">
        <f ca="1">IFERROR(__xludf.DUMMYFUNCTION("""COMPUTED_VALUE"""),"Blackstone")</f>
        <v>Blackstone</v>
      </c>
      <c r="C64" s="55" t="str">
        <f ca="1">IFERROR(__xludf.DUMMYFUNCTION("""COMPUTED_VALUE"""),"Swanhall")</f>
        <v>Swanhall</v>
      </c>
      <c r="D64" s="55" t="str">
        <f ca="1">IFERROR(__xludf.DUMMYFUNCTION("""COMPUTED_VALUE"""),"Swanhall Province")</f>
        <v>Swanhall Province</v>
      </c>
      <c r="E64" s="55" t="str">
        <f ca="1">IFERROR(__xludf.DUMMYFUNCTION("""COMPUTED_VALUE"""),"Shavia")</f>
        <v>Shavia</v>
      </c>
      <c r="F64" s="55" t="str">
        <f ca="1">IFERROR(__xludf.DUMMYFUNCTION("""COMPUTED_VALUE"""),"Kingdom of Shavia")</f>
        <v>Kingdom of Shavia</v>
      </c>
      <c r="G64" s="55" t="str">
        <f ca="1">IFERROR(__xludf.DUMMYFUNCTION("""COMPUTED_VALUE"""),"Shavian")</f>
        <v>Shavian</v>
      </c>
      <c r="H64" s="55" t="str">
        <f ca="1">IFERROR(__xludf.DUMMYFUNCTION("""COMPUTED_VALUE"""),"Path of Guiding Light")</f>
        <v>Path of Guiding Light</v>
      </c>
      <c r="I64" s="55">
        <f ca="1">IFERROR(__xludf.DUMMYFUNCTION("""COMPUTED_VALUE"""),22577)</f>
        <v>22577</v>
      </c>
      <c r="J64" s="55">
        <f ca="1">IFERROR(__xludf.DUMMYFUNCTION("""COMPUTED_VALUE"""),919.383836938009)</f>
        <v>919.38383693800904</v>
      </c>
      <c r="K64" s="55">
        <f ca="1">IFERROR(__xludf.DUMMYFUNCTION("""COMPUTED_VALUE"""),749.408902824365)</f>
        <v>749.40890282436499</v>
      </c>
      <c r="L64" s="55">
        <f ca="1">IFERROR(__xludf.DUMMYFUNCTION("""COMPUTED_VALUE"""),-31.37)</f>
        <v>-31.37</v>
      </c>
      <c r="M64" s="55">
        <f ca="1">IFERROR(__xludf.DUMMYFUNCTION("""COMPUTED_VALUE"""),4.7)</f>
        <v>4.7</v>
      </c>
      <c r="N64" s="55">
        <f ca="1">IFERROR(__xludf.DUMMYFUNCTION("""COMPUTED_VALUE"""),82)</f>
        <v>82</v>
      </c>
      <c r="O64" s="55" t="str">
        <f ca="1">IFERROR(__xludf.DUMMYFUNCTION("""COMPUTED_VALUE"""),"43°F")</f>
        <v>43°F</v>
      </c>
      <c r="P64" s="55" t="str">
        <f ca="1">IFERROR(__xludf.DUMMYFUNCTION("""COMPUTED_VALUE"""),"Stockholm")</f>
        <v>Stockholm</v>
      </c>
      <c r="Q64" s="55" t="str">
        <f ca="1">IFERROR(__xludf.DUMMYFUNCTION("""COMPUTED_VALUE"""),"")</f>
        <v/>
      </c>
      <c r="R64" s="55" t="str">
        <f ca="1">IFERROR(__xludf.DUMMYFUNCTION("""COMPUTED_VALUE"""),"")</f>
        <v/>
      </c>
      <c r="S64" s="55" t="str">
        <f ca="1">IFERROR(__xludf.DUMMYFUNCTION("""COMPUTED_VALUE"""),"citadel")</f>
        <v>citadel</v>
      </c>
      <c r="T64" s="55" t="str">
        <f ca="1">IFERROR(__xludf.DUMMYFUNCTION("""COMPUTED_VALUE"""),"")</f>
        <v/>
      </c>
      <c r="U64" s="55" t="str">
        <f ca="1">IFERROR(__xludf.DUMMYFUNCTION("""COMPUTED_VALUE"""),"plaza")</f>
        <v>plaza</v>
      </c>
      <c r="V64" s="189" t="str">
        <f ca="1">IFERROR(__xludf.DUMMYFUNCTION("""COMPUTED_VALUE"""),"")</f>
        <v/>
      </c>
      <c r="W64" s="189" t="str">
        <f ca="1">IFERROR(__xludf.DUMMYFUNCTION("""COMPUTED_VALUE"""),"")</f>
        <v/>
      </c>
      <c r="X64" s="189" t="str">
        <f ca="1">IFERROR(__xludf.DUMMYFUNCTION("""COMPUTED_VALUE"""),"{t1:argent;charges:[{charge:lionRampant;t:purpure;p:def;size:0.5}];shield:horsehead2}")</f>
        <v>{t1:argent;charges:[{charge:lionRampant;t:purpure;p:def;size:0.5}];shield:horsehead2}</v>
      </c>
      <c r="Y64" s="193" t="str">
        <f ca="1">IFERROR(__xludf.DUMMYFUNCTION("""COMPUTED_VALUE"""),"https://watabou.github.io/city-generator/?name=Blackstone&amp;population=22577&amp;size=42&amp;seed=3550748350398&amp;river=0&amp;coast=0&amp;farms=0&amp;citadel=1&amp;urban_castle=1&amp;hub=false&amp;plaza=1&amp;temple=0&amp;walls=0&amp;shantytown=0&amp;gates=-1")</f>
        <v>https://watabou.github.io/city-generator/?name=Blackstone&amp;population=22577&amp;size=42&amp;seed=3550748350398&amp;river=0&amp;coast=0&amp;farms=0&amp;citadel=1&amp;urban_castle=1&amp;hub=false&amp;plaza=1&amp;temple=0&amp;walls=0&amp;shantytown=0&amp;gates=-1</v>
      </c>
      <c r="Z64" s="189"/>
    </row>
    <row r="65" spans="1:26" ht="15" x14ac:dyDescent="0.25">
      <c r="A65" s="55">
        <f ca="1">IFERROR(__xludf.DUMMYFUNCTION("""COMPUTED_VALUE"""),400)</f>
        <v>400</v>
      </c>
      <c r="B65" s="55" t="str">
        <f ca="1">IFERROR(__xludf.DUMMYFUNCTION("""COMPUTED_VALUE"""),"Clayard")</f>
        <v>Clayard</v>
      </c>
      <c r="C65" s="55" t="str">
        <f ca="1">IFERROR(__xludf.DUMMYFUNCTION("""COMPUTED_VALUE"""),"Swanhall")</f>
        <v>Swanhall</v>
      </c>
      <c r="D65" s="55" t="str">
        <f ca="1">IFERROR(__xludf.DUMMYFUNCTION("""COMPUTED_VALUE"""),"Swanhall Province")</f>
        <v>Swanhall Province</v>
      </c>
      <c r="E65" s="55" t="str">
        <f ca="1">IFERROR(__xludf.DUMMYFUNCTION("""COMPUTED_VALUE"""),"Shavia")</f>
        <v>Shavia</v>
      </c>
      <c r="F65" s="55" t="str">
        <f ca="1">IFERROR(__xludf.DUMMYFUNCTION("""COMPUTED_VALUE"""),"Kingdom of Shavia")</f>
        <v>Kingdom of Shavia</v>
      </c>
      <c r="G65" s="55" t="str">
        <f ca="1">IFERROR(__xludf.DUMMYFUNCTION("""COMPUTED_VALUE"""),"Shavian")</f>
        <v>Shavian</v>
      </c>
      <c r="H65" s="55" t="str">
        <f ca="1">IFERROR(__xludf.DUMMYFUNCTION("""COMPUTED_VALUE"""),"Path of Guiding Light")</f>
        <v>Path of Guiding Light</v>
      </c>
      <c r="I65" s="55">
        <f ca="1">IFERROR(__xludf.DUMMYFUNCTION("""COMPUTED_VALUE"""),1801)</f>
        <v>1801</v>
      </c>
      <c r="J65" s="55">
        <f ca="1">IFERROR(__xludf.DUMMYFUNCTION("""COMPUTED_VALUE"""),954.473463625339)</f>
        <v>954.47346362533904</v>
      </c>
      <c r="K65" s="55">
        <f ca="1">IFERROR(__xludf.DUMMYFUNCTION("""COMPUTED_VALUE"""),835.44952378093)</f>
        <v>835.44952378093001</v>
      </c>
      <c r="L65" s="55">
        <f ca="1">IFERROR(__xludf.DUMMYFUNCTION("""COMPUTED_VALUE"""),-34.15)</f>
        <v>-34.15</v>
      </c>
      <c r="M65" s="55">
        <f ca="1">IFERROR(__xludf.DUMMYFUNCTION("""COMPUTED_VALUE"""),5.83)</f>
        <v>5.83</v>
      </c>
      <c r="N65" s="55">
        <f ca="1">IFERROR(__xludf.DUMMYFUNCTION("""COMPUTED_VALUE"""),161)</f>
        <v>161</v>
      </c>
      <c r="O65" s="55" t="str">
        <f ca="1">IFERROR(__xludf.DUMMYFUNCTION("""COMPUTED_VALUE"""),"39°F")</f>
        <v>39°F</v>
      </c>
      <c r="P65" s="55" t="str">
        <f ca="1">IFERROR(__xludf.DUMMYFUNCTION("""COMPUTED_VALUE"""),"Reykjavik")</f>
        <v>Reykjavik</v>
      </c>
      <c r="Q65" s="55" t="str">
        <f ca="1">IFERROR(__xludf.DUMMYFUNCTION("""COMPUTED_VALUE"""),"")</f>
        <v/>
      </c>
      <c r="R65" s="55" t="str">
        <f ca="1">IFERROR(__xludf.DUMMYFUNCTION("""COMPUTED_VALUE"""),"")</f>
        <v/>
      </c>
      <c r="S65" s="55" t="str">
        <f ca="1">IFERROR(__xludf.DUMMYFUNCTION("""COMPUTED_VALUE"""),"")</f>
        <v/>
      </c>
      <c r="T65" s="55" t="str">
        <f ca="1">IFERROR(__xludf.DUMMYFUNCTION("""COMPUTED_VALUE"""),"")</f>
        <v/>
      </c>
      <c r="U65" s="55" t="str">
        <f ca="1">IFERROR(__xludf.DUMMYFUNCTION("""COMPUTED_VALUE"""),"plaza")</f>
        <v>plaza</v>
      </c>
      <c r="V65" s="189" t="str">
        <f ca="1">IFERROR(__xludf.DUMMYFUNCTION("""COMPUTED_VALUE"""),"")</f>
        <v/>
      </c>
      <c r="W65" s="189" t="str">
        <f ca="1">IFERROR(__xludf.DUMMYFUNCTION("""COMPUTED_VALUE"""),"")</f>
        <v/>
      </c>
      <c r="X65" s="189" t="str">
        <f ca="1">IFERROR(__xludf.DUMMYFUNCTION("""COMPUTED_VALUE"""),"{t1:sable;division:{division:perPile;t:argent;line:potenty};charges:[{charge:key;t:or;p:abc;divided:counter;size:0.4}];shield:horsehead2}")</f>
        <v>{t1:sable;division:{division:perPile;t:argent;line:potenty};charges:[{charge:key;t:or;p:abc;divided:counter;size:0.4}];shield:horsehead2}</v>
      </c>
      <c r="Y65" s="193" t="str">
        <f ca="1">IFERROR(__xludf.DUMMYFUNCTION("""COMPUTED_VALUE"""),"https://watabou.github.io/village-generator/?pop=1801&amp;name=&amp;seed=3550748350400&amp;width=1600&amp;height=727&amp;tags=highway%2Cuncultivated%2Cdense")</f>
        <v>https://watabou.github.io/village-generator/?pop=1801&amp;name=&amp;seed=3550748350400&amp;width=1600&amp;height=727&amp;tags=highway%2Cuncultivated%2Cdense</v>
      </c>
      <c r="Z65" s="189"/>
    </row>
    <row r="66" spans="1:26" ht="15" x14ac:dyDescent="0.25">
      <c r="A66" s="55">
        <f ca="1">IFERROR(__xludf.DUMMYFUNCTION("""COMPUTED_VALUE"""),401)</f>
        <v>401</v>
      </c>
      <c r="B66" s="55" t="str">
        <f ca="1">IFERROR(__xludf.DUMMYFUNCTION("""COMPUTED_VALUE"""),"Stovehaven")</f>
        <v>Stovehaven</v>
      </c>
      <c r="C66" s="55" t="str">
        <f ca="1">IFERROR(__xludf.DUMMYFUNCTION("""COMPUTED_VALUE"""),"Dreghold")</f>
        <v>Dreghold</v>
      </c>
      <c r="D66" s="55" t="str">
        <f ca="1">IFERROR(__xludf.DUMMYFUNCTION("""COMPUTED_VALUE"""),"Dreghold Province")</f>
        <v>Dreghold Province</v>
      </c>
      <c r="E66" s="55" t="str">
        <f ca="1">IFERROR(__xludf.DUMMYFUNCTION("""COMPUTED_VALUE"""),"Shavia")</f>
        <v>Shavia</v>
      </c>
      <c r="F66" s="55" t="str">
        <f ca="1">IFERROR(__xludf.DUMMYFUNCTION("""COMPUTED_VALUE"""),"Kingdom of Shavia")</f>
        <v>Kingdom of Shavia</v>
      </c>
      <c r="G66" s="55" t="str">
        <f ca="1">IFERROR(__xludf.DUMMYFUNCTION("""COMPUTED_VALUE"""),"Shavian")</f>
        <v>Shavian</v>
      </c>
      <c r="H66" s="55" t="str">
        <f ca="1">IFERROR(__xludf.DUMMYFUNCTION("""COMPUTED_VALUE"""),"Path of Guiding Light")</f>
        <v>Path of Guiding Light</v>
      </c>
      <c r="I66" s="55">
        <f ca="1">IFERROR(__xludf.DUMMYFUNCTION("""COMPUTED_VALUE"""),1811)</f>
        <v>1811</v>
      </c>
      <c r="J66" s="55">
        <f ca="1">IFERROR(__xludf.DUMMYFUNCTION("""COMPUTED_VALUE"""),683.428965081552)</f>
        <v>683.42896508155195</v>
      </c>
      <c r="K66" s="55">
        <f ca="1">IFERROR(__xludf.DUMMYFUNCTION("""COMPUTED_VALUE"""),911.525702771931)</f>
        <v>911.52570277193104</v>
      </c>
      <c r="L66" s="55">
        <f ca="1">IFERROR(__xludf.DUMMYFUNCTION("""COMPUTED_VALUE"""),-36.62)</f>
        <v>-36.619999999999997</v>
      </c>
      <c r="M66" s="55">
        <f ca="1">IFERROR(__xludf.DUMMYFUNCTION("""COMPUTED_VALUE"""),-2.93)</f>
        <v>-2.93</v>
      </c>
      <c r="N66" s="55">
        <f ca="1">IFERROR(__xludf.DUMMYFUNCTION("""COMPUTED_VALUE"""),52)</f>
        <v>52</v>
      </c>
      <c r="O66" s="55" t="str">
        <f ca="1">IFERROR(__xludf.DUMMYFUNCTION("""COMPUTED_VALUE"""),"37°F")</f>
        <v>37°F</v>
      </c>
      <c r="P66" s="55" t="str">
        <f ca="1">IFERROR(__xludf.DUMMYFUNCTION("""COMPUTED_VALUE"""),"Tromsø")</f>
        <v>Tromsø</v>
      </c>
      <c r="Q66" s="55" t="str">
        <f ca="1">IFERROR(__xludf.DUMMYFUNCTION("""COMPUTED_VALUE"""),"")</f>
        <v/>
      </c>
      <c r="R66" s="55" t="str">
        <f ca="1">IFERROR(__xludf.DUMMYFUNCTION("""COMPUTED_VALUE"""),"")</f>
        <v/>
      </c>
      <c r="S66" s="55" t="str">
        <f ca="1">IFERROR(__xludf.DUMMYFUNCTION("""COMPUTED_VALUE"""),"citadel")</f>
        <v>citadel</v>
      </c>
      <c r="T66" s="55" t="str">
        <f ca="1">IFERROR(__xludf.DUMMYFUNCTION("""COMPUTED_VALUE"""),"")</f>
        <v/>
      </c>
      <c r="U66" s="55" t="str">
        <f ca="1">IFERROR(__xludf.DUMMYFUNCTION("""COMPUTED_VALUE"""),"plaza")</f>
        <v>plaza</v>
      </c>
      <c r="V66" s="189" t="str">
        <f ca="1">IFERROR(__xludf.DUMMYFUNCTION("""COMPUTED_VALUE"""),"")</f>
        <v/>
      </c>
      <c r="W66" s="189" t="str">
        <f ca="1">IFERROR(__xludf.DUMMYFUNCTION("""COMPUTED_VALUE"""),"")</f>
        <v/>
      </c>
      <c r="X66" s="189" t="str">
        <f ca="1">IFERROR(__xludf.DUMMYFUNCTION("""COMPUTED_VALUE"""),"{t1:azure;charges:[{charge:stagsAttires;t:or;p:e;size:1.5}];shield:horsehead2}")</f>
        <v>{t1:azure;charges:[{charge:stagsAttires;t:or;p:e;size:1.5}];shield:horsehead2}</v>
      </c>
      <c r="Y66" s="193" t="str">
        <f ca="1">IFERROR(__xludf.DUMMYFUNCTION("""COMPUTED_VALUE"""),"https://watabou.github.io/city-generator/?name=Stovehaven&amp;population=1811&amp;size=16&amp;seed=3550748350401&amp;river=0&amp;coast=0&amp;farms=0&amp;citadel=1&amp;urban_castle=0&amp;hub=false&amp;plaza=1&amp;temple=0&amp;walls=0&amp;shantytown=0&amp;gates=-1")</f>
        <v>https://watabou.github.io/city-generator/?name=Stovehaven&amp;population=1811&amp;size=16&amp;seed=3550748350401&amp;river=0&amp;coast=0&amp;farms=0&amp;citadel=1&amp;urban_castle=0&amp;hub=false&amp;plaza=1&amp;temple=0&amp;walls=0&amp;shantytown=0&amp;gates=-1</v>
      </c>
      <c r="Z66" s="189"/>
    </row>
    <row r="67" spans="1:26" ht="15" x14ac:dyDescent="0.25">
      <c r="A67" s="55">
        <f ca="1">IFERROR(__xludf.DUMMYFUNCTION("""COMPUTED_VALUE"""),414)</f>
        <v>414</v>
      </c>
      <c r="B67" s="55" t="str">
        <f ca="1">IFERROR(__xludf.DUMMYFUNCTION("""COMPUTED_VALUE"""),"Wolfpasstar")</f>
        <v>Wolfpasstar</v>
      </c>
      <c r="C67" s="55" t="str">
        <f ca="1">IFERROR(__xludf.DUMMYFUNCTION("""COMPUTED_VALUE"""),"Sirong")</f>
        <v>Sirong</v>
      </c>
      <c r="D67" s="55" t="str">
        <f ca="1">IFERROR(__xludf.DUMMYFUNCTION("""COMPUTED_VALUE"""),"Sirong Lordship")</f>
        <v>Sirong Lordship</v>
      </c>
      <c r="E67" s="55" t="str">
        <f ca="1">IFERROR(__xludf.DUMMYFUNCTION("""COMPUTED_VALUE"""),"Shavia")</f>
        <v>Shavia</v>
      </c>
      <c r="F67" s="55" t="str">
        <f ca="1">IFERROR(__xludf.DUMMYFUNCTION("""COMPUTED_VALUE"""),"Kingdom of Shavia")</f>
        <v>Kingdom of Shavia</v>
      </c>
      <c r="G67" s="55" t="str">
        <f ca="1">IFERROR(__xludf.DUMMYFUNCTION("""COMPUTED_VALUE"""),"Shavian")</f>
        <v>Shavian</v>
      </c>
      <c r="H67" s="55" t="str">
        <f ca="1">IFERROR(__xludf.DUMMYFUNCTION("""COMPUTED_VALUE"""),"Path of Guiding Light")</f>
        <v>Path of Guiding Light</v>
      </c>
      <c r="I67" s="55">
        <f ca="1">IFERROR(__xludf.DUMMYFUNCTION("""COMPUTED_VALUE"""),1905)</f>
        <v>1905</v>
      </c>
      <c r="J67" s="55">
        <f ca="1">IFERROR(__xludf.DUMMYFUNCTION("""COMPUTED_VALUE"""),500.857812583578)</f>
        <v>500.85781258357798</v>
      </c>
      <c r="K67" s="55">
        <f ca="1">IFERROR(__xludf.DUMMYFUNCTION("""COMPUTED_VALUE"""),760.638361836339)</f>
        <v>760.63836183633896</v>
      </c>
      <c r="L67" s="55">
        <f ca="1">IFERROR(__xludf.DUMMYFUNCTION("""COMPUTED_VALUE"""),-31.73)</f>
        <v>-31.73</v>
      </c>
      <c r="M67" s="55">
        <f ca="1">IFERROR(__xludf.DUMMYFUNCTION("""COMPUTED_VALUE"""),-8.82)</f>
        <v>-8.82</v>
      </c>
      <c r="N67" s="55">
        <f ca="1">IFERROR(__xludf.DUMMYFUNCTION("""COMPUTED_VALUE"""),948)</f>
        <v>948</v>
      </c>
      <c r="O67" s="55" t="str">
        <f ca="1">IFERROR(__xludf.DUMMYFUNCTION("""COMPUTED_VALUE"""),"39°F")</f>
        <v>39°F</v>
      </c>
      <c r="P67" s="55" t="str">
        <f ca="1">IFERROR(__xludf.DUMMYFUNCTION("""COMPUTED_VALUE"""),"Reykjavik")</f>
        <v>Reykjavik</v>
      </c>
      <c r="Q67" s="55" t="str">
        <f ca="1">IFERROR(__xludf.DUMMYFUNCTION("""COMPUTED_VALUE"""),"")</f>
        <v/>
      </c>
      <c r="R67" s="55" t="str">
        <f ca="1">IFERROR(__xludf.DUMMYFUNCTION("""COMPUTED_VALUE"""),"")</f>
        <v/>
      </c>
      <c r="S67" s="55" t="str">
        <f ca="1">IFERROR(__xludf.DUMMYFUNCTION("""COMPUTED_VALUE"""),"")</f>
        <v/>
      </c>
      <c r="T67" s="55" t="str">
        <f ca="1">IFERROR(__xludf.DUMMYFUNCTION("""COMPUTED_VALUE"""),"walls")</f>
        <v>walls</v>
      </c>
      <c r="U67" s="55" t="str">
        <f ca="1">IFERROR(__xludf.DUMMYFUNCTION("""COMPUTED_VALUE"""),"")</f>
        <v/>
      </c>
      <c r="V67" s="189" t="str">
        <f ca="1">IFERROR(__xludf.DUMMYFUNCTION("""COMPUTED_VALUE"""),"")</f>
        <v/>
      </c>
      <c r="W67" s="189" t="str">
        <f ca="1">IFERROR(__xludf.DUMMYFUNCTION("""COMPUTED_VALUE"""),"")</f>
        <v/>
      </c>
      <c r="X67" s="189" t="str">
        <f ca="1">IFERROR(__xludf.DUMMYFUNCTION("""COMPUTED_VALUE"""),"{t1:azure;division:{division:perCross;t:argent;line:straight};ordinaries:[{ordinary:pallReversed;t:or;divided:counter}];shield:fantasy5}")</f>
        <v>{t1:azure;division:{division:perCross;t:argent;line:straight};ordinaries:[{ordinary:pallReversed;t:or;divided:counter}];shield:fantasy5}</v>
      </c>
      <c r="Y67" s="193" t="str">
        <f ca="1">IFERROR(__xludf.DUMMYFUNCTION("""COMPUTED_VALUE"""),"https://watabou.github.io/city-generator/?name=Wolfpasstar&amp;population=1905&amp;size=17&amp;seed=3550748350414&amp;river=0&amp;coast=0&amp;farms=1&amp;citadel=0&amp;urban_castle=0&amp;hub=false&amp;plaza=0&amp;temple=0&amp;walls=1&amp;shantytown=0&amp;gates=-1")</f>
        <v>https://watabou.github.io/city-generator/?name=Wolfpasstar&amp;population=1905&amp;size=17&amp;seed=3550748350414&amp;river=0&amp;coast=0&amp;farms=1&amp;citadel=0&amp;urban_castle=0&amp;hub=false&amp;plaza=0&amp;temple=0&amp;walls=1&amp;shantytown=0&amp;gates=-1</v>
      </c>
      <c r="Z67" s="189"/>
    </row>
    <row r="68" spans="1:26" ht="15" x14ac:dyDescent="0.25">
      <c r="A68" s="55">
        <f ca="1">IFERROR(__xludf.DUMMYFUNCTION("""COMPUTED_VALUE"""),434)</f>
        <v>434</v>
      </c>
      <c r="B68" s="55" t="str">
        <f ca="1">IFERROR(__xludf.DUMMYFUNCTION("""COMPUTED_VALUE"""),"Lastshell")</f>
        <v>Lastshell</v>
      </c>
      <c r="C68" s="55" t="str">
        <f ca="1">IFERROR(__xludf.DUMMYFUNCTION("""COMPUTED_VALUE"""),"Swanhall")</f>
        <v>Swanhall</v>
      </c>
      <c r="D68" s="55" t="str">
        <f ca="1">IFERROR(__xludf.DUMMYFUNCTION("""COMPUTED_VALUE"""),"Swanhall Province")</f>
        <v>Swanhall Province</v>
      </c>
      <c r="E68" s="55" t="str">
        <f ca="1">IFERROR(__xludf.DUMMYFUNCTION("""COMPUTED_VALUE"""),"Shavia")</f>
        <v>Shavia</v>
      </c>
      <c r="F68" s="55" t="str">
        <f ca="1">IFERROR(__xludf.DUMMYFUNCTION("""COMPUTED_VALUE"""),"Kingdom of Shavia")</f>
        <v>Kingdom of Shavia</v>
      </c>
      <c r="G68" s="55" t="str">
        <f ca="1">IFERROR(__xludf.DUMMYFUNCTION("""COMPUTED_VALUE"""),"Shavian")</f>
        <v>Shavian</v>
      </c>
      <c r="H68" s="55" t="str">
        <f ca="1">IFERROR(__xludf.DUMMYFUNCTION("""COMPUTED_VALUE"""),"Path of Guiding Light")</f>
        <v>Path of Guiding Light</v>
      </c>
      <c r="I68" s="55">
        <f ca="1">IFERROR(__xludf.DUMMYFUNCTION("""COMPUTED_VALUE"""),10701)</f>
        <v>10701</v>
      </c>
      <c r="J68" s="55">
        <f ca="1">IFERROR(__xludf.DUMMYFUNCTION("""COMPUTED_VALUE"""),982.225991443494)</f>
        <v>982.22599144349397</v>
      </c>
      <c r="K68" s="55">
        <f ca="1">IFERROR(__xludf.DUMMYFUNCTION("""COMPUTED_VALUE"""),798.880800239336)</f>
        <v>798.88080023933605</v>
      </c>
      <c r="L68" s="55">
        <f ca="1">IFERROR(__xludf.DUMMYFUNCTION("""COMPUTED_VALUE"""),-32.97)</f>
        <v>-32.97</v>
      </c>
      <c r="M68" s="55">
        <f ca="1">IFERROR(__xludf.DUMMYFUNCTION("""COMPUTED_VALUE"""),6.73)</f>
        <v>6.73</v>
      </c>
      <c r="N68" s="55">
        <f ca="1">IFERROR(__xludf.DUMMYFUNCTION("""COMPUTED_VALUE"""),554)</f>
        <v>554</v>
      </c>
      <c r="O68" s="55" t="str">
        <f ca="1">IFERROR(__xludf.DUMMYFUNCTION("""COMPUTED_VALUE"""),"39°F")</f>
        <v>39°F</v>
      </c>
      <c r="P68" s="55" t="str">
        <f ca="1">IFERROR(__xludf.DUMMYFUNCTION("""COMPUTED_VALUE"""),"Reykjavik")</f>
        <v>Reykjavik</v>
      </c>
      <c r="Q68" s="55" t="str">
        <f ca="1">IFERROR(__xludf.DUMMYFUNCTION("""COMPUTED_VALUE"""),"")</f>
        <v/>
      </c>
      <c r="R68" s="55" t="str">
        <f ca="1">IFERROR(__xludf.DUMMYFUNCTION("""COMPUTED_VALUE"""),"")</f>
        <v/>
      </c>
      <c r="S68" s="55" t="str">
        <f ca="1">IFERROR(__xludf.DUMMYFUNCTION("""COMPUTED_VALUE"""),"citadel")</f>
        <v>citadel</v>
      </c>
      <c r="T68" s="55" t="str">
        <f ca="1">IFERROR(__xludf.DUMMYFUNCTION("""COMPUTED_VALUE"""),"")</f>
        <v/>
      </c>
      <c r="U68" s="55" t="str">
        <f ca="1">IFERROR(__xludf.DUMMYFUNCTION("""COMPUTED_VALUE"""),"plaza")</f>
        <v>plaza</v>
      </c>
      <c r="V68" s="189" t="str">
        <f ca="1">IFERROR(__xludf.DUMMYFUNCTION("""COMPUTED_VALUE"""),"")</f>
        <v/>
      </c>
      <c r="W68" s="189" t="str">
        <f ca="1">IFERROR(__xludf.DUMMYFUNCTION("""COMPUTED_VALUE"""),"")</f>
        <v/>
      </c>
      <c r="X68" s="189" t="str">
        <f ca="1">IFERROR(__xludf.DUMMYFUNCTION("""COMPUTED_VALUE"""),"{t1:argent;division:{division:perChevron;t:vert;line:straight};ordinaries:[{ordinary:bordure;t:azure}];shield:horsehead2}")</f>
        <v>{t1:argent;division:{division:perChevron;t:vert;line:straight};ordinaries:[{ordinary:bordure;t:azure}];shield:horsehead2}</v>
      </c>
      <c r="Y68" s="193" t="str">
        <f ca="1">IFERROR(__xludf.DUMMYFUNCTION("""COMPUTED_VALUE"""),"https://watabou.github.io/city-generator/?name=Lastshell&amp;population=10701&amp;size=32&amp;seed=3550748350434&amp;river=0&amp;coast=0&amp;farms=0&amp;citadel=1&amp;urban_castle=1&amp;hub=false&amp;plaza=1&amp;temple=0&amp;walls=0&amp;shantytown=0&amp;gates=-1")</f>
        <v>https://watabou.github.io/city-generator/?name=Lastshell&amp;population=10701&amp;size=32&amp;seed=3550748350434&amp;river=0&amp;coast=0&amp;farms=0&amp;citadel=1&amp;urban_castle=1&amp;hub=false&amp;plaza=1&amp;temple=0&amp;walls=0&amp;shantytown=0&amp;gates=-1</v>
      </c>
      <c r="Z68" s="189"/>
    </row>
    <row r="69" spans="1:26" ht="15" x14ac:dyDescent="0.25">
      <c r="A69" s="55">
        <f ca="1">IFERROR(__xludf.DUMMYFUNCTION("""COMPUTED_VALUE"""),449)</f>
        <v>449</v>
      </c>
      <c r="B69" s="55" t="str">
        <f ca="1">IFERROR(__xludf.DUMMYFUNCTION("""COMPUTED_VALUE"""),"Clifrostle")</f>
        <v>Clifrostle</v>
      </c>
      <c r="C69" s="55" t="str">
        <f ca="1">IFERROR(__xludf.DUMMYFUNCTION("""COMPUTED_VALUE"""),"Crownlands")</f>
        <v>Crownlands</v>
      </c>
      <c r="D69" s="55" t="str">
        <f ca="1">IFERROR(__xludf.DUMMYFUNCTION("""COMPUTED_VALUE"""),"Uzd Province")</f>
        <v>Uzd Province</v>
      </c>
      <c r="E69" s="55" t="str">
        <f ca="1">IFERROR(__xludf.DUMMYFUNCTION("""COMPUTED_VALUE"""),"Shavia")</f>
        <v>Shavia</v>
      </c>
      <c r="F69" s="55" t="str">
        <f ca="1">IFERROR(__xludf.DUMMYFUNCTION("""COMPUTED_VALUE"""),"Kingdom of Shavia")</f>
        <v>Kingdom of Shavia</v>
      </c>
      <c r="G69" s="55" t="str">
        <f ca="1">IFERROR(__xludf.DUMMYFUNCTION("""COMPUTED_VALUE"""),"Shavian")</f>
        <v>Shavian</v>
      </c>
      <c r="H69" s="55" t="str">
        <f ca="1">IFERROR(__xludf.DUMMYFUNCTION("""COMPUTED_VALUE"""),"Path of Guiding Light")</f>
        <v>Path of Guiding Light</v>
      </c>
      <c r="I69" s="55">
        <f ca="1">IFERROR(__xludf.DUMMYFUNCTION("""COMPUTED_VALUE"""),5619)</f>
        <v>5619</v>
      </c>
      <c r="J69" s="55">
        <f ca="1">IFERROR(__xludf.DUMMYFUNCTION("""COMPUTED_VALUE"""),444.691055722993)</f>
        <v>444.69105572299299</v>
      </c>
      <c r="K69" s="55">
        <f ca="1">IFERROR(__xludf.DUMMYFUNCTION("""COMPUTED_VALUE"""),603.620553675839)</f>
        <v>603.62055367583901</v>
      </c>
      <c r="L69" s="55">
        <f ca="1">IFERROR(__xludf.DUMMYFUNCTION("""COMPUTED_VALUE"""),-26.65)</f>
        <v>-26.65</v>
      </c>
      <c r="M69" s="55">
        <f ca="1">IFERROR(__xludf.DUMMYFUNCTION("""COMPUTED_VALUE"""),-10.64)</f>
        <v>-10.64</v>
      </c>
      <c r="N69" s="55">
        <f ca="1">IFERROR(__xludf.DUMMYFUNCTION("""COMPUTED_VALUE"""),161)</f>
        <v>161</v>
      </c>
      <c r="O69" s="55" t="str">
        <f ca="1">IFERROR(__xludf.DUMMYFUNCTION("""COMPUTED_VALUE"""),"46°F")</f>
        <v>46°F</v>
      </c>
      <c r="P69" s="55" t="str">
        <f ca="1">IFERROR(__xludf.DUMMYFUNCTION("""COMPUTED_VALUE"""),"Prague")</f>
        <v>Prague</v>
      </c>
      <c r="Q69" s="55" t="str">
        <f ca="1">IFERROR(__xludf.DUMMYFUNCTION("""COMPUTED_VALUE"""),"")</f>
        <v/>
      </c>
      <c r="R69" s="55" t="str">
        <f ca="1">IFERROR(__xludf.DUMMYFUNCTION("""COMPUTED_VALUE"""),"")</f>
        <v/>
      </c>
      <c r="S69" s="55" t="str">
        <f ca="1">IFERROR(__xludf.DUMMYFUNCTION("""COMPUTED_VALUE"""),"")</f>
        <v/>
      </c>
      <c r="T69" s="55" t="str">
        <f ca="1">IFERROR(__xludf.DUMMYFUNCTION("""COMPUTED_VALUE"""),"")</f>
        <v/>
      </c>
      <c r="U69" s="55" t="str">
        <f ca="1">IFERROR(__xludf.DUMMYFUNCTION("""COMPUTED_VALUE"""),"")</f>
        <v/>
      </c>
      <c r="V69" s="189" t="str">
        <f ca="1">IFERROR(__xludf.DUMMYFUNCTION("""COMPUTED_VALUE"""),"")</f>
        <v/>
      </c>
      <c r="W69" s="189" t="str">
        <f ca="1">IFERROR(__xludf.DUMMYFUNCTION("""COMPUTED_VALUE"""),"")</f>
        <v/>
      </c>
      <c r="X69" s="189" t="str">
        <f ca="1">IFERROR(__xludf.DUMMYFUNCTION("""COMPUTED_VALUE"""),"{t1:azure;ordinaries:[{ordinary:fess;t:argent;line:straight}];charges:[{charge:crossBurgundy;t:azure;p:def;size:0.5}];shield:fantasy5}")</f>
        <v>{t1:azure;ordinaries:[{ordinary:fess;t:argent;line:straight}];charges:[{charge:crossBurgundy;t:azure;p:def;size:0.5}];shield:fantasy5}</v>
      </c>
      <c r="Y69" s="193" t="str">
        <f ca="1">IFERROR(__xludf.DUMMYFUNCTION("""COMPUTED_VALUE"""),"https://watabou.github.io/city-generator/?name=Clifrostle&amp;population=5619&amp;size=25&amp;seed=3550748350449&amp;river=0&amp;coast=0&amp;farms=1&amp;citadel=0&amp;urban_castle=0&amp;hub=false&amp;plaza=0&amp;temple=0&amp;walls=0&amp;shantytown=0&amp;gates=-1")</f>
        <v>https://watabou.github.io/city-generator/?name=Clifrostle&amp;population=5619&amp;size=25&amp;seed=3550748350449&amp;river=0&amp;coast=0&amp;farms=1&amp;citadel=0&amp;urban_castle=0&amp;hub=false&amp;plaza=0&amp;temple=0&amp;walls=0&amp;shantytown=0&amp;gates=-1</v>
      </c>
      <c r="Z69" s="189"/>
    </row>
    <row r="70" spans="1:26" ht="15" x14ac:dyDescent="0.25">
      <c r="A70" s="55">
        <f ca="1">IFERROR(__xludf.DUMMYFUNCTION("""COMPUTED_VALUE"""),450)</f>
        <v>450</v>
      </c>
      <c r="B70" s="55" t="str">
        <f ca="1">IFERROR(__xludf.DUMMYFUNCTION("""COMPUTED_VALUE"""),"Cryspide")</f>
        <v>Cryspide</v>
      </c>
      <c r="C70" s="55" t="str">
        <f ca="1">IFERROR(__xludf.DUMMYFUNCTION("""COMPUTED_VALUE"""),"Sirong")</f>
        <v>Sirong</v>
      </c>
      <c r="D70" s="55" t="str">
        <f ca="1">IFERROR(__xludf.DUMMYFUNCTION("""COMPUTED_VALUE"""),"Sirong Lordship")</f>
        <v>Sirong Lordship</v>
      </c>
      <c r="E70" s="55" t="str">
        <f ca="1">IFERROR(__xludf.DUMMYFUNCTION("""COMPUTED_VALUE"""),"Shavia")</f>
        <v>Shavia</v>
      </c>
      <c r="F70" s="55" t="str">
        <f ca="1">IFERROR(__xludf.DUMMYFUNCTION("""COMPUTED_VALUE"""),"Kingdom of Shavia")</f>
        <v>Kingdom of Shavia</v>
      </c>
      <c r="G70" s="55" t="str">
        <f ca="1">IFERROR(__xludf.DUMMYFUNCTION("""COMPUTED_VALUE"""),"Shavian")</f>
        <v>Shavian</v>
      </c>
      <c r="H70" s="55" t="str">
        <f ca="1">IFERROR(__xludf.DUMMYFUNCTION("""COMPUTED_VALUE"""),"Path of Guiding Light")</f>
        <v>Path of Guiding Light</v>
      </c>
      <c r="I70" s="55">
        <f ca="1">IFERROR(__xludf.DUMMYFUNCTION("""COMPUTED_VALUE"""),4150)</f>
        <v>4150</v>
      </c>
      <c r="J70" s="55">
        <f ca="1">IFERROR(__xludf.DUMMYFUNCTION("""COMPUTED_VALUE"""),427.370053087539)</f>
        <v>427.37005308753902</v>
      </c>
      <c r="K70" s="55">
        <f ca="1">IFERROR(__xludf.DUMMYFUNCTION("""COMPUTED_VALUE"""),807.521839756349)</f>
        <v>807.52183975634898</v>
      </c>
      <c r="L70" s="55">
        <f ca="1">IFERROR(__xludf.DUMMYFUNCTION("""COMPUTED_VALUE"""),-33.25)</f>
        <v>-33.25</v>
      </c>
      <c r="M70" s="55">
        <f ca="1">IFERROR(__xludf.DUMMYFUNCTION("""COMPUTED_VALUE"""),-11.2)</f>
        <v>-11.2</v>
      </c>
      <c r="N70" s="55">
        <f ca="1">IFERROR(__xludf.DUMMYFUNCTION("""COMPUTED_VALUE"""),840)</f>
        <v>840</v>
      </c>
      <c r="O70" s="55" t="str">
        <f ca="1">IFERROR(__xludf.DUMMYFUNCTION("""COMPUTED_VALUE"""),"39°F")</f>
        <v>39°F</v>
      </c>
      <c r="P70" s="55" t="str">
        <f ca="1">IFERROR(__xludf.DUMMYFUNCTION("""COMPUTED_VALUE"""),"Reykjavik")</f>
        <v>Reykjavik</v>
      </c>
      <c r="Q70" s="55" t="str">
        <f ca="1">IFERROR(__xludf.DUMMYFUNCTION("""COMPUTED_VALUE"""),"")</f>
        <v/>
      </c>
      <c r="R70" s="55" t="str">
        <f ca="1">IFERROR(__xludf.DUMMYFUNCTION("""COMPUTED_VALUE"""),"")</f>
        <v/>
      </c>
      <c r="S70" s="55" t="str">
        <f ca="1">IFERROR(__xludf.DUMMYFUNCTION("""COMPUTED_VALUE"""),"citadel")</f>
        <v>citadel</v>
      </c>
      <c r="T70" s="55" t="str">
        <f ca="1">IFERROR(__xludf.DUMMYFUNCTION("""COMPUTED_VALUE"""),"")</f>
        <v/>
      </c>
      <c r="U70" s="55" t="str">
        <f ca="1">IFERROR(__xludf.DUMMYFUNCTION("""COMPUTED_VALUE"""),"plaza")</f>
        <v>plaza</v>
      </c>
      <c r="V70" s="189" t="str">
        <f ca="1">IFERROR(__xludf.DUMMYFUNCTION("""COMPUTED_VALUE"""),"")</f>
        <v/>
      </c>
      <c r="W70" s="189" t="str">
        <f ca="1">IFERROR(__xludf.DUMMYFUNCTION("""COMPUTED_VALUE"""),"")</f>
        <v/>
      </c>
      <c r="X70" s="189" t="str">
        <f ca="1">IFERROR(__xludf.DUMMYFUNCTION("""COMPUTED_VALUE"""),"{t1:azure;ordinaries:[{ordinary:orle;t:or}];charges:[{charge:lionRampant;t:or;p:e;size:1.1;sinister:1}];shield:fantasy5}")</f>
        <v>{t1:azure;ordinaries:[{ordinary:orle;t:or}];charges:[{charge:lionRampant;t:or;p:e;size:1.1;sinister:1}];shield:fantasy5}</v>
      </c>
      <c r="Y70" s="193" t="str">
        <f ca="1">IFERROR(__xludf.DUMMYFUNCTION("""COMPUTED_VALUE"""),"https://watabou.github.io/city-generator/?name=Cryspide&amp;population=4150&amp;size=22&amp;seed=3550748350450&amp;river=0&amp;coast=0&amp;farms=1&amp;citadel=1&amp;urban_castle=1&amp;hub=false&amp;plaza=1&amp;temple=0&amp;walls=0&amp;shantytown=0&amp;gates=-1")</f>
        <v>https://watabou.github.io/city-generator/?name=Cryspide&amp;population=4150&amp;size=22&amp;seed=3550748350450&amp;river=0&amp;coast=0&amp;farms=1&amp;citadel=1&amp;urban_castle=1&amp;hub=false&amp;plaza=1&amp;temple=0&amp;walls=0&amp;shantytown=0&amp;gates=-1</v>
      </c>
      <c r="Z70" s="189"/>
    </row>
    <row r="71" spans="1:26" ht="15" x14ac:dyDescent="0.25">
      <c r="A71" s="55">
        <f ca="1">IFERROR(__xludf.DUMMYFUNCTION("""COMPUTED_VALUE"""),451)</f>
        <v>451</v>
      </c>
      <c r="B71" s="55" t="str">
        <f ca="1">IFERROR(__xludf.DUMMYFUNCTION("""COMPUTED_VALUE"""),"Emouth")</f>
        <v>Emouth</v>
      </c>
      <c r="C71" s="55" t="str">
        <f ca="1">IFERROR(__xludf.DUMMYFUNCTION("""COMPUTED_VALUE"""),"Sirong")</f>
        <v>Sirong</v>
      </c>
      <c r="D71" s="55" t="str">
        <f ca="1">IFERROR(__xludf.DUMMYFUNCTION("""COMPUTED_VALUE"""),"Sirong Lordship")</f>
        <v>Sirong Lordship</v>
      </c>
      <c r="E71" s="55" t="str">
        <f ca="1">IFERROR(__xludf.DUMMYFUNCTION("""COMPUTED_VALUE"""),"Shavia")</f>
        <v>Shavia</v>
      </c>
      <c r="F71" s="55" t="str">
        <f ca="1">IFERROR(__xludf.DUMMYFUNCTION("""COMPUTED_VALUE"""),"Kingdom of Shavia")</f>
        <v>Kingdom of Shavia</v>
      </c>
      <c r="G71" s="55" t="str">
        <f ca="1">IFERROR(__xludf.DUMMYFUNCTION("""COMPUTED_VALUE"""),"Shavian")</f>
        <v>Shavian</v>
      </c>
      <c r="H71" s="55" t="str">
        <f ca="1">IFERROR(__xludf.DUMMYFUNCTION("""COMPUTED_VALUE"""),"Path of Guiding Light")</f>
        <v>Path of Guiding Light</v>
      </c>
      <c r="I71" s="55">
        <f ca="1">IFERROR(__xludf.DUMMYFUNCTION("""COMPUTED_VALUE"""),2171)</f>
        <v>2171</v>
      </c>
      <c r="J71" s="55">
        <f ca="1">IFERROR(__xludf.DUMMYFUNCTION("""COMPUTED_VALUE"""),457.438535190659)</f>
        <v>457.43853519065902</v>
      </c>
      <c r="K71" s="55">
        <f ca="1">IFERROR(__xludf.DUMMYFUNCTION("""COMPUTED_VALUE"""),860.710941107694)</f>
        <v>860.710941107694</v>
      </c>
      <c r="L71" s="55">
        <f ca="1">IFERROR(__xludf.DUMMYFUNCTION("""COMPUTED_VALUE"""),-34.97)</f>
        <v>-34.97</v>
      </c>
      <c r="M71" s="55">
        <f ca="1">IFERROR(__xludf.DUMMYFUNCTION("""COMPUTED_VALUE"""),-10.22)</f>
        <v>-10.220000000000001</v>
      </c>
      <c r="N71" s="55">
        <f ca="1">IFERROR(__xludf.DUMMYFUNCTION("""COMPUTED_VALUE"""),161)</f>
        <v>161</v>
      </c>
      <c r="O71" s="55" t="str">
        <f ca="1">IFERROR(__xludf.DUMMYFUNCTION("""COMPUTED_VALUE"""),"39°F")</f>
        <v>39°F</v>
      </c>
      <c r="P71" s="55" t="str">
        <f ca="1">IFERROR(__xludf.DUMMYFUNCTION("""COMPUTED_VALUE"""),"Reykjavik")</f>
        <v>Reykjavik</v>
      </c>
      <c r="Q71" s="55" t="str">
        <f ca="1">IFERROR(__xludf.DUMMYFUNCTION("""COMPUTED_VALUE"""),"")</f>
        <v/>
      </c>
      <c r="R71" s="55" t="str">
        <f ca="1">IFERROR(__xludf.DUMMYFUNCTION("""COMPUTED_VALUE"""),"")</f>
        <v/>
      </c>
      <c r="S71" s="55" t="str">
        <f ca="1">IFERROR(__xludf.DUMMYFUNCTION("""COMPUTED_VALUE"""),"")</f>
        <v/>
      </c>
      <c r="T71" s="55" t="str">
        <f ca="1">IFERROR(__xludf.DUMMYFUNCTION("""COMPUTED_VALUE"""),"")</f>
        <v/>
      </c>
      <c r="U71" s="55" t="str">
        <f ca="1">IFERROR(__xludf.DUMMYFUNCTION("""COMPUTED_VALUE"""),"")</f>
        <v/>
      </c>
      <c r="V71" s="189" t="str">
        <f ca="1">IFERROR(__xludf.DUMMYFUNCTION("""COMPUTED_VALUE"""),"")</f>
        <v/>
      </c>
      <c r="W71" s="189" t="str">
        <f ca="1">IFERROR(__xludf.DUMMYFUNCTION("""COMPUTED_VALUE"""),"")</f>
        <v/>
      </c>
      <c r="X71" s="189" t="str">
        <f ca="1">IFERROR(__xludf.DUMMYFUNCTION("""COMPUTED_VALUE"""),"{t1:argent;charges:[{charge:rose;t:vert;p:e;size:1.5}];shield:fantasy5}")</f>
        <v>{t1:argent;charges:[{charge:rose;t:vert;p:e;size:1.5}];shield:fantasy5}</v>
      </c>
      <c r="Y71" s="193" t="str">
        <f ca="1">IFERROR(__xludf.DUMMYFUNCTION("""COMPUTED_VALUE"""),"https://watabou.github.io/city-generator/?name=Emouth&amp;population=2171&amp;size=17&amp;seed=3550748350451&amp;river=0&amp;coast=0&amp;farms=1&amp;citadel=0&amp;urban_castle=0&amp;hub=false&amp;plaza=0&amp;temple=0&amp;walls=0&amp;shantytown=0&amp;gates=-1")</f>
        <v>https://watabou.github.io/city-generator/?name=Emouth&amp;population=2171&amp;size=17&amp;seed=3550748350451&amp;river=0&amp;coast=0&amp;farms=1&amp;citadel=0&amp;urban_castle=0&amp;hub=false&amp;plaza=0&amp;temple=0&amp;walls=0&amp;shantytown=0&amp;gates=-1</v>
      </c>
      <c r="Z71" s="189"/>
    </row>
    <row r="72" spans="1:26" ht="15" x14ac:dyDescent="0.25">
      <c r="A72" s="55">
        <f ca="1">IFERROR(__xludf.DUMMYFUNCTION("""COMPUTED_VALUE"""),453)</f>
        <v>453</v>
      </c>
      <c r="B72" s="55" t="str">
        <f ca="1">IFERROR(__xludf.DUMMYFUNCTION("""COMPUTED_VALUE"""),"Bearowbay")</f>
        <v>Bearowbay</v>
      </c>
      <c r="C72" s="55" t="str">
        <f ca="1">IFERROR(__xludf.DUMMYFUNCTION("""COMPUTED_VALUE"""),"Dreghold")</f>
        <v>Dreghold</v>
      </c>
      <c r="D72" s="55" t="str">
        <f ca="1">IFERROR(__xludf.DUMMYFUNCTION("""COMPUTED_VALUE"""),"Dreghold Province")</f>
        <v>Dreghold Province</v>
      </c>
      <c r="E72" s="55" t="str">
        <f ca="1">IFERROR(__xludf.DUMMYFUNCTION("""COMPUTED_VALUE"""),"Shavia")</f>
        <v>Shavia</v>
      </c>
      <c r="F72" s="55" t="str">
        <f ca="1">IFERROR(__xludf.DUMMYFUNCTION("""COMPUTED_VALUE"""),"Kingdom of Shavia")</f>
        <v>Kingdom of Shavia</v>
      </c>
      <c r="G72" s="55" t="str">
        <f ca="1">IFERROR(__xludf.DUMMYFUNCTION("""COMPUTED_VALUE"""),"Shavian")</f>
        <v>Shavian</v>
      </c>
      <c r="H72" s="55" t="str">
        <f ca="1">IFERROR(__xludf.DUMMYFUNCTION("""COMPUTED_VALUE"""),"Path of Guiding Light")</f>
        <v>Path of Guiding Light</v>
      </c>
      <c r="I72" s="55">
        <f ca="1">IFERROR(__xludf.DUMMYFUNCTION("""COMPUTED_VALUE"""),1931)</f>
        <v>1931</v>
      </c>
      <c r="J72" s="55">
        <f ca="1">IFERROR(__xludf.DUMMYFUNCTION("""COMPUTED_VALUE"""),590.868640885799)</f>
        <v>590.86864088579898</v>
      </c>
      <c r="K72" s="55">
        <f ca="1">IFERROR(__xludf.DUMMYFUNCTION("""COMPUTED_VALUE"""),899.264768322115)</f>
        <v>899.26476832211495</v>
      </c>
      <c r="L72" s="55">
        <f ca="1">IFERROR(__xludf.DUMMYFUNCTION("""COMPUTED_VALUE"""),-36.22)</f>
        <v>-36.22</v>
      </c>
      <c r="M72" s="55">
        <f ca="1">IFERROR(__xludf.DUMMYFUNCTION("""COMPUTED_VALUE"""),-5.92)</f>
        <v>-5.92</v>
      </c>
      <c r="N72" s="55">
        <f ca="1">IFERROR(__xludf.DUMMYFUNCTION("""COMPUTED_VALUE"""),52)</f>
        <v>52</v>
      </c>
      <c r="O72" s="55" t="str">
        <f ca="1">IFERROR(__xludf.DUMMYFUNCTION("""COMPUTED_VALUE"""),"39°F")</f>
        <v>39°F</v>
      </c>
      <c r="P72" s="55" t="str">
        <f ca="1">IFERROR(__xludf.DUMMYFUNCTION("""COMPUTED_VALUE"""),"Reykjavik")</f>
        <v>Reykjavik</v>
      </c>
      <c r="Q72" s="55" t="str">
        <f ca="1">IFERROR(__xludf.DUMMYFUNCTION("""COMPUTED_VALUE"""),"")</f>
        <v/>
      </c>
      <c r="R72" s="55" t="str">
        <f ca="1">IFERROR(__xludf.DUMMYFUNCTION("""COMPUTED_VALUE"""),"")</f>
        <v/>
      </c>
      <c r="S72" s="55" t="str">
        <f ca="1">IFERROR(__xludf.DUMMYFUNCTION("""COMPUTED_VALUE"""),"citadel")</f>
        <v>citadel</v>
      </c>
      <c r="T72" s="55" t="str">
        <f ca="1">IFERROR(__xludf.DUMMYFUNCTION("""COMPUTED_VALUE"""),"")</f>
        <v/>
      </c>
      <c r="U72" s="55" t="str">
        <f ca="1">IFERROR(__xludf.DUMMYFUNCTION("""COMPUTED_VALUE"""),"")</f>
        <v/>
      </c>
      <c r="V72" s="189" t="str">
        <f ca="1">IFERROR(__xludf.DUMMYFUNCTION("""COMPUTED_VALUE"""),"")</f>
        <v/>
      </c>
      <c r="W72" s="189" t="str">
        <f ca="1">IFERROR(__xludf.DUMMYFUNCTION("""COMPUTED_VALUE"""),"")</f>
        <v/>
      </c>
      <c r="X72" s="189" t="str">
        <f ca="1">IFERROR(__xludf.DUMMYFUNCTION("""COMPUTED_VALUE"""),"{t1:argent;charges:[{charge:eagleTwoHeards;t:gules;p:e;size:1.5}];shield:horsehead2}")</f>
        <v>{t1:argent;charges:[{charge:eagleTwoHeards;t:gules;p:e;size:1.5}];shield:horsehead2}</v>
      </c>
      <c r="Y72" s="193" t="str">
        <f ca="1">IFERROR(__xludf.DUMMYFUNCTION("""COMPUTED_VALUE"""),"https://watabou.github.io/city-generator/?name=Bearowbay&amp;population=1931&amp;size=17&amp;seed=3550748350453&amp;river=0&amp;coast=0&amp;farms=0&amp;citadel=1&amp;urban_castle=0&amp;hub=false&amp;plaza=0&amp;temple=0&amp;walls=0&amp;shantytown=0&amp;gates=-1")</f>
        <v>https://watabou.github.io/city-generator/?name=Bearowbay&amp;population=1931&amp;size=17&amp;seed=3550748350453&amp;river=0&amp;coast=0&amp;farms=0&amp;citadel=1&amp;urban_castle=0&amp;hub=false&amp;plaza=0&amp;temple=0&amp;walls=0&amp;shantytown=0&amp;gates=-1</v>
      </c>
      <c r="Z72" s="189"/>
    </row>
    <row r="73" spans="1:26" ht="15" x14ac:dyDescent="0.25">
      <c r="A73" s="55">
        <f ca="1">IFERROR(__xludf.DUMMYFUNCTION("""COMPUTED_VALUE"""),454)</f>
        <v>454</v>
      </c>
      <c r="B73" s="55" t="str">
        <f ca="1">IFERROR(__xludf.DUMMYFUNCTION("""COMPUTED_VALUE"""),"Deepmoor")</f>
        <v>Deepmoor</v>
      </c>
      <c r="C73" s="55" t="str">
        <f ca="1">IFERROR(__xludf.DUMMYFUNCTION("""COMPUTED_VALUE"""),"Swanhall")</f>
        <v>Swanhall</v>
      </c>
      <c r="D73" s="55" t="str">
        <f ca="1">IFERROR(__xludf.DUMMYFUNCTION("""COMPUTED_VALUE"""),"Swanhall Province")</f>
        <v>Swanhall Province</v>
      </c>
      <c r="E73" s="55" t="str">
        <f ca="1">IFERROR(__xludf.DUMMYFUNCTION("""COMPUTED_VALUE"""),"Shavia")</f>
        <v>Shavia</v>
      </c>
      <c r="F73" s="55" t="str">
        <f ca="1">IFERROR(__xludf.DUMMYFUNCTION("""COMPUTED_VALUE"""),"Kingdom of Shavia")</f>
        <v>Kingdom of Shavia</v>
      </c>
      <c r="G73" s="55" t="str">
        <f ca="1">IFERROR(__xludf.DUMMYFUNCTION("""COMPUTED_VALUE"""),"Shavian")</f>
        <v>Shavian</v>
      </c>
      <c r="H73" s="55" t="str">
        <f ca="1">IFERROR(__xludf.DUMMYFUNCTION("""COMPUTED_VALUE"""),"Path of Guiding Light")</f>
        <v>Path of Guiding Light</v>
      </c>
      <c r="I73" s="55">
        <f ca="1">IFERROR(__xludf.DUMMYFUNCTION("""COMPUTED_VALUE"""),1923)</f>
        <v>1923</v>
      </c>
      <c r="J73" s="55">
        <f ca="1">IFERROR(__xludf.DUMMYFUNCTION("""COMPUTED_VALUE"""),908.407381335316)</f>
        <v>908.40738133531602</v>
      </c>
      <c r="K73" s="55">
        <f ca="1">IFERROR(__xludf.DUMMYFUNCTION("""COMPUTED_VALUE"""),913.491344644044)</f>
        <v>913.49134464404403</v>
      </c>
      <c r="L73" s="55">
        <f ca="1">IFERROR(__xludf.DUMMYFUNCTION("""COMPUTED_VALUE"""),-36.68)</f>
        <v>-36.68</v>
      </c>
      <c r="M73" s="55">
        <f ca="1">IFERROR(__xludf.DUMMYFUNCTION("""COMPUTED_VALUE"""),4.34)</f>
        <v>4.34</v>
      </c>
      <c r="N73" s="55">
        <f ca="1">IFERROR(__xludf.DUMMYFUNCTION("""COMPUTED_VALUE"""),52)</f>
        <v>52</v>
      </c>
      <c r="O73" s="55" t="str">
        <f ca="1">IFERROR(__xludf.DUMMYFUNCTION("""COMPUTED_VALUE"""),"37°F")</f>
        <v>37°F</v>
      </c>
      <c r="P73" s="55" t="str">
        <f ca="1">IFERROR(__xludf.DUMMYFUNCTION("""COMPUTED_VALUE"""),"Tromsø")</f>
        <v>Tromsø</v>
      </c>
      <c r="Q73" s="55" t="str">
        <f ca="1">IFERROR(__xludf.DUMMYFUNCTION("""COMPUTED_VALUE"""),"")</f>
        <v/>
      </c>
      <c r="R73" s="55" t="str">
        <f ca="1">IFERROR(__xludf.DUMMYFUNCTION("""COMPUTED_VALUE"""),"")</f>
        <v/>
      </c>
      <c r="S73" s="55" t="str">
        <f ca="1">IFERROR(__xludf.DUMMYFUNCTION("""COMPUTED_VALUE"""),"citadel")</f>
        <v>citadel</v>
      </c>
      <c r="T73" s="55" t="str">
        <f ca="1">IFERROR(__xludf.DUMMYFUNCTION("""COMPUTED_VALUE"""),"")</f>
        <v/>
      </c>
      <c r="U73" s="55" t="str">
        <f ca="1">IFERROR(__xludf.DUMMYFUNCTION("""COMPUTED_VALUE"""),"")</f>
        <v/>
      </c>
      <c r="V73" s="189" t="str">
        <f ca="1">IFERROR(__xludf.DUMMYFUNCTION("""COMPUTED_VALUE"""),"")</f>
        <v/>
      </c>
      <c r="W73" s="189" t="str">
        <f ca="1">IFERROR(__xludf.DUMMYFUNCTION("""COMPUTED_VALUE"""),"")</f>
        <v/>
      </c>
      <c r="X73" s="189" t="str">
        <f ca="1">IFERROR(__xludf.DUMMYFUNCTION("""COMPUTED_VALUE"""),"{t1:vert;ordinaries:[{ordinary:label;t:argent}];shield:horsehead2}")</f>
        <v>{t1:vert;ordinaries:[{ordinary:label;t:argent}];shield:horsehead2}</v>
      </c>
      <c r="Y73" s="193" t="str">
        <f ca="1">IFERROR(__xludf.DUMMYFUNCTION("""COMPUTED_VALUE"""),"https://watabou.github.io/city-generator/?name=Deepmoor&amp;population=1923&amp;size=17&amp;seed=3550748350454&amp;river=0&amp;coast=0&amp;farms=0&amp;citadel=1&amp;urban_castle=1&amp;hub=false&amp;plaza=0&amp;temple=0&amp;walls=0&amp;shantytown=0&amp;gates=-1")</f>
        <v>https://watabou.github.io/city-generator/?name=Deepmoor&amp;population=1923&amp;size=17&amp;seed=3550748350454&amp;river=0&amp;coast=0&amp;farms=0&amp;citadel=1&amp;urban_castle=1&amp;hub=false&amp;plaza=0&amp;temple=0&amp;walls=0&amp;shantytown=0&amp;gates=-1</v>
      </c>
      <c r="Z73" s="189"/>
    </row>
    <row r="74" spans="1:26" ht="15" x14ac:dyDescent="0.25">
      <c r="A74" s="55">
        <f ca="1">IFERROR(__xludf.DUMMYFUNCTION("""COMPUTED_VALUE"""),462)</f>
        <v>462</v>
      </c>
      <c r="B74" s="55" t="str">
        <f ca="1">IFERROR(__xludf.DUMMYFUNCTION("""COMPUTED_VALUE"""),"Gonagithmorso")</f>
        <v>Gonagithmorso</v>
      </c>
      <c r="C74" s="55" t="str">
        <f ca="1">IFERROR(__xludf.DUMMYFUNCTION("""COMPUTED_VALUE"""),"Ralim")</f>
        <v>Ralim</v>
      </c>
      <c r="D74" s="55" t="str">
        <f ca="1">IFERROR(__xludf.DUMMYFUNCTION("""COMPUTED_VALUE"""),"Ralim Province")</f>
        <v>Ralim Province</v>
      </c>
      <c r="E74" s="55" t="str">
        <f ca="1">IFERROR(__xludf.DUMMYFUNCTION("""COMPUTED_VALUE"""),"Shavia")</f>
        <v>Shavia</v>
      </c>
      <c r="F74" s="55" t="str">
        <f ca="1">IFERROR(__xludf.DUMMYFUNCTION("""COMPUTED_VALUE"""),"Kingdom of Shavia")</f>
        <v>Kingdom of Shavia</v>
      </c>
      <c r="G74" s="55" t="str">
        <f ca="1">IFERROR(__xludf.DUMMYFUNCTION("""COMPUTED_VALUE"""),"Aranvers")</f>
        <v>Aranvers</v>
      </c>
      <c r="H74" s="55" t="str">
        <f ca="1">IFERROR(__xludf.DUMMYFUNCTION("""COMPUTED_VALUE"""),"Path of Guiding Light")</f>
        <v>Path of Guiding Light</v>
      </c>
      <c r="I74" s="55">
        <f ca="1">IFERROR(__xludf.DUMMYFUNCTION("""COMPUTED_VALUE"""),18184)</f>
        <v>18184</v>
      </c>
      <c r="J74" s="55">
        <f ca="1">IFERROR(__xludf.DUMMYFUNCTION("""COMPUTED_VALUE"""),227.5)</f>
        <v>227.5</v>
      </c>
      <c r="K74" s="55">
        <f ca="1">IFERROR(__xludf.DUMMYFUNCTION("""COMPUTED_VALUE"""),683.5)</f>
        <v>683.5</v>
      </c>
      <c r="L74" s="55">
        <f ca="1">IFERROR(__xludf.DUMMYFUNCTION("""COMPUTED_VALUE"""),-29.23)</f>
        <v>-29.23</v>
      </c>
      <c r="M74" s="55">
        <f ca="1">IFERROR(__xludf.DUMMYFUNCTION("""COMPUTED_VALUE"""),-17.65)</f>
        <v>-17.649999999999999</v>
      </c>
      <c r="N74" s="55">
        <f ca="1">IFERROR(__xludf.DUMMYFUNCTION("""COMPUTED_VALUE"""),82)</f>
        <v>82</v>
      </c>
      <c r="O74" s="55" t="str">
        <f ca="1">IFERROR(__xludf.DUMMYFUNCTION("""COMPUTED_VALUE"""),"43°F")</f>
        <v>43°F</v>
      </c>
      <c r="P74" s="55" t="str">
        <f ca="1">IFERROR(__xludf.DUMMYFUNCTION("""COMPUTED_VALUE"""),"Stockholm")</f>
        <v>Stockholm</v>
      </c>
      <c r="Q74" s="55" t="str">
        <f ca="1">IFERROR(__xludf.DUMMYFUNCTION("""COMPUTED_VALUE"""),"")</f>
        <v/>
      </c>
      <c r="R74" s="55" t="str">
        <f ca="1">IFERROR(__xludf.DUMMYFUNCTION("""COMPUTED_VALUE"""),"port")</f>
        <v>port</v>
      </c>
      <c r="S74" s="55" t="str">
        <f ca="1">IFERROR(__xludf.DUMMYFUNCTION("""COMPUTED_VALUE"""),"")</f>
        <v/>
      </c>
      <c r="T74" s="55" t="str">
        <f ca="1">IFERROR(__xludf.DUMMYFUNCTION("""COMPUTED_VALUE"""),"")</f>
        <v/>
      </c>
      <c r="U74" s="55" t="str">
        <f ca="1">IFERROR(__xludf.DUMMYFUNCTION("""COMPUTED_VALUE"""),"plaza")</f>
        <v>plaza</v>
      </c>
      <c r="V74" s="189" t="str">
        <f ca="1">IFERROR(__xludf.DUMMYFUNCTION("""COMPUTED_VALUE"""),"")</f>
        <v/>
      </c>
      <c r="W74" s="189" t="str">
        <f ca="1">IFERROR(__xludf.DUMMYFUNCTION("""COMPUTED_VALUE"""),"")</f>
        <v/>
      </c>
      <c r="X74" s="189" t="str">
        <f ca="1">IFERROR(__xludf.DUMMYFUNCTION("""COMPUTED_VALUE"""),"{t1:azure;charges:[{charge:chalice;t:or;p:e;size:1.5}];shield:hessen}")</f>
        <v>{t1:azure;charges:[{charge:chalice;t:or;p:e;size:1.5}];shield:hessen}</v>
      </c>
      <c r="Y74" s="193" t="str">
        <f ca="1">IFERROR(__xludf.DUMMYFUNCTION("""COMPUTED_VALUE"""),"https://watabou.github.io/city-generator/?name=Gonagithmorso&amp;population=18184&amp;size=39&amp;seed=3550748350462&amp;river=0&amp;coast=1&amp;farms=1&amp;citadel=0&amp;urban_castle=0&amp;hub=false&amp;plaza=1&amp;temple=0&amp;walls=0&amp;shantytown=0&amp;gates=-1&amp;sea=1.57")</f>
        <v>https://watabou.github.io/city-generator/?name=Gonagithmorso&amp;population=18184&amp;size=39&amp;seed=3550748350462&amp;river=0&amp;coast=1&amp;farms=1&amp;citadel=0&amp;urban_castle=0&amp;hub=false&amp;plaza=1&amp;temple=0&amp;walls=0&amp;shantytown=0&amp;gates=-1&amp;sea=1.57</v>
      </c>
      <c r="Z74" s="189"/>
    </row>
    <row r="75" spans="1:26" ht="15" x14ac:dyDescent="0.25">
      <c r="A75" s="55">
        <f ca="1">IFERROR(__xludf.DUMMYFUNCTION("""COMPUTED_VALUE"""),464)</f>
        <v>464</v>
      </c>
      <c r="B75" s="55" t="str">
        <f ca="1">IFERROR(__xludf.DUMMYFUNCTION("""COMPUTED_VALUE"""),"Wilvernyard")</f>
        <v>Wilvernyard</v>
      </c>
      <c r="C75" s="55" t="str">
        <f ca="1">IFERROR(__xludf.DUMMYFUNCTION("""COMPUTED_VALUE"""),"Swanhall")</f>
        <v>Swanhall</v>
      </c>
      <c r="D75" s="55" t="str">
        <f ca="1">IFERROR(__xludf.DUMMYFUNCTION("""COMPUTED_VALUE"""),"Swanhall Province")</f>
        <v>Swanhall Province</v>
      </c>
      <c r="E75" s="55" t="str">
        <f ca="1">IFERROR(__xludf.DUMMYFUNCTION("""COMPUTED_VALUE"""),"Shavia")</f>
        <v>Shavia</v>
      </c>
      <c r="F75" s="55" t="str">
        <f ca="1">IFERROR(__xludf.DUMMYFUNCTION("""COMPUTED_VALUE"""),"Kingdom of Shavia")</f>
        <v>Kingdom of Shavia</v>
      </c>
      <c r="G75" s="55" t="str">
        <f ca="1">IFERROR(__xludf.DUMMYFUNCTION("""COMPUTED_VALUE"""),"Shavian")</f>
        <v>Shavian</v>
      </c>
      <c r="H75" s="55" t="str">
        <f ca="1">IFERROR(__xludf.DUMMYFUNCTION("""COMPUTED_VALUE"""),"Path of Guiding Light")</f>
        <v>Path of Guiding Light</v>
      </c>
      <c r="I75" s="55">
        <f ca="1">IFERROR(__xludf.DUMMYFUNCTION("""COMPUTED_VALUE"""),9340)</f>
        <v>9340</v>
      </c>
      <c r="J75" s="55">
        <f ca="1">IFERROR(__xludf.DUMMYFUNCTION("""COMPUTED_VALUE"""),940.889126726972)</f>
        <v>940.88912672697199</v>
      </c>
      <c r="K75" s="55">
        <f ca="1">IFERROR(__xludf.DUMMYFUNCTION("""COMPUTED_VALUE"""),893.932234926481)</f>
        <v>893.93223492648099</v>
      </c>
      <c r="L75" s="55">
        <f ca="1">IFERROR(__xludf.DUMMYFUNCTION("""COMPUTED_VALUE"""),-36.05)</f>
        <v>-36.049999999999997</v>
      </c>
      <c r="M75" s="55">
        <f ca="1">IFERROR(__xludf.DUMMYFUNCTION("""COMPUTED_VALUE"""),5.39)</f>
        <v>5.39</v>
      </c>
      <c r="N75" s="55">
        <f ca="1">IFERROR(__xludf.DUMMYFUNCTION("""COMPUTED_VALUE"""),118)</f>
        <v>118</v>
      </c>
      <c r="O75" s="55" t="str">
        <f ca="1">IFERROR(__xludf.DUMMYFUNCTION("""COMPUTED_VALUE"""),"39°F")</f>
        <v>39°F</v>
      </c>
      <c r="P75" s="55" t="str">
        <f ca="1">IFERROR(__xludf.DUMMYFUNCTION("""COMPUTED_VALUE"""),"Reykjavik")</f>
        <v>Reykjavik</v>
      </c>
      <c r="Q75" s="55" t="str">
        <f ca="1">IFERROR(__xludf.DUMMYFUNCTION("""COMPUTED_VALUE"""),"")</f>
        <v/>
      </c>
      <c r="R75" s="55" t="str">
        <f ca="1">IFERROR(__xludf.DUMMYFUNCTION("""COMPUTED_VALUE"""),"")</f>
        <v/>
      </c>
      <c r="S75" s="55" t="str">
        <f ca="1">IFERROR(__xludf.DUMMYFUNCTION("""COMPUTED_VALUE"""),"citadel")</f>
        <v>citadel</v>
      </c>
      <c r="T75" s="55" t="str">
        <f ca="1">IFERROR(__xludf.DUMMYFUNCTION("""COMPUTED_VALUE"""),"")</f>
        <v/>
      </c>
      <c r="U75" s="55" t="str">
        <f ca="1">IFERROR(__xludf.DUMMYFUNCTION("""COMPUTED_VALUE"""),"")</f>
        <v/>
      </c>
      <c r="V75" s="189" t="str">
        <f ca="1">IFERROR(__xludf.DUMMYFUNCTION("""COMPUTED_VALUE"""),"")</f>
        <v/>
      </c>
      <c r="W75" s="189" t="str">
        <f ca="1">IFERROR(__xludf.DUMMYFUNCTION("""COMPUTED_VALUE"""),"")</f>
        <v/>
      </c>
      <c r="X75" s="189" t="str">
        <f ca="1">IFERROR(__xludf.DUMMYFUNCTION("""COMPUTED_VALUE"""),"{t1:lozengy-or-azure;division:{division:perCross;t:vert;line:straight};charges:[{charge:key;t:purpure;p:j;size:0.6};{charge:serpent;t:or;p:l;size:0.6};{charge:horseshoe;t:argent;p:m;size:0.6};{charge:lozengePloye;t:purpure;p:o;size:0.6}];shield:horsehead2"&amp;"}")</f>
        <v>{t1:lozengy-or-azure;division:{division:perCross;t:vert;line:straight};charges:[{charge:key;t:purpure;p:j;size:0.6};{charge:serpent;t:or;p:l;size:0.6};{charge:horseshoe;t:argent;p:m;size:0.6};{charge:lozengePloye;t:purpure;p:o;size:0.6}];shield:horsehead2}</v>
      </c>
      <c r="Y75" s="193" t="str">
        <f ca="1">IFERROR(__xludf.DUMMYFUNCTION("""COMPUTED_VALUE"""),"https://watabou.github.io/city-generator/?name=Wilvernyard&amp;population=9340&amp;size=30&amp;seed=3550748350464&amp;river=0&amp;coast=0&amp;farms=1&amp;citadel=1&amp;urban_castle=1&amp;hub=false&amp;plaza=0&amp;temple=0&amp;walls=0&amp;shantytown=0&amp;gates=-1")</f>
        <v>https://watabou.github.io/city-generator/?name=Wilvernyard&amp;population=9340&amp;size=30&amp;seed=3550748350464&amp;river=0&amp;coast=0&amp;farms=1&amp;citadel=1&amp;urban_castle=1&amp;hub=false&amp;plaza=0&amp;temple=0&amp;walls=0&amp;shantytown=0&amp;gates=-1</v>
      </c>
      <c r="Z75" s="189"/>
    </row>
    <row r="76" spans="1:26" ht="15" x14ac:dyDescent="0.25">
      <c r="A76" s="55">
        <f ca="1">IFERROR(__xludf.DUMMYFUNCTION("""COMPUTED_VALUE"""),492)</f>
        <v>492</v>
      </c>
      <c r="B76" s="55" t="str">
        <f ca="1">IFERROR(__xludf.DUMMYFUNCTION("""COMPUTED_VALUE"""),"Flakechpost")</f>
        <v>Flakechpost</v>
      </c>
      <c r="C76" s="55" t="str">
        <f ca="1">IFERROR(__xludf.DUMMYFUNCTION("""COMPUTED_VALUE"""),"Swanhall")</f>
        <v>Swanhall</v>
      </c>
      <c r="D76" s="55" t="str">
        <f ca="1">IFERROR(__xludf.DUMMYFUNCTION("""COMPUTED_VALUE"""),"Swanhall Province")</f>
        <v>Swanhall Province</v>
      </c>
      <c r="E76" s="55" t="str">
        <f ca="1">IFERROR(__xludf.DUMMYFUNCTION("""COMPUTED_VALUE"""),"Shavia")</f>
        <v>Shavia</v>
      </c>
      <c r="F76" s="55" t="str">
        <f ca="1">IFERROR(__xludf.DUMMYFUNCTION("""COMPUTED_VALUE"""),"Kingdom of Shavia")</f>
        <v>Kingdom of Shavia</v>
      </c>
      <c r="G76" s="55" t="str">
        <f ca="1">IFERROR(__xludf.DUMMYFUNCTION("""COMPUTED_VALUE"""),"Shavian")</f>
        <v>Shavian</v>
      </c>
      <c r="H76" s="55" t="str">
        <f ca="1">IFERROR(__xludf.DUMMYFUNCTION("""COMPUTED_VALUE"""),"Path of Guiding Light")</f>
        <v>Path of Guiding Light</v>
      </c>
      <c r="I76" s="55">
        <f ca="1">IFERROR(__xludf.DUMMYFUNCTION("""COMPUTED_VALUE"""),23430)</f>
        <v>23430</v>
      </c>
      <c r="J76" s="55">
        <f ca="1">IFERROR(__xludf.DUMMYFUNCTION("""COMPUTED_VALUE"""),776.047674679447)</f>
        <v>776.04767467944703</v>
      </c>
      <c r="K76" s="55">
        <f ca="1">IFERROR(__xludf.DUMMYFUNCTION("""COMPUTED_VALUE"""),684.62056824748)</f>
        <v>684.62056824748004</v>
      </c>
      <c r="L76" s="55">
        <f ca="1">IFERROR(__xludf.DUMMYFUNCTION("""COMPUTED_VALUE"""),-29.27)</f>
        <v>-29.27</v>
      </c>
      <c r="M76" s="55">
        <f ca="1">IFERROR(__xludf.DUMMYFUNCTION("""COMPUTED_VALUE"""),0.07)</f>
        <v>7.0000000000000007E-2</v>
      </c>
      <c r="N76" s="55">
        <f ca="1">IFERROR(__xludf.DUMMYFUNCTION("""COMPUTED_VALUE"""),1736)</f>
        <v>1736</v>
      </c>
      <c r="O76" s="55" t="str">
        <f ca="1">IFERROR(__xludf.DUMMYFUNCTION("""COMPUTED_VALUE"""),"37°F")</f>
        <v>37°F</v>
      </c>
      <c r="P76" s="55" t="str">
        <f ca="1">IFERROR(__xludf.DUMMYFUNCTION("""COMPUTED_VALUE"""),"Tromsø")</f>
        <v>Tromsø</v>
      </c>
      <c r="Q76" s="55" t="str">
        <f ca="1">IFERROR(__xludf.DUMMYFUNCTION("""COMPUTED_VALUE"""),"")</f>
        <v/>
      </c>
      <c r="R76" s="55" t="str">
        <f ca="1">IFERROR(__xludf.DUMMYFUNCTION("""COMPUTED_VALUE"""),"")</f>
        <v/>
      </c>
      <c r="S76" s="55" t="str">
        <f ca="1">IFERROR(__xludf.DUMMYFUNCTION("""COMPUTED_VALUE"""),"citadel")</f>
        <v>citadel</v>
      </c>
      <c r="T76" s="55" t="str">
        <f ca="1">IFERROR(__xludf.DUMMYFUNCTION("""COMPUTED_VALUE"""),"walls")</f>
        <v>walls</v>
      </c>
      <c r="U76" s="55" t="str">
        <f ca="1">IFERROR(__xludf.DUMMYFUNCTION("""COMPUTED_VALUE"""),"plaza")</f>
        <v>plaza</v>
      </c>
      <c r="V76" s="189" t="str">
        <f ca="1">IFERROR(__xludf.DUMMYFUNCTION("""COMPUTED_VALUE"""),"")</f>
        <v/>
      </c>
      <c r="W76" s="189" t="str">
        <f ca="1">IFERROR(__xludf.DUMMYFUNCTION("""COMPUTED_VALUE"""),"")</f>
        <v/>
      </c>
      <c r="X76" s="189" t="str">
        <f ca="1">IFERROR(__xludf.DUMMYFUNCTION("""COMPUTED_VALUE"""),"{t1:argent;charges:[{charge:anvil;t:vert;p:e;size:1.5}];shield:horsehead2}")</f>
        <v>{t1:argent;charges:[{charge:anvil;t:vert;p:e;size:1.5}];shield:horsehead2}</v>
      </c>
      <c r="Y76" s="193" t="str">
        <f ca="1">IFERROR(__xludf.DUMMYFUNCTION("""COMPUTED_VALUE"""),"https://watabou.github.io/city-generator/?name=Flakechpost&amp;population=23430&amp;size=43&amp;seed=3550748350492&amp;river=1&amp;coast=0&amp;farms=0&amp;citadel=1&amp;urban_castle=1&amp;hub=false&amp;plaza=1&amp;temple=0&amp;walls=1&amp;shantytown=0&amp;gates=-1")</f>
        <v>https://watabou.github.io/city-generator/?name=Flakechpost&amp;population=23430&amp;size=43&amp;seed=3550748350492&amp;river=1&amp;coast=0&amp;farms=0&amp;citadel=1&amp;urban_castle=1&amp;hub=false&amp;plaza=1&amp;temple=0&amp;walls=1&amp;shantytown=0&amp;gates=-1</v>
      </c>
      <c r="Z76" s="189"/>
    </row>
    <row r="77" spans="1:26" ht="15" x14ac:dyDescent="0.25">
      <c r="A77" s="55">
        <f ca="1">IFERROR(__xludf.DUMMYFUNCTION("""COMPUTED_VALUE"""),493)</f>
        <v>493</v>
      </c>
      <c r="B77" s="55" t="str">
        <f ca="1">IFERROR(__xludf.DUMMYFUNCTION("""COMPUTED_VALUE"""),"Sungelrock")</f>
        <v>Sungelrock</v>
      </c>
      <c r="C77" s="55" t="str">
        <f ca="1">IFERROR(__xludf.DUMMYFUNCTION("""COMPUTED_VALUE"""),"Swanhall")</f>
        <v>Swanhall</v>
      </c>
      <c r="D77" s="55" t="str">
        <f ca="1">IFERROR(__xludf.DUMMYFUNCTION("""COMPUTED_VALUE"""),"Swanhall Province")</f>
        <v>Swanhall Province</v>
      </c>
      <c r="E77" s="55" t="str">
        <f ca="1">IFERROR(__xludf.DUMMYFUNCTION("""COMPUTED_VALUE"""),"Shavia")</f>
        <v>Shavia</v>
      </c>
      <c r="F77" s="55" t="str">
        <f ca="1">IFERROR(__xludf.DUMMYFUNCTION("""COMPUTED_VALUE"""),"Kingdom of Shavia")</f>
        <v>Kingdom of Shavia</v>
      </c>
      <c r="G77" s="55" t="str">
        <f ca="1">IFERROR(__xludf.DUMMYFUNCTION("""COMPUTED_VALUE"""),"Eastern Shavian")</f>
        <v>Eastern Shavian</v>
      </c>
      <c r="H77" s="55" t="str">
        <f ca="1">IFERROR(__xludf.DUMMYFUNCTION("""COMPUTED_VALUE"""),"Path of Guiding Light")</f>
        <v>Path of Guiding Light</v>
      </c>
      <c r="I77" s="55">
        <f ca="1">IFERROR(__xludf.DUMMYFUNCTION("""COMPUTED_VALUE"""),17058)</f>
        <v>17058</v>
      </c>
      <c r="J77" s="55">
        <f ca="1">IFERROR(__xludf.DUMMYFUNCTION("""COMPUTED_VALUE"""),1091.56238785471)</f>
        <v>1091.5623878547101</v>
      </c>
      <c r="K77" s="55">
        <f ca="1">IFERROR(__xludf.DUMMYFUNCTION("""COMPUTED_VALUE"""),710.738304805659)</f>
        <v>710.73830480565903</v>
      </c>
      <c r="L77" s="55">
        <f ca="1">IFERROR(__xludf.DUMMYFUNCTION("""COMPUTED_VALUE"""),-30.11)</f>
        <v>-30.11</v>
      </c>
      <c r="M77" s="55">
        <f ca="1">IFERROR(__xludf.DUMMYFUNCTION("""COMPUTED_VALUE"""),10.26)</f>
        <v>10.26</v>
      </c>
      <c r="N77" s="55">
        <f ca="1">IFERROR(__xludf.DUMMYFUNCTION("""COMPUTED_VALUE"""),266)</f>
        <v>266</v>
      </c>
      <c r="O77" s="55" t="str">
        <f ca="1">IFERROR(__xludf.DUMMYFUNCTION("""COMPUTED_VALUE"""),"41°F")</f>
        <v>41°F</v>
      </c>
      <c r="P77" s="55" t="str">
        <f ca="1">IFERROR(__xludf.DUMMYFUNCTION("""COMPUTED_VALUE"""),"Riga")</f>
        <v>Riga</v>
      </c>
      <c r="Q77" s="55" t="str">
        <f ca="1">IFERROR(__xludf.DUMMYFUNCTION("""COMPUTED_VALUE"""),"")</f>
        <v/>
      </c>
      <c r="R77" s="55" t="str">
        <f ca="1">IFERROR(__xludf.DUMMYFUNCTION("""COMPUTED_VALUE"""),"")</f>
        <v/>
      </c>
      <c r="S77" s="55" t="str">
        <f ca="1">IFERROR(__xludf.DUMMYFUNCTION("""COMPUTED_VALUE"""),"citadel")</f>
        <v>citadel</v>
      </c>
      <c r="T77" s="55" t="str">
        <f ca="1">IFERROR(__xludf.DUMMYFUNCTION("""COMPUTED_VALUE"""),"")</f>
        <v/>
      </c>
      <c r="U77" s="55" t="str">
        <f ca="1">IFERROR(__xludf.DUMMYFUNCTION("""COMPUTED_VALUE"""),"")</f>
        <v/>
      </c>
      <c r="V77" s="189" t="str">
        <f ca="1">IFERROR(__xludf.DUMMYFUNCTION("""COMPUTED_VALUE"""),"")</f>
        <v/>
      </c>
      <c r="W77" s="189" t="str">
        <f ca="1">IFERROR(__xludf.DUMMYFUNCTION("""COMPUTED_VALUE"""),"")</f>
        <v/>
      </c>
      <c r="X77" s="189" t="str">
        <f ca="1">IFERROR(__xludf.DUMMYFUNCTION("""COMPUTED_VALUE"""),"{t1:or;ordinaries:[{ordinary:cross;t:gules;line:wavy}];charges:[{charge:tower;t:or;p:behdf;size:0.3}];shield:horsehead2}")</f>
        <v>{t1:or;ordinaries:[{ordinary:cross;t:gules;line:wavy}];charges:[{charge:tower;t:or;p:behdf;size:0.3}];shield:horsehead2}</v>
      </c>
      <c r="Y77" s="193" t="str">
        <f ca="1">IFERROR(__xludf.DUMMYFUNCTION("""COMPUTED_VALUE"""),"https://watabou.github.io/city-generator/?name=Sungelrock&amp;population=17058&amp;size=38&amp;seed=3550748350493&amp;river=1&amp;coast=0&amp;farms=1&amp;citadel=1&amp;urban_castle=0&amp;hub=false&amp;plaza=0&amp;temple=0&amp;walls=0&amp;shantytown=0&amp;gates=-1")</f>
        <v>https://watabou.github.io/city-generator/?name=Sungelrock&amp;population=17058&amp;size=38&amp;seed=3550748350493&amp;river=1&amp;coast=0&amp;farms=1&amp;citadel=1&amp;urban_castle=0&amp;hub=false&amp;plaza=0&amp;temple=0&amp;walls=0&amp;shantytown=0&amp;gates=-1</v>
      </c>
      <c r="Z77" s="189"/>
    </row>
    <row r="78" spans="1:26" ht="15" x14ac:dyDescent="0.25">
      <c r="A78" s="55">
        <f ca="1">IFERROR(__xludf.DUMMYFUNCTION("""COMPUTED_VALUE"""),494)</f>
        <v>494</v>
      </c>
      <c r="B78" s="55" t="str">
        <f ca="1">IFERROR(__xludf.DUMMYFUNCTION("""COMPUTED_VALUE"""),"Mythsplain")</f>
        <v>Mythsplain</v>
      </c>
      <c r="C78" s="55" t="str">
        <f ca="1">IFERROR(__xludf.DUMMYFUNCTION("""COMPUTED_VALUE"""),"Swanhall")</f>
        <v>Swanhall</v>
      </c>
      <c r="D78" s="55" t="str">
        <f ca="1">IFERROR(__xludf.DUMMYFUNCTION("""COMPUTED_VALUE"""),"Swanhall Province")</f>
        <v>Swanhall Province</v>
      </c>
      <c r="E78" s="55" t="str">
        <f ca="1">IFERROR(__xludf.DUMMYFUNCTION("""COMPUTED_VALUE"""),"Shavia")</f>
        <v>Shavia</v>
      </c>
      <c r="F78" s="55" t="str">
        <f ca="1">IFERROR(__xludf.DUMMYFUNCTION("""COMPUTED_VALUE"""),"Kingdom of Shavia")</f>
        <v>Kingdom of Shavia</v>
      </c>
      <c r="G78" s="55" t="str">
        <f ca="1">IFERROR(__xludf.DUMMYFUNCTION("""COMPUTED_VALUE"""),"Shavian")</f>
        <v>Shavian</v>
      </c>
      <c r="H78" s="55" t="str">
        <f ca="1">IFERROR(__xludf.DUMMYFUNCTION("""COMPUTED_VALUE"""),"Path of Guiding Light")</f>
        <v>Path of Guiding Light</v>
      </c>
      <c r="I78" s="55">
        <f ca="1">IFERROR(__xludf.DUMMYFUNCTION("""COMPUTED_VALUE"""),17983)</f>
        <v>17983</v>
      </c>
      <c r="J78" s="55">
        <f ca="1">IFERROR(__xludf.DUMMYFUNCTION("""COMPUTED_VALUE"""),906.539048466773)</f>
        <v>906.53904846677301</v>
      </c>
      <c r="K78" s="55">
        <f ca="1">IFERROR(__xludf.DUMMYFUNCTION("""COMPUTED_VALUE"""),930.209031457364)</f>
        <v>930.20903145736395</v>
      </c>
      <c r="L78" s="55">
        <f ca="1">IFERROR(__xludf.DUMMYFUNCTION("""COMPUTED_VALUE"""),-37.22)</f>
        <v>-37.22</v>
      </c>
      <c r="M78" s="55">
        <f ca="1">IFERROR(__xludf.DUMMYFUNCTION("""COMPUTED_VALUE"""),4.28)</f>
        <v>4.28</v>
      </c>
      <c r="N78" s="55">
        <f ca="1">IFERROR(__xludf.DUMMYFUNCTION("""COMPUTED_VALUE"""),52)</f>
        <v>52</v>
      </c>
      <c r="O78" s="55" t="str">
        <f ca="1">IFERROR(__xludf.DUMMYFUNCTION("""COMPUTED_VALUE"""),"37°F")</f>
        <v>37°F</v>
      </c>
      <c r="P78" s="55" t="str">
        <f ca="1">IFERROR(__xludf.DUMMYFUNCTION("""COMPUTED_VALUE"""),"Tromsø")</f>
        <v>Tromsø</v>
      </c>
      <c r="Q78" s="55" t="str">
        <f ca="1">IFERROR(__xludf.DUMMYFUNCTION("""COMPUTED_VALUE"""),"")</f>
        <v/>
      </c>
      <c r="R78" s="55" t="str">
        <f ca="1">IFERROR(__xludf.DUMMYFUNCTION("""COMPUTED_VALUE"""),"")</f>
        <v/>
      </c>
      <c r="S78" s="55" t="str">
        <f ca="1">IFERROR(__xludf.DUMMYFUNCTION("""COMPUTED_VALUE"""),"citadel")</f>
        <v>citadel</v>
      </c>
      <c r="T78" s="55" t="str">
        <f ca="1">IFERROR(__xludf.DUMMYFUNCTION("""COMPUTED_VALUE"""),"")</f>
        <v/>
      </c>
      <c r="U78" s="55" t="str">
        <f ca="1">IFERROR(__xludf.DUMMYFUNCTION("""COMPUTED_VALUE"""),"plaza")</f>
        <v>plaza</v>
      </c>
      <c r="V78" s="189" t="str">
        <f ca="1">IFERROR(__xludf.DUMMYFUNCTION("""COMPUTED_VALUE"""),"")</f>
        <v/>
      </c>
      <c r="W78" s="189" t="str">
        <f ca="1">IFERROR(__xludf.DUMMYFUNCTION("""COMPUTED_VALUE"""),"")</f>
        <v/>
      </c>
      <c r="X78" s="189" t="str">
        <f ca="1">IFERROR(__xludf.DUMMYFUNCTION("""COMPUTED_VALUE"""),"{t1:argent;division:{division:perPale;t:sable;line:straight};charges:[{charge:anvil;t:azure;p:e;divided:counter;size:1.5}];shield:horsehead2}")</f>
        <v>{t1:argent;division:{division:perPale;t:sable;line:straight};charges:[{charge:anvil;t:azure;p:e;divided:counter;size:1.5}];shield:horsehead2}</v>
      </c>
      <c r="Y78" s="193" t="str">
        <f ca="1">IFERROR(__xludf.DUMMYFUNCTION("""COMPUTED_VALUE"""),"https://watabou.github.io/city-generator/?name=Mythsplain&amp;population=17983&amp;size=39&amp;seed=3550748350494&amp;river=0&amp;coast=0&amp;farms=0&amp;citadel=1&amp;urban_castle=1&amp;hub=false&amp;plaza=1&amp;temple=0&amp;walls=0&amp;shantytown=0&amp;gates=-1")</f>
        <v>https://watabou.github.io/city-generator/?name=Mythsplain&amp;population=17983&amp;size=39&amp;seed=3550748350494&amp;river=0&amp;coast=0&amp;farms=0&amp;citadel=1&amp;urban_castle=1&amp;hub=false&amp;plaza=1&amp;temple=0&amp;walls=0&amp;shantytown=0&amp;gates=-1</v>
      </c>
      <c r="Z78" s="189"/>
    </row>
    <row r="79" spans="1:26" ht="15" x14ac:dyDescent="0.25">
      <c r="A79" s="55">
        <f ca="1">IFERROR(__xludf.DUMMYFUNCTION("""COMPUTED_VALUE"""),504)</f>
        <v>504</v>
      </c>
      <c r="B79" s="55" t="str">
        <f ca="1">IFERROR(__xludf.DUMMYFUNCTION("""COMPUTED_VALUE"""),"Houndreach")</f>
        <v>Houndreach</v>
      </c>
      <c r="C79" s="55" t="str">
        <f ca="1">IFERROR(__xludf.DUMMYFUNCTION("""COMPUTED_VALUE"""),"Swanhall")</f>
        <v>Swanhall</v>
      </c>
      <c r="D79" s="55" t="str">
        <f ca="1">IFERROR(__xludf.DUMMYFUNCTION("""COMPUTED_VALUE"""),"Swanhall Province")</f>
        <v>Swanhall Province</v>
      </c>
      <c r="E79" s="55" t="str">
        <f ca="1">IFERROR(__xludf.DUMMYFUNCTION("""COMPUTED_VALUE"""),"Shavia")</f>
        <v>Shavia</v>
      </c>
      <c r="F79" s="55" t="str">
        <f ca="1">IFERROR(__xludf.DUMMYFUNCTION("""COMPUTED_VALUE"""),"Kingdom of Shavia")</f>
        <v>Kingdom of Shavia</v>
      </c>
      <c r="G79" s="55" t="str">
        <f ca="1">IFERROR(__xludf.DUMMYFUNCTION("""COMPUTED_VALUE"""),"Shavian")</f>
        <v>Shavian</v>
      </c>
      <c r="H79" s="55" t="str">
        <f ca="1">IFERROR(__xludf.DUMMYFUNCTION("""COMPUTED_VALUE"""),"Path of Guiding Light")</f>
        <v>Path of Guiding Light</v>
      </c>
      <c r="I79" s="55">
        <f ca="1">IFERROR(__xludf.DUMMYFUNCTION("""COMPUTED_VALUE"""),3698)</f>
        <v>3698</v>
      </c>
      <c r="J79" s="55">
        <f ca="1">IFERROR(__xludf.DUMMYFUNCTION("""COMPUTED_VALUE"""),879)</f>
        <v>879</v>
      </c>
      <c r="K79" s="55">
        <f ca="1">IFERROR(__xludf.DUMMYFUNCTION("""COMPUTED_VALUE"""),824)</f>
        <v>824</v>
      </c>
      <c r="L79" s="55">
        <f ca="1">IFERROR(__xludf.DUMMYFUNCTION("""COMPUTED_VALUE"""),-33.78)</f>
        <v>-33.78</v>
      </c>
      <c r="M79" s="55">
        <f ca="1">IFERROR(__xludf.DUMMYFUNCTION("""COMPUTED_VALUE"""),3.39)</f>
        <v>3.39</v>
      </c>
      <c r="N79" s="55">
        <f ca="1">IFERROR(__xludf.DUMMYFUNCTION("""COMPUTED_VALUE"""),82)</f>
        <v>82</v>
      </c>
      <c r="O79" s="55" t="str">
        <f ca="1">IFERROR(__xludf.DUMMYFUNCTION("""COMPUTED_VALUE"""),"41°F")</f>
        <v>41°F</v>
      </c>
      <c r="P79" s="55" t="str">
        <f ca="1">IFERROR(__xludf.DUMMYFUNCTION("""COMPUTED_VALUE"""),"Riga")</f>
        <v>Riga</v>
      </c>
      <c r="Q79" s="55" t="str">
        <f ca="1">IFERROR(__xludf.DUMMYFUNCTION("""COMPUTED_VALUE"""),"")</f>
        <v/>
      </c>
      <c r="R79" s="55" t="str">
        <f ca="1">IFERROR(__xludf.DUMMYFUNCTION("""COMPUTED_VALUE"""),"port")</f>
        <v>port</v>
      </c>
      <c r="S79" s="55" t="str">
        <f ca="1">IFERROR(__xludf.DUMMYFUNCTION("""COMPUTED_VALUE"""),"citadel")</f>
        <v>citadel</v>
      </c>
      <c r="T79" s="55" t="str">
        <f ca="1">IFERROR(__xludf.DUMMYFUNCTION("""COMPUTED_VALUE"""),"")</f>
        <v/>
      </c>
      <c r="U79" s="55" t="str">
        <f ca="1">IFERROR(__xludf.DUMMYFUNCTION("""COMPUTED_VALUE"""),"")</f>
        <v/>
      </c>
      <c r="V79" s="189" t="str">
        <f ca="1">IFERROR(__xludf.DUMMYFUNCTION("""COMPUTED_VALUE"""),"")</f>
        <v/>
      </c>
      <c r="W79" s="189" t="str">
        <f ca="1">IFERROR(__xludf.DUMMYFUNCTION("""COMPUTED_VALUE"""),"")</f>
        <v/>
      </c>
      <c r="X79" s="189" t="str">
        <f ca="1">IFERROR(__xludf.DUMMYFUNCTION("""COMPUTED_VALUE"""),"{t1:potentEnPointe-azure-or;division:{division:perFess;t:argent;line:straight};ordinaries:[{ordinary:fess;t:gules;line:straight}];shield:horsehead2}")</f>
        <v>{t1:potentEnPointe-azure-or;division:{division:perFess;t:argent;line:straight};ordinaries:[{ordinary:fess;t:gules;line:straight}];shield:horsehead2}</v>
      </c>
      <c r="Y79" s="193" t="str">
        <f ca="1">IFERROR(__xludf.DUMMYFUNCTION("""COMPUTED_VALUE"""),"https://watabou.github.io/city-generator/?name=Houndreach&amp;population=3698&amp;size=21&amp;seed=3550748350504&amp;river=0&amp;coast=1&amp;farms=1&amp;citadel=1&amp;urban_castle=1&amp;hub=false&amp;plaza=0&amp;temple=0&amp;walls=0&amp;shantytown=0&amp;gates=-1&amp;sea=0.12")</f>
        <v>https://watabou.github.io/city-generator/?name=Houndreach&amp;population=3698&amp;size=21&amp;seed=3550748350504&amp;river=0&amp;coast=1&amp;farms=1&amp;citadel=1&amp;urban_castle=1&amp;hub=false&amp;plaza=0&amp;temple=0&amp;walls=0&amp;shantytown=0&amp;gates=-1&amp;sea=0.12</v>
      </c>
      <c r="Z79" s="189"/>
    </row>
    <row r="80" spans="1:26" ht="15" x14ac:dyDescent="0.25">
      <c r="A80" s="55">
        <f ca="1">IFERROR(__xludf.DUMMYFUNCTION("""COMPUTED_VALUE"""),522)</f>
        <v>522</v>
      </c>
      <c r="B80" s="55" t="str">
        <f ca="1">IFERROR(__xludf.DUMMYFUNCTION("""COMPUTED_VALUE"""),"Stagcoastle")</f>
        <v>Stagcoastle</v>
      </c>
      <c r="C80" s="55" t="str">
        <f ca="1">IFERROR(__xludf.DUMMYFUNCTION("""COMPUTED_VALUE"""),"Swanhall")</f>
        <v>Swanhall</v>
      </c>
      <c r="D80" s="55" t="str">
        <f ca="1">IFERROR(__xludf.DUMMYFUNCTION("""COMPUTED_VALUE"""),"Swanhall Province")</f>
        <v>Swanhall Province</v>
      </c>
      <c r="E80" s="55" t="str">
        <f ca="1">IFERROR(__xludf.DUMMYFUNCTION("""COMPUTED_VALUE"""),"Shavia")</f>
        <v>Shavia</v>
      </c>
      <c r="F80" s="55" t="str">
        <f ca="1">IFERROR(__xludf.DUMMYFUNCTION("""COMPUTED_VALUE"""),"Kingdom of Shavia")</f>
        <v>Kingdom of Shavia</v>
      </c>
      <c r="G80" s="55" t="str">
        <f ca="1">IFERROR(__xludf.DUMMYFUNCTION("""COMPUTED_VALUE"""),"Shavian")</f>
        <v>Shavian</v>
      </c>
      <c r="H80" s="55" t="str">
        <f ca="1">IFERROR(__xludf.DUMMYFUNCTION("""COMPUTED_VALUE"""),"Path of Guiding Light")</f>
        <v>Path of Guiding Light</v>
      </c>
      <c r="I80" s="55">
        <f ca="1">IFERROR(__xludf.DUMMYFUNCTION("""COMPUTED_VALUE"""),1974)</f>
        <v>1974</v>
      </c>
      <c r="J80" s="55">
        <f ca="1">IFERROR(__xludf.DUMMYFUNCTION("""COMPUTED_VALUE"""),741.17212779997)</f>
        <v>741.17212779996999</v>
      </c>
      <c r="K80" s="55">
        <f ca="1">IFERROR(__xludf.DUMMYFUNCTION("""COMPUTED_VALUE"""),812.15374832628)</f>
        <v>812.15374832628004</v>
      </c>
      <c r="L80" s="55">
        <f ca="1">IFERROR(__xludf.DUMMYFUNCTION("""COMPUTED_VALUE"""),-33.4)</f>
        <v>-33.4</v>
      </c>
      <c r="M80" s="55">
        <f ca="1">IFERROR(__xludf.DUMMYFUNCTION("""COMPUTED_VALUE"""),-1.06)</f>
        <v>-1.06</v>
      </c>
      <c r="N80" s="55">
        <f ca="1">IFERROR(__xludf.DUMMYFUNCTION("""COMPUTED_VALUE"""),840)</f>
        <v>840</v>
      </c>
      <c r="O80" s="55" t="str">
        <f ca="1">IFERROR(__xludf.DUMMYFUNCTION("""COMPUTED_VALUE"""),"39°F")</f>
        <v>39°F</v>
      </c>
      <c r="P80" s="55" t="str">
        <f ca="1">IFERROR(__xludf.DUMMYFUNCTION("""COMPUTED_VALUE"""),"Reykjavik")</f>
        <v>Reykjavik</v>
      </c>
      <c r="Q80" s="55" t="str">
        <f ca="1">IFERROR(__xludf.DUMMYFUNCTION("""COMPUTED_VALUE"""),"")</f>
        <v/>
      </c>
      <c r="R80" s="55" t="str">
        <f ca="1">IFERROR(__xludf.DUMMYFUNCTION("""COMPUTED_VALUE"""),"")</f>
        <v/>
      </c>
      <c r="S80" s="55" t="str">
        <f ca="1">IFERROR(__xludf.DUMMYFUNCTION("""COMPUTED_VALUE"""),"")</f>
        <v/>
      </c>
      <c r="T80" s="55" t="str">
        <f ca="1">IFERROR(__xludf.DUMMYFUNCTION("""COMPUTED_VALUE"""),"")</f>
        <v/>
      </c>
      <c r="U80" s="55" t="str">
        <f ca="1">IFERROR(__xludf.DUMMYFUNCTION("""COMPUTED_VALUE"""),"plaza")</f>
        <v>plaza</v>
      </c>
      <c r="V80" s="189" t="str">
        <f ca="1">IFERROR(__xludf.DUMMYFUNCTION("""COMPUTED_VALUE"""),"")</f>
        <v/>
      </c>
      <c r="W80" s="189" t="str">
        <f ca="1">IFERROR(__xludf.DUMMYFUNCTION("""COMPUTED_VALUE"""),"")</f>
        <v/>
      </c>
      <c r="X80" s="189" t="str">
        <f ca="1">IFERROR(__xludf.DUMMYFUNCTION("""COMPUTED_VALUE"""),"{t1:azure;division:{division:perPale;t:argent;line:nebuly};charges:[{charge:crosslet;t:or;p:p;size:0.7};{charge:griffinRampant;t:vert;p:q;size:0.7}];shield:horsehead2}")</f>
        <v>{t1:azure;division:{division:perPale;t:argent;line:nebuly};charges:[{charge:crosslet;t:or;p:p;size:0.7};{charge:griffinRampant;t:vert;p:q;size:0.7}];shield:horsehead2}</v>
      </c>
      <c r="Y80" s="193" t="str">
        <f ca="1">IFERROR(__xludf.DUMMYFUNCTION("""COMPUTED_VALUE"""),"https://watabou.github.io/village-generator/?pop=1974&amp;name=&amp;seed=3550748350522&amp;width=1600&amp;height=727&amp;tags=dead+end%2Cuncultivated%2Cdense")</f>
        <v>https://watabou.github.io/village-generator/?pop=1974&amp;name=&amp;seed=3550748350522&amp;width=1600&amp;height=727&amp;tags=dead+end%2Cuncultivated%2Cdense</v>
      </c>
      <c r="Z80" s="189"/>
    </row>
    <row r="81" spans="1:26" ht="15" x14ac:dyDescent="0.25">
      <c r="A81" s="55">
        <f ca="1">IFERROR(__xludf.DUMMYFUNCTION("""COMPUTED_VALUE"""),536)</f>
        <v>536</v>
      </c>
      <c r="B81" s="55" t="str">
        <f ca="1">IFERROR(__xludf.DUMMYFUNCTION("""COMPUTED_VALUE"""),"Raterehall")</f>
        <v>Raterehall</v>
      </c>
      <c r="C81" s="55" t="str">
        <f ca="1">IFERROR(__xludf.DUMMYFUNCTION("""COMPUTED_VALUE"""),"Ralim")</f>
        <v>Ralim</v>
      </c>
      <c r="D81" s="55" t="str">
        <f ca="1">IFERROR(__xludf.DUMMYFUNCTION("""COMPUTED_VALUE"""),"Ralim Province")</f>
        <v>Ralim Province</v>
      </c>
      <c r="E81" s="55" t="str">
        <f ca="1">IFERROR(__xludf.DUMMYFUNCTION("""COMPUTED_VALUE"""),"Shavia")</f>
        <v>Shavia</v>
      </c>
      <c r="F81" s="55" t="str">
        <f ca="1">IFERROR(__xludf.DUMMYFUNCTION("""COMPUTED_VALUE"""),"Kingdom of Shavia")</f>
        <v>Kingdom of Shavia</v>
      </c>
      <c r="G81" s="55" t="str">
        <f ca="1">IFERROR(__xludf.DUMMYFUNCTION("""COMPUTED_VALUE"""),"Shavian")</f>
        <v>Shavian</v>
      </c>
      <c r="H81" s="55" t="str">
        <f ca="1">IFERROR(__xludf.DUMMYFUNCTION("""COMPUTED_VALUE"""),"Path of Guiding Light")</f>
        <v>Path of Guiding Light</v>
      </c>
      <c r="I81" s="55">
        <f ca="1">IFERROR(__xludf.DUMMYFUNCTION("""COMPUTED_VALUE"""),2083)</f>
        <v>2083</v>
      </c>
      <c r="J81" s="55">
        <f ca="1">IFERROR(__xludf.DUMMYFUNCTION("""COMPUTED_VALUE"""),261.769590812168)</f>
        <v>261.76959081216802</v>
      </c>
      <c r="K81" s="55">
        <f ca="1">IFERROR(__xludf.DUMMYFUNCTION("""COMPUTED_VALUE"""),594.142656728124)</f>
        <v>594.14265672812405</v>
      </c>
      <c r="L81" s="55">
        <f ca="1">IFERROR(__xludf.DUMMYFUNCTION("""COMPUTED_VALUE"""),-26.34)</f>
        <v>-26.34</v>
      </c>
      <c r="M81" s="55">
        <f ca="1">IFERROR(__xludf.DUMMYFUNCTION("""COMPUTED_VALUE"""),-16.54)</f>
        <v>-16.54</v>
      </c>
      <c r="N81" s="55">
        <f ca="1">IFERROR(__xludf.DUMMYFUNCTION("""COMPUTED_VALUE"""),266)</f>
        <v>266</v>
      </c>
      <c r="O81" s="55" t="str">
        <f ca="1">IFERROR(__xludf.DUMMYFUNCTION("""COMPUTED_VALUE"""),"46°F")</f>
        <v>46°F</v>
      </c>
      <c r="P81" s="55" t="str">
        <f ca="1">IFERROR(__xludf.DUMMYFUNCTION("""COMPUTED_VALUE"""),"Prague")</f>
        <v>Prague</v>
      </c>
      <c r="Q81" s="55" t="str">
        <f ca="1">IFERROR(__xludf.DUMMYFUNCTION("""COMPUTED_VALUE"""),"")</f>
        <v/>
      </c>
      <c r="R81" s="55" t="str">
        <f ca="1">IFERROR(__xludf.DUMMYFUNCTION("""COMPUTED_VALUE"""),"")</f>
        <v/>
      </c>
      <c r="S81" s="55" t="str">
        <f ca="1">IFERROR(__xludf.DUMMYFUNCTION("""COMPUTED_VALUE"""),"citadel")</f>
        <v>citadel</v>
      </c>
      <c r="T81" s="55" t="str">
        <f ca="1">IFERROR(__xludf.DUMMYFUNCTION("""COMPUTED_VALUE"""),"")</f>
        <v/>
      </c>
      <c r="U81" s="55" t="str">
        <f ca="1">IFERROR(__xludf.DUMMYFUNCTION("""COMPUTED_VALUE"""),"")</f>
        <v/>
      </c>
      <c r="V81" s="189" t="str">
        <f ca="1">IFERROR(__xludf.DUMMYFUNCTION("""COMPUTED_VALUE"""),"")</f>
        <v/>
      </c>
      <c r="W81" s="189" t="str">
        <f ca="1">IFERROR(__xludf.DUMMYFUNCTION("""COMPUTED_VALUE"""),"")</f>
        <v/>
      </c>
      <c r="X81" s="189" t="str">
        <f ca="1">IFERROR(__xludf.DUMMYFUNCTION("""COMPUTED_VALUE"""),"{t1:gules;division:{division:perPile;t:or;line:straight};charges:[{charge:lozengeFaceted;t:argent;p:abc;divided:counter;size:0.4}];shield:fantasy5}")</f>
        <v>{t1:gules;division:{division:perPile;t:or;line:straight};charges:[{charge:lozengeFaceted;t:argent;p:abc;divided:counter;size:0.4}];shield:fantasy5}</v>
      </c>
      <c r="Y81" s="193" t="str">
        <f ca="1">IFERROR(__xludf.DUMMYFUNCTION("""COMPUTED_VALUE"""),"https://watabou.github.io/city-generator/?name=Raterehall&amp;population=2083&amp;size=17&amp;seed=3550748350536&amp;river=0&amp;coast=0&amp;farms=1&amp;citadel=1&amp;urban_castle=1&amp;hub=false&amp;plaza=0&amp;temple=0&amp;walls=0&amp;shantytown=0&amp;gates=-1")</f>
        <v>https://watabou.github.io/city-generator/?name=Raterehall&amp;population=2083&amp;size=17&amp;seed=3550748350536&amp;river=0&amp;coast=0&amp;farms=1&amp;citadel=1&amp;urban_castle=1&amp;hub=false&amp;plaza=0&amp;temple=0&amp;walls=0&amp;shantytown=0&amp;gates=-1</v>
      </c>
      <c r="Z81" s="189"/>
    </row>
    <row r="82" spans="1:26" ht="15" x14ac:dyDescent="0.25">
      <c r="A82" s="55">
        <f ca="1">IFERROR(__xludf.DUMMYFUNCTION("""COMPUTED_VALUE"""),538)</f>
        <v>538</v>
      </c>
      <c r="B82" s="55" t="str">
        <f ca="1">IFERROR(__xludf.DUMMYFUNCTION("""COMPUTED_VALUE"""),"Shadowtown")</f>
        <v>Shadowtown</v>
      </c>
      <c r="C82" s="55" t="str">
        <f ca="1">IFERROR(__xludf.DUMMYFUNCTION("""COMPUTED_VALUE"""),"Ralim")</f>
        <v>Ralim</v>
      </c>
      <c r="D82" s="55" t="str">
        <f ca="1">IFERROR(__xludf.DUMMYFUNCTION("""COMPUTED_VALUE"""),"Ralim Province")</f>
        <v>Ralim Province</v>
      </c>
      <c r="E82" s="55" t="str">
        <f ca="1">IFERROR(__xludf.DUMMYFUNCTION("""COMPUTED_VALUE"""),"Shavia")</f>
        <v>Shavia</v>
      </c>
      <c r="F82" s="55" t="str">
        <f ca="1">IFERROR(__xludf.DUMMYFUNCTION("""COMPUTED_VALUE"""),"Kingdom of Shavia")</f>
        <v>Kingdom of Shavia</v>
      </c>
      <c r="G82" s="55" t="str">
        <f ca="1">IFERROR(__xludf.DUMMYFUNCTION("""COMPUTED_VALUE"""),"Shavian")</f>
        <v>Shavian</v>
      </c>
      <c r="H82" s="55" t="str">
        <f ca="1">IFERROR(__xludf.DUMMYFUNCTION("""COMPUTED_VALUE"""),"Path of Guiding Light")</f>
        <v>Path of Guiding Light</v>
      </c>
      <c r="I82" s="55">
        <f ca="1">IFERROR(__xludf.DUMMYFUNCTION("""COMPUTED_VALUE"""),2159)</f>
        <v>2159</v>
      </c>
      <c r="J82" s="55">
        <f ca="1">IFERROR(__xludf.DUMMYFUNCTION("""COMPUTED_VALUE"""),239.991835813209)</f>
        <v>239.99183581320901</v>
      </c>
      <c r="K82" s="55">
        <f ca="1">IFERROR(__xludf.DUMMYFUNCTION("""COMPUTED_VALUE"""),738.121058410248)</f>
        <v>738.121058410248</v>
      </c>
      <c r="L82" s="55">
        <f ca="1">IFERROR(__xludf.DUMMYFUNCTION("""COMPUTED_VALUE"""),-31)</f>
        <v>-31</v>
      </c>
      <c r="M82" s="55">
        <f ca="1">IFERROR(__xludf.DUMMYFUNCTION("""COMPUTED_VALUE"""),-17.25)</f>
        <v>-17.25</v>
      </c>
      <c r="N82" s="55">
        <f ca="1">IFERROR(__xludf.DUMMYFUNCTION("""COMPUTED_VALUE"""),266)</f>
        <v>266</v>
      </c>
      <c r="O82" s="55" t="str">
        <f ca="1">IFERROR(__xludf.DUMMYFUNCTION("""COMPUTED_VALUE"""),"43°F")</f>
        <v>43°F</v>
      </c>
      <c r="P82" s="55" t="str">
        <f ca="1">IFERROR(__xludf.DUMMYFUNCTION("""COMPUTED_VALUE"""),"Stockholm")</f>
        <v>Stockholm</v>
      </c>
      <c r="Q82" s="55" t="str">
        <f ca="1">IFERROR(__xludf.DUMMYFUNCTION("""COMPUTED_VALUE"""),"")</f>
        <v/>
      </c>
      <c r="R82" s="55" t="str">
        <f ca="1">IFERROR(__xludf.DUMMYFUNCTION("""COMPUTED_VALUE"""),"")</f>
        <v/>
      </c>
      <c r="S82" s="55" t="str">
        <f ca="1">IFERROR(__xludf.DUMMYFUNCTION("""COMPUTED_VALUE"""),"citadel")</f>
        <v>citadel</v>
      </c>
      <c r="T82" s="55" t="str">
        <f ca="1">IFERROR(__xludf.DUMMYFUNCTION("""COMPUTED_VALUE"""),"")</f>
        <v/>
      </c>
      <c r="U82" s="55" t="str">
        <f ca="1">IFERROR(__xludf.DUMMYFUNCTION("""COMPUTED_VALUE"""),"")</f>
        <v/>
      </c>
      <c r="V82" s="189" t="str">
        <f ca="1">IFERROR(__xludf.DUMMYFUNCTION("""COMPUTED_VALUE"""),"")</f>
        <v/>
      </c>
      <c r="W82" s="189" t="str">
        <f ca="1">IFERROR(__xludf.DUMMYFUNCTION("""COMPUTED_VALUE"""),"")</f>
        <v/>
      </c>
      <c r="X82" s="189" t="str">
        <f ca="1">IFERROR(__xludf.DUMMYFUNCTION("""COMPUTED_VALUE"""),"{t1:argent;charges:[{charge:bullPassant;t:azure;p:e;size:1.5}];shield:fantasy5}")</f>
        <v>{t1:argent;charges:[{charge:bullPassant;t:azure;p:e;size:1.5}];shield:fantasy5}</v>
      </c>
      <c r="Y82" s="193" t="str">
        <f ca="1">IFERROR(__xludf.DUMMYFUNCTION("""COMPUTED_VALUE"""),"https://watabou.github.io/city-generator/?name=Shadowtown&amp;population=2159&amp;size=17&amp;seed=3550748350538&amp;river=0&amp;coast=0&amp;farms=1&amp;citadel=1&amp;urban_castle=1&amp;hub=false&amp;plaza=0&amp;temple=0&amp;walls=0&amp;shantytown=0&amp;gates=-1")</f>
        <v>https://watabou.github.io/city-generator/?name=Shadowtown&amp;population=2159&amp;size=17&amp;seed=3550748350538&amp;river=0&amp;coast=0&amp;farms=1&amp;citadel=1&amp;urban_castle=1&amp;hub=false&amp;plaza=0&amp;temple=0&amp;walls=0&amp;shantytown=0&amp;gates=-1</v>
      </c>
      <c r="Z82" s="189"/>
    </row>
    <row r="83" spans="1:26" ht="15" x14ac:dyDescent="0.25">
      <c r="A83" s="55">
        <f ca="1">IFERROR(__xludf.DUMMYFUNCTION("""COMPUTED_VALUE"""),541)</f>
        <v>541</v>
      </c>
      <c r="B83" s="55" t="str">
        <f ca="1">IFERROR(__xludf.DUMMYFUNCTION("""COMPUTED_VALUE"""),"Swangeld")</f>
        <v>Swangeld</v>
      </c>
      <c r="C83" s="55" t="str">
        <f ca="1">IFERROR(__xludf.DUMMYFUNCTION("""COMPUTED_VALUE"""),"Dreghold")</f>
        <v>Dreghold</v>
      </c>
      <c r="D83" s="55" t="str">
        <f ca="1">IFERROR(__xludf.DUMMYFUNCTION("""COMPUTED_VALUE"""),"Dreghold Province")</f>
        <v>Dreghold Province</v>
      </c>
      <c r="E83" s="55" t="str">
        <f ca="1">IFERROR(__xludf.DUMMYFUNCTION("""COMPUTED_VALUE"""),"Shavia")</f>
        <v>Shavia</v>
      </c>
      <c r="F83" s="55" t="str">
        <f ca="1">IFERROR(__xludf.DUMMYFUNCTION("""COMPUTED_VALUE"""),"Kingdom of Shavia")</f>
        <v>Kingdom of Shavia</v>
      </c>
      <c r="G83" s="55" t="str">
        <f ca="1">IFERROR(__xludf.DUMMYFUNCTION("""COMPUTED_VALUE"""),"Shavian")</f>
        <v>Shavian</v>
      </c>
      <c r="H83" s="55" t="str">
        <f ca="1">IFERROR(__xludf.DUMMYFUNCTION("""COMPUTED_VALUE"""),"Path of Guiding Light")</f>
        <v>Path of Guiding Light</v>
      </c>
      <c r="I83" s="55">
        <f ca="1">IFERROR(__xludf.DUMMYFUNCTION("""COMPUTED_VALUE"""),13762)</f>
        <v>13762</v>
      </c>
      <c r="J83" s="55">
        <f ca="1">IFERROR(__xludf.DUMMYFUNCTION("""COMPUTED_VALUE"""),598.011121747834)</f>
        <v>598.01112174783395</v>
      </c>
      <c r="K83" s="55">
        <f ca="1">IFERROR(__xludf.DUMMYFUNCTION("""COMPUTED_VALUE"""),819.296229188315)</f>
        <v>819.29622918831501</v>
      </c>
      <c r="L83" s="55">
        <f ca="1">IFERROR(__xludf.DUMMYFUNCTION("""COMPUTED_VALUE"""),-33.63)</f>
        <v>-33.630000000000003</v>
      </c>
      <c r="M83" s="55">
        <f ca="1">IFERROR(__xludf.DUMMYFUNCTION("""COMPUTED_VALUE"""),-5.68)</f>
        <v>-5.68</v>
      </c>
      <c r="N83" s="55">
        <f ca="1">IFERROR(__xludf.DUMMYFUNCTION("""COMPUTED_VALUE"""),161)</f>
        <v>161</v>
      </c>
      <c r="O83" s="55" t="str">
        <f ca="1">IFERROR(__xludf.DUMMYFUNCTION("""COMPUTED_VALUE"""),"41°F")</f>
        <v>41°F</v>
      </c>
      <c r="P83" s="55" t="str">
        <f ca="1">IFERROR(__xludf.DUMMYFUNCTION("""COMPUTED_VALUE"""),"Riga")</f>
        <v>Riga</v>
      </c>
      <c r="Q83" s="55" t="str">
        <f ca="1">IFERROR(__xludf.DUMMYFUNCTION("""COMPUTED_VALUE"""),"")</f>
        <v/>
      </c>
      <c r="R83" s="55" t="str">
        <f ca="1">IFERROR(__xludf.DUMMYFUNCTION("""COMPUTED_VALUE"""),"")</f>
        <v/>
      </c>
      <c r="S83" s="55" t="str">
        <f ca="1">IFERROR(__xludf.DUMMYFUNCTION("""COMPUTED_VALUE"""),"citadel")</f>
        <v>citadel</v>
      </c>
      <c r="T83" s="55" t="str">
        <f ca="1">IFERROR(__xludf.DUMMYFUNCTION("""COMPUTED_VALUE"""),"walls")</f>
        <v>walls</v>
      </c>
      <c r="U83" s="55" t="str">
        <f ca="1">IFERROR(__xludf.DUMMYFUNCTION("""COMPUTED_VALUE"""),"")</f>
        <v/>
      </c>
      <c r="V83" s="189" t="str">
        <f ca="1">IFERROR(__xludf.DUMMYFUNCTION("""COMPUTED_VALUE"""),"")</f>
        <v/>
      </c>
      <c r="W83" s="189" t="str">
        <f ca="1">IFERROR(__xludf.DUMMYFUNCTION("""COMPUTED_VALUE"""),"")</f>
        <v/>
      </c>
      <c r="X83" s="189" t="str">
        <f ca="1">IFERROR(__xludf.DUMMYFUNCTION("""COMPUTED_VALUE"""),"{t1:azure;charges:[{charge:crossBiparted;t:argent;p:e;size:1.5}];shield:horsehead2}")</f>
        <v>{t1:azure;charges:[{charge:crossBiparted;t:argent;p:e;size:1.5}];shield:horsehead2}</v>
      </c>
      <c r="Y83" s="193" t="str">
        <f ca="1">IFERROR(__xludf.DUMMYFUNCTION("""COMPUTED_VALUE"""),"https://watabou.github.io/city-generator/?name=Swangeld&amp;population=13762&amp;size=35&amp;seed=3550748350541&amp;river=0&amp;coast=0&amp;farms=0&amp;citadel=1&amp;urban_castle=0&amp;hub=false&amp;plaza=0&amp;temple=0&amp;walls=1&amp;shantytown=0&amp;gates=-1")</f>
        <v>https://watabou.github.io/city-generator/?name=Swangeld&amp;population=13762&amp;size=35&amp;seed=3550748350541&amp;river=0&amp;coast=0&amp;farms=0&amp;citadel=1&amp;urban_castle=0&amp;hub=false&amp;plaza=0&amp;temple=0&amp;walls=1&amp;shantytown=0&amp;gates=-1</v>
      </c>
      <c r="Z83" s="189"/>
    </row>
    <row r="84" spans="1:26" ht="15" x14ac:dyDescent="0.25">
      <c r="A84" s="55">
        <f ca="1">IFERROR(__xludf.DUMMYFUNCTION("""COMPUTED_VALUE"""),542)</f>
        <v>542</v>
      </c>
      <c r="B84" s="55" t="str">
        <f ca="1">IFERROR(__xludf.DUMMYFUNCTION("""COMPUTED_VALUE"""),"Roremice")</f>
        <v>Roremice</v>
      </c>
      <c r="C84" s="55" t="str">
        <f ca="1">IFERROR(__xludf.DUMMYFUNCTION("""COMPUTED_VALUE"""),"Swanhall")</f>
        <v>Swanhall</v>
      </c>
      <c r="D84" s="55" t="str">
        <f ca="1">IFERROR(__xludf.DUMMYFUNCTION("""COMPUTED_VALUE"""),"Swanhall Province")</f>
        <v>Swanhall Province</v>
      </c>
      <c r="E84" s="55" t="str">
        <f ca="1">IFERROR(__xludf.DUMMYFUNCTION("""COMPUTED_VALUE"""),"Shavia")</f>
        <v>Shavia</v>
      </c>
      <c r="F84" s="55" t="str">
        <f ca="1">IFERROR(__xludf.DUMMYFUNCTION("""COMPUTED_VALUE"""),"Kingdom of Shavia")</f>
        <v>Kingdom of Shavia</v>
      </c>
      <c r="G84" s="55" t="str">
        <f ca="1">IFERROR(__xludf.DUMMYFUNCTION("""COMPUTED_VALUE"""),"Shavian")</f>
        <v>Shavian</v>
      </c>
      <c r="H84" s="55" t="str">
        <f ca="1">IFERROR(__xludf.DUMMYFUNCTION("""COMPUTED_VALUE"""),"Path of Guiding Light")</f>
        <v>Path of Guiding Light</v>
      </c>
      <c r="I84" s="55">
        <f ca="1">IFERROR(__xludf.DUMMYFUNCTION("""COMPUTED_VALUE"""),10379)</f>
        <v>10379</v>
      </c>
      <c r="J84" s="55">
        <f ca="1">IFERROR(__xludf.DUMMYFUNCTION("""COMPUTED_VALUE"""),991.976353601205)</f>
        <v>991.97635360120501</v>
      </c>
      <c r="K84" s="55">
        <f ca="1">IFERROR(__xludf.DUMMYFUNCTION("""COMPUTED_VALUE"""),858.200368815588)</f>
        <v>858.20036881558804</v>
      </c>
      <c r="L84" s="55">
        <f ca="1">IFERROR(__xludf.DUMMYFUNCTION("""COMPUTED_VALUE"""),-34.89)</f>
        <v>-34.89</v>
      </c>
      <c r="M84" s="55">
        <f ca="1">IFERROR(__xludf.DUMMYFUNCTION("""COMPUTED_VALUE"""),7.04)</f>
        <v>7.04</v>
      </c>
      <c r="N84" s="55">
        <f ca="1">IFERROR(__xludf.DUMMYFUNCTION("""COMPUTED_VALUE"""),82)</f>
        <v>82</v>
      </c>
      <c r="O84" s="55" t="str">
        <f ca="1">IFERROR(__xludf.DUMMYFUNCTION("""COMPUTED_VALUE"""),"39°F")</f>
        <v>39°F</v>
      </c>
      <c r="P84" s="55" t="str">
        <f ca="1">IFERROR(__xludf.DUMMYFUNCTION("""COMPUTED_VALUE"""),"Reykjavik")</f>
        <v>Reykjavik</v>
      </c>
      <c r="Q84" s="55" t="str">
        <f ca="1">IFERROR(__xludf.DUMMYFUNCTION("""COMPUTED_VALUE"""),"")</f>
        <v/>
      </c>
      <c r="R84" s="55" t="str">
        <f ca="1">IFERROR(__xludf.DUMMYFUNCTION("""COMPUTED_VALUE"""),"")</f>
        <v/>
      </c>
      <c r="S84" s="55" t="str">
        <f ca="1">IFERROR(__xludf.DUMMYFUNCTION("""COMPUTED_VALUE"""),"citadel")</f>
        <v>citadel</v>
      </c>
      <c r="T84" s="55" t="str">
        <f ca="1">IFERROR(__xludf.DUMMYFUNCTION("""COMPUTED_VALUE"""),"walls")</f>
        <v>walls</v>
      </c>
      <c r="U84" s="55" t="str">
        <f ca="1">IFERROR(__xludf.DUMMYFUNCTION("""COMPUTED_VALUE"""),"")</f>
        <v/>
      </c>
      <c r="V84" s="189" t="str">
        <f ca="1">IFERROR(__xludf.DUMMYFUNCTION("""COMPUTED_VALUE"""),"")</f>
        <v/>
      </c>
      <c r="W84" s="189" t="str">
        <f ca="1">IFERROR(__xludf.DUMMYFUNCTION("""COMPUTED_VALUE"""),"")</f>
        <v/>
      </c>
      <c r="X84" s="189" t="str">
        <f ca="1">IFERROR(__xludf.DUMMYFUNCTION("""COMPUTED_VALUE"""),"{t1:purpure;division:{division:perCross;t:or;line:straight};charges:[{charge:eagle;t:argent;p:e;divided:counter;size:1.5}];shield:horsehead2}")</f>
        <v>{t1:purpure;division:{division:perCross;t:or;line:straight};charges:[{charge:eagle;t:argent;p:e;divided:counter;size:1.5}];shield:horsehead2}</v>
      </c>
      <c r="Y84" s="193" t="str">
        <f ca="1">IFERROR(__xludf.DUMMYFUNCTION("""COMPUTED_VALUE"""),"https://watabou.github.io/city-generator/?name=Roremice&amp;population=10379&amp;size=31&amp;seed=3550748350542&amp;river=0&amp;coast=0&amp;farms=1&amp;citadel=1&amp;urban_castle=1&amp;hub=false&amp;plaza=0&amp;temple=0&amp;walls=1&amp;shantytown=0&amp;gates=-1")</f>
        <v>https://watabou.github.io/city-generator/?name=Roremice&amp;population=10379&amp;size=31&amp;seed=3550748350542&amp;river=0&amp;coast=0&amp;farms=1&amp;citadel=1&amp;urban_castle=1&amp;hub=false&amp;plaza=0&amp;temple=0&amp;walls=1&amp;shantytown=0&amp;gates=-1</v>
      </c>
      <c r="Z84" s="189"/>
    </row>
    <row r="85" spans="1:26" ht="15" x14ac:dyDescent="0.25">
      <c r="A85" s="55">
        <f ca="1">IFERROR(__xludf.DUMMYFUNCTION("""COMPUTED_VALUE"""),543)</f>
        <v>543</v>
      </c>
      <c r="B85" s="55" t="str">
        <f ca="1">IFERROR(__xludf.DUMMYFUNCTION("""COMPUTED_VALUE"""),"Jaallugausthei")</f>
        <v>Jaallugausthei</v>
      </c>
      <c r="C85" s="55" t="str">
        <f ca="1">IFERROR(__xludf.DUMMYFUNCTION("""COMPUTED_VALUE"""),"Sirong")</f>
        <v>Sirong</v>
      </c>
      <c r="D85" s="55" t="str">
        <f ca="1">IFERROR(__xludf.DUMMYFUNCTION("""COMPUTED_VALUE"""),"Sirong Lordship")</f>
        <v>Sirong Lordship</v>
      </c>
      <c r="E85" s="55" t="str">
        <f ca="1">IFERROR(__xludf.DUMMYFUNCTION("""COMPUTED_VALUE"""),"Shavia")</f>
        <v>Shavia</v>
      </c>
      <c r="F85" s="55" t="str">
        <f ca="1">IFERROR(__xludf.DUMMYFUNCTION("""COMPUTED_VALUE"""),"Kingdom of Shavia")</f>
        <v>Kingdom of Shavia</v>
      </c>
      <c r="G85" s="55" t="str">
        <f ca="1">IFERROR(__xludf.DUMMYFUNCTION("""COMPUTED_VALUE"""),"Aranvers")</f>
        <v>Aranvers</v>
      </c>
      <c r="H85" s="55" t="str">
        <f ca="1">IFERROR(__xludf.DUMMYFUNCTION("""COMPUTED_VALUE"""),"Path of Guiding Light")</f>
        <v>Path of Guiding Light</v>
      </c>
      <c r="I85" s="55">
        <f ca="1">IFERROR(__xludf.DUMMYFUNCTION("""COMPUTED_VALUE"""),25544)</f>
        <v>25544</v>
      </c>
      <c r="J85" s="55">
        <f ca="1">IFERROR(__xludf.DUMMYFUNCTION("""COMPUTED_VALUE"""),402.283791967201)</f>
        <v>402.28379196720101</v>
      </c>
      <c r="K85" s="55">
        <f ca="1">IFERROR(__xludf.DUMMYFUNCTION("""COMPUTED_VALUE"""),892.647756079357)</f>
        <v>892.64775607935701</v>
      </c>
      <c r="L85" s="55">
        <f ca="1">IFERROR(__xludf.DUMMYFUNCTION("""COMPUTED_VALUE"""),-36)</f>
        <v>-36</v>
      </c>
      <c r="M85" s="55">
        <f ca="1">IFERROR(__xludf.DUMMYFUNCTION("""COMPUTED_VALUE"""),-12.01)</f>
        <v>-12.01</v>
      </c>
      <c r="N85" s="55">
        <f ca="1">IFERROR(__xludf.DUMMYFUNCTION("""COMPUTED_VALUE"""),118)</f>
        <v>118</v>
      </c>
      <c r="O85" s="55" t="str">
        <f ca="1">IFERROR(__xludf.DUMMYFUNCTION("""COMPUTED_VALUE"""),"39°F")</f>
        <v>39°F</v>
      </c>
      <c r="P85" s="55" t="str">
        <f ca="1">IFERROR(__xludf.DUMMYFUNCTION("""COMPUTED_VALUE"""),"Reykjavik")</f>
        <v>Reykjavik</v>
      </c>
      <c r="Q85" s="55" t="str">
        <f ca="1">IFERROR(__xludf.DUMMYFUNCTION("""COMPUTED_VALUE"""),"")</f>
        <v/>
      </c>
      <c r="R85" s="55" t="str">
        <f ca="1">IFERROR(__xludf.DUMMYFUNCTION("""COMPUTED_VALUE"""),"")</f>
        <v/>
      </c>
      <c r="S85" s="55" t="str">
        <f ca="1">IFERROR(__xludf.DUMMYFUNCTION("""COMPUTED_VALUE"""),"citadel")</f>
        <v>citadel</v>
      </c>
      <c r="T85" s="55" t="str">
        <f ca="1">IFERROR(__xludf.DUMMYFUNCTION("""COMPUTED_VALUE"""),"walls")</f>
        <v>walls</v>
      </c>
      <c r="U85" s="55" t="str">
        <f ca="1">IFERROR(__xludf.DUMMYFUNCTION("""COMPUTED_VALUE"""),"")</f>
        <v/>
      </c>
      <c r="V85" s="189" t="str">
        <f ca="1">IFERROR(__xludf.DUMMYFUNCTION("""COMPUTED_VALUE"""),"temple")</f>
        <v>temple</v>
      </c>
      <c r="W85" s="189" t="str">
        <f ca="1">IFERROR(__xludf.DUMMYFUNCTION("""COMPUTED_VALUE"""),"shanty town")</f>
        <v>shanty town</v>
      </c>
      <c r="X85" s="189" t="str">
        <f ca="1">IFERROR(__xludf.DUMMYFUNCTION("""COMPUTED_VALUE"""),"{t1:azure;charges:[{charge:anchor;t:argent;p:jln;size:0.7}];shield:hessen}")</f>
        <v>{t1:azure;charges:[{charge:anchor;t:argent;p:jln;size:0.7}];shield:hessen}</v>
      </c>
      <c r="Y85" s="193" t="str">
        <f ca="1">IFERROR(__xludf.DUMMYFUNCTION("""COMPUTED_VALUE"""),"https://watabou.github.io/city-generator/?name=Jaallugausthei&amp;population=25544&amp;size=44&amp;seed=3550748350543&amp;river=0&amp;coast=0&amp;farms=1&amp;citadel=1&amp;urban_castle=0&amp;hub=false&amp;plaza=0&amp;temple=1&amp;walls=1&amp;shantytown=1&amp;gates=-1")</f>
        <v>https://watabou.github.io/city-generator/?name=Jaallugausthei&amp;population=25544&amp;size=44&amp;seed=3550748350543&amp;river=0&amp;coast=0&amp;farms=1&amp;citadel=1&amp;urban_castle=0&amp;hub=false&amp;plaza=0&amp;temple=1&amp;walls=1&amp;shantytown=1&amp;gates=-1</v>
      </c>
      <c r="Z85" s="189"/>
    </row>
    <row r="86" spans="1:26" ht="15" x14ac:dyDescent="0.25">
      <c r="A86" s="55">
        <f ca="1">IFERROR(__xludf.DUMMYFUNCTION("""COMPUTED_VALUE"""),544)</f>
        <v>544</v>
      </c>
      <c r="B86" s="55" t="str">
        <f ca="1">IFERROR(__xludf.DUMMYFUNCTION("""COMPUTED_VALUE"""),"Eldhembenlean")</f>
        <v>Eldhembenlean</v>
      </c>
      <c r="C86" s="55" t="str">
        <f ca="1">IFERROR(__xludf.DUMMYFUNCTION("""COMPUTED_VALUE"""),"Sirong")</f>
        <v>Sirong</v>
      </c>
      <c r="D86" s="55" t="str">
        <f ca="1">IFERROR(__xludf.DUMMYFUNCTION("""COMPUTED_VALUE"""),"Sirong Lordship")</f>
        <v>Sirong Lordship</v>
      </c>
      <c r="E86" s="55" t="str">
        <f ca="1">IFERROR(__xludf.DUMMYFUNCTION("""COMPUTED_VALUE"""),"Shavia")</f>
        <v>Shavia</v>
      </c>
      <c r="F86" s="55" t="str">
        <f ca="1">IFERROR(__xludf.DUMMYFUNCTION("""COMPUTED_VALUE"""),"Kingdom of Shavia")</f>
        <v>Kingdom of Shavia</v>
      </c>
      <c r="G86" s="55" t="str">
        <f ca="1">IFERROR(__xludf.DUMMYFUNCTION("""COMPUTED_VALUE"""),"Aranvers")</f>
        <v>Aranvers</v>
      </c>
      <c r="H86" s="55" t="str">
        <f ca="1">IFERROR(__xludf.DUMMYFUNCTION("""COMPUTED_VALUE"""),"Path of Guiding Light")</f>
        <v>Path of Guiding Light</v>
      </c>
      <c r="I86" s="55">
        <f ca="1">IFERROR(__xludf.DUMMYFUNCTION("""COMPUTED_VALUE"""),12339)</f>
        <v>12339</v>
      </c>
      <c r="J86" s="55">
        <f ca="1">IFERROR(__xludf.DUMMYFUNCTION("""COMPUTED_VALUE"""),293.5)</f>
        <v>293.5</v>
      </c>
      <c r="K86" s="55">
        <f ca="1">IFERROR(__xludf.DUMMYFUNCTION("""COMPUTED_VALUE"""),939)</f>
        <v>939</v>
      </c>
      <c r="L86" s="55">
        <f ca="1">IFERROR(__xludf.DUMMYFUNCTION("""COMPUTED_VALUE"""),-37.51)</f>
        <v>-37.51</v>
      </c>
      <c r="M86" s="55">
        <f ca="1">IFERROR(__xludf.DUMMYFUNCTION("""COMPUTED_VALUE"""),-15.52)</f>
        <v>-15.52</v>
      </c>
      <c r="N86" s="55">
        <f ca="1">IFERROR(__xludf.DUMMYFUNCTION("""COMPUTED_VALUE"""),52)</f>
        <v>52</v>
      </c>
      <c r="O86" s="55" t="str">
        <f ca="1">IFERROR(__xludf.DUMMYFUNCTION("""COMPUTED_VALUE"""),"37°F")</f>
        <v>37°F</v>
      </c>
      <c r="P86" s="55" t="str">
        <f ca="1">IFERROR(__xludf.DUMMYFUNCTION("""COMPUTED_VALUE"""),"Tromsø")</f>
        <v>Tromsø</v>
      </c>
      <c r="Q86" s="55" t="str">
        <f ca="1">IFERROR(__xludf.DUMMYFUNCTION("""COMPUTED_VALUE"""),"")</f>
        <v/>
      </c>
      <c r="R86" s="55" t="str">
        <f ca="1">IFERROR(__xludf.DUMMYFUNCTION("""COMPUTED_VALUE"""),"port")</f>
        <v>port</v>
      </c>
      <c r="S86" s="55" t="str">
        <f ca="1">IFERROR(__xludf.DUMMYFUNCTION("""COMPUTED_VALUE"""),"citadel")</f>
        <v>citadel</v>
      </c>
      <c r="T86" s="55" t="str">
        <f ca="1">IFERROR(__xludf.DUMMYFUNCTION("""COMPUTED_VALUE"""),"")</f>
        <v/>
      </c>
      <c r="U86" s="55" t="str">
        <f ca="1">IFERROR(__xludf.DUMMYFUNCTION("""COMPUTED_VALUE"""),"plaza")</f>
        <v>plaza</v>
      </c>
      <c r="V86" s="189" t="str">
        <f ca="1">IFERROR(__xludf.DUMMYFUNCTION("""COMPUTED_VALUE"""),"")</f>
        <v/>
      </c>
      <c r="W86" s="189" t="str">
        <f ca="1">IFERROR(__xludf.DUMMYFUNCTION("""COMPUTED_VALUE"""),"")</f>
        <v/>
      </c>
      <c r="X86" s="189" t="str">
        <f ca="1">IFERROR(__xludf.DUMMYFUNCTION("""COMPUTED_VALUE"""),"{t1:azure;ordinaries:[{ordinary:fess;t:or;line:dancetty}];charges:[{charge:crossFleury;t:purpure;p:def;size:0.5}];shield:hessen}")</f>
        <v>{t1:azure;ordinaries:[{ordinary:fess;t:or;line:dancetty}];charges:[{charge:crossFleury;t:purpure;p:def;size:0.5}];shield:hessen}</v>
      </c>
      <c r="Y86" s="193" t="str">
        <f ca="1">IFERROR(__xludf.DUMMYFUNCTION("""COMPUTED_VALUE"""),"https://watabou.github.io/city-generator/?name=Eldhembenlean&amp;population=12339&amp;size=34&amp;seed=3550748350544&amp;river=1&amp;coast=1&amp;farms=0&amp;citadel=1&amp;urban_castle=1&amp;hub=false&amp;plaza=1&amp;temple=0&amp;walls=0&amp;shantytown=0&amp;gates=-1&amp;sea=0.71")</f>
        <v>https://watabou.github.io/city-generator/?name=Eldhembenlean&amp;population=12339&amp;size=34&amp;seed=3550748350544&amp;river=1&amp;coast=1&amp;farms=0&amp;citadel=1&amp;urban_castle=1&amp;hub=false&amp;plaza=1&amp;temple=0&amp;walls=0&amp;shantytown=0&amp;gates=-1&amp;sea=0.71</v>
      </c>
      <c r="Z86" s="189"/>
    </row>
    <row r="87" spans="1:26" ht="15" x14ac:dyDescent="0.25">
      <c r="A87" s="55">
        <f ca="1">IFERROR(__xludf.DUMMYFUNCTION("""COMPUTED_VALUE"""),563)</f>
        <v>563</v>
      </c>
      <c r="B87" s="55" t="str">
        <f ca="1">IFERROR(__xludf.DUMMYFUNCTION("""COMPUTED_VALUE"""),"Storewell")</f>
        <v>Storewell</v>
      </c>
      <c r="C87" s="55" t="str">
        <f ca="1">IFERROR(__xludf.DUMMYFUNCTION("""COMPUTED_VALUE"""),"Sirong")</f>
        <v>Sirong</v>
      </c>
      <c r="D87" s="55" t="str">
        <f ca="1">IFERROR(__xludf.DUMMYFUNCTION("""COMPUTED_VALUE"""),"Sirong Lordship")</f>
        <v>Sirong Lordship</v>
      </c>
      <c r="E87" s="55" t="str">
        <f ca="1">IFERROR(__xludf.DUMMYFUNCTION("""COMPUTED_VALUE"""),"Shavia")</f>
        <v>Shavia</v>
      </c>
      <c r="F87" s="55" t="str">
        <f ca="1">IFERROR(__xludf.DUMMYFUNCTION("""COMPUTED_VALUE"""),"Kingdom of Shavia")</f>
        <v>Kingdom of Shavia</v>
      </c>
      <c r="G87" s="55" t="str">
        <f ca="1">IFERROR(__xludf.DUMMYFUNCTION("""COMPUTED_VALUE"""),"Shavian")</f>
        <v>Shavian</v>
      </c>
      <c r="H87" s="55" t="str">
        <f ca="1">IFERROR(__xludf.DUMMYFUNCTION("""COMPUTED_VALUE"""),"Path of Guiding Light")</f>
        <v>Path of Guiding Light</v>
      </c>
      <c r="I87" s="55">
        <f ca="1">IFERROR(__xludf.DUMMYFUNCTION("""COMPUTED_VALUE"""),11612)</f>
        <v>11612</v>
      </c>
      <c r="J87" s="55">
        <f ca="1">IFERROR(__xludf.DUMMYFUNCTION("""COMPUTED_VALUE"""),386.714351396006)</f>
        <v>386.71435139600601</v>
      </c>
      <c r="K87" s="55">
        <f ca="1">IFERROR(__xludf.DUMMYFUNCTION("""COMPUTED_VALUE"""),700.559783032241)</f>
        <v>700.55978303224094</v>
      </c>
      <c r="L87" s="55">
        <f ca="1">IFERROR(__xludf.DUMMYFUNCTION("""COMPUTED_VALUE"""),-29.78)</f>
        <v>-29.78</v>
      </c>
      <c r="M87" s="55">
        <f ca="1">IFERROR(__xludf.DUMMYFUNCTION("""COMPUTED_VALUE"""),-12.51)</f>
        <v>-12.51</v>
      </c>
      <c r="N87" s="55">
        <f ca="1">IFERROR(__xludf.DUMMYFUNCTION("""COMPUTED_VALUE"""),328)</f>
        <v>328</v>
      </c>
      <c r="O87" s="55" t="str">
        <f ca="1">IFERROR(__xludf.DUMMYFUNCTION("""COMPUTED_VALUE"""),"43°F")</f>
        <v>43°F</v>
      </c>
      <c r="P87" s="55" t="str">
        <f ca="1">IFERROR(__xludf.DUMMYFUNCTION("""COMPUTED_VALUE"""),"Stockholm")</f>
        <v>Stockholm</v>
      </c>
      <c r="Q87" s="55" t="str">
        <f ca="1">IFERROR(__xludf.DUMMYFUNCTION("""COMPUTED_VALUE"""),"")</f>
        <v/>
      </c>
      <c r="R87" s="55" t="str">
        <f ca="1">IFERROR(__xludf.DUMMYFUNCTION("""COMPUTED_VALUE"""),"")</f>
        <v/>
      </c>
      <c r="S87" s="55" t="str">
        <f ca="1">IFERROR(__xludf.DUMMYFUNCTION("""COMPUTED_VALUE"""),"")</f>
        <v/>
      </c>
      <c r="T87" s="55" t="str">
        <f ca="1">IFERROR(__xludf.DUMMYFUNCTION("""COMPUTED_VALUE"""),"")</f>
        <v/>
      </c>
      <c r="U87" s="55" t="str">
        <f ca="1">IFERROR(__xludf.DUMMYFUNCTION("""COMPUTED_VALUE"""),"plaza")</f>
        <v>plaza</v>
      </c>
      <c r="V87" s="189" t="str">
        <f ca="1">IFERROR(__xludf.DUMMYFUNCTION("""COMPUTED_VALUE"""),"")</f>
        <v/>
      </c>
      <c r="W87" s="189" t="str">
        <f ca="1">IFERROR(__xludf.DUMMYFUNCTION("""COMPUTED_VALUE"""),"")</f>
        <v/>
      </c>
      <c r="X87" s="189" t="str">
        <f ca="1">IFERROR(__xludf.DUMMYFUNCTION("""COMPUTED_VALUE"""),"{t1:argent;charges:[{charge:goat;t:azure;p:e;size:1.5}];shield:fantasy5}")</f>
        <v>{t1:argent;charges:[{charge:goat;t:azure;p:e;size:1.5}];shield:fantasy5}</v>
      </c>
      <c r="Y87" s="193" t="str">
        <f ca="1">IFERROR(__xludf.DUMMYFUNCTION("""COMPUTED_VALUE"""),"https://watabou.github.io/city-generator/?name=Storewell&amp;population=11612&amp;size=33&amp;seed=3550748350563&amp;river=0&amp;coast=0&amp;farms=1&amp;citadel=0&amp;urban_castle=0&amp;hub=false&amp;plaza=1&amp;temple=0&amp;walls=0&amp;shantytown=0&amp;gates=-1")</f>
        <v>https://watabou.github.io/city-generator/?name=Storewell&amp;population=11612&amp;size=33&amp;seed=3550748350563&amp;river=0&amp;coast=0&amp;farms=1&amp;citadel=0&amp;urban_castle=0&amp;hub=false&amp;plaza=1&amp;temple=0&amp;walls=0&amp;shantytown=0&amp;gates=-1</v>
      </c>
      <c r="Z87" s="189"/>
    </row>
    <row r="88" spans="1:26" ht="15" x14ac:dyDescent="0.25">
      <c r="A88" s="55">
        <f ca="1">IFERROR(__xludf.DUMMYFUNCTION("""COMPUTED_VALUE"""),564)</f>
        <v>564</v>
      </c>
      <c r="B88" s="55" t="str">
        <f ca="1">IFERROR(__xludf.DUMMYFUNCTION("""COMPUTED_VALUE"""),"Steamhorn")</f>
        <v>Steamhorn</v>
      </c>
      <c r="C88" s="55" t="str">
        <f ca="1">IFERROR(__xludf.DUMMYFUNCTION("""COMPUTED_VALUE"""),"Crownlands")</f>
        <v>Crownlands</v>
      </c>
      <c r="D88" s="55" t="str">
        <f ca="1">IFERROR(__xludf.DUMMYFUNCTION("""COMPUTED_VALUE"""),"Uzd Province")</f>
        <v>Uzd Province</v>
      </c>
      <c r="E88" s="55" t="str">
        <f ca="1">IFERROR(__xludf.DUMMYFUNCTION("""COMPUTED_VALUE"""),"Shavia")</f>
        <v>Shavia</v>
      </c>
      <c r="F88" s="55" t="str">
        <f ca="1">IFERROR(__xludf.DUMMYFUNCTION("""COMPUTED_VALUE"""),"Kingdom of Shavia")</f>
        <v>Kingdom of Shavia</v>
      </c>
      <c r="G88" s="55" t="str">
        <f ca="1">IFERROR(__xludf.DUMMYFUNCTION("""COMPUTED_VALUE"""),"Shavian")</f>
        <v>Shavian</v>
      </c>
      <c r="H88" s="55" t="str">
        <f ca="1">IFERROR(__xludf.DUMMYFUNCTION("""COMPUTED_VALUE"""),"Path of Guiding Light")</f>
        <v>Path of Guiding Light</v>
      </c>
      <c r="I88" s="55">
        <f ca="1">IFERROR(__xludf.DUMMYFUNCTION("""COMPUTED_VALUE"""),16032)</f>
        <v>16032</v>
      </c>
      <c r="J88" s="55">
        <f ca="1">IFERROR(__xludf.DUMMYFUNCTION("""COMPUTED_VALUE"""),513.19659423625)</f>
        <v>513.19659423625001</v>
      </c>
      <c r="K88" s="55">
        <f ca="1">IFERROR(__xludf.DUMMYFUNCTION("""COMPUTED_VALUE"""),699.372613188687)</f>
        <v>699.37261318868696</v>
      </c>
      <c r="L88" s="55">
        <f ca="1">IFERROR(__xludf.DUMMYFUNCTION("""COMPUTED_VALUE"""),-29.75)</f>
        <v>-29.75</v>
      </c>
      <c r="M88" s="55">
        <f ca="1">IFERROR(__xludf.DUMMYFUNCTION("""COMPUTED_VALUE"""),-8.42)</f>
        <v>-8.42</v>
      </c>
      <c r="N88" s="55">
        <f ca="1">IFERROR(__xludf.DUMMYFUNCTION("""COMPUTED_VALUE"""),1063)</f>
        <v>1063</v>
      </c>
      <c r="O88" s="55" t="str">
        <f ca="1">IFERROR(__xludf.DUMMYFUNCTION("""COMPUTED_VALUE"""),"39°F")</f>
        <v>39°F</v>
      </c>
      <c r="P88" s="55" t="str">
        <f ca="1">IFERROR(__xludf.DUMMYFUNCTION("""COMPUTED_VALUE"""),"Reykjavik")</f>
        <v>Reykjavik</v>
      </c>
      <c r="Q88" s="55" t="str">
        <f ca="1">IFERROR(__xludf.DUMMYFUNCTION("""COMPUTED_VALUE"""),"")</f>
        <v/>
      </c>
      <c r="R88" s="55" t="str">
        <f ca="1">IFERROR(__xludf.DUMMYFUNCTION("""COMPUTED_VALUE"""),"")</f>
        <v/>
      </c>
      <c r="S88" s="55" t="str">
        <f ca="1">IFERROR(__xludf.DUMMYFUNCTION("""COMPUTED_VALUE"""),"citadel")</f>
        <v>citadel</v>
      </c>
      <c r="T88" s="55" t="str">
        <f ca="1">IFERROR(__xludf.DUMMYFUNCTION("""COMPUTED_VALUE"""),"")</f>
        <v/>
      </c>
      <c r="U88" s="55" t="str">
        <f ca="1">IFERROR(__xludf.DUMMYFUNCTION("""COMPUTED_VALUE"""),"")</f>
        <v/>
      </c>
      <c r="V88" s="189" t="str">
        <f ca="1">IFERROR(__xludf.DUMMYFUNCTION("""COMPUTED_VALUE"""),"")</f>
        <v/>
      </c>
      <c r="W88" s="189" t="str">
        <f ca="1">IFERROR(__xludf.DUMMYFUNCTION("""COMPUTED_VALUE"""),"")</f>
        <v/>
      </c>
      <c r="X88" s="189" t="str">
        <f ca="1">IFERROR(__xludf.DUMMYFUNCTION("""COMPUTED_VALUE"""),"{t1:azure;charges:[{charge:lionRampant;t:or;p:e;size:1.5}];shield:fantasy5}")</f>
        <v>{t1:azure;charges:[{charge:lionRampant;t:or;p:e;size:1.5}];shield:fantasy5}</v>
      </c>
      <c r="Y88" s="193" t="str">
        <f ca="1">IFERROR(__xludf.DUMMYFUNCTION("""COMPUTED_VALUE"""),"https://watabou.github.io/city-generator/?name=Steamhorn&amp;population=16032&amp;size=37&amp;seed=3550748350564&amp;river=0&amp;coast=0&amp;farms=1&amp;citadel=1&amp;urban_castle=1&amp;hub=false&amp;plaza=0&amp;temple=0&amp;walls=0&amp;shantytown=0&amp;gates=-1")</f>
        <v>https://watabou.github.io/city-generator/?name=Steamhorn&amp;population=16032&amp;size=37&amp;seed=3550748350564&amp;river=0&amp;coast=0&amp;farms=1&amp;citadel=1&amp;urban_castle=1&amp;hub=false&amp;plaza=0&amp;temple=0&amp;walls=0&amp;shantytown=0&amp;gates=-1</v>
      </c>
      <c r="Z88" s="189"/>
    </row>
    <row r="89" spans="1:26" ht="15" x14ac:dyDescent="0.25">
      <c r="A89" s="55">
        <f ca="1">IFERROR(__xludf.DUMMYFUNCTION("""COMPUTED_VALUE"""),581)</f>
        <v>581</v>
      </c>
      <c r="B89" s="55" t="str">
        <f ca="1">IFERROR(__xludf.DUMMYFUNCTION("""COMPUTED_VALUE"""),"Heartle")</f>
        <v>Heartle</v>
      </c>
      <c r="C89" s="55" t="str">
        <f ca="1">IFERROR(__xludf.DUMMYFUNCTION("""COMPUTED_VALUE"""),"Ralim")</f>
        <v>Ralim</v>
      </c>
      <c r="D89" s="55" t="str">
        <f ca="1">IFERROR(__xludf.DUMMYFUNCTION("""COMPUTED_VALUE"""),"Ralim Province")</f>
        <v>Ralim Province</v>
      </c>
      <c r="E89" s="55" t="str">
        <f ca="1">IFERROR(__xludf.DUMMYFUNCTION("""COMPUTED_VALUE"""),"Shavia")</f>
        <v>Shavia</v>
      </c>
      <c r="F89" s="55" t="str">
        <f ca="1">IFERROR(__xludf.DUMMYFUNCTION("""COMPUTED_VALUE"""),"Kingdom of Shavia")</f>
        <v>Kingdom of Shavia</v>
      </c>
      <c r="G89" s="55" t="str">
        <f ca="1">IFERROR(__xludf.DUMMYFUNCTION("""COMPUTED_VALUE"""),"Shavian")</f>
        <v>Shavian</v>
      </c>
      <c r="H89" s="55" t="str">
        <f ca="1">IFERROR(__xludf.DUMMYFUNCTION("""COMPUTED_VALUE"""),"Path of Guiding Light")</f>
        <v>Path of Guiding Light</v>
      </c>
      <c r="I89" s="55">
        <f ca="1">IFERROR(__xludf.DUMMYFUNCTION("""COMPUTED_VALUE"""),25350)</f>
        <v>25350</v>
      </c>
      <c r="J89" s="55">
        <f ca="1">IFERROR(__xludf.DUMMYFUNCTION("""COMPUTED_VALUE"""),357.44380312216)</f>
        <v>357.44380312215998</v>
      </c>
      <c r="K89" s="55">
        <f ca="1">IFERROR(__xludf.DUMMYFUNCTION("""COMPUTED_VALUE"""),607.357219412926)</f>
        <v>607.35721941292604</v>
      </c>
      <c r="L89" s="55">
        <f ca="1">IFERROR(__xludf.DUMMYFUNCTION("""COMPUTED_VALUE"""),-26.77)</f>
        <v>-26.77</v>
      </c>
      <c r="M89" s="55">
        <f ca="1">IFERROR(__xludf.DUMMYFUNCTION("""COMPUTED_VALUE"""),-13.45)</f>
        <v>-13.45</v>
      </c>
      <c r="N89" s="55">
        <f ca="1">IFERROR(__xludf.DUMMYFUNCTION("""COMPUTED_VALUE"""),118)</f>
        <v>118</v>
      </c>
      <c r="O89" s="55" t="str">
        <f ca="1">IFERROR(__xludf.DUMMYFUNCTION("""COMPUTED_VALUE"""),"46°F")</f>
        <v>46°F</v>
      </c>
      <c r="P89" s="55" t="str">
        <f ca="1">IFERROR(__xludf.DUMMYFUNCTION("""COMPUTED_VALUE"""),"Prague")</f>
        <v>Prague</v>
      </c>
      <c r="Q89" s="55" t="str">
        <f ca="1">IFERROR(__xludf.DUMMYFUNCTION("""COMPUTED_VALUE"""),"")</f>
        <v/>
      </c>
      <c r="R89" s="55" t="str">
        <f ca="1">IFERROR(__xludf.DUMMYFUNCTION("""COMPUTED_VALUE"""),"")</f>
        <v/>
      </c>
      <c r="S89" s="55" t="str">
        <f ca="1">IFERROR(__xludf.DUMMYFUNCTION("""COMPUTED_VALUE"""),"")</f>
        <v/>
      </c>
      <c r="T89" s="55" t="str">
        <f ca="1">IFERROR(__xludf.DUMMYFUNCTION("""COMPUTED_VALUE"""),"walls")</f>
        <v>walls</v>
      </c>
      <c r="U89" s="55" t="str">
        <f ca="1">IFERROR(__xludf.DUMMYFUNCTION("""COMPUTED_VALUE"""),"plaza")</f>
        <v>plaza</v>
      </c>
      <c r="V89" s="189" t="str">
        <f ca="1">IFERROR(__xludf.DUMMYFUNCTION("""COMPUTED_VALUE"""),"")</f>
        <v/>
      </c>
      <c r="W89" s="189" t="str">
        <f ca="1">IFERROR(__xludf.DUMMYFUNCTION("""COMPUTED_VALUE"""),"")</f>
        <v/>
      </c>
      <c r="X89" s="189" t="str">
        <f ca="1">IFERROR(__xludf.DUMMYFUNCTION("""COMPUTED_VALUE"""),"{t1:argent;ordinaries:[{ordinary:chevron;t:azure}];charges:[{charge:mullet6;t:gules;p:ach;size:0.5}];shield:fantasy5}")</f>
        <v>{t1:argent;ordinaries:[{ordinary:chevron;t:azure}];charges:[{charge:mullet6;t:gules;p:ach;size:0.5}];shield:fantasy5}</v>
      </c>
      <c r="Y89" s="193" t="str">
        <f ca="1">IFERROR(__xludf.DUMMYFUNCTION("""COMPUTED_VALUE"""),"https://watabou.github.io/city-generator/?name=Heartle&amp;population=25350&amp;size=44&amp;seed=3550748350581&amp;river=1&amp;coast=0&amp;farms=1&amp;citadel=0&amp;urban_castle=0&amp;hub=false&amp;plaza=1&amp;temple=0&amp;walls=1&amp;shantytown=0&amp;gates=-1")</f>
        <v>https://watabou.github.io/city-generator/?name=Heartle&amp;population=25350&amp;size=44&amp;seed=3550748350581&amp;river=1&amp;coast=0&amp;farms=1&amp;citadel=0&amp;urban_castle=0&amp;hub=false&amp;plaza=1&amp;temple=0&amp;walls=1&amp;shantytown=0&amp;gates=-1</v>
      </c>
      <c r="Z89" s="189"/>
    </row>
    <row r="90" spans="1:26" ht="15" x14ac:dyDescent="0.25">
      <c r="A90" s="55">
        <f ca="1">IFERROR(__xludf.DUMMYFUNCTION("""COMPUTED_VALUE"""),583)</f>
        <v>583</v>
      </c>
      <c r="B90" s="55" t="str">
        <f ca="1">IFERROR(__xludf.DUMMYFUNCTION("""COMPUTED_VALUE"""),"Eagrasp")</f>
        <v>Eagrasp</v>
      </c>
      <c r="C90" s="55" t="str">
        <f ca="1">IFERROR(__xludf.DUMMYFUNCTION("""COMPUTED_VALUE"""),"Dreghold")</f>
        <v>Dreghold</v>
      </c>
      <c r="D90" s="55" t="str">
        <f ca="1">IFERROR(__xludf.DUMMYFUNCTION("""COMPUTED_VALUE"""),"Dreghold Province")</f>
        <v>Dreghold Province</v>
      </c>
      <c r="E90" s="55" t="str">
        <f ca="1">IFERROR(__xludf.DUMMYFUNCTION("""COMPUTED_VALUE"""),"Shavia")</f>
        <v>Shavia</v>
      </c>
      <c r="F90" s="55" t="str">
        <f ca="1">IFERROR(__xludf.DUMMYFUNCTION("""COMPUTED_VALUE"""),"Kingdom of Shavia")</f>
        <v>Kingdom of Shavia</v>
      </c>
      <c r="G90" s="55" t="str">
        <f ca="1">IFERROR(__xludf.DUMMYFUNCTION("""COMPUTED_VALUE"""),"Shavian")</f>
        <v>Shavian</v>
      </c>
      <c r="H90" s="55" t="str">
        <f ca="1">IFERROR(__xludf.DUMMYFUNCTION("""COMPUTED_VALUE"""),"Path of Guiding Light")</f>
        <v>Path of Guiding Light</v>
      </c>
      <c r="I90" s="55">
        <f ca="1">IFERROR(__xludf.DUMMYFUNCTION("""COMPUTED_VALUE"""),33357)</f>
        <v>33357</v>
      </c>
      <c r="J90" s="55">
        <f ca="1">IFERROR(__xludf.DUMMYFUNCTION("""COMPUTED_VALUE"""),565.354220149753)</f>
        <v>565.35422014975302</v>
      </c>
      <c r="K90" s="55">
        <f ca="1">IFERROR(__xludf.DUMMYFUNCTION("""COMPUTED_VALUE"""),822.526888106838)</f>
        <v>822.52688810683799</v>
      </c>
      <c r="L90" s="55">
        <f ca="1">IFERROR(__xludf.DUMMYFUNCTION("""COMPUTED_VALUE"""),-33.73)</f>
        <v>-33.729999999999997</v>
      </c>
      <c r="M90" s="55">
        <f ca="1">IFERROR(__xludf.DUMMYFUNCTION("""COMPUTED_VALUE"""),-6.74)</f>
        <v>-6.74</v>
      </c>
      <c r="N90" s="55">
        <f ca="1">IFERROR(__xludf.DUMMYFUNCTION("""COMPUTED_VALUE"""),118)</f>
        <v>118</v>
      </c>
      <c r="O90" s="55" t="str">
        <f ca="1">IFERROR(__xludf.DUMMYFUNCTION("""COMPUTED_VALUE"""),"41°F")</f>
        <v>41°F</v>
      </c>
      <c r="P90" s="55" t="str">
        <f ca="1">IFERROR(__xludf.DUMMYFUNCTION("""COMPUTED_VALUE"""),"Riga")</f>
        <v>Riga</v>
      </c>
      <c r="Q90" s="55" t="str">
        <f ca="1">IFERROR(__xludf.DUMMYFUNCTION("""COMPUTED_VALUE"""),"")</f>
        <v/>
      </c>
      <c r="R90" s="55" t="str">
        <f ca="1">IFERROR(__xludf.DUMMYFUNCTION("""COMPUTED_VALUE"""),"")</f>
        <v/>
      </c>
      <c r="S90" s="55" t="str">
        <f ca="1">IFERROR(__xludf.DUMMYFUNCTION("""COMPUTED_VALUE"""),"citadel")</f>
        <v>citadel</v>
      </c>
      <c r="T90" s="55" t="str">
        <f ca="1">IFERROR(__xludf.DUMMYFUNCTION("""COMPUTED_VALUE"""),"walls")</f>
        <v>walls</v>
      </c>
      <c r="U90" s="55" t="str">
        <f ca="1">IFERROR(__xludf.DUMMYFUNCTION("""COMPUTED_VALUE"""),"plaza")</f>
        <v>plaza</v>
      </c>
      <c r="V90" s="189" t="str">
        <f ca="1">IFERROR(__xludf.DUMMYFUNCTION("""COMPUTED_VALUE"""),"")</f>
        <v/>
      </c>
      <c r="W90" s="189" t="str">
        <f ca="1">IFERROR(__xludf.DUMMYFUNCTION("""COMPUTED_VALUE"""),"shanty town")</f>
        <v>shanty town</v>
      </c>
      <c r="X90" s="189" t="str">
        <f ca="1">IFERROR(__xludf.DUMMYFUNCTION("""COMPUTED_VALUE"""),"{t1:azure;ordinaries:[{ordinary:point;t:or}];charges:[{charge:mullet;t:or;p:bdf;size:0.5}];shield:fantasy5}")</f>
        <v>{t1:azure;ordinaries:[{ordinary:point;t:or}];charges:[{charge:mullet;t:or;p:bdf;size:0.5}];shield:fantasy5}</v>
      </c>
      <c r="Y90" s="193" t="str">
        <f ca="1">IFERROR(__xludf.DUMMYFUNCTION("""COMPUTED_VALUE"""),"https://watabou.github.io/city-generator/?name=Eagrasp&amp;population=33357&amp;size=49&amp;seed=3550748350583&amp;river=0&amp;coast=0&amp;farms=0&amp;citadel=1&amp;urban_castle=0&amp;hub=false&amp;plaza=1&amp;temple=0&amp;walls=1&amp;shantytown=1&amp;gates=-1")</f>
        <v>https://watabou.github.io/city-generator/?name=Eagrasp&amp;population=33357&amp;size=49&amp;seed=3550748350583&amp;river=0&amp;coast=0&amp;farms=0&amp;citadel=1&amp;urban_castle=0&amp;hub=false&amp;plaza=1&amp;temple=0&amp;walls=1&amp;shantytown=1&amp;gates=-1</v>
      </c>
      <c r="Z90" s="189"/>
    </row>
    <row r="91" spans="1:26" ht="15" x14ac:dyDescent="0.25">
      <c r="A91" s="55">
        <f ca="1">IFERROR(__xludf.DUMMYFUNCTION("""COMPUTED_VALUE"""),584)</f>
        <v>584</v>
      </c>
      <c r="B91" s="55" t="str">
        <f ca="1">IFERROR(__xludf.DUMMYFUNCTION("""COMPUTED_VALUE"""),"Feargarun")</f>
        <v>Feargarun</v>
      </c>
      <c r="C91" s="55" t="str">
        <f ca="1">IFERROR(__xludf.DUMMYFUNCTION("""COMPUTED_VALUE"""),"Sirong")</f>
        <v>Sirong</v>
      </c>
      <c r="D91" s="55" t="str">
        <f ca="1">IFERROR(__xludf.DUMMYFUNCTION("""COMPUTED_VALUE"""),"Sirong Lordship")</f>
        <v>Sirong Lordship</v>
      </c>
      <c r="E91" s="55" t="str">
        <f ca="1">IFERROR(__xludf.DUMMYFUNCTION("""COMPUTED_VALUE"""),"Shavia")</f>
        <v>Shavia</v>
      </c>
      <c r="F91" s="55" t="str">
        <f ca="1">IFERROR(__xludf.DUMMYFUNCTION("""COMPUTED_VALUE"""),"Kingdom of Shavia")</f>
        <v>Kingdom of Shavia</v>
      </c>
      <c r="G91" s="55" t="str">
        <f ca="1">IFERROR(__xludf.DUMMYFUNCTION("""COMPUTED_VALUE"""),"Shavian")</f>
        <v>Shavian</v>
      </c>
      <c r="H91" s="55" t="str">
        <f ca="1">IFERROR(__xludf.DUMMYFUNCTION("""COMPUTED_VALUE"""),"Path of Guiding Light")</f>
        <v>Path of Guiding Light</v>
      </c>
      <c r="I91" s="55">
        <f ca="1">IFERROR(__xludf.DUMMYFUNCTION("""COMPUTED_VALUE"""),6268)</f>
        <v>6268</v>
      </c>
      <c r="J91" s="55">
        <f ca="1">IFERROR(__xludf.DUMMYFUNCTION("""COMPUTED_VALUE"""),326.363307381912)</f>
        <v>326.36330738191202</v>
      </c>
      <c r="K91" s="55">
        <f ca="1">IFERROR(__xludf.DUMMYFUNCTION("""COMPUTED_VALUE"""),827.606418093191)</f>
        <v>827.606418093191</v>
      </c>
      <c r="L91" s="55">
        <f ca="1">IFERROR(__xludf.DUMMYFUNCTION("""COMPUTED_VALUE"""),-33.9)</f>
        <v>-33.9</v>
      </c>
      <c r="M91" s="55">
        <f ca="1">IFERROR(__xludf.DUMMYFUNCTION("""COMPUTED_VALUE"""),-14.46)</f>
        <v>-14.46</v>
      </c>
      <c r="N91" s="55">
        <f ca="1">IFERROR(__xludf.DUMMYFUNCTION("""COMPUTED_VALUE"""),554)</f>
        <v>554</v>
      </c>
      <c r="O91" s="55" t="str">
        <f ca="1">IFERROR(__xludf.DUMMYFUNCTION("""COMPUTED_VALUE"""),"37°F")</f>
        <v>37°F</v>
      </c>
      <c r="P91" s="55" t="str">
        <f ca="1">IFERROR(__xludf.DUMMYFUNCTION("""COMPUTED_VALUE"""),"Tromsø")</f>
        <v>Tromsø</v>
      </c>
      <c r="Q91" s="55" t="str">
        <f ca="1">IFERROR(__xludf.DUMMYFUNCTION("""COMPUTED_VALUE"""),"")</f>
        <v/>
      </c>
      <c r="R91" s="55" t="str">
        <f ca="1">IFERROR(__xludf.DUMMYFUNCTION("""COMPUTED_VALUE"""),"")</f>
        <v/>
      </c>
      <c r="S91" s="55" t="str">
        <f ca="1">IFERROR(__xludf.DUMMYFUNCTION("""COMPUTED_VALUE"""),"")</f>
        <v/>
      </c>
      <c r="T91" s="55" t="str">
        <f ca="1">IFERROR(__xludf.DUMMYFUNCTION("""COMPUTED_VALUE"""),"")</f>
        <v/>
      </c>
      <c r="U91" s="55" t="str">
        <f ca="1">IFERROR(__xludf.DUMMYFUNCTION("""COMPUTED_VALUE"""),"")</f>
        <v/>
      </c>
      <c r="V91" s="189" t="str">
        <f ca="1">IFERROR(__xludf.DUMMYFUNCTION("""COMPUTED_VALUE"""),"")</f>
        <v/>
      </c>
      <c r="W91" s="189" t="str">
        <f ca="1">IFERROR(__xludf.DUMMYFUNCTION("""COMPUTED_VALUE"""),"")</f>
        <v/>
      </c>
      <c r="X91" s="189" t="str">
        <f ca="1">IFERROR(__xludf.DUMMYFUNCTION("""COMPUTED_VALUE"""),"{t1:sable;charges:[{charge:inescutcheon;t:argent;p:e;size:1.5};{charge:wolfHeadErased;t:gules;p:e;size:0.75}];shield:fantasy5}")</f>
        <v>{t1:sable;charges:[{charge:inescutcheon;t:argent;p:e;size:1.5};{charge:wolfHeadErased;t:gules;p:e;size:0.75}];shield:fantasy5}</v>
      </c>
      <c r="Y91" s="193" t="str">
        <f ca="1">IFERROR(__xludf.DUMMYFUNCTION("""COMPUTED_VALUE"""),"https://watabou.github.io/city-generator/?name=Feargarun&amp;population=6268&amp;size=26&amp;seed=3550748350584&amp;river=0&amp;coast=0&amp;farms=1&amp;citadel=0&amp;urban_castle=0&amp;hub=false&amp;plaza=0&amp;temple=0&amp;walls=0&amp;shantytown=0&amp;gates=-1")</f>
        <v>https://watabou.github.io/city-generator/?name=Feargarun&amp;population=6268&amp;size=26&amp;seed=3550748350584&amp;river=0&amp;coast=0&amp;farms=1&amp;citadel=0&amp;urban_castle=0&amp;hub=false&amp;plaza=0&amp;temple=0&amp;walls=0&amp;shantytown=0&amp;gates=-1</v>
      </c>
      <c r="Z91" s="189"/>
    </row>
    <row r="92" spans="1:26" ht="15" x14ac:dyDescent="0.25">
      <c r="A92" s="55">
        <f ca="1">IFERROR(__xludf.DUMMYFUNCTION("""COMPUTED_VALUE"""),587)</f>
        <v>587</v>
      </c>
      <c r="B92" s="55" t="str">
        <f ca="1">IFERROR(__xludf.DUMMYFUNCTION("""COMPUTED_VALUE"""),"Lirelona")</f>
        <v>Lirelona</v>
      </c>
      <c r="C92" s="55" t="str">
        <f ca="1">IFERROR(__xludf.DUMMYFUNCTION("""COMPUTED_VALUE"""),"Sirong")</f>
        <v>Sirong</v>
      </c>
      <c r="D92" s="55" t="str">
        <f ca="1">IFERROR(__xludf.DUMMYFUNCTION("""COMPUTED_VALUE"""),"Sirong Lordship")</f>
        <v>Sirong Lordship</v>
      </c>
      <c r="E92" s="55" t="str">
        <f ca="1">IFERROR(__xludf.DUMMYFUNCTION("""COMPUTED_VALUE"""),"Shavia")</f>
        <v>Shavia</v>
      </c>
      <c r="F92" s="55" t="str">
        <f ca="1">IFERROR(__xludf.DUMMYFUNCTION("""COMPUTED_VALUE"""),"Kingdom of Shavia")</f>
        <v>Kingdom of Shavia</v>
      </c>
      <c r="G92" s="55" t="str">
        <f ca="1">IFERROR(__xludf.DUMMYFUNCTION("""COMPUTED_VALUE"""),"Aranvers")</f>
        <v>Aranvers</v>
      </c>
      <c r="H92" s="55" t="str">
        <f ca="1">IFERROR(__xludf.DUMMYFUNCTION("""COMPUTED_VALUE"""),"Path of Guiding Light")</f>
        <v>Path of Guiding Light</v>
      </c>
      <c r="I92" s="55">
        <f ca="1">IFERROR(__xludf.DUMMYFUNCTION("""COMPUTED_VALUE"""),4459)</f>
        <v>4459</v>
      </c>
      <c r="J92" s="55">
        <f ca="1">IFERROR(__xludf.DUMMYFUNCTION("""COMPUTED_VALUE"""),309.022842945744)</f>
        <v>309.022842945744</v>
      </c>
      <c r="K92" s="55">
        <f ca="1">IFERROR(__xludf.DUMMYFUNCTION("""COMPUTED_VALUE"""),901.38610459994)</f>
        <v>901.38610459994004</v>
      </c>
      <c r="L92" s="55">
        <f ca="1">IFERROR(__xludf.DUMMYFUNCTION("""COMPUTED_VALUE"""),-36.29)</f>
        <v>-36.29</v>
      </c>
      <c r="M92" s="55">
        <f ca="1">IFERROR(__xludf.DUMMYFUNCTION("""COMPUTED_VALUE"""),-15.02)</f>
        <v>-15.02</v>
      </c>
      <c r="N92" s="55">
        <f ca="1">IFERROR(__xludf.DUMMYFUNCTION("""COMPUTED_VALUE"""),82)</f>
        <v>82</v>
      </c>
      <c r="O92" s="55" t="str">
        <f ca="1">IFERROR(__xludf.DUMMYFUNCTION("""COMPUTED_VALUE"""),"39°F")</f>
        <v>39°F</v>
      </c>
      <c r="P92" s="55" t="str">
        <f ca="1">IFERROR(__xludf.DUMMYFUNCTION("""COMPUTED_VALUE"""),"Reykjavik")</f>
        <v>Reykjavik</v>
      </c>
      <c r="Q92" s="55" t="str">
        <f ca="1">IFERROR(__xludf.DUMMYFUNCTION("""COMPUTED_VALUE"""),"")</f>
        <v/>
      </c>
      <c r="R92" s="55" t="str">
        <f ca="1">IFERROR(__xludf.DUMMYFUNCTION("""COMPUTED_VALUE"""),"")</f>
        <v/>
      </c>
      <c r="S92" s="55" t="str">
        <f ca="1">IFERROR(__xludf.DUMMYFUNCTION("""COMPUTED_VALUE"""),"")</f>
        <v/>
      </c>
      <c r="T92" s="55" t="str">
        <f ca="1">IFERROR(__xludf.DUMMYFUNCTION("""COMPUTED_VALUE"""),"")</f>
        <v/>
      </c>
      <c r="U92" s="55" t="str">
        <f ca="1">IFERROR(__xludf.DUMMYFUNCTION("""COMPUTED_VALUE"""),"plaza")</f>
        <v>plaza</v>
      </c>
      <c r="V92" s="189" t="str">
        <f ca="1">IFERROR(__xludf.DUMMYFUNCTION("""COMPUTED_VALUE"""),"")</f>
        <v/>
      </c>
      <c r="W92" s="189" t="str">
        <f ca="1">IFERROR(__xludf.DUMMYFUNCTION("""COMPUTED_VALUE"""),"")</f>
        <v/>
      </c>
      <c r="X92" s="189" t="str">
        <f ca="1">IFERROR(__xludf.DUMMYFUNCTION("""COMPUTED_VALUE"""),"{t1:purpure;charges:[{charge:goat;t:argent;p:e;size:1.5}];shield:hessen}")</f>
        <v>{t1:purpure;charges:[{charge:goat;t:argent;p:e;size:1.5}];shield:hessen}</v>
      </c>
      <c r="Y92" s="193" t="str">
        <f ca="1">IFERROR(__xludf.DUMMYFUNCTION("""COMPUTED_VALUE"""),"https://watabou.github.io/city-generator/?name=Lirelona&amp;population=4459&amp;size=23&amp;seed=3550748350587&amp;river=0&amp;coast=0&amp;farms=1&amp;citadel=0&amp;urban_castle=0&amp;hub=false&amp;plaza=1&amp;temple=0&amp;walls=0&amp;shantytown=0&amp;gates=-1")</f>
        <v>https://watabou.github.io/city-generator/?name=Lirelona&amp;population=4459&amp;size=23&amp;seed=3550748350587&amp;river=0&amp;coast=0&amp;farms=1&amp;citadel=0&amp;urban_castle=0&amp;hub=false&amp;plaza=1&amp;temple=0&amp;walls=0&amp;shantytown=0&amp;gates=-1</v>
      </c>
      <c r="Z92" s="189"/>
    </row>
    <row r="93" spans="1:26" ht="15" x14ac:dyDescent="0.25">
      <c r="A93" s="55">
        <f ca="1">IFERROR(__xludf.DUMMYFUNCTION("""COMPUTED_VALUE"""),603)</f>
        <v>603</v>
      </c>
      <c r="B93" s="55" t="str">
        <f ca="1">IFERROR(__xludf.DUMMYFUNCTION("""COMPUTED_VALUE"""),"Rorehold")</f>
        <v>Rorehold</v>
      </c>
      <c r="C93" s="55" t="str">
        <f ca="1">IFERROR(__xludf.DUMMYFUNCTION("""COMPUTED_VALUE"""),"Dreghold")</f>
        <v>Dreghold</v>
      </c>
      <c r="D93" s="55" t="str">
        <f ca="1">IFERROR(__xludf.DUMMYFUNCTION("""COMPUTED_VALUE"""),"Dreghold Province")</f>
        <v>Dreghold Province</v>
      </c>
      <c r="E93" s="55" t="str">
        <f ca="1">IFERROR(__xludf.DUMMYFUNCTION("""COMPUTED_VALUE"""),"Shavia")</f>
        <v>Shavia</v>
      </c>
      <c r="F93" s="55" t="str">
        <f ca="1">IFERROR(__xludf.DUMMYFUNCTION("""COMPUTED_VALUE"""),"Kingdom of Shavia")</f>
        <v>Kingdom of Shavia</v>
      </c>
      <c r="G93" s="55" t="str">
        <f ca="1">IFERROR(__xludf.DUMMYFUNCTION("""COMPUTED_VALUE"""),"Shavian")</f>
        <v>Shavian</v>
      </c>
      <c r="H93" s="55" t="str">
        <f ca="1">IFERROR(__xludf.DUMMYFUNCTION("""COMPUTED_VALUE"""),"Path of Guiding Light")</f>
        <v>Path of Guiding Light</v>
      </c>
      <c r="I93" s="55">
        <f ca="1">IFERROR(__xludf.DUMMYFUNCTION("""COMPUTED_VALUE"""),2675)</f>
        <v>2675</v>
      </c>
      <c r="J93" s="55">
        <f ca="1">IFERROR(__xludf.DUMMYFUNCTION("""COMPUTED_VALUE"""),633.781911460154)</f>
        <v>633.78191146015399</v>
      </c>
      <c r="K93" s="55">
        <f ca="1">IFERROR(__xludf.DUMMYFUNCTION("""COMPUTED_VALUE"""),839.925737945149)</f>
        <v>839.92573794514897</v>
      </c>
      <c r="L93" s="55">
        <f ca="1">IFERROR(__xludf.DUMMYFUNCTION("""COMPUTED_VALUE"""),-34.3)</f>
        <v>-34.299999999999997</v>
      </c>
      <c r="M93" s="55">
        <f ca="1">IFERROR(__xludf.DUMMYFUNCTION("""COMPUTED_VALUE"""),-4.53)</f>
        <v>-4.53</v>
      </c>
      <c r="N93" s="55">
        <f ca="1">IFERROR(__xludf.DUMMYFUNCTION("""COMPUTED_VALUE"""),161)</f>
        <v>161</v>
      </c>
      <c r="O93" s="55" t="str">
        <f ca="1">IFERROR(__xludf.DUMMYFUNCTION("""COMPUTED_VALUE"""),"39°F")</f>
        <v>39°F</v>
      </c>
      <c r="P93" s="55" t="str">
        <f ca="1">IFERROR(__xludf.DUMMYFUNCTION("""COMPUTED_VALUE"""),"Reykjavik")</f>
        <v>Reykjavik</v>
      </c>
      <c r="Q93" s="55" t="str">
        <f ca="1">IFERROR(__xludf.DUMMYFUNCTION("""COMPUTED_VALUE"""),"")</f>
        <v/>
      </c>
      <c r="R93" s="55" t="str">
        <f ca="1">IFERROR(__xludf.DUMMYFUNCTION("""COMPUTED_VALUE"""),"")</f>
        <v/>
      </c>
      <c r="S93" s="55" t="str">
        <f ca="1">IFERROR(__xludf.DUMMYFUNCTION("""COMPUTED_VALUE"""),"citadel")</f>
        <v>citadel</v>
      </c>
      <c r="T93" s="55" t="str">
        <f ca="1">IFERROR(__xludf.DUMMYFUNCTION("""COMPUTED_VALUE"""),"")</f>
        <v/>
      </c>
      <c r="U93" s="55" t="str">
        <f ca="1">IFERROR(__xludf.DUMMYFUNCTION("""COMPUTED_VALUE"""),"")</f>
        <v/>
      </c>
      <c r="V93" s="189" t="str">
        <f ca="1">IFERROR(__xludf.DUMMYFUNCTION("""COMPUTED_VALUE"""),"")</f>
        <v/>
      </c>
      <c r="W93" s="189" t="str">
        <f ca="1">IFERROR(__xludf.DUMMYFUNCTION("""COMPUTED_VALUE"""),"")</f>
        <v/>
      </c>
      <c r="X93" s="189" t="str">
        <f ca="1">IFERROR(__xludf.DUMMYFUNCTION("""COMPUTED_VALUE"""),"{t1:or;ordinaries:[{ordinary:bordure;t:vert}];charges:[{charge:goutte;t:or;p:ABCDEFGHIJKL;size:0.18}];shield:horsehead2}")</f>
        <v>{t1:or;ordinaries:[{ordinary:bordure;t:vert}];charges:[{charge:goutte;t:or;p:ABCDEFGHIJKL;size:0.18}];shield:horsehead2}</v>
      </c>
      <c r="Y93" s="193" t="str">
        <f ca="1">IFERROR(__xludf.DUMMYFUNCTION("""COMPUTED_VALUE"""),"https://watabou.github.io/city-generator/?name=Rorehold&amp;population=2675&amp;size=19&amp;seed=3550748350603&amp;river=0&amp;coast=0&amp;farms=1&amp;citadel=1&amp;urban_castle=0&amp;hub=false&amp;plaza=0&amp;temple=0&amp;walls=0&amp;shantytown=0&amp;gates=-1")</f>
        <v>https://watabou.github.io/city-generator/?name=Rorehold&amp;population=2675&amp;size=19&amp;seed=3550748350603&amp;river=0&amp;coast=0&amp;farms=1&amp;citadel=1&amp;urban_castle=0&amp;hub=false&amp;plaza=0&amp;temple=0&amp;walls=0&amp;shantytown=0&amp;gates=-1</v>
      </c>
      <c r="Z93" s="189"/>
    </row>
    <row r="94" spans="1:26" ht="15" x14ac:dyDescent="0.25">
      <c r="A94" s="55">
        <f ca="1">IFERROR(__xludf.DUMMYFUNCTION("""COMPUTED_VALUE"""),604)</f>
        <v>604</v>
      </c>
      <c r="B94" s="55" t="str">
        <f ca="1">IFERROR(__xludf.DUMMYFUNCTION("""COMPUTED_VALUE"""),"Houndwell")</f>
        <v>Houndwell</v>
      </c>
      <c r="C94" s="55" t="str">
        <f ca="1">IFERROR(__xludf.DUMMYFUNCTION("""COMPUTED_VALUE"""),"Sirong")</f>
        <v>Sirong</v>
      </c>
      <c r="D94" s="55" t="str">
        <f ca="1">IFERROR(__xludf.DUMMYFUNCTION("""COMPUTED_VALUE"""),"Sirong Lordship")</f>
        <v>Sirong Lordship</v>
      </c>
      <c r="E94" s="55" t="str">
        <f ca="1">IFERROR(__xludf.DUMMYFUNCTION("""COMPUTED_VALUE"""),"Shavia")</f>
        <v>Shavia</v>
      </c>
      <c r="F94" s="55" t="str">
        <f ca="1">IFERROR(__xludf.DUMMYFUNCTION("""COMPUTED_VALUE"""),"Kingdom of Shavia")</f>
        <v>Kingdom of Shavia</v>
      </c>
      <c r="G94" s="55" t="str">
        <f ca="1">IFERROR(__xludf.DUMMYFUNCTION("""COMPUTED_VALUE"""),"Shavian")</f>
        <v>Shavian</v>
      </c>
      <c r="H94" s="55" t="str">
        <f ca="1">IFERROR(__xludf.DUMMYFUNCTION("""COMPUTED_VALUE"""),"Path of Guiding Light")</f>
        <v>Path of Guiding Light</v>
      </c>
      <c r="I94" s="55">
        <f ca="1">IFERROR(__xludf.DUMMYFUNCTION("""COMPUTED_VALUE"""),1954)</f>
        <v>1954</v>
      </c>
      <c r="J94" s="55">
        <f ca="1">IFERROR(__xludf.DUMMYFUNCTION("""COMPUTED_VALUE"""),405.027905867874)</f>
        <v>405.02790586787398</v>
      </c>
      <c r="K94" s="55">
        <f ca="1">IFERROR(__xludf.DUMMYFUNCTION("""COMPUTED_VALUE"""),850.279415924993)</f>
        <v>850.27941592499303</v>
      </c>
      <c r="L94" s="55">
        <f ca="1">IFERROR(__xludf.DUMMYFUNCTION("""COMPUTED_VALUE"""),-34.63)</f>
        <v>-34.630000000000003</v>
      </c>
      <c r="M94" s="55">
        <f ca="1">IFERROR(__xludf.DUMMYFUNCTION("""COMPUTED_VALUE"""),-11.92)</f>
        <v>-11.92</v>
      </c>
      <c r="N94" s="55">
        <f ca="1">IFERROR(__xludf.DUMMYFUNCTION("""COMPUTED_VALUE"""),210)</f>
        <v>210</v>
      </c>
      <c r="O94" s="55" t="str">
        <f ca="1">IFERROR(__xludf.DUMMYFUNCTION("""COMPUTED_VALUE"""),"39°F")</f>
        <v>39°F</v>
      </c>
      <c r="P94" s="55" t="str">
        <f ca="1">IFERROR(__xludf.DUMMYFUNCTION("""COMPUTED_VALUE"""),"Reykjavik")</f>
        <v>Reykjavik</v>
      </c>
      <c r="Q94" s="55" t="str">
        <f ca="1">IFERROR(__xludf.DUMMYFUNCTION("""COMPUTED_VALUE"""),"")</f>
        <v/>
      </c>
      <c r="R94" s="55" t="str">
        <f ca="1">IFERROR(__xludf.DUMMYFUNCTION("""COMPUTED_VALUE"""),"")</f>
        <v/>
      </c>
      <c r="S94" s="55" t="str">
        <f ca="1">IFERROR(__xludf.DUMMYFUNCTION("""COMPUTED_VALUE"""),"citadel")</f>
        <v>citadel</v>
      </c>
      <c r="T94" s="55" t="str">
        <f ca="1">IFERROR(__xludf.DUMMYFUNCTION("""COMPUTED_VALUE"""),"")</f>
        <v/>
      </c>
      <c r="U94" s="55" t="str">
        <f ca="1">IFERROR(__xludf.DUMMYFUNCTION("""COMPUTED_VALUE"""),"plaza")</f>
        <v>plaza</v>
      </c>
      <c r="V94" s="189" t="str">
        <f ca="1">IFERROR(__xludf.DUMMYFUNCTION("""COMPUTED_VALUE"""),"")</f>
        <v/>
      </c>
      <c r="W94" s="189" t="str">
        <f ca="1">IFERROR(__xludf.DUMMYFUNCTION("""COMPUTED_VALUE"""),"")</f>
        <v/>
      </c>
      <c r="X94" s="189" t="str">
        <f ca="1">IFERROR(__xludf.DUMMYFUNCTION("""COMPUTED_VALUE"""),"{t1:azure;ordinaries:[{ordinary:crossParted;t:argent;line:embattled}];charges:[{charge:lionRampant;t:sable;p:e;size:1.5}];shield:fantasy5}")</f>
        <v>{t1:azure;ordinaries:[{ordinary:crossParted;t:argent;line:embattled}];charges:[{charge:lionRampant;t:sable;p:e;size:1.5}];shield:fantasy5}</v>
      </c>
      <c r="Y94" s="193" t="str">
        <f ca="1">IFERROR(__xludf.DUMMYFUNCTION("""COMPUTED_VALUE"""),"https://watabou.github.io/city-generator/?name=Houndwell&amp;population=1954&amp;size=17&amp;seed=3550748350604&amp;river=0&amp;coast=0&amp;farms=1&amp;citadel=1&amp;urban_castle=1&amp;hub=false&amp;plaza=1&amp;temple=0&amp;walls=0&amp;shantytown=0&amp;gates=-1")</f>
        <v>https://watabou.github.io/city-generator/?name=Houndwell&amp;population=1954&amp;size=17&amp;seed=3550748350604&amp;river=0&amp;coast=0&amp;farms=1&amp;citadel=1&amp;urban_castle=1&amp;hub=false&amp;plaza=1&amp;temple=0&amp;walls=0&amp;shantytown=0&amp;gates=-1</v>
      </c>
      <c r="Z94" s="189"/>
    </row>
    <row r="95" spans="1:26" ht="15" x14ac:dyDescent="0.25">
      <c r="A95" s="55">
        <f ca="1">IFERROR(__xludf.DUMMYFUNCTION("""COMPUTED_VALUE"""),620)</f>
        <v>620</v>
      </c>
      <c r="B95" s="55" t="str">
        <f ca="1">IFERROR(__xludf.DUMMYFUNCTION("""COMPUTED_VALUE"""),"Brookward")</f>
        <v>Brookward</v>
      </c>
      <c r="C95" s="55" t="str">
        <f ca="1">IFERROR(__xludf.DUMMYFUNCTION("""COMPUTED_VALUE"""),"Ralim")</f>
        <v>Ralim</v>
      </c>
      <c r="D95" s="55" t="str">
        <f ca="1">IFERROR(__xludf.DUMMYFUNCTION("""COMPUTED_VALUE"""),"Ralim Province")</f>
        <v>Ralim Province</v>
      </c>
      <c r="E95" s="55" t="str">
        <f ca="1">IFERROR(__xludf.DUMMYFUNCTION("""COMPUTED_VALUE"""),"Shavia")</f>
        <v>Shavia</v>
      </c>
      <c r="F95" s="55" t="str">
        <f ca="1">IFERROR(__xludf.DUMMYFUNCTION("""COMPUTED_VALUE"""),"Kingdom of Shavia")</f>
        <v>Kingdom of Shavia</v>
      </c>
      <c r="G95" s="55" t="str">
        <f ca="1">IFERROR(__xludf.DUMMYFUNCTION("""COMPUTED_VALUE"""),"Shavian")</f>
        <v>Shavian</v>
      </c>
      <c r="H95" s="55" t="str">
        <f ca="1">IFERROR(__xludf.DUMMYFUNCTION("""COMPUTED_VALUE"""),"Path of Guiding Light")</f>
        <v>Path of Guiding Light</v>
      </c>
      <c r="I95" s="55">
        <f ca="1">IFERROR(__xludf.DUMMYFUNCTION("""COMPUTED_VALUE"""),53796)</f>
        <v>53796</v>
      </c>
      <c r="J95" s="55">
        <f ca="1">IFERROR(__xludf.DUMMYFUNCTION("""COMPUTED_VALUE"""),366.25)</f>
        <v>366.25</v>
      </c>
      <c r="K95" s="55">
        <f ca="1">IFERROR(__xludf.DUMMYFUNCTION("""COMPUTED_VALUE"""),659.25)</f>
        <v>659.25</v>
      </c>
      <c r="L95" s="55">
        <f ca="1">IFERROR(__xludf.DUMMYFUNCTION("""COMPUTED_VALUE"""),-28.45)</f>
        <v>-28.45</v>
      </c>
      <c r="M95" s="55">
        <f ca="1">IFERROR(__xludf.DUMMYFUNCTION("""COMPUTED_VALUE"""),-13.17)</f>
        <v>-13.17</v>
      </c>
      <c r="N95" s="55">
        <f ca="1">IFERROR(__xludf.DUMMYFUNCTION("""COMPUTED_VALUE"""),118)</f>
        <v>118</v>
      </c>
      <c r="O95" s="55" t="str">
        <f ca="1">IFERROR(__xludf.DUMMYFUNCTION("""COMPUTED_VALUE"""),"45°F")</f>
        <v>45°F</v>
      </c>
      <c r="P95" s="55" t="str">
        <f ca="1">IFERROR(__xludf.DUMMYFUNCTION("""COMPUTED_VALUE"""),"Halifax")</f>
        <v>Halifax</v>
      </c>
      <c r="Q95" s="55" t="str">
        <f ca="1">IFERROR(__xludf.DUMMYFUNCTION("""COMPUTED_VALUE"""),"")</f>
        <v/>
      </c>
      <c r="R95" s="55" t="str">
        <f ca="1">IFERROR(__xludf.DUMMYFUNCTION("""COMPUTED_VALUE"""),"port")</f>
        <v>port</v>
      </c>
      <c r="S95" s="55" t="str">
        <f ca="1">IFERROR(__xludf.DUMMYFUNCTION("""COMPUTED_VALUE"""),"citadel")</f>
        <v>citadel</v>
      </c>
      <c r="T95" s="55" t="str">
        <f ca="1">IFERROR(__xludf.DUMMYFUNCTION("""COMPUTED_VALUE"""),"")</f>
        <v/>
      </c>
      <c r="U95" s="55" t="str">
        <f ca="1">IFERROR(__xludf.DUMMYFUNCTION("""COMPUTED_VALUE"""),"plaza")</f>
        <v>plaza</v>
      </c>
      <c r="V95" s="189" t="str">
        <f ca="1">IFERROR(__xludf.DUMMYFUNCTION("""COMPUTED_VALUE"""),"")</f>
        <v/>
      </c>
      <c r="W95" s="189" t="str">
        <f ca="1">IFERROR(__xludf.DUMMYFUNCTION("""COMPUTED_VALUE"""),"")</f>
        <v/>
      </c>
      <c r="X95" s="189" t="str">
        <f ca="1">IFERROR(__xludf.DUMMYFUNCTION("""COMPUTED_VALUE"""),"{t1:argent;ordinaries:[{ordinary:bendSinister;t:gules;line:firTrees}];charges:[{charge:horseshoe;t:argent;p:lem;size:0.5}];shield:fantasy5}")</f>
        <v>{t1:argent;ordinaries:[{ordinary:bendSinister;t:gules;line:firTrees}];charges:[{charge:horseshoe;t:argent;p:lem;size:0.5}];shield:fantasy5}</v>
      </c>
      <c r="Y95" s="193" t="str">
        <f ca="1">IFERROR(__xludf.DUMMYFUNCTION("""COMPUTED_VALUE"""),"https://watabou.github.io/city-generator/?name=Brookward&amp;population=53796&amp;size=59&amp;seed=3550748350620&amp;river=0&amp;coast=1&amp;farms=1&amp;citadel=1&amp;urban_castle=1&amp;hub=false&amp;plaza=1&amp;temple=0&amp;walls=0&amp;shantytown=0&amp;gates=-1&amp;sea=1.39")</f>
        <v>https://watabou.github.io/city-generator/?name=Brookward&amp;population=53796&amp;size=59&amp;seed=3550748350620&amp;river=0&amp;coast=1&amp;farms=1&amp;citadel=1&amp;urban_castle=1&amp;hub=false&amp;plaza=1&amp;temple=0&amp;walls=0&amp;shantytown=0&amp;gates=-1&amp;sea=1.39</v>
      </c>
      <c r="Z95" s="189"/>
    </row>
    <row r="96" spans="1:26" ht="15" x14ac:dyDescent="0.25">
      <c r="A96" s="55">
        <f ca="1">IFERROR(__xludf.DUMMYFUNCTION("""COMPUTED_VALUE"""),624)</f>
        <v>624</v>
      </c>
      <c r="B96" s="55" t="str">
        <f ca="1">IFERROR(__xludf.DUMMYFUNCTION("""COMPUTED_VALUE"""),"Rusthtown")</f>
        <v>Rusthtown</v>
      </c>
      <c r="C96" s="55" t="str">
        <f ca="1">IFERROR(__xludf.DUMMYFUNCTION("""COMPUTED_VALUE"""),"Swanhall")</f>
        <v>Swanhall</v>
      </c>
      <c r="D96" s="55" t="str">
        <f ca="1">IFERROR(__xludf.DUMMYFUNCTION("""COMPUTED_VALUE"""),"Swanhall Province")</f>
        <v>Swanhall Province</v>
      </c>
      <c r="E96" s="55" t="str">
        <f ca="1">IFERROR(__xludf.DUMMYFUNCTION("""COMPUTED_VALUE"""),"Shavia")</f>
        <v>Shavia</v>
      </c>
      <c r="F96" s="55" t="str">
        <f ca="1">IFERROR(__xludf.DUMMYFUNCTION("""COMPUTED_VALUE"""),"Kingdom of Shavia")</f>
        <v>Kingdom of Shavia</v>
      </c>
      <c r="G96" s="55" t="str">
        <f ca="1">IFERROR(__xludf.DUMMYFUNCTION("""COMPUTED_VALUE"""),"Shavian")</f>
        <v>Shavian</v>
      </c>
      <c r="H96" s="55" t="str">
        <f ca="1">IFERROR(__xludf.DUMMYFUNCTION("""COMPUTED_VALUE"""),"Path of Guiding Light")</f>
        <v>Path of Guiding Light</v>
      </c>
      <c r="I96" s="55">
        <f ca="1">IFERROR(__xludf.DUMMYFUNCTION("""COMPUTED_VALUE"""),16602)</f>
        <v>16602</v>
      </c>
      <c r="J96" s="55">
        <f ca="1">IFERROR(__xludf.DUMMYFUNCTION("""COMPUTED_VALUE"""),733.562563720799)</f>
        <v>733.56256372079895</v>
      </c>
      <c r="K96" s="55">
        <f ca="1">IFERROR(__xludf.DUMMYFUNCTION("""COMPUTED_VALUE"""),843.214782265813)</f>
        <v>843.21478226581303</v>
      </c>
      <c r="L96" s="55">
        <f ca="1">IFERROR(__xludf.DUMMYFUNCTION("""COMPUTED_VALUE"""),-34.4)</f>
        <v>-34.4</v>
      </c>
      <c r="M96" s="55">
        <f ca="1">IFERROR(__xludf.DUMMYFUNCTION("""COMPUTED_VALUE"""),-1.31)</f>
        <v>-1.31</v>
      </c>
      <c r="N96" s="55">
        <f ca="1">IFERROR(__xludf.DUMMYFUNCTION("""COMPUTED_VALUE"""),397)</f>
        <v>397</v>
      </c>
      <c r="O96" s="55" t="str">
        <f ca="1">IFERROR(__xludf.DUMMYFUNCTION("""COMPUTED_VALUE"""),"37°F")</f>
        <v>37°F</v>
      </c>
      <c r="P96" s="55" t="str">
        <f ca="1">IFERROR(__xludf.DUMMYFUNCTION("""COMPUTED_VALUE"""),"Tromsø")</f>
        <v>Tromsø</v>
      </c>
      <c r="Q96" s="55" t="str">
        <f ca="1">IFERROR(__xludf.DUMMYFUNCTION("""COMPUTED_VALUE"""),"")</f>
        <v/>
      </c>
      <c r="R96" s="55" t="str">
        <f ca="1">IFERROR(__xludf.DUMMYFUNCTION("""COMPUTED_VALUE"""),"")</f>
        <v/>
      </c>
      <c r="S96" s="55" t="str">
        <f ca="1">IFERROR(__xludf.DUMMYFUNCTION("""COMPUTED_VALUE"""),"citadel")</f>
        <v>citadel</v>
      </c>
      <c r="T96" s="55" t="str">
        <f ca="1">IFERROR(__xludf.DUMMYFUNCTION("""COMPUTED_VALUE"""),"")</f>
        <v/>
      </c>
      <c r="U96" s="55" t="str">
        <f ca="1">IFERROR(__xludf.DUMMYFUNCTION("""COMPUTED_VALUE"""),"plaza")</f>
        <v>plaza</v>
      </c>
      <c r="V96" s="189" t="str">
        <f ca="1">IFERROR(__xludf.DUMMYFUNCTION("""COMPUTED_VALUE"""),"")</f>
        <v/>
      </c>
      <c r="W96" s="189" t="str">
        <f ca="1">IFERROR(__xludf.DUMMYFUNCTION("""COMPUTED_VALUE"""),"")</f>
        <v/>
      </c>
      <c r="X96" s="189" t="str">
        <f ca="1">IFERROR(__xludf.DUMMYFUNCTION("""COMPUTED_VALUE"""),"{t1:lozengy-or-sable;charges:[{charge:lute;t:gules;p:e;size:1.5}];shield:horsehead2}")</f>
        <v>{t1:lozengy-or-sable;charges:[{charge:lute;t:gules;p:e;size:1.5}];shield:horsehead2}</v>
      </c>
      <c r="Y96" s="193" t="str">
        <f ca="1">IFERROR(__xludf.DUMMYFUNCTION("""COMPUTED_VALUE"""),"https://watabou.github.io/city-generator/?name=Rusthtown&amp;population=16602&amp;size=37&amp;seed=3550748350624&amp;river=0&amp;coast=0&amp;farms=1&amp;citadel=1&amp;urban_castle=1&amp;hub=false&amp;plaza=1&amp;temple=0&amp;walls=0&amp;shantytown=0&amp;gates=-1")</f>
        <v>https://watabou.github.io/city-generator/?name=Rusthtown&amp;population=16602&amp;size=37&amp;seed=3550748350624&amp;river=0&amp;coast=0&amp;farms=1&amp;citadel=1&amp;urban_castle=1&amp;hub=false&amp;plaza=1&amp;temple=0&amp;walls=0&amp;shantytown=0&amp;gates=-1</v>
      </c>
      <c r="Z96" s="189"/>
    </row>
    <row r="97" spans="1:26" ht="15" x14ac:dyDescent="0.25">
      <c r="A97" s="55">
        <f ca="1">IFERROR(__xludf.DUMMYFUNCTION("""COMPUTED_VALUE"""),625)</f>
        <v>625</v>
      </c>
      <c r="B97" s="55" t="str">
        <f ca="1">IFERROR(__xludf.DUMMYFUNCTION("""COMPUTED_VALUE"""),"Chaunzandyn")</f>
        <v>Chaunzandyn</v>
      </c>
      <c r="C97" s="55" t="str">
        <f ca="1">IFERROR(__xludf.DUMMYFUNCTION("""COMPUTED_VALUE"""),"Sirong")</f>
        <v>Sirong</v>
      </c>
      <c r="D97" s="55" t="str">
        <f ca="1">IFERROR(__xludf.DUMMYFUNCTION("""COMPUTED_VALUE"""),"Sirong Lordship")</f>
        <v>Sirong Lordship</v>
      </c>
      <c r="E97" s="55" t="str">
        <f ca="1">IFERROR(__xludf.DUMMYFUNCTION("""COMPUTED_VALUE"""),"Shavia")</f>
        <v>Shavia</v>
      </c>
      <c r="F97" s="55" t="str">
        <f ca="1">IFERROR(__xludf.DUMMYFUNCTION("""COMPUTED_VALUE"""),"Kingdom of Shavia")</f>
        <v>Kingdom of Shavia</v>
      </c>
      <c r="G97" s="55" t="str">
        <f ca="1">IFERROR(__xludf.DUMMYFUNCTION("""COMPUTED_VALUE"""),"Aranvers")</f>
        <v>Aranvers</v>
      </c>
      <c r="H97" s="55" t="str">
        <f ca="1">IFERROR(__xludf.DUMMYFUNCTION("""COMPUTED_VALUE"""),"Path of Guiding Light")</f>
        <v>Path of Guiding Light</v>
      </c>
      <c r="I97" s="55">
        <f ca="1">IFERROR(__xludf.DUMMYFUNCTION("""COMPUTED_VALUE"""),4974)</f>
        <v>4974</v>
      </c>
      <c r="J97" s="55">
        <f ca="1">IFERROR(__xludf.DUMMYFUNCTION("""COMPUTED_VALUE"""),411.547609107062)</f>
        <v>411.54760910706199</v>
      </c>
      <c r="K97" s="55">
        <f ca="1">IFERROR(__xludf.DUMMYFUNCTION("""COMPUTED_VALUE"""),859.660003869138)</f>
        <v>859.660003869138</v>
      </c>
      <c r="L97" s="55">
        <f ca="1">IFERROR(__xludf.DUMMYFUNCTION("""COMPUTED_VALUE"""),-34.94)</f>
        <v>-34.94</v>
      </c>
      <c r="M97" s="55">
        <f ca="1">IFERROR(__xludf.DUMMYFUNCTION("""COMPUTED_VALUE"""),-11.71)</f>
        <v>-11.71</v>
      </c>
      <c r="N97" s="55">
        <f ca="1">IFERROR(__xludf.DUMMYFUNCTION("""COMPUTED_VALUE"""),30)</f>
        <v>30</v>
      </c>
      <c r="O97" s="55" t="str">
        <f ca="1">IFERROR(__xludf.DUMMYFUNCTION("""COMPUTED_VALUE"""),"39°F")</f>
        <v>39°F</v>
      </c>
      <c r="P97" s="55" t="str">
        <f ca="1">IFERROR(__xludf.DUMMYFUNCTION("""COMPUTED_VALUE"""),"Reykjavik")</f>
        <v>Reykjavik</v>
      </c>
      <c r="Q97" s="55" t="str">
        <f ca="1">IFERROR(__xludf.DUMMYFUNCTION("""COMPUTED_VALUE"""),"")</f>
        <v/>
      </c>
      <c r="R97" s="55" t="str">
        <f ca="1">IFERROR(__xludf.DUMMYFUNCTION("""COMPUTED_VALUE"""),"")</f>
        <v/>
      </c>
      <c r="S97" s="55" t="str">
        <f ca="1">IFERROR(__xludf.DUMMYFUNCTION("""COMPUTED_VALUE"""),"")</f>
        <v/>
      </c>
      <c r="T97" s="55" t="str">
        <f ca="1">IFERROR(__xludf.DUMMYFUNCTION("""COMPUTED_VALUE"""),"walls")</f>
        <v>walls</v>
      </c>
      <c r="U97" s="55" t="str">
        <f ca="1">IFERROR(__xludf.DUMMYFUNCTION("""COMPUTED_VALUE"""),"")</f>
        <v/>
      </c>
      <c r="V97" s="189" t="str">
        <f ca="1">IFERROR(__xludf.DUMMYFUNCTION("""COMPUTED_VALUE"""),"")</f>
        <v/>
      </c>
      <c r="W97" s="189" t="str">
        <f ca="1">IFERROR(__xludf.DUMMYFUNCTION("""COMPUTED_VALUE"""),"")</f>
        <v/>
      </c>
      <c r="X97" s="189" t="str">
        <f ca="1">IFERROR(__xludf.DUMMYFUNCTION("""COMPUTED_VALUE"""),"{t1:sable;charges:[{charge:sabresCrossed;t:argent;p:abc;size:0.5}];shield:hessen}")</f>
        <v>{t1:sable;charges:[{charge:sabresCrossed;t:argent;p:abc;size:0.5}];shield:hessen}</v>
      </c>
      <c r="Y97" s="193" t="str">
        <f ca="1">IFERROR(__xludf.DUMMYFUNCTION("""COMPUTED_VALUE"""),"https://watabou.github.io/city-generator/?name=Chaunzandyn&amp;population=4974&amp;size=24&amp;seed=3550748350625&amp;river=0&amp;coast=0&amp;farms=1&amp;citadel=0&amp;urban_castle=0&amp;hub=false&amp;plaza=0&amp;temple=0&amp;walls=1&amp;shantytown=0&amp;gates=-1")</f>
        <v>https://watabou.github.io/city-generator/?name=Chaunzandyn&amp;population=4974&amp;size=24&amp;seed=3550748350625&amp;river=0&amp;coast=0&amp;farms=1&amp;citadel=0&amp;urban_castle=0&amp;hub=false&amp;plaza=0&amp;temple=0&amp;walls=1&amp;shantytown=0&amp;gates=-1</v>
      </c>
      <c r="Z97" s="189"/>
    </row>
    <row r="98" spans="1:26" ht="15" x14ac:dyDescent="0.25">
      <c r="A98" s="55">
        <f ca="1">IFERROR(__xludf.DUMMYFUNCTION("""COMPUTED_VALUE"""),646)</f>
        <v>646</v>
      </c>
      <c r="B98" s="55" t="str">
        <f ca="1">IFERROR(__xludf.DUMMYFUNCTION("""COMPUTED_VALUE"""),"Earthtligh")</f>
        <v>Earthtligh</v>
      </c>
      <c r="C98" s="55" t="str">
        <f ca="1">IFERROR(__xludf.DUMMYFUNCTION("""COMPUTED_VALUE"""),"Swanhall")</f>
        <v>Swanhall</v>
      </c>
      <c r="D98" s="55" t="str">
        <f ca="1">IFERROR(__xludf.DUMMYFUNCTION("""COMPUTED_VALUE"""),"Swanhall Province")</f>
        <v>Swanhall Province</v>
      </c>
      <c r="E98" s="55" t="str">
        <f ca="1">IFERROR(__xludf.DUMMYFUNCTION("""COMPUTED_VALUE"""),"Shavia")</f>
        <v>Shavia</v>
      </c>
      <c r="F98" s="55" t="str">
        <f ca="1">IFERROR(__xludf.DUMMYFUNCTION("""COMPUTED_VALUE"""),"Kingdom of Shavia")</f>
        <v>Kingdom of Shavia</v>
      </c>
      <c r="G98" s="55" t="str">
        <f ca="1">IFERROR(__xludf.DUMMYFUNCTION("""COMPUTED_VALUE"""),"Shavian")</f>
        <v>Shavian</v>
      </c>
      <c r="H98" s="55" t="str">
        <f ca="1">IFERROR(__xludf.DUMMYFUNCTION("""COMPUTED_VALUE"""),"Path of Guiding Light")</f>
        <v>Path of Guiding Light</v>
      </c>
      <c r="I98" s="55">
        <f ca="1">IFERROR(__xludf.DUMMYFUNCTION("""COMPUTED_VALUE"""),13225)</f>
        <v>13225</v>
      </c>
      <c r="J98" s="55">
        <f ca="1">IFERROR(__xludf.DUMMYFUNCTION("""COMPUTED_VALUE"""),843.132501740582)</f>
        <v>843.13250174058203</v>
      </c>
      <c r="K98" s="55">
        <f ca="1">IFERROR(__xludf.DUMMYFUNCTION("""COMPUTED_VALUE"""),784.401220508125)</f>
        <v>784.40122050812499</v>
      </c>
      <c r="L98" s="55">
        <f ca="1">IFERROR(__xludf.DUMMYFUNCTION("""COMPUTED_VALUE"""),-32.5)</f>
        <v>-32.5</v>
      </c>
      <c r="M98" s="55">
        <f ca="1">IFERROR(__xludf.DUMMYFUNCTION("""COMPUTED_VALUE"""),2.23)</f>
        <v>2.23</v>
      </c>
      <c r="N98" s="55">
        <f ca="1">IFERROR(__xludf.DUMMYFUNCTION("""COMPUTED_VALUE"""),266)</f>
        <v>266</v>
      </c>
      <c r="O98" s="55" t="str">
        <f ca="1">IFERROR(__xludf.DUMMYFUNCTION("""COMPUTED_VALUE"""),"39°F")</f>
        <v>39°F</v>
      </c>
      <c r="P98" s="55" t="str">
        <f ca="1">IFERROR(__xludf.DUMMYFUNCTION("""COMPUTED_VALUE"""),"Reykjavik")</f>
        <v>Reykjavik</v>
      </c>
      <c r="Q98" s="55" t="str">
        <f ca="1">IFERROR(__xludf.DUMMYFUNCTION("""COMPUTED_VALUE"""),"")</f>
        <v/>
      </c>
      <c r="R98" s="55" t="str">
        <f ca="1">IFERROR(__xludf.DUMMYFUNCTION("""COMPUTED_VALUE"""),"")</f>
        <v/>
      </c>
      <c r="S98" s="55" t="str">
        <f ca="1">IFERROR(__xludf.DUMMYFUNCTION("""COMPUTED_VALUE"""),"")</f>
        <v/>
      </c>
      <c r="T98" s="55" t="str">
        <f ca="1">IFERROR(__xludf.DUMMYFUNCTION("""COMPUTED_VALUE"""),"")</f>
        <v/>
      </c>
      <c r="U98" s="55" t="str">
        <f ca="1">IFERROR(__xludf.DUMMYFUNCTION("""COMPUTED_VALUE"""),"")</f>
        <v/>
      </c>
      <c r="V98" s="189" t="str">
        <f ca="1">IFERROR(__xludf.DUMMYFUNCTION("""COMPUTED_VALUE"""),"")</f>
        <v/>
      </c>
      <c r="W98" s="189" t="str">
        <f ca="1">IFERROR(__xludf.DUMMYFUNCTION("""COMPUTED_VALUE"""),"")</f>
        <v/>
      </c>
      <c r="X98" s="189" t="str">
        <f ca="1">IFERROR(__xludf.DUMMYFUNCTION("""COMPUTED_VALUE"""),"{t1:fusily-or-gules;division:{division:perFess;t:vert;line:straight};ordinaries:[{ordinary:cross;t:sable;line:straight}];shield:horsehead2}")</f>
        <v>{t1:fusily-or-gules;division:{division:perFess;t:vert;line:straight};ordinaries:[{ordinary:cross;t:sable;line:straight}];shield:horsehead2}</v>
      </c>
      <c r="Y98" s="193" t="str">
        <f ca="1">IFERROR(__xludf.DUMMYFUNCTION("""COMPUTED_VALUE"""),"https://watabou.github.io/city-generator/?name=Earthtligh&amp;population=13225&amp;size=34&amp;seed=3550748350646&amp;river=1&amp;coast=0&amp;farms=1&amp;citadel=0&amp;urban_castle=0&amp;hub=false&amp;plaza=0&amp;temple=0&amp;walls=0&amp;shantytown=0&amp;gates=-1")</f>
        <v>https://watabou.github.io/city-generator/?name=Earthtligh&amp;population=13225&amp;size=34&amp;seed=3550748350646&amp;river=1&amp;coast=0&amp;farms=1&amp;citadel=0&amp;urban_castle=0&amp;hub=false&amp;plaza=0&amp;temple=0&amp;walls=0&amp;shantytown=0&amp;gates=-1</v>
      </c>
      <c r="Z98" s="189"/>
    </row>
    <row r="99" spans="1:26" ht="15" x14ac:dyDescent="0.25">
      <c r="A99" s="55">
        <f ca="1">IFERROR(__xludf.DUMMYFUNCTION("""COMPUTED_VALUE"""),647)</f>
        <v>647</v>
      </c>
      <c r="B99" s="55" t="str">
        <f ca="1">IFERROR(__xludf.DUMMYFUNCTION("""COMPUTED_VALUE"""),"Dewgronac")</f>
        <v>Dewgronac</v>
      </c>
      <c r="C99" s="55" t="str">
        <f ca="1">IFERROR(__xludf.DUMMYFUNCTION("""COMPUTED_VALUE"""),"Sirong")</f>
        <v>Sirong</v>
      </c>
      <c r="D99" s="55" t="str">
        <f ca="1">IFERROR(__xludf.DUMMYFUNCTION("""COMPUTED_VALUE"""),"Sirong Lordship")</f>
        <v>Sirong Lordship</v>
      </c>
      <c r="E99" s="55" t="str">
        <f ca="1">IFERROR(__xludf.DUMMYFUNCTION("""COMPUTED_VALUE"""),"Shavia")</f>
        <v>Shavia</v>
      </c>
      <c r="F99" s="55" t="str">
        <f ca="1">IFERROR(__xludf.DUMMYFUNCTION("""COMPUTED_VALUE"""),"Kingdom of Shavia")</f>
        <v>Kingdom of Shavia</v>
      </c>
      <c r="G99" s="55" t="str">
        <f ca="1">IFERROR(__xludf.DUMMYFUNCTION("""COMPUTED_VALUE"""),"Shavian")</f>
        <v>Shavian</v>
      </c>
      <c r="H99" s="55" t="str">
        <f ca="1">IFERROR(__xludf.DUMMYFUNCTION("""COMPUTED_VALUE"""),"Path of Guiding Light")</f>
        <v>Path of Guiding Light</v>
      </c>
      <c r="I99" s="55">
        <f ca="1">IFERROR(__xludf.DUMMYFUNCTION("""COMPUTED_VALUE"""),17676)</f>
        <v>17676</v>
      </c>
      <c r="J99" s="55">
        <f ca="1">IFERROR(__xludf.DUMMYFUNCTION("""COMPUTED_VALUE"""),354.174220602209)</f>
        <v>354.174220602209</v>
      </c>
      <c r="K99" s="55">
        <f ca="1">IFERROR(__xludf.DUMMYFUNCTION("""COMPUTED_VALUE"""),829.085514947454)</f>
        <v>829.08551494745404</v>
      </c>
      <c r="L99" s="55">
        <f ca="1">IFERROR(__xludf.DUMMYFUNCTION("""COMPUTED_VALUE"""),-33.95)</f>
        <v>-33.950000000000003</v>
      </c>
      <c r="M99" s="55">
        <f ca="1">IFERROR(__xludf.DUMMYFUNCTION("""COMPUTED_VALUE"""),-13.56)</f>
        <v>-13.56</v>
      </c>
      <c r="N99" s="55">
        <f ca="1">IFERROR(__xludf.DUMMYFUNCTION("""COMPUTED_VALUE"""),161)</f>
        <v>161</v>
      </c>
      <c r="O99" s="55" t="str">
        <f ca="1">IFERROR(__xludf.DUMMYFUNCTION("""COMPUTED_VALUE"""),"39°F")</f>
        <v>39°F</v>
      </c>
      <c r="P99" s="55" t="str">
        <f ca="1">IFERROR(__xludf.DUMMYFUNCTION("""COMPUTED_VALUE"""),"Reykjavik")</f>
        <v>Reykjavik</v>
      </c>
      <c r="Q99" s="55" t="str">
        <f ca="1">IFERROR(__xludf.DUMMYFUNCTION("""COMPUTED_VALUE"""),"")</f>
        <v/>
      </c>
      <c r="R99" s="55" t="str">
        <f ca="1">IFERROR(__xludf.DUMMYFUNCTION("""COMPUTED_VALUE"""),"")</f>
        <v/>
      </c>
      <c r="S99" s="55" t="str">
        <f ca="1">IFERROR(__xludf.DUMMYFUNCTION("""COMPUTED_VALUE"""),"")</f>
        <v/>
      </c>
      <c r="T99" s="55" t="str">
        <f ca="1">IFERROR(__xludf.DUMMYFUNCTION("""COMPUTED_VALUE"""),"walls")</f>
        <v>walls</v>
      </c>
      <c r="U99" s="55" t="str">
        <f ca="1">IFERROR(__xludf.DUMMYFUNCTION("""COMPUTED_VALUE"""),"")</f>
        <v/>
      </c>
      <c r="V99" s="189" t="str">
        <f ca="1">IFERROR(__xludf.DUMMYFUNCTION("""COMPUTED_VALUE"""),"")</f>
        <v/>
      </c>
      <c r="W99" s="189" t="str">
        <f ca="1">IFERROR(__xludf.DUMMYFUNCTION("""COMPUTED_VALUE"""),"")</f>
        <v/>
      </c>
      <c r="X99" s="189" t="str">
        <f ca="1">IFERROR(__xludf.DUMMYFUNCTION("""COMPUTED_VALUE"""),"{t1:argent;division:{division:perCross;t:azure;line:embattledGrady};charges:[{charge:fusil;t:gules;p:j;size:0.6};{charge:horseSalient;t:argent;p:l;size:0.6};{charge:cowHorns;t:or;p:m;size:0.6};{charge:lionRampant;t:vert;p:o;size:0.6}];shield:fantasy5}")</f>
        <v>{t1:argent;division:{division:perCross;t:azure;line:embattledGrady};charges:[{charge:fusil;t:gules;p:j;size:0.6};{charge:horseSalient;t:argent;p:l;size:0.6};{charge:cowHorns;t:or;p:m;size:0.6};{charge:lionRampant;t:vert;p:o;size:0.6}];shield:fantasy5}</v>
      </c>
      <c r="Y99" s="193" t="str">
        <f ca="1">IFERROR(__xludf.DUMMYFUNCTION("""COMPUTED_VALUE"""),"https://watabou.github.io/city-generator/?name=Dewgronac&amp;population=17676&amp;size=38&amp;seed=3550748350647&amp;river=0&amp;coast=0&amp;farms=1&amp;citadel=0&amp;urban_castle=0&amp;hub=false&amp;plaza=0&amp;temple=0&amp;walls=1&amp;shantytown=0&amp;gates=-1")</f>
        <v>https://watabou.github.io/city-generator/?name=Dewgronac&amp;population=17676&amp;size=38&amp;seed=3550748350647&amp;river=0&amp;coast=0&amp;farms=1&amp;citadel=0&amp;urban_castle=0&amp;hub=false&amp;plaza=0&amp;temple=0&amp;walls=1&amp;shantytown=0&amp;gates=-1</v>
      </c>
      <c r="Z99" s="189"/>
    </row>
    <row r="100" spans="1:26" ht="15" x14ac:dyDescent="0.25">
      <c r="A100" s="55">
        <f ca="1">IFERROR(__xludf.DUMMYFUNCTION("""COMPUTED_VALUE"""),658)</f>
        <v>658</v>
      </c>
      <c r="B100" s="55" t="str">
        <f ca="1">IFERROR(__xludf.DUMMYFUNCTION("""COMPUTED_VALUE"""),"Metagith")</f>
        <v>Metagith</v>
      </c>
      <c r="C100" s="55" t="str">
        <f ca="1">IFERROR(__xludf.DUMMYFUNCTION("""COMPUTED_VALUE"""),"Crownlands")</f>
        <v>Crownlands</v>
      </c>
      <c r="D100" s="55" t="str">
        <f ca="1">IFERROR(__xludf.DUMMYFUNCTION("""COMPUTED_VALUE"""),"Uzd Province")</f>
        <v>Uzd Province</v>
      </c>
      <c r="E100" s="55" t="str">
        <f ca="1">IFERROR(__xludf.DUMMYFUNCTION("""COMPUTED_VALUE"""),"Shavia")</f>
        <v>Shavia</v>
      </c>
      <c r="F100" s="55" t="str">
        <f ca="1">IFERROR(__xludf.DUMMYFUNCTION("""COMPUTED_VALUE"""),"Kingdom of Shavia")</f>
        <v>Kingdom of Shavia</v>
      </c>
      <c r="G100" s="55" t="str">
        <f ca="1">IFERROR(__xludf.DUMMYFUNCTION("""COMPUTED_VALUE"""),"Aranvers")</f>
        <v>Aranvers</v>
      </c>
      <c r="H100" s="55" t="str">
        <f ca="1">IFERROR(__xludf.DUMMYFUNCTION("""COMPUTED_VALUE"""),"Path of Guiding Light")</f>
        <v>Path of Guiding Light</v>
      </c>
      <c r="I100" s="55">
        <f ca="1">IFERROR(__xludf.DUMMYFUNCTION("""COMPUTED_VALUE"""),1958)</f>
        <v>1958</v>
      </c>
      <c r="J100" s="55">
        <f ca="1">IFERROR(__xludf.DUMMYFUNCTION("""COMPUTED_VALUE"""),410.126897654941)</f>
        <v>410.12689765494099</v>
      </c>
      <c r="K100" s="55">
        <f ca="1">IFERROR(__xludf.DUMMYFUNCTION("""COMPUTED_VALUE"""),528.28392311197)</f>
        <v>528.28392311197001</v>
      </c>
      <c r="L100" s="55">
        <f ca="1">IFERROR(__xludf.DUMMYFUNCTION("""COMPUTED_VALUE"""),-24.21)</f>
        <v>-24.21</v>
      </c>
      <c r="M100" s="55">
        <f ca="1">IFERROR(__xludf.DUMMYFUNCTION("""COMPUTED_VALUE"""),-11.75)</f>
        <v>-11.75</v>
      </c>
      <c r="N100" s="55">
        <f ca="1">IFERROR(__xludf.DUMMYFUNCTION("""COMPUTED_VALUE"""),82)</f>
        <v>82</v>
      </c>
      <c r="O100" s="55" t="str">
        <f ca="1">IFERROR(__xludf.DUMMYFUNCTION("""COMPUTED_VALUE"""),"48°F")</f>
        <v>48°F</v>
      </c>
      <c r="P100" s="55" t="str">
        <f ca="1">IFERROR(__xludf.DUMMYFUNCTION("""COMPUTED_VALUE"""),"Copenhagen")</f>
        <v>Copenhagen</v>
      </c>
      <c r="Q100" s="55" t="str">
        <f ca="1">IFERROR(__xludf.DUMMYFUNCTION("""COMPUTED_VALUE"""),"")</f>
        <v/>
      </c>
      <c r="R100" s="55" t="str">
        <f ca="1">IFERROR(__xludf.DUMMYFUNCTION("""COMPUTED_VALUE"""),"")</f>
        <v/>
      </c>
      <c r="S100" s="55" t="str">
        <f ca="1">IFERROR(__xludf.DUMMYFUNCTION("""COMPUTED_VALUE"""),"")</f>
        <v/>
      </c>
      <c r="T100" s="55" t="str">
        <f ca="1">IFERROR(__xludf.DUMMYFUNCTION("""COMPUTED_VALUE"""),"walls")</f>
        <v>walls</v>
      </c>
      <c r="U100" s="55" t="str">
        <f ca="1">IFERROR(__xludf.DUMMYFUNCTION("""COMPUTED_VALUE"""),"plaza")</f>
        <v>plaza</v>
      </c>
      <c r="V100" s="189" t="str">
        <f ca="1">IFERROR(__xludf.DUMMYFUNCTION("""COMPUTED_VALUE"""),"")</f>
        <v/>
      </c>
      <c r="W100" s="189" t="str">
        <f ca="1">IFERROR(__xludf.DUMMYFUNCTION("""COMPUTED_VALUE"""),"")</f>
        <v/>
      </c>
      <c r="X100" s="189" t="str">
        <f ca="1">IFERROR(__xludf.DUMMYFUNCTION("""COMPUTED_VALUE"""),"{t1:argent;charges:[{charge:arrowsSheaf;t:purpure;p:e;size:1.5}];shield:hessen}")</f>
        <v>{t1:argent;charges:[{charge:arrowsSheaf;t:purpure;p:e;size:1.5}];shield:hessen}</v>
      </c>
      <c r="Y100" s="193" t="str">
        <f ca="1">IFERROR(__xludf.DUMMYFUNCTION("""COMPUTED_VALUE"""),"https://watabou.github.io/city-generator/?name=Metagith&amp;population=1958&amp;size=17&amp;seed=3550748350658&amp;river=0&amp;coast=0&amp;farms=1&amp;citadel=0&amp;urban_castle=0&amp;hub=false&amp;plaza=1&amp;temple=0&amp;walls=1&amp;shantytown=0&amp;gates=-1")</f>
        <v>https://watabou.github.io/city-generator/?name=Metagith&amp;population=1958&amp;size=17&amp;seed=3550748350658&amp;river=0&amp;coast=0&amp;farms=1&amp;citadel=0&amp;urban_castle=0&amp;hub=false&amp;plaza=1&amp;temple=0&amp;walls=1&amp;shantytown=0&amp;gates=-1</v>
      </c>
      <c r="Z100" s="189"/>
    </row>
    <row r="101" spans="1:26" ht="15" x14ac:dyDescent="0.25">
      <c r="A101" s="55">
        <f ca="1">IFERROR(__xludf.DUMMYFUNCTION("""COMPUTED_VALUE"""),660)</f>
        <v>660</v>
      </c>
      <c r="B101" s="55" t="str">
        <f ca="1">IFERROR(__xludf.DUMMYFUNCTION("""COMPUTED_VALUE"""),"Dewbaymond")</f>
        <v>Dewbaymond</v>
      </c>
      <c r="C101" s="55" t="str">
        <f ca="1">IFERROR(__xludf.DUMMYFUNCTION("""COMPUTED_VALUE"""),"Swanhall")</f>
        <v>Swanhall</v>
      </c>
      <c r="D101" s="55" t="str">
        <f ca="1">IFERROR(__xludf.DUMMYFUNCTION("""COMPUTED_VALUE"""),"Swanhall Province")</f>
        <v>Swanhall Province</v>
      </c>
      <c r="E101" s="55" t="str">
        <f ca="1">IFERROR(__xludf.DUMMYFUNCTION("""COMPUTED_VALUE"""),"Shavia")</f>
        <v>Shavia</v>
      </c>
      <c r="F101" s="55" t="str">
        <f ca="1">IFERROR(__xludf.DUMMYFUNCTION("""COMPUTED_VALUE"""),"Kingdom of Shavia")</f>
        <v>Kingdom of Shavia</v>
      </c>
      <c r="G101" s="55" t="str">
        <f ca="1">IFERROR(__xludf.DUMMYFUNCTION("""COMPUTED_VALUE"""),"Eastern Shavian")</f>
        <v>Eastern Shavian</v>
      </c>
      <c r="H101" s="55" t="str">
        <f ca="1">IFERROR(__xludf.DUMMYFUNCTION("""COMPUTED_VALUE"""),"Path of Guiding Light")</f>
        <v>Path of Guiding Light</v>
      </c>
      <c r="I101" s="55">
        <f ca="1">IFERROR(__xludf.DUMMYFUNCTION("""COMPUTED_VALUE"""),12334)</f>
        <v>12334</v>
      </c>
      <c r="J101" s="55">
        <f ca="1">IFERROR(__xludf.DUMMYFUNCTION("""COMPUTED_VALUE"""),1169.58474691711)</f>
        <v>1169.5847469171099</v>
      </c>
      <c r="K101" s="55">
        <f ca="1">IFERROR(__xludf.DUMMYFUNCTION("""COMPUTED_VALUE"""),724.789724921163)</f>
        <v>724.78972492116304</v>
      </c>
      <c r="L101" s="55">
        <f ca="1">IFERROR(__xludf.DUMMYFUNCTION("""COMPUTED_VALUE"""),-30.57)</f>
        <v>-30.57</v>
      </c>
      <c r="M101" s="55">
        <f ca="1">IFERROR(__xludf.DUMMYFUNCTION("""COMPUTED_VALUE"""),12.78)</f>
        <v>12.78</v>
      </c>
      <c r="N101" s="55">
        <f ca="1">IFERROR(__xludf.DUMMYFUNCTION("""COMPUTED_VALUE"""),210)</f>
        <v>210</v>
      </c>
      <c r="O101" s="55" t="str">
        <f ca="1">IFERROR(__xludf.DUMMYFUNCTION("""COMPUTED_VALUE"""),"43°F")</f>
        <v>43°F</v>
      </c>
      <c r="P101" s="55" t="str">
        <f ca="1">IFERROR(__xludf.DUMMYFUNCTION("""COMPUTED_VALUE"""),"Stockholm")</f>
        <v>Stockholm</v>
      </c>
      <c r="Q101" s="55" t="str">
        <f ca="1">IFERROR(__xludf.DUMMYFUNCTION("""COMPUTED_VALUE"""),"")</f>
        <v/>
      </c>
      <c r="R101" s="55" t="str">
        <f ca="1">IFERROR(__xludf.DUMMYFUNCTION("""COMPUTED_VALUE"""),"")</f>
        <v/>
      </c>
      <c r="S101" s="55" t="str">
        <f ca="1">IFERROR(__xludf.DUMMYFUNCTION("""COMPUTED_VALUE"""),"citadel")</f>
        <v>citadel</v>
      </c>
      <c r="T101" s="55" t="str">
        <f ca="1">IFERROR(__xludf.DUMMYFUNCTION("""COMPUTED_VALUE"""),"")</f>
        <v/>
      </c>
      <c r="U101" s="55" t="str">
        <f ca="1">IFERROR(__xludf.DUMMYFUNCTION("""COMPUTED_VALUE"""),"")</f>
        <v/>
      </c>
      <c r="V101" s="189" t="str">
        <f ca="1">IFERROR(__xludf.DUMMYFUNCTION("""COMPUTED_VALUE"""),"")</f>
        <v/>
      </c>
      <c r="W101" s="189" t="str">
        <f ca="1">IFERROR(__xludf.DUMMYFUNCTION("""COMPUTED_VALUE"""),"")</f>
        <v/>
      </c>
      <c r="X101" s="189" t="str">
        <f ca="1">IFERROR(__xludf.DUMMYFUNCTION("""COMPUTED_VALUE"""),"{t1:argent;division:{division:perBend;t:gules;line:straight};shield:horsehead2}")</f>
        <v>{t1:argent;division:{division:perBend;t:gules;line:straight};shield:horsehead2}</v>
      </c>
      <c r="Y101" s="193" t="str">
        <f ca="1">IFERROR(__xludf.DUMMYFUNCTION("""COMPUTED_VALUE"""),"https://watabou.github.io/city-generator/?name=Dewbaymond&amp;population=12334&amp;size=33&amp;seed=3550748350660&amp;river=0&amp;coast=0&amp;farms=0&amp;citadel=1&amp;urban_castle=1&amp;hub=false&amp;plaza=0&amp;temple=0&amp;walls=0&amp;shantytown=0&amp;gates=-1")</f>
        <v>https://watabou.github.io/city-generator/?name=Dewbaymond&amp;population=12334&amp;size=33&amp;seed=3550748350660&amp;river=0&amp;coast=0&amp;farms=0&amp;citadel=1&amp;urban_castle=1&amp;hub=false&amp;plaza=0&amp;temple=0&amp;walls=0&amp;shantytown=0&amp;gates=-1</v>
      </c>
      <c r="Z101" s="189"/>
    </row>
    <row r="102" spans="1:26" ht="15" x14ac:dyDescent="0.25">
      <c r="A102" s="55">
        <f ca="1">IFERROR(__xludf.DUMMYFUNCTION("""COMPUTED_VALUE"""),662)</f>
        <v>662</v>
      </c>
      <c r="B102" s="55" t="str">
        <f ca="1">IFERROR(__xludf.DUMMYFUNCTION("""COMPUTED_VALUE"""),"Curcairn")</f>
        <v>Curcairn</v>
      </c>
      <c r="C102" s="55" t="str">
        <f ca="1">IFERROR(__xludf.DUMMYFUNCTION("""COMPUTED_VALUE"""),"Dreghold")</f>
        <v>Dreghold</v>
      </c>
      <c r="D102" s="55" t="str">
        <f ca="1">IFERROR(__xludf.DUMMYFUNCTION("""COMPUTED_VALUE"""),"Dreghold Province")</f>
        <v>Dreghold Province</v>
      </c>
      <c r="E102" s="55" t="str">
        <f ca="1">IFERROR(__xludf.DUMMYFUNCTION("""COMPUTED_VALUE"""),"Shavia")</f>
        <v>Shavia</v>
      </c>
      <c r="F102" s="55" t="str">
        <f ca="1">IFERROR(__xludf.DUMMYFUNCTION("""COMPUTED_VALUE"""),"Kingdom of Shavia")</f>
        <v>Kingdom of Shavia</v>
      </c>
      <c r="G102" s="55" t="str">
        <f ca="1">IFERROR(__xludf.DUMMYFUNCTION("""COMPUTED_VALUE"""),"Shavian")</f>
        <v>Shavian</v>
      </c>
      <c r="H102" s="55" t="str">
        <f ca="1">IFERROR(__xludf.DUMMYFUNCTION("""COMPUTED_VALUE"""),"Path of Guiding Light")</f>
        <v>Path of Guiding Light</v>
      </c>
      <c r="I102" s="55">
        <f ca="1">IFERROR(__xludf.DUMMYFUNCTION("""COMPUTED_VALUE"""),19353)</f>
        <v>19353</v>
      </c>
      <c r="J102" s="55">
        <f ca="1">IFERROR(__xludf.DUMMYFUNCTION("""COMPUTED_VALUE"""),525.982997305344)</f>
        <v>525.98299730534404</v>
      </c>
      <c r="K102" s="55">
        <f ca="1">IFERROR(__xludf.DUMMYFUNCTION("""COMPUTED_VALUE"""),919.972124281804)</f>
        <v>919.97212428180399</v>
      </c>
      <c r="L102" s="55">
        <f ca="1">IFERROR(__xludf.DUMMYFUNCTION("""COMPUTED_VALUE"""),-36.89)</f>
        <v>-36.89</v>
      </c>
      <c r="M102" s="55">
        <f ca="1">IFERROR(__xludf.DUMMYFUNCTION("""COMPUTED_VALUE"""),-8.01)</f>
        <v>-8.01</v>
      </c>
      <c r="N102" s="55">
        <f ca="1">IFERROR(__xludf.DUMMYFUNCTION("""COMPUTED_VALUE"""),52)</f>
        <v>52</v>
      </c>
      <c r="O102" s="55" t="str">
        <f ca="1">IFERROR(__xludf.DUMMYFUNCTION("""COMPUTED_VALUE"""),"37°F")</f>
        <v>37°F</v>
      </c>
      <c r="P102" s="55" t="str">
        <f ca="1">IFERROR(__xludf.DUMMYFUNCTION("""COMPUTED_VALUE"""),"Tromsø")</f>
        <v>Tromsø</v>
      </c>
      <c r="Q102" s="55" t="str">
        <f ca="1">IFERROR(__xludf.DUMMYFUNCTION("""COMPUTED_VALUE"""),"")</f>
        <v/>
      </c>
      <c r="R102" s="55" t="str">
        <f ca="1">IFERROR(__xludf.DUMMYFUNCTION("""COMPUTED_VALUE"""),"")</f>
        <v/>
      </c>
      <c r="S102" s="55" t="str">
        <f ca="1">IFERROR(__xludf.DUMMYFUNCTION("""COMPUTED_VALUE"""),"citadel")</f>
        <v>citadel</v>
      </c>
      <c r="T102" s="55" t="str">
        <f ca="1">IFERROR(__xludf.DUMMYFUNCTION("""COMPUTED_VALUE"""),"walls")</f>
        <v>walls</v>
      </c>
      <c r="U102" s="55" t="str">
        <f ca="1">IFERROR(__xludf.DUMMYFUNCTION("""COMPUTED_VALUE"""),"")</f>
        <v/>
      </c>
      <c r="V102" s="189" t="str">
        <f ca="1">IFERROR(__xludf.DUMMYFUNCTION("""COMPUTED_VALUE"""),"")</f>
        <v/>
      </c>
      <c r="W102" s="189" t="str">
        <f ca="1">IFERROR(__xludf.DUMMYFUNCTION("""COMPUTED_VALUE"""),"")</f>
        <v/>
      </c>
      <c r="X102" s="189" t="str">
        <f ca="1">IFERROR(__xludf.DUMMYFUNCTION("""COMPUTED_VALUE"""),"{t1:purpure;charges:[{charge:crossTemplar;t:argent;p:e;size:1.5}];shield:fantasy5}")</f>
        <v>{t1:purpure;charges:[{charge:crossTemplar;t:argent;p:e;size:1.5}];shield:fantasy5}</v>
      </c>
      <c r="Y102" s="193" t="str">
        <f ca="1">IFERROR(__xludf.DUMMYFUNCTION("""COMPUTED_VALUE"""),"https://watabou.github.io/city-generator/?name=Curcairn&amp;population=19353&amp;size=40&amp;seed=3550748350662&amp;river=0&amp;coast=0&amp;farms=0&amp;citadel=1&amp;urban_castle=1&amp;hub=false&amp;plaza=0&amp;temple=0&amp;walls=1&amp;shantytown=0&amp;gates=-1")</f>
        <v>https://watabou.github.io/city-generator/?name=Curcairn&amp;population=19353&amp;size=40&amp;seed=3550748350662&amp;river=0&amp;coast=0&amp;farms=0&amp;citadel=1&amp;urban_castle=1&amp;hub=false&amp;plaza=0&amp;temple=0&amp;walls=1&amp;shantytown=0&amp;gates=-1</v>
      </c>
      <c r="Z102" s="189"/>
    </row>
    <row r="103" spans="1:26" ht="15" x14ac:dyDescent="0.25">
      <c r="A103" s="55">
        <f ca="1">IFERROR(__xludf.DUMMYFUNCTION("""COMPUTED_VALUE"""),682)</f>
        <v>682</v>
      </c>
      <c r="B103" s="55" t="str">
        <f ca="1">IFERROR(__xludf.DUMMYFUNCTION("""COMPUTED_VALUE"""),"Belldyard")</f>
        <v>Belldyard</v>
      </c>
      <c r="C103" s="55" t="str">
        <f ca="1">IFERROR(__xludf.DUMMYFUNCTION("""COMPUTED_VALUE"""),"Swanhall")</f>
        <v>Swanhall</v>
      </c>
      <c r="D103" s="55" t="str">
        <f ca="1">IFERROR(__xludf.DUMMYFUNCTION("""COMPUTED_VALUE"""),"Swanhall Province")</f>
        <v>Swanhall Province</v>
      </c>
      <c r="E103" s="55" t="str">
        <f ca="1">IFERROR(__xludf.DUMMYFUNCTION("""COMPUTED_VALUE"""),"Shavia")</f>
        <v>Shavia</v>
      </c>
      <c r="F103" s="55" t="str">
        <f ca="1">IFERROR(__xludf.DUMMYFUNCTION("""COMPUTED_VALUE"""),"Kingdom of Shavia")</f>
        <v>Kingdom of Shavia</v>
      </c>
      <c r="G103" s="55" t="str">
        <f ca="1">IFERROR(__xludf.DUMMYFUNCTION("""COMPUTED_VALUE"""),"Shavian")</f>
        <v>Shavian</v>
      </c>
      <c r="H103" s="55" t="str">
        <f ca="1">IFERROR(__xludf.DUMMYFUNCTION("""COMPUTED_VALUE"""),"Path of Guiding Light")</f>
        <v>Path of Guiding Light</v>
      </c>
      <c r="I103" s="55">
        <f ca="1">IFERROR(__xludf.DUMMYFUNCTION("""COMPUTED_VALUE"""),2101)</f>
        <v>2101</v>
      </c>
      <c r="J103" s="55">
        <f ca="1">IFERROR(__xludf.DUMMYFUNCTION("""COMPUTED_VALUE"""),1007.0008637524)</f>
        <v>1007.0008637524001</v>
      </c>
      <c r="K103" s="55">
        <f ca="1">IFERROR(__xludf.DUMMYFUNCTION("""COMPUTED_VALUE"""),776.597038421814)</f>
        <v>776.59703842181398</v>
      </c>
      <c r="L103" s="55">
        <f ca="1">IFERROR(__xludf.DUMMYFUNCTION("""COMPUTED_VALUE"""),-32.25)</f>
        <v>-32.25</v>
      </c>
      <c r="M103" s="55">
        <f ca="1">IFERROR(__xludf.DUMMYFUNCTION("""COMPUTED_VALUE"""),7.53)</f>
        <v>7.53</v>
      </c>
      <c r="N103" s="55">
        <f ca="1">IFERROR(__xludf.DUMMYFUNCTION("""COMPUTED_VALUE"""),554)</f>
        <v>554</v>
      </c>
      <c r="O103" s="55" t="str">
        <f ca="1">IFERROR(__xludf.DUMMYFUNCTION("""COMPUTED_VALUE"""),"39°F")</f>
        <v>39°F</v>
      </c>
      <c r="P103" s="55" t="str">
        <f ca="1">IFERROR(__xludf.DUMMYFUNCTION("""COMPUTED_VALUE"""),"Reykjavik")</f>
        <v>Reykjavik</v>
      </c>
      <c r="Q103" s="55" t="str">
        <f ca="1">IFERROR(__xludf.DUMMYFUNCTION("""COMPUTED_VALUE"""),"")</f>
        <v/>
      </c>
      <c r="R103" s="55" t="str">
        <f ca="1">IFERROR(__xludf.DUMMYFUNCTION("""COMPUTED_VALUE"""),"")</f>
        <v/>
      </c>
      <c r="S103" s="55" t="str">
        <f ca="1">IFERROR(__xludf.DUMMYFUNCTION("""COMPUTED_VALUE"""),"citadel")</f>
        <v>citadel</v>
      </c>
      <c r="T103" s="55" t="str">
        <f ca="1">IFERROR(__xludf.DUMMYFUNCTION("""COMPUTED_VALUE"""),"")</f>
        <v/>
      </c>
      <c r="U103" s="55" t="str">
        <f ca="1">IFERROR(__xludf.DUMMYFUNCTION("""COMPUTED_VALUE"""),"")</f>
        <v/>
      </c>
      <c r="V103" s="189" t="str">
        <f ca="1">IFERROR(__xludf.DUMMYFUNCTION("""COMPUTED_VALUE"""),"")</f>
        <v/>
      </c>
      <c r="W103" s="189" t="str">
        <f ca="1">IFERROR(__xludf.DUMMYFUNCTION("""COMPUTED_VALUE"""),"")</f>
        <v/>
      </c>
      <c r="X103" s="189" t="str">
        <f ca="1">IFERROR(__xludf.DUMMYFUNCTION("""COMPUTED_VALUE"""),"{t1:vair-azure-argent;division:{division:perBendSinister;t:bendy-or-purpure-smaller;line:straight};charges:[{charge:bugleHorn;t:sable;p:e;size:1.5}];shield:horsehead2}")</f>
        <v>{t1:vair-azure-argent;division:{division:perBendSinister;t:bendy-or-purpure-smaller;line:straight};charges:[{charge:bugleHorn;t:sable;p:e;size:1.5}];shield:horsehead2}</v>
      </c>
      <c r="Y103" s="193" t="str">
        <f ca="1">IFERROR(__xludf.DUMMYFUNCTION("""COMPUTED_VALUE"""),"https://watabou.github.io/city-generator/?name=Belldyard&amp;population=2101&amp;size=17&amp;seed=3550748350682&amp;river=0&amp;coast=0&amp;farms=0&amp;citadel=1&amp;urban_castle=1&amp;hub=false&amp;plaza=0&amp;temple=0&amp;walls=0&amp;shantytown=0&amp;gates=-1")</f>
        <v>https://watabou.github.io/city-generator/?name=Belldyard&amp;population=2101&amp;size=17&amp;seed=3550748350682&amp;river=0&amp;coast=0&amp;farms=0&amp;citadel=1&amp;urban_castle=1&amp;hub=false&amp;plaza=0&amp;temple=0&amp;walls=0&amp;shantytown=0&amp;gates=-1</v>
      </c>
      <c r="Z103" s="189"/>
    </row>
    <row r="104" spans="1:26" ht="15" x14ac:dyDescent="0.25">
      <c r="A104" s="55">
        <f ca="1">IFERROR(__xludf.DUMMYFUNCTION("""COMPUTED_VALUE"""),692)</f>
        <v>692</v>
      </c>
      <c r="B104" s="55" t="str">
        <f ca="1">IFERROR(__xludf.DUMMYFUNCTION("""COMPUTED_VALUE"""),"Efallshield")</f>
        <v>Efallshield</v>
      </c>
      <c r="C104" s="55" t="str">
        <f ca="1">IFERROR(__xludf.DUMMYFUNCTION("""COMPUTED_VALUE"""),"Swanhall")</f>
        <v>Swanhall</v>
      </c>
      <c r="D104" s="55" t="str">
        <f ca="1">IFERROR(__xludf.DUMMYFUNCTION("""COMPUTED_VALUE"""),"Swanhall Province")</f>
        <v>Swanhall Province</v>
      </c>
      <c r="E104" s="55" t="str">
        <f ca="1">IFERROR(__xludf.DUMMYFUNCTION("""COMPUTED_VALUE"""),"Shavia")</f>
        <v>Shavia</v>
      </c>
      <c r="F104" s="55" t="str">
        <f ca="1">IFERROR(__xludf.DUMMYFUNCTION("""COMPUTED_VALUE"""),"Kingdom of Shavia")</f>
        <v>Kingdom of Shavia</v>
      </c>
      <c r="G104" s="55" t="str">
        <f ca="1">IFERROR(__xludf.DUMMYFUNCTION("""COMPUTED_VALUE"""),"Eastern Shavian")</f>
        <v>Eastern Shavian</v>
      </c>
      <c r="H104" s="55" t="str">
        <f ca="1">IFERROR(__xludf.DUMMYFUNCTION("""COMPUTED_VALUE"""),"Path of Guiding Light")</f>
        <v>Path of Guiding Light</v>
      </c>
      <c r="I104" s="55">
        <f ca="1">IFERROR(__xludf.DUMMYFUNCTION("""COMPUTED_VALUE"""),26830)</f>
        <v>26830</v>
      </c>
      <c r="J104" s="55">
        <f ca="1">IFERROR(__xludf.DUMMYFUNCTION("""COMPUTED_VALUE"""),993.825224669034)</f>
        <v>993.82522466903401</v>
      </c>
      <c r="K104" s="55">
        <f ca="1">IFERROR(__xludf.DUMMYFUNCTION("""COMPUTED_VALUE"""),627.753186561191)</f>
        <v>627.753186561191</v>
      </c>
      <c r="L104" s="55">
        <f ca="1">IFERROR(__xludf.DUMMYFUNCTION("""COMPUTED_VALUE"""),-27.43)</f>
        <v>-27.43</v>
      </c>
      <c r="M104" s="55">
        <f ca="1">IFERROR(__xludf.DUMMYFUNCTION("""COMPUTED_VALUE"""),7.1)</f>
        <v>7.1</v>
      </c>
      <c r="N104" s="55">
        <f ca="1">IFERROR(__xludf.DUMMYFUNCTION("""COMPUTED_VALUE"""),1184)</f>
        <v>1184</v>
      </c>
      <c r="O104" s="55" t="str">
        <f ca="1">IFERROR(__xludf.DUMMYFUNCTION("""COMPUTED_VALUE"""),"41°F")</f>
        <v>41°F</v>
      </c>
      <c r="P104" s="55" t="str">
        <f ca="1">IFERROR(__xludf.DUMMYFUNCTION("""COMPUTED_VALUE"""),"Riga")</f>
        <v>Riga</v>
      </c>
      <c r="Q104" s="55" t="str">
        <f ca="1">IFERROR(__xludf.DUMMYFUNCTION("""COMPUTED_VALUE"""),"")</f>
        <v/>
      </c>
      <c r="R104" s="55" t="str">
        <f ca="1">IFERROR(__xludf.DUMMYFUNCTION("""COMPUTED_VALUE"""),"")</f>
        <v/>
      </c>
      <c r="S104" s="55" t="str">
        <f ca="1">IFERROR(__xludf.DUMMYFUNCTION("""COMPUTED_VALUE"""),"")</f>
        <v/>
      </c>
      <c r="T104" s="55" t="str">
        <f ca="1">IFERROR(__xludf.DUMMYFUNCTION("""COMPUTED_VALUE"""),"walls")</f>
        <v>walls</v>
      </c>
      <c r="U104" s="55" t="str">
        <f ca="1">IFERROR(__xludf.DUMMYFUNCTION("""COMPUTED_VALUE"""),"")</f>
        <v/>
      </c>
      <c r="V104" s="189" t="str">
        <f ca="1">IFERROR(__xludf.DUMMYFUNCTION("""COMPUTED_VALUE"""),"")</f>
        <v/>
      </c>
      <c r="W104" s="189" t="str">
        <f ca="1">IFERROR(__xludf.DUMMYFUNCTION("""COMPUTED_VALUE"""),"")</f>
        <v/>
      </c>
      <c r="X104" s="189" t="str">
        <f ca="1">IFERROR(__xludf.DUMMYFUNCTION("""COMPUTED_VALUE"""),"{t1:azure;charges:[{charge:crossClechy;t:argent;p:abcpqh;size:0.5}];shield:horsehead2}")</f>
        <v>{t1:azure;charges:[{charge:crossClechy;t:argent;p:abcpqh;size:0.5}];shield:horsehead2}</v>
      </c>
      <c r="Y104" s="193" t="str">
        <f ca="1">IFERROR(__xludf.DUMMYFUNCTION("""COMPUTED_VALUE"""),"https://watabou.github.io/city-generator/?name=Efallshield&amp;population=26830&amp;size=45&amp;seed=3550748350692&amp;river=1&amp;coast=0&amp;farms=1&amp;citadel=0&amp;urban_castle=0&amp;hub=false&amp;plaza=0&amp;temple=0&amp;walls=1&amp;shantytown=0&amp;gates=-1")</f>
        <v>https://watabou.github.io/city-generator/?name=Efallshield&amp;population=26830&amp;size=45&amp;seed=3550748350692&amp;river=1&amp;coast=0&amp;farms=1&amp;citadel=0&amp;urban_castle=0&amp;hub=false&amp;plaza=0&amp;temple=0&amp;walls=1&amp;shantytown=0&amp;gates=-1</v>
      </c>
      <c r="Z104" s="189"/>
    </row>
    <row r="105" spans="1:26" ht="15" x14ac:dyDescent="0.25">
      <c r="A105" s="55">
        <f ca="1">IFERROR(__xludf.DUMMYFUNCTION("""COMPUTED_VALUE"""),720)</f>
        <v>720</v>
      </c>
      <c r="B105" s="55" t="str">
        <f ca="1">IFERROR(__xludf.DUMMYFUNCTION("""COMPUTED_VALUE"""),"Snowstorm")</f>
        <v>Snowstorm</v>
      </c>
      <c r="C105" s="55" t="str">
        <f ca="1">IFERROR(__xludf.DUMMYFUNCTION("""COMPUTED_VALUE"""),"Sirong")</f>
        <v>Sirong</v>
      </c>
      <c r="D105" s="55" t="str">
        <f ca="1">IFERROR(__xludf.DUMMYFUNCTION("""COMPUTED_VALUE"""),"Sirong Lordship")</f>
        <v>Sirong Lordship</v>
      </c>
      <c r="E105" s="55" t="str">
        <f ca="1">IFERROR(__xludf.DUMMYFUNCTION("""COMPUTED_VALUE"""),"Shavia")</f>
        <v>Shavia</v>
      </c>
      <c r="F105" s="55" t="str">
        <f ca="1">IFERROR(__xludf.DUMMYFUNCTION("""COMPUTED_VALUE"""),"Kingdom of Shavia")</f>
        <v>Kingdom of Shavia</v>
      </c>
      <c r="G105" s="55" t="str">
        <f ca="1">IFERROR(__xludf.DUMMYFUNCTION("""COMPUTED_VALUE"""),"Shavian")</f>
        <v>Shavian</v>
      </c>
      <c r="H105" s="55" t="str">
        <f ca="1">IFERROR(__xludf.DUMMYFUNCTION("""COMPUTED_VALUE"""),"Path of Guiding Light")</f>
        <v>Path of Guiding Light</v>
      </c>
      <c r="I105" s="55">
        <f ca="1">IFERROR(__xludf.DUMMYFUNCTION("""COMPUTED_VALUE"""),12238)</f>
        <v>12238</v>
      </c>
      <c r="J105" s="55">
        <f ca="1">IFERROR(__xludf.DUMMYFUNCTION("""COMPUTED_VALUE"""),266.94642980209)</f>
        <v>266.94642980208999</v>
      </c>
      <c r="K105" s="55">
        <f ca="1">IFERROR(__xludf.DUMMYFUNCTION("""COMPUTED_VALUE"""),820.074701216875)</f>
        <v>820.07470121687504</v>
      </c>
      <c r="L105" s="55">
        <f ca="1">IFERROR(__xludf.DUMMYFUNCTION("""COMPUTED_VALUE"""),-33.65)</f>
        <v>-33.65</v>
      </c>
      <c r="M105" s="55">
        <f ca="1">IFERROR(__xludf.DUMMYFUNCTION("""COMPUTED_VALUE"""),-16.38)</f>
        <v>-16.38</v>
      </c>
      <c r="N105" s="55">
        <f ca="1">IFERROR(__xludf.DUMMYFUNCTION("""COMPUTED_VALUE"""),840)</f>
        <v>840</v>
      </c>
      <c r="O105" s="55" t="str">
        <f ca="1">IFERROR(__xludf.DUMMYFUNCTION("""COMPUTED_VALUE"""),"39°F")</f>
        <v>39°F</v>
      </c>
      <c r="P105" s="55" t="str">
        <f ca="1">IFERROR(__xludf.DUMMYFUNCTION("""COMPUTED_VALUE"""),"Reykjavik")</f>
        <v>Reykjavik</v>
      </c>
      <c r="Q105" s="55" t="str">
        <f ca="1">IFERROR(__xludf.DUMMYFUNCTION("""COMPUTED_VALUE"""),"")</f>
        <v/>
      </c>
      <c r="R105" s="55" t="str">
        <f ca="1">IFERROR(__xludf.DUMMYFUNCTION("""COMPUTED_VALUE"""),"")</f>
        <v/>
      </c>
      <c r="S105" s="55" t="str">
        <f ca="1">IFERROR(__xludf.DUMMYFUNCTION("""COMPUTED_VALUE"""),"")</f>
        <v/>
      </c>
      <c r="T105" s="55" t="str">
        <f ca="1">IFERROR(__xludf.DUMMYFUNCTION("""COMPUTED_VALUE"""),"")</f>
        <v/>
      </c>
      <c r="U105" s="55" t="str">
        <f ca="1">IFERROR(__xludf.DUMMYFUNCTION("""COMPUTED_VALUE"""),"")</f>
        <v/>
      </c>
      <c r="V105" s="189" t="str">
        <f ca="1">IFERROR(__xludf.DUMMYFUNCTION("""COMPUTED_VALUE"""),"")</f>
        <v/>
      </c>
      <c r="W105" s="189" t="str">
        <f ca="1">IFERROR(__xludf.DUMMYFUNCTION("""COMPUTED_VALUE"""),"")</f>
        <v/>
      </c>
      <c r="X105" s="189" t="str">
        <f ca="1">IFERROR(__xludf.DUMMYFUNCTION("""COMPUTED_VALUE"""),"{t1:azure;charges:[{charge:buckle;t:or;p:beh;size:0.5}];shield:fantasy5}")</f>
        <v>{t1:azure;charges:[{charge:buckle;t:or;p:beh;size:0.5}];shield:fantasy5}</v>
      </c>
      <c r="Y105" s="193" t="str">
        <f ca="1">IFERROR(__xludf.DUMMYFUNCTION("""COMPUTED_VALUE"""),"https://watabou.github.io/city-generator/?name=Snowstorm&amp;population=12238&amp;size=33&amp;seed=3550748350720&amp;river=0&amp;coast=0&amp;farms=1&amp;citadel=0&amp;urban_castle=0&amp;hub=false&amp;plaza=0&amp;temple=0&amp;walls=0&amp;shantytown=0&amp;gates=-1")</f>
        <v>https://watabou.github.io/city-generator/?name=Snowstorm&amp;population=12238&amp;size=33&amp;seed=3550748350720&amp;river=0&amp;coast=0&amp;farms=1&amp;citadel=0&amp;urban_castle=0&amp;hub=false&amp;plaza=0&amp;temple=0&amp;walls=0&amp;shantytown=0&amp;gates=-1</v>
      </c>
      <c r="Z105" s="189"/>
    </row>
    <row r="106" spans="1:26" ht="15" x14ac:dyDescent="0.25">
      <c r="A106" s="55">
        <f ca="1">IFERROR(__xludf.DUMMYFUNCTION("""COMPUTED_VALUE"""),721)</f>
        <v>721</v>
      </c>
      <c r="B106" s="55" t="str">
        <f ca="1">IFERROR(__xludf.DUMMYFUNCTION("""COMPUTED_VALUE"""),"Vidanntyr")</f>
        <v>Vidanntyr</v>
      </c>
      <c r="C106" s="55" t="str">
        <f ca="1">IFERROR(__xludf.DUMMYFUNCTION("""COMPUTED_VALUE"""),"Sirong")</f>
        <v>Sirong</v>
      </c>
      <c r="D106" s="55" t="str">
        <f ca="1">IFERROR(__xludf.DUMMYFUNCTION("""COMPUTED_VALUE"""),"Sirong Lordship")</f>
        <v>Sirong Lordship</v>
      </c>
      <c r="E106" s="55" t="str">
        <f ca="1">IFERROR(__xludf.DUMMYFUNCTION("""COMPUTED_VALUE"""),"Shavia")</f>
        <v>Shavia</v>
      </c>
      <c r="F106" s="55" t="str">
        <f ca="1">IFERROR(__xludf.DUMMYFUNCTION("""COMPUTED_VALUE"""),"Kingdom of Shavia")</f>
        <v>Kingdom of Shavia</v>
      </c>
      <c r="G106" s="55" t="str">
        <f ca="1">IFERROR(__xludf.DUMMYFUNCTION("""COMPUTED_VALUE"""),"Aranvers")</f>
        <v>Aranvers</v>
      </c>
      <c r="H106" s="55" t="str">
        <f ca="1">IFERROR(__xludf.DUMMYFUNCTION("""COMPUTED_VALUE"""),"Path of Guiding Light")</f>
        <v>Path of Guiding Light</v>
      </c>
      <c r="I106" s="55">
        <f ca="1">IFERROR(__xludf.DUMMYFUNCTION("""COMPUTED_VALUE"""),2191)</f>
        <v>2191</v>
      </c>
      <c r="J106" s="55">
        <f ca="1">IFERROR(__xludf.DUMMYFUNCTION("""COMPUTED_VALUE"""),369.081959949128)</f>
        <v>369.08195994912802</v>
      </c>
      <c r="K106" s="55">
        <f ca="1">IFERROR(__xludf.DUMMYFUNCTION("""COMPUTED_VALUE"""),857.071584374177)</f>
        <v>857.07158437417695</v>
      </c>
      <c r="L106" s="55">
        <f ca="1">IFERROR(__xludf.DUMMYFUNCTION("""COMPUTED_VALUE"""),-34.85)</f>
        <v>-34.85</v>
      </c>
      <c r="M106" s="55">
        <f ca="1">IFERROR(__xludf.DUMMYFUNCTION("""COMPUTED_VALUE"""),-13.08)</f>
        <v>-13.08</v>
      </c>
      <c r="N106" s="55">
        <f ca="1">IFERROR(__xludf.DUMMYFUNCTION("""COMPUTED_VALUE"""),266)</f>
        <v>266</v>
      </c>
      <c r="O106" s="55" t="str">
        <f ca="1">IFERROR(__xludf.DUMMYFUNCTION("""COMPUTED_VALUE"""),"39°F")</f>
        <v>39°F</v>
      </c>
      <c r="P106" s="55" t="str">
        <f ca="1">IFERROR(__xludf.DUMMYFUNCTION("""COMPUTED_VALUE"""),"Reykjavik")</f>
        <v>Reykjavik</v>
      </c>
      <c r="Q106" s="55" t="str">
        <f ca="1">IFERROR(__xludf.DUMMYFUNCTION("""COMPUTED_VALUE"""),"")</f>
        <v/>
      </c>
      <c r="R106" s="55" t="str">
        <f ca="1">IFERROR(__xludf.DUMMYFUNCTION("""COMPUTED_VALUE"""),"")</f>
        <v/>
      </c>
      <c r="S106" s="55" t="str">
        <f ca="1">IFERROR(__xludf.DUMMYFUNCTION("""COMPUTED_VALUE"""),"citadel")</f>
        <v>citadel</v>
      </c>
      <c r="T106" s="55" t="str">
        <f ca="1">IFERROR(__xludf.DUMMYFUNCTION("""COMPUTED_VALUE"""),"")</f>
        <v/>
      </c>
      <c r="U106" s="55" t="str">
        <f ca="1">IFERROR(__xludf.DUMMYFUNCTION("""COMPUTED_VALUE"""),"")</f>
        <v/>
      </c>
      <c r="V106" s="189" t="str">
        <f ca="1">IFERROR(__xludf.DUMMYFUNCTION("""COMPUTED_VALUE"""),"")</f>
        <v/>
      </c>
      <c r="W106" s="189" t="str">
        <f ca="1">IFERROR(__xludf.DUMMYFUNCTION("""COMPUTED_VALUE"""),"")</f>
        <v/>
      </c>
      <c r="X106" s="189" t="str">
        <f ca="1">IFERROR(__xludf.DUMMYFUNCTION("""COMPUTED_VALUE"""),"{t1:argent;division:{division:perPale;t:gules;line:potentySinister};charges:[{charge:trefle;t:sable;p:p;size:0.7};{charge:billet;t:or;p:q;size:0.7}];shield:hessen}")</f>
        <v>{t1:argent;division:{division:perPale;t:gules;line:potentySinister};charges:[{charge:trefle;t:sable;p:p;size:0.7};{charge:billet;t:or;p:q;size:0.7}];shield:hessen}</v>
      </c>
      <c r="Y106" s="193" t="str">
        <f ca="1">IFERROR(__xludf.DUMMYFUNCTION("""COMPUTED_VALUE"""),"https://watabou.github.io/city-generator/?name=Vidanntyr&amp;population=2191&amp;size=17&amp;seed=3550748350721&amp;river=1&amp;coast=0&amp;farms=1&amp;citadel=1&amp;urban_castle=0&amp;hub=false&amp;plaza=0&amp;temple=0&amp;walls=0&amp;shantytown=0&amp;gates=-1")</f>
        <v>https://watabou.github.io/city-generator/?name=Vidanntyr&amp;population=2191&amp;size=17&amp;seed=3550748350721&amp;river=1&amp;coast=0&amp;farms=1&amp;citadel=1&amp;urban_castle=0&amp;hub=false&amp;plaza=0&amp;temple=0&amp;walls=0&amp;shantytown=0&amp;gates=-1</v>
      </c>
      <c r="Z106" s="189"/>
    </row>
    <row r="107" spans="1:26" ht="15" x14ac:dyDescent="0.25">
      <c r="A107" s="55">
        <f ca="1">IFERROR(__xludf.DUMMYFUNCTION("""COMPUTED_VALUE"""),734)</f>
        <v>734</v>
      </c>
      <c r="B107" s="55" t="str">
        <f ca="1">IFERROR(__xludf.DUMMYFUNCTION("""COMPUTED_VALUE"""),"Mondbaymond")</f>
        <v>Mondbaymond</v>
      </c>
      <c r="C107" s="55" t="str">
        <f ca="1">IFERROR(__xludf.DUMMYFUNCTION("""COMPUTED_VALUE"""),"Ralim")</f>
        <v>Ralim</v>
      </c>
      <c r="D107" s="55" t="str">
        <f ca="1">IFERROR(__xludf.DUMMYFUNCTION("""COMPUTED_VALUE"""),"Ralim Province")</f>
        <v>Ralim Province</v>
      </c>
      <c r="E107" s="55" t="str">
        <f ca="1">IFERROR(__xludf.DUMMYFUNCTION("""COMPUTED_VALUE"""),"Shavia")</f>
        <v>Shavia</v>
      </c>
      <c r="F107" s="55" t="str">
        <f ca="1">IFERROR(__xludf.DUMMYFUNCTION("""COMPUTED_VALUE"""),"Kingdom of Shavia")</f>
        <v>Kingdom of Shavia</v>
      </c>
      <c r="G107" s="55" t="str">
        <f ca="1">IFERROR(__xludf.DUMMYFUNCTION("""COMPUTED_VALUE"""),"Shavian")</f>
        <v>Shavian</v>
      </c>
      <c r="H107" s="55" t="str">
        <f ca="1">IFERROR(__xludf.DUMMYFUNCTION("""COMPUTED_VALUE"""),"Path of Guiding Light")</f>
        <v>Path of Guiding Light</v>
      </c>
      <c r="I107" s="55">
        <f ca="1">IFERROR(__xludf.DUMMYFUNCTION("""COMPUTED_VALUE"""),11279)</f>
        <v>11279</v>
      </c>
      <c r="J107" s="55">
        <f ca="1">IFERROR(__xludf.DUMMYFUNCTION("""COMPUTED_VALUE"""),280.10260708475)</f>
        <v>280.10260708474999</v>
      </c>
      <c r="K107" s="55">
        <f ca="1">IFERROR(__xludf.DUMMYFUNCTION("""COMPUTED_VALUE"""),661.636181604254)</f>
        <v>661.63618160425403</v>
      </c>
      <c r="L107" s="55">
        <f ca="1">IFERROR(__xludf.DUMMYFUNCTION("""COMPUTED_VALUE"""),-28.52)</f>
        <v>-28.52</v>
      </c>
      <c r="M107" s="55">
        <f ca="1">IFERROR(__xludf.DUMMYFUNCTION("""COMPUTED_VALUE"""),-15.95)</f>
        <v>-15.95</v>
      </c>
      <c r="N107" s="55">
        <f ca="1">IFERROR(__xludf.DUMMYFUNCTION("""COMPUTED_VALUE"""),397)</f>
        <v>397</v>
      </c>
      <c r="O107" s="55" t="str">
        <f ca="1">IFERROR(__xludf.DUMMYFUNCTION("""COMPUTED_VALUE"""),"43°F")</f>
        <v>43°F</v>
      </c>
      <c r="P107" s="55" t="str">
        <f ca="1">IFERROR(__xludf.DUMMYFUNCTION("""COMPUTED_VALUE"""),"Stockholm")</f>
        <v>Stockholm</v>
      </c>
      <c r="Q107" s="55" t="str">
        <f ca="1">IFERROR(__xludf.DUMMYFUNCTION("""COMPUTED_VALUE"""),"")</f>
        <v/>
      </c>
      <c r="R107" s="55" t="str">
        <f ca="1">IFERROR(__xludf.DUMMYFUNCTION("""COMPUTED_VALUE"""),"")</f>
        <v/>
      </c>
      <c r="S107" s="55" t="str">
        <f ca="1">IFERROR(__xludf.DUMMYFUNCTION("""COMPUTED_VALUE"""),"")</f>
        <v/>
      </c>
      <c r="T107" s="55" t="str">
        <f ca="1">IFERROR(__xludf.DUMMYFUNCTION("""COMPUTED_VALUE"""),"walls")</f>
        <v>walls</v>
      </c>
      <c r="U107" s="55" t="str">
        <f ca="1">IFERROR(__xludf.DUMMYFUNCTION("""COMPUTED_VALUE"""),"")</f>
        <v/>
      </c>
      <c r="V107" s="189" t="str">
        <f ca="1">IFERROR(__xludf.DUMMYFUNCTION("""COMPUTED_VALUE"""),"")</f>
        <v/>
      </c>
      <c r="W107" s="189" t="str">
        <f ca="1">IFERROR(__xludf.DUMMYFUNCTION("""COMPUTED_VALUE"""),"")</f>
        <v/>
      </c>
      <c r="X107" s="189" t="str">
        <f ca="1">IFERROR(__xludf.DUMMYFUNCTION("""COMPUTED_VALUE"""),"{t1:or;charges:[{charge:key;t:purpure;p:e;size:1.5}];shield:fantasy5}")</f>
        <v>{t1:or;charges:[{charge:key;t:purpure;p:e;size:1.5}];shield:fantasy5}</v>
      </c>
      <c r="Y107" s="193" t="str">
        <f ca="1">IFERROR(__xludf.DUMMYFUNCTION("""COMPUTED_VALUE"""),"https://watabou.github.io/city-generator/?name=Mondbaymond&amp;population=11279&amp;size=32&amp;seed=3550748350734&amp;river=0&amp;coast=0&amp;farms=0&amp;citadel=0&amp;urban_castle=0&amp;hub=false&amp;plaza=0&amp;temple=0&amp;walls=1&amp;shantytown=0&amp;gates=-1")</f>
        <v>https://watabou.github.io/city-generator/?name=Mondbaymond&amp;population=11279&amp;size=32&amp;seed=3550748350734&amp;river=0&amp;coast=0&amp;farms=0&amp;citadel=0&amp;urban_castle=0&amp;hub=false&amp;plaza=0&amp;temple=0&amp;walls=1&amp;shantytown=0&amp;gates=-1</v>
      </c>
      <c r="Z107" s="189"/>
    </row>
    <row r="108" spans="1:26" ht="15" x14ac:dyDescent="0.25">
      <c r="A108" s="55">
        <f ca="1">IFERROR(__xludf.DUMMYFUNCTION("""COMPUTED_VALUE"""),735)</f>
        <v>735</v>
      </c>
      <c r="B108" s="55" t="str">
        <f ca="1">IFERROR(__xludf.DUMMYFUNCTION("""COMPUTED_VALUE"""),"Lastspell")</f>
        <v>Lastspell</v>
      </c>
      <c r="C108" s="55" t="str">
        <f ca="1">IFERROR(__xludf.DUMMYFUNCTION("""COMPUTED_VALUE"""),"Dreghold")</f>
        <v>Dreghold</v>
      </c>
      <c r="D108" s="55" t="str">
        <f ca="1">IFERROR(__xludf.DUMMYFUNCTION("""COMPUTED_VALUE"""),"Dreghold Province")</f>
        <v>Dreghold Province</v>
      </c>
      <c r="E108" s="55" t="str">
        <f ca="1">IFERROR(__xludf.DUMMYFUNCTION("""COMPUTED_VALUE"""),"Shavia")</f>
        <v>Shavia</v>
      </c>
      <c r="F108" s="55" t="str">
        <f ca="1">IFERROR(__xludf.DUMMYFUNCTION("""COMPUTED_VALUE"""),"Kingdom of Shavia")</f>
        <v>Kingdom of Shavia</v>
      </c>
      <c r="G108" s="55" t="str">
        <f ca="1">IFERROR(__xludf.DUMMYFUNCTION("""COMPUTED_VALUE"""),"Shavian")</f>
        <v>Shavian</v>
      </c>
      <c r="H108" s="55" t="str">
        <f ca="1">IFERROR(__xludf.DUMMYFUNCTION("""COMPUTED_VALUE"""),"Path of Guiding Light")</f>
        <v>Path of Guiding Light</v>
      </c>
      <c r="I108" s="55">
        <f ca="1">IFERROR(__xludf.DUMMYFUNCTION("""COMPUTED_VALUE"""),15815)</f>
        <v>15815</v>
      </c>
      <c r="J108" s="55">
        <f ca="1">IFERROR(__xludf.DUMMYFUNCTION("""COMPUTED_VALUE"""),729.86482158514)</f>
        <v>729.86482158514002</v>
      </c>
      <c r="K108" s="55">
        <f ca="1">IFERROR(__xludf.DUMMYFUNCTION("""COMPUTED_VALUE"""),722.921392052619)</f>
        <v>722.92139205261901</v>
      </c>
      <c r="L108" s="55">
        <f ca="1">IFERROR(__xludf.DUMMYFUNCTION("""COMPUTED_VALUE"""),-30.51)</f>
        <v>-30.51</v>
      </c>
      <c r="M108" s="55">
        <f ca="1">IFERROR(__xludf.DUMMYFUNCTION("""COMPUTED_VALUE"""),-1.43)</f>
        <v>-1.43</v>
      </c>
      <c r="N108" s="55">
        <f ca="1">IFERROR(__xludf.DUMMYFUNCTION("""COMPUTED_VALUE"""),948)</f>
        <v>948</v>
      </c>
      <c r="O108" s="55" t="str">
        <f ca="1">IFERROR(__xludf.DUMMYFUNCTION("""COMPUTED_VALUE"""),"39°F")</f>
        <v>39°F</v>
      </c>
      <c r="P108" s="55" t="str">
        <f ca="1">IFERROR(__xludf.DUMMYFUNCTION("""COMPUTED_VALUE"""),"Reykjavik")</f>
        <v>Reykjavik</v>
      </c>
      <c r="Q108" s="55" t="str">
        <f ca="1">IFERROR(__xludf.DUMMYFUNCTION("""COMPUTED_VALUE"""),"")</f>
        <v/>
      </c>
      <c r="R108" s="55" t="str">
        <f ca="1">IFERROR(__xludf.DUMMYFUNCTION("""COMPUTED_VALUE"""),"")</f>
        <v/>
      </c>
      <c r="S108" s="55" t="str">
        <f ca="1">IFERROR(__xludf.DUMMYFUNCTION("""COMPUTED_VALUE"""),"citadel")</f>
        <v>citadel</v>
      </c>
      <c r="T108" s="55" t="str">
        <f ca="1">IFERROR(__xludf.DUMMYFUNCTION("""COMPUTED_VALUE"""),"walls")</f>
        <v>walls</v>
      </c>
      <c r="U108" s="55" t="str">
        <f ca="1">IFERROR(__xludf.DUMMYFUNCTION("""COMPUTED_VALUE"""),"")</f>
        <v/>
      </c>
      <c r="V108" s="189" t="str">
        <f ca="1">IFERROR(__xludf.DUMMYFUNCTION("""COMPUTED_VALUE"""),"")</f>
        <v/>
      </c>
      <c r="W108" s="189" t="str">
        <f ca="1">IFERROR(__xludf.DUMMYFUNCTION("""COMPUTED_VALUE"""),"")</f>
        <v/>
      </c>
      <c r="X108" s="189" t="str">
        <f ca="1">IFERROR(__xludf.DUMMYFUNCTION("""COMPUTED_VALUE"""),"{t1:purpure;ordinaries:[{ordinary:saltire;t:argent;line:invecked}];charges:[{charge:crossFleury;t:vert;p:e;size:0.7}];shield:horsehead2}")</f>
        <v>{t1:purpure;ordinaries:[{ordinary:saltire;t:argent;line:invecked}];charges:[{charge:crossFleury;t:vert;p:e;size:0.7}];shield:horsehead2}</v>
      </c>
      <c r="Y108" s="193" t="str">
        <f ca="1">IFERROR(__xludf.DUMMYFUNCTION("""COMPUTED_VALUE"""),"https://watabou.github.io/city-generator/?name=Lastspell&amp;population=15815&amp;size=37&amp;seed=3550748350735&amp;river=1&amp;coast=0&amp;farms=0&amp;citadel=1&amp;urban_castle=0&amp;hub=false&amp;plaza=0&amp;temple=0&amp;walls=1&amp;shantytown=0&amp;gates=-1")</f>
        <v>https://watabou.github.io/city-generator/?name=Lastspell&amp;population=15815&amp;size=37&amp;seed=3550748350735&amp;river=1&amp;coast=0&amp;farms=0&amp;citadel=1&amp;urban_castle=0&amp;hub=false&amp;plaza=0&amp;temple=0&amp;walls=1&amp;shantytown=0&amp;gates=-1</v>
      </c>
      <c r="Z108" s="189"/>
    </row>
    <row r="109" spans="1:26" ht="15" x14ac:dyDescent="0.25">
      <c r="A109" s="55">
        <f ca="1">IFERROR(__xludf.DUMMYFUNCTION("""COMPUTED_VALUE"""),736)</f>
        <v>736</v>
      </c>
      <c r="B109" s="55" t="str">
        <f ca="1">IFERROR(__xludf.DUMMYFUNCTION("""COMPUTED_VALUE"""),"Houndford")</f>
        <v>Houndford</v>
      </c>
      <c r="C109" s="55" t="str">
        <f ca="1">IFERROR(__xludf.DUMMYFUNCTION("""COMPUTED_VALUE"""),"Swanhall")</f>
        <v>Swanhall</v>
      </c>
      <c r="D109" s="55" t="str">
        <f ca="1">IFERROR(__xludf.DUMMYFUNCTION("""COMPUTED_VALUE"""),"Swanhall Province")</f>
        <v>Swanhall Province</v>
      </c>
      <c r="E109" s="55" t="str">
        <f ca="1">IFERROR(__xludf.DUMMYFUNCTION("""COMPUTED_VALUE"""),"Shavia")</f>
        <v>Shavia</v>
      </c>
      <c r="F109" s="55" t="str">
        <f ca="1">IFERROR(__xludf.DUMMYFUNCTION("""COMPUTED_VALUE"""),"Kingdom of Shavia")</f>
        <v>Kingdom of Shavia</v>
      </c>
      <c r="G109" s="55" t="str">
        <f ca="1">IFERROR(__xludf.DUMMYFUNCTION("""COMPUTED_VALUE"""),"Eastern Shavian")</f>
        <v>Eastern Shavian</v>
      </c>
      <c r="H109" s="55" t="str">
        <f ca="1">IFERROR(__xludf.DUMMYFUNCTION("""COMPUTED_VALUE"""),"Path of Guiding Light")</f>
        <v>Path of Guiding Light</v>
      </c>
      <c r="I109" s="55">
        <f ca="1">IFERROR(__xludf.DUMMYFUNCTION("""COMPUTED_VALUE"""),2220)</f>
        <v>2220</v>
      </c>
      <c r="J109" s="55">
        <f ca="1">IFERROR(__xludf.DUMMYFUNCTION("""COMPUTED_VALUE"""),1123.24619941709)</f>
        <v>1123.2461994170901</v>
      </c>
      <c r="K109" s="55">
        <f ca="1">IFERROR(__xludf.DUMMYFUNCTION("""COMPUTED_VALUE"""),743.083817592317)</f>
        <v>743.08381759231702</v>
      </c>
      <c r="L109" s="55">
        <f ca="1">IFERROR(__xludf.DUMMYFUNCTION("""COMPUTED_VALUE"""),-31.16)</f>
        <v>-31.16</v>
      </c>
      <c r="M109" s="55">
        <f ca="1">IFERROR(__xludf.DUMMYFUNCTION("""COMPUTED_VALUE"""),11.28)</f>
        <v>11.28</v>
      </c>
      <c r="N109" s="55">
        <f ca="1">IFERROR(__xludf.DUMMYFUNCTION("""COMPUTED_VALUE"""),328)</f>
        <v>328</v>
      </c>
      <c r="O109" s="55" t="str">
        <f ca="1">IFERROR(__xludf.DUMMYFUNCTION("""COMPUTED_VALUE"""),"43°F")</f>
        <v>43°F</v>
      </c>
      <c r="P109" s="55" t="str">
        <f ca="1">IFERROR(__xludf.DUMMYFUNCTION("""COMPUTED_VALUE"""),"Stockholm")</f>
        <v>Stockholm</v>
      </c>
      <c r="Q109" s="55" t="str">
        <f ca="1">IFERROR(__xludf.DUMMYFUNCTION("""COMPUTED_VALUE"""),"")</f>
        <v/>
      </c>
      <c r="R109" s="55" t="str">
        <f ca="1">IFERROR(__xludf.DUMMYFUNCTION("""COMPUTED_VALUE"""),"")</f>
        <v/>
      </c>
      <c r="S109" s="55" t="str">
        <f ca="1">IFERROR(__xludf.DUMMYFUNCTION("""COMPUTED_VALUE"""),"")</f>
        <v/>
      </c>
      <c r="T109" s="55" t="str">
        <f ca="1">IFERROR(__xludf.DUMMYFUNCTION("""COMPUTED_VALUE"""),"")</f>
        <v/>
      </c>
      <c r="U109" s="55" t="str">
        <f ca="1">IFERROR(__xludf.DUMMYFUNCTION("""COMPUTED_VALUE"""),"")</f>
        <v/>
      </c>
      <c r="V109" s="189" t="str">
        <f ca="1">IFERROR(__xludf.DUMMYFUNCTION("""COMPUTED_VALUE"""),"")</f>
        <v/>
      </c>
      <c r="W109" s="189" t="str">
        <f ca="1">IFERROR(__xludf.DUMMYFUNCTION("""COMPUTED_VALUE"""),"")</f>
        <v/>
      </c>
      <c r="X109" s="189" t="str">
        <f ca="1">IFERROR(__xludf.DUMMYFUNCTION("""COMPUTED_VALUE"""),"{t1:gules;charges:[{charge:dragonPassant;t:argent;p:jeo;size:0.5}];shield:horsehead2}")</f>
        <v>{t1:gules;charges:[{charge:dragonPassant;t:argent;p:jeo;size:0.5}];shield:horsehead2}</v>
      </c>
      <c r="Y109" s="193" t="str">
        <f ca="1">IFERROR(__xludf.DUMMYFUNCTION("""COMPUTED_VALUE"""),"https://watabou.github.io/city-generator/?name=Houndford&amp;population=2220&amp;size=18&amp;seed=3550748350736&amp;river=0&amp;coast=0&amp;farms=0&amp;citadel=0&amp;urban_castle=0&amp;hub=false&amp;plaza=0&amp;temple=0&amp;walls=0&amp;shantytown=0&amp;gates=-1")</f>
        <v>https://watabou.github.io/city-generator/?name=Houndford&amp;population=2220&amp;size=18&amp;seed=3550748350736&amp;river=0&amp;coast=0&amp;farms=0&amp;citadel=0&amp;urban_castle=0&amp;hub=false&amp;plaza=0&amp;temple=0&amp;walls=0&amp;shantytown=0&amp;gates=-1</v>
      </c>
      <c r="Z109" s="189"/>
    </row>
    <row r="110" spans="1:26" ht="15" x14ac:dyDescent="0.25">
      <c r="A110" s="55">
        <f ca="1">IFERROR(__xludf.DUMMYFUNCTION("""COMPUTED_VALUE"""),737)</f>
        <v>737</v>
      </c>
      <c r="B110" s="55" t="str">
        <f ca="1">IFERROR(__xludf.DUMMYFUNCTION("""COMPUTED_VALUE"""),"Silcairn")</f>
        <v>Silcairn</v>
      </c>
      <c r="C110" s="55" t="str">
        <f ca="1">IFERROR(__xludf.DUMMYFUNCTION("""COMPUTED_VALUE"""),"Swanhall")</f>
        <v>Swanhall</v>
      </c>
      <c r="D110" s="55" t="str">
        <f ca="1">IFERROR(__xludf.DUMMYFUNCTION("""COMPUTED_VALUE"""),"Swanhall Province")</f>
        <v>Swanhall Province</v>
      </c>
      <c r="E110" s="55" t="str">
        <f ca="1">IFERROR(__xludf.DUMMYFUNCTION("""COMPUTED_VALUE"""),"Shavia")</f>
        <v>Shavia</v>
      </c>
      <c r="F110" s="55" t="str">
        <f ca="1">IFERROR(__xludf.DUMMYFUNCTION("""COMPUTED_VALUE"""),"Kingdom of Shavia")</f>
        <v>Kingdom of Shavia</v>
      </c>
      <c r="G110" s="55" t="str">
        <f ca="1">IFERROR(__xludf.DUMMYFUNCTION("""COMPUTED_VALUE"""),"Eastern Shavian")</f>
        <v>Eastern Shavian</v>
      </c>
      <c r="H110" s="55" t="str">
        <f ca="1">IFERROR(__xludf.DUMMYFUNCTION("""COMPUTED_VALUE"""),"Path of Guiding Light")</f>
        <v>Path of Guiding Light</v>
      </c>
      <c r="I110" s="55">
        <f ca="1">IFERROR(__xludf.DUMMYFUNCTION("""COMPUTED_VALUE"""),19306)</f>
        <v>19306</v>
      </c>
      <c r="J110" s="55">
        <f ca="1">IFERROR(__xludf.DUMMYFUNCTION("""COMPUTED_VALUE"""),1040.94224419761)</f>
        <v>1040.9422441976101</v>
      </c>
      <c r="K110" s="55">
        <f ca="1">IFERROR(__xludf.DUMMYFUNCTION("""COMPUTED_VALUE"""),773.619382912573)</f>
        <v>773.61938291257297</v>
      </c>
      <c r="L110" s="55">
        <f ca="1">IFERROR(__xludf.DUMMYFUNCTION("""COMPUTED_VALUE"""),-32.15)</f>
        <v>-32.15</v>
      </c>
      <c r="M110" s="55">
        <f ca="1">IFERROR(__xludf.DUMMYFUNCTION("""COMPUTED_VALUE"""),8.62)</f>
        <v>8.6199999999999992</v>
      </c>
      <c r="N110" s="55">
        <f ca="1">IFERROR(__xludf.DUMMYFUNCTION("""COMPUTED_VALUE"""),328)</f>
        <v>328</v>
      </c>
      <c r="O110" s="55" t="str">
        <f ca="1">IFERROR(__xludf.DUMMYFUNCTION("""COMPUTED_VALUE"""),"41°F")</f>
        <v>41°F</v>
      </c>
      <c r="P110" s="55" t="str">
        <f ca="1">IFERROR(__xludf.DUMMYFUNCTION("""COMPUTED_VALUE"""),"Riga")</f>
        <v>Riga</v>
      </c>
      <c r="Q110" s="55" t="str">
        <f ca="1">IFERROR(__xludf.DUMMYFUNCTION("""COMPUTED_VALUE"""),"")</f>
        <v/>
      </c>
      <c r="R110" s="55" t="str">
        <f ca="1">IFERROR(__xludf.DUMMYFUNCTION("""COMPUTED_VALUE"""),"")</f>
        <v/>
      </c>
      <c r="S110" s="55" t="str">
        <f ca="1">IFERROR(__xludf.DUMMYFUNCTION("""COMPUTED_VALUE"""),"citadel")</f>
        <v>citadel</v>
      </c>
      <c r="T110" s="55" t="str">
        <f ca="1">IFERROR(__xludf.DUMMYFUNCTION("""COMPUTED_VALUE"""),"")</f>
        <v/>
      </c>
      <c r="U110" s="55" t="str">
        <f ca="1">IFERROR(__xludf.DUMMYFUNCTION("""COMPUTED_VALUE"""),"plaza")</f>
        <v>plaza</v>
      </c>
      <c r="V110" s="189" t="str">
        <f ca="1">IFERROR(__xludf.DUMMYFUNCTION("""COMPUTED_VALUE"""),"")</f>
        <v/>
      </c>
      <c r="W110" s="189" t="str">
        <f ca="1">IFERROR(__xludf.DUMMYFUNCTION("""COMPUTED_VALUE"""),"")</f>
        <v/>
      </c>
      <c r="X110" s="189" t="str">
        <f ca="1">IFERROR(__xludf.DUMMYFUNCTION("""COMPUTED_VALUE"""),"{t1:vairAncien-argent-purpure;charges:[{charge:griffinRampant;t:azure;p:e;size:1.5}];shield:horsehead2}")</f>
        <v>{t1:vairAncien-argent-purpure;charges:[{charge:griffinRampant;t:azure;p:e;size:1.5}];shield:horsehead2}</v>
      </c>
      <c r="Y110" s="193" t="str">
        <f ca="1">IFERROR(__xludf.DUMMYFUNCTION("""COMPUTED_VALUE"""),"https://watabou.github.io/city-generator/?name=Silcairn&amp;population=19306&amp;size=40&amp;seed=3550748350737&amp;river=0&amp;coast=0&amp;farms=0&amp;citadel=1&amp;urban_castle=0&amp;hub=false&amp;plaza=1&amp;temple=0&amp;walls=0&amp;shantytown=0&amp;gates=-1")</f>
        <v>https://watabou.github.io/city-generator/?name=Silcairn&amp;population=19306&amp;size=40&amp;seed=3550748350737&amp;river=0&amp;coast=0&amp;farms=0&amp;citadel=1&amp;urban_castle=0&amp;hub=false&amp;plaza=1&amp;temple=0&amp;walls=0&amp;shantytown=0&amp;gates=-1</v>
      </c>
      <c r="Z110" s="189"/>
    </row>
    <row r="111" spans="1:26" ht="15" x14ac:dyDescent="0.25">
      <c r="A111" s="55">
        <f ca="1">IFERROR(__xludf.DUMMYFUNCTION("""COMPUTED_VALUE"""),738)</f>
        <v>738</v>
      </c>
      <c r="B111" s="55" t="str">
        <f ca="1">IFERROR(__xludf.DUMMYFUNCTION("""COMPUTED_VALUE"""),"Mudfpasstal")</f>
        <v>Mudfpasstal</v>
      </c>
      <c r="C111" s="55" t="str">
        <f ca="1">IFERROR(__xludf.DUMMYFUNCTION("""COMPUTED_VALUE"""),"Swanhall")</f>
        <v>Swanhall</v>
      </c>
      <c r="D111" s="55" t="str">
        <f ca="1">IFERROR(__xludf.DUMMYFUNCTION("""COMPUTED_VALUE"""),"Swanhall Province")</f>
        <v>Swanhall Province</v>
      </c>
      <c r="E111" s="55" t="str">
        <f ca="1">IFERROR(__xludf.DUMMYFUNCTION("""COMPUTED_VALUE"""),"Shavia")</f>
        <v>Shavia</v>
      </c>
      <c r="F111" s="55" t="str">
        <f ca="1">IFERROR(__xludf.DUMMYFUNCTION("""COMPUTED_VALUE"""),"Kingdom of Shavia")</f>
        <v>Kingdom of Shavia</v>
      </c>
      <c r="G111" s="55" t="str">
        <f ca="1">IFERROR(__xludf.DUMMYFUNCTION("""COMPUTED_VALUE"""),"Dail")</f>
        <v>Dail</v>
      </c>
      <c r="H111" s="55" t="str">
        <f ca="1">IFERROR(__xludf.DUMMYFUNCTION("""COMPUTED_VALUE"""),"Path of Guiding Light")</f>
        <v>Path of Guiding Light</v>
      </c>
      <c r="I111" s="55">
        <f ca="1">IFERROR(__xludf.DUMMYFUNCTION("""COMPUTED_VALUE"""),4936)</f>
        <v>4936</v>
      </c>
      <c r="J111" s="55">
        <f ca="1">IFERROR(__xludf.DUMMYFUNCTION("""COMPUTED_VALUE"""),1218.1224778978)</f>
        <v>1218.1224778978001</v>
      </c>
      <c r="K111" s="55">
        <f ca="1">IFERROR(__xludf.DUMMYFUNCTION("""COMPUTED_VALUE"""),791.641010373731)</f>
        <v>791.64101037373098</v>
      </c>
      <c r="L111" s="55">
        <f ca="1">IFERROR(__xludf.DUMMYFUNCTION("""COMPUTED_VALUE"""),-32.73)</f>
        <v>-32.729999999999997</v>
      </c>
      <c r="M111" s="55">
        <f ca="1">IFERROR(__xludf.DUMMYFUNCTION("""COMPUTED_VALUE"""),14.35)</f>
        <v>14.35</v>
      </c>
      <c r="N111" s="55">
        <f ca="1">IFERROR(__xludf.DUMMYFUNCTION("""COMPUTED_VALUE"""),52)</f>
        <v>52</v>
      </c>
      <c r="O111" s="55" t="str">
        <f ca="1">IFERROR(__xludf.DUMMYFUNCTION("""COMPUTED_VALUE"""),"41°F")</f>
        <v>41°F</v>
      </c>
      <c r="P111" s="55" t="str">
        <f ca="1">IFERROR(__xludf.DUMMYFUNCTION("""COMPUTED_VALUE"""),"Riga")</f>
        <v>Riga</v>
      </c>
      <c r="Q111" s="55" t="str">
        <f ca="1">IFERROR(__xludf.DUMMYFUNCTION("""COMPUTED_VALUE"""),"")</f>
        <v/>
      </c>
      <c r="R111" s="55" t="str">
        <f ca="1">IFERROR(__xludf.DUMMYFUNCTION("""COMPUTED_VALUE"""),"")</f>
        <v/>
      </c>
      <c r="S111" s="55" t="str">
        <f ca="1">IFERROR(__xludf.DUMMYFUNCTION("""COMPUTED_VALUE"""),"")</f>
        <v/>
      </c>
      <c r="T111" s="55" t="str">
        <f ca="1">IFERROR(__xludf.DUMMYFUNCTION("""COMPUTED_VALUE"""),"walls")</f>
        <v>walls</v>
      </c>
      <c r="U111" s="55" t="str">
        <f ca="1">IFERROR(__xludf.DUMMYFUNCTION("""COMPUTED_VALUE"""),"")</f>
        <v/>
      </c>
      <c r="V111" s="189" t="str">
        <f ca="1">IFERROR(__xludf.DUMMYFUNCTION("""COMPUTED_VALUE"""),"")</f>
        <v/>
      </c>
      <c r="W111" s="189" t="str">
        <f ca="1">IFERROR(__xludf.DUMMYFUNCTION("""COMPUTED_VALUE"""),"")</f>
        <v/>
      </c>
      <c r="X111" s="189" t="str">
        <f ca="1">IFERROR(__xludf.DUMMYFUNCTION("""COMPUTED_VALUE"""),"{t1:sable;charges:[{charge:stagsAttires;t:argent;p:e;size:1.5}];shield:roman}")</f>
        <v>{t1:sable;charges:[{charge:stagsAttires;t:argent;p:e;size:1.5}];shield:roman}</v>
      </c>
      <c r="Y111" s="193" t="str">
        <f ca="1">IFERROR(__xludf.DUMMYFUNCTION("""COMPUTED_VALUE"""),"https://watabou.github.io/city-generator/?name=Mudfpasstal&amp;population=4936&amp;size=24&amp;seed=3550748350738&amp;river=0&amp;coast=0&amp;farms=1&amp;citadel=0&amp;urban_castle=0&amp;hub=false&amp;plaza=0&amp;temple=0&amp;walls=1&amp;shantytown=0&amp;gates=-1")</f>
        <v>https://watabou.github.io/city-generator/?name=Mudfpasstal&amp;population=4936&amp;size=24&amp;seed=3550748350738&amp;river=0&amp;coast=0&amp;farms=1&amp;citadel=0&amp;urban_castle=0&amp;hub=false&amp;plaza=0&amp;temple=0&amp;walls=1&amp;shantytown=0&amp;gates=-1</v>
      </c>
      <c r="Z111" s="189"/>
    </row>
    <row r="112" spans="1:26" ht="15" x14ac:dyDescent="0.25">
      <c r="A112" s="55">
        <f ca="1">IFERROR(__xludf.DUMMYFUNCTION("""COMPUTED_VALUE"""),739)</f>
        <v>739</v>
      </c>
      <c r="B112" s="55" t="str">
        <f ca="1">IFERROR(__xludf.DUMMYFUNCTION("""COMPUTED_VALUE"""),"Snavenbell")</f>
        <v>Snavenbell</v>
      </c>
      <c r="C112" s="55" t="str">
        <f ca="1">IFERROR(__xludf.DUMMYFUNCTION("""COMPUTED_VALUE"""),"Sirong")</f>
        <v>Sirong</v>
      </c>
      <c r="D112" s="55" t="str">
        <f ca="1">IFERROR(__xludf.DUMMYFUNCTION("""COMPUTED_VALUE"""),"Sirong Lordship")</f>
        <v>Sirong Lordship</v>
      </c>
      <c r="E112" s="55" t="str">
        <f ca="1">IFERROR(__xludf.DUMMYFUNCTION("""COMPUTED_VALUE"""),"Shavia")</f>
        <v>Shavia</v>
      </c>
      <c r="F112" s="55" t="str">
        <f ca="1">IFERROR(__xludf.DUMMYFUNCTION("""COMPUTED_VALUE"""),"Kingdom of Shavia")</f>
        <v>Kingdom of Shavia</v>
      </c>
      <c r="G112" s="55" t="str">
        <f ca="1">IFERROR(__xludf.DUMMYFUNCTION("""COMPUTED_VALUE"""),"Shavian")</f>
        <v>Shavian</v>
      </c>
      <c r="H112" s="55" t="str">
        <f ca="1">IFERROR(__xludf.DUMMYFUNCTION("""COMPUTED_VALUE"""),"Path of Guiding Light")</f>
        <v>Path of Guiding Light</v>
      </c>
      <c r="I112" s="55">
        <f ca="1">IFERROR(__xludf.DUMMYFUNCTION("""COMPUTED_VALUE"""),1961)</f>
        <v>1961</v>
      </c>
      <c r="J112" s="55">
        <f ca="1">IFERROR(__xludf.DUMMYFUNCTION("""COMPUTED_VALUE"""),447.532478627236)</f>
        <v>447.532478627236</v>
      </c>
      <c r="K112" s="55">
        <f ca="1">IFERROR(__xludf.DUMMYFUNCTION("""COMPUTED_VALUE"""),849.345249490721)</f>
        <v>849.34524949072102</v>
      </c>
      <c r="L112" s="55">
        <f ca="1">IFERROR(__xludf.DUMMYFUNCTION("""COMPUTED_VALUE"""),-34.6)</f>
        <v>-34.6</v>
      </c>
      <c r="M112" s="55">
        <f ca="1">IFERROR(__xludf.DUMMYFUNCTION("""COMPUTED_VALUE"""),-10.54)</f>
        <v>-10.54</v>
      </c>
      <c r="N112" s="55">
        <f ca="1">IFERROR(__xludf.DUMMYFUNCTION("""COMPUTED_VALUE"""),472)</f>
        <v>472</v>
      </c>
      <c r="O112" s="55" t="str">
        <f ca="1">IFERROR(__xludf.DUMMYFUNCTION("""COMPUTED_VALUE"""),"37°F")</f>
        <v>37°F</v>
      </c>
      <c r="P112" s="55" t="str">
        <f ca="1">IFERROR(__xludf.DUMMYFUNCTION("""COMPUTED_VALUE"""),"Tromsø")</f>
        <v>Tromsø</v>
      </c>
      <c r="Q112" s="55" t="str">
        <f ca="1">IFERROR(__xludf.DUMMYFUNCTION("""COMPUTED_VALUE"""),"")</f>
        <v/>
      </c>
      <c r="R112" s="55" t="str">
        <f ca="1">IFERROR(__xludf.DUMMYFUNCTION("""COMPUTED_VALUE"""),"")</f>
        <v/>
      </c>
      <c r="S112" s="55" t="str">
        <f ca="1">IFERROR(__xludf.DUMMYFUNCTION("""COMPUTED_VALUE"""),"")</f>
        <v/>
      </c>
      <c r="T112" s="55" t="str">
        <f ca="1">IFERROR(__xludf.DUMMYFUNCTION("""COMPUTED_VALUE"""),"")</f>
        <v/>
      </c>
      <c r="U112" s="55" t="str">
        <f ca="1">IFERROR(__xludf.DUMMYFUNCTION("""COMPUTED_VALUE"""),"")</f>
        <v/>
      </c>
      <c r="V112" s="189" t="str">
        <f ca="1">IFERROR(__xludf.DUMMYFUNCTION("""COMPUTED_VALUE"""),"")</f>
        <v/>
      </c>
      <c r="W112" s="189" t="str">
        <f ca="1">IFERROR(__xludf.DUMMYFUNCTION("""COMPUTED_VALUE"""),"")</f>
        <v/>
      </c>
      <c r="X112" s="189" t="str">
        <f ca="1">IFERROR(__xludf.DUMMYFUNCTION("""COMPUTED_VALUE"""),"{t1:vert;ordinaries:[{ordinary:chief;t:or;line:embattledGhibellin}];charges:[{charge:crescent;t:vert;p:b;size:0.5}];shield:fantasy5}")</f>
        <v>{t1:vert;ordinaries:[{ordinary:chief;t:or;line:embattledGhibellin}];charges:[{charge:crescent;t:vert;p:b;size:0.5}];shield:fantasy5}</v>
      </c>
      <c r="Y112" s="193" t="str">
        <f ca="1">IFERROR(__xludf.DUMMYFUNCTION("""COMPUTED_VALUE"""),"https://watabou.github.io/village-generator/?pop=1961&amp;name=&amp;seed=3550748350739&amp;width=1600&amp;height=727&amp;tags=highway%2Cno+square%2Cdense")</f>
        <v>https://watabou.github.io/village-generator/?pop=1961&amp;name=&amp;seed=3550748350739&amp;width=1600&amp;height=727&amp;tags=highway%2Cno+square%2Cdense</v>
      </c>
      <c r="Z112" s="189"/>
    </row>
    <row r="113" spans="1:26" ht="15" x14ac:dyDescent="0.25">
      <c r="A113" s="55">
        <f ca="1">IFERROR(__xludf.DUMMYFUNCTION("""COMPUTED_VALUE"""),751)</f>
        <v>751</v>
      </c>
      <c r="B113" s="55" t="str">
        <f ca="1">IFERROR(__xludf.DUMMYFUNCTION("""COMPUTED_VALUE"""),"Nauthmorcane")</f>
        <v>Nauthmorcane</v>
      </c>
      <c r="C113" s="55" t="str">
        <f ca="1">IFERROR(__xludf.DUMMYFUNCTION("""COMPUTED_VALUE"""),"Ralim")</f>
        <v>Ralim</v>
      </c>
      <c r="D113" s="55" t="str">
        <f ca="1">IFERROR(__xludf.DUMMYFUNCTION("""COMPUTED_VALUE"""),"Ralim Province")</f>
        <v>Ralim Province</v>
      </c>
      <c r="E113" s="55" t="str">
        <f ca="1">IFERROR(__xludf.DUMMYFUNCTION("""COMPUTED_VALUE"""),"Shavia")</f>
        <v>Shavia</v>
      </c>
      <c r="F113" s="55" t="str">
        <f ca="1">IFERROR(__xludf.DUMMYFUNCTION("""COMPUTED_VALUE"""),"Kingdom of Shavia")</f>
        <v>Kingdom of Shavia</v>
      </c>
      <c r="G113" s="55" t="str">
        <f ca="1">IFERROR(__xludf.DUMMYFUNCTION("""COMPUTED_VALUE"""),"Aranvers")</f>
        <v>Aranvers</v>
      </c>
      <c r="H113" s="55" t="str">
        <f ca="1">IFERROR(__xludf.DUMMYFUNCTION("""COMPUTED_VALUE"""),"Path of Guiding Light")</f>
        <v>Path of Guiding Light</v>
      </c>
      <c r="I113" s="55">
        <f ca="1">IFERROR(__xludf.DUMMYFUNCTION("""COMPUTED_VALUE"""),12031)</f>
        <v>12031</v>
      </c>
      <c r="J113" s="55">
        <f ca="1">IFERROR(__xludf.DUMMYFUNCTION("""COMPUTED_VALUE"""),224.753245854152)</f>
        <v>224.753245854152</v>
      </c>
      <c r="K113" s="55">
        <f ca="1">IFERROR(__xludf.DUMMYFUNCTION("""COMPUTED_VALUE"""),580.655628833327)</f>
        <v>580.655628833327</v>
      </c>
      <c r="L113" s="55">
        <f ca="1">IFERROR(__xludf.DUMMYFUNCTION("""COMPUTED_VALUE"""),-25.9)</f>
        <v>-25.9</v>
      </c>
      <c r="M113" s="55">
        <f ca="1">IFERROR(__xludf.DUMMYFUNCTION("""COMPUTED_VALUE"""),-17.74)</f>
        <v>-17.739999999999998</v>
      </c>
      <c r="N113" s="55">
        <f ca="1">IFERROR(__xludf.DUMMYFUNCTION("""COMPUTED_VALUE"""),161)</f>
        <v>161</v>
      </c>
      <c r="O113" s="55" t="str">
        <f ca="1">IFERROR(__xludf.DUMMYFUNCTION("""COMPUTED_VALUE"""),"46°F")</f>
        <v>46°F</v>
      </c>
      <c r="P113" s="55" t="str">
        <f ca="1">IFERROR(__xludf.DUMMYFUNCTION("""COMPUTED_VALUE"""),"Prague")</f>
        <v>Prague</v>
      </c>
      <c r="Q113" s="55" t="str">
        <f ca="1">IFERROR(__xludf.DUMMYFUNCTION("""COMPUTED_VALUE"""),"")</f>
        <v/>
      </c>
      <c r="R113" s="55" t="str">
        <f ca="1">IFERROR(__xludf.DUMMYFUNCTION("""COMPUTED_VALUE"""),"")</f>
        <v/>
      </c>
      <c r="S113" s="55" t="str">
        <f ca="1">IFERROR(__xludf.DUMMYFUNCTION("""COMPUTED_VALUE"""),"citadel")</f>
        <v>citadel</v>
      </c>
      <c r="T113" s="55" t="str">
        <f ca="1">IFERROR(__xludf.DUMMYFUNCTION("""COMPUTED_VALUE"""),"")</f>
        <v/>
      </c>
      <c r="U113" s="55" t="str">
        <f ca="1">IFERROR(__xludf.DUMMYFUNCTION("""COMPUTED_VALUE"""),"")</f>
        <v/>
      </c>
      <c r="V113" s="189" t="str">
        <f ca="1">IFERROR(__xludf.DUMMYFUNCTION("""COMPUTED_VALUE"""),"")</f>
        <v/>
      </c>
      <c r="W113" s="189" t="str">
        <f ca="1">IFERROR(__xludf.DUMMYFUNCTION("""COMPUTED_VALUE"""),"")</f>
        <v/>
      </c>
      <c r="X113" s="189" t="str">
        <f ca="1">IFERROR(__xludf.DUMMYFUNCTION("""COMPUTED_VALUE"""),"{t1:argent;ordinaries:[{ordinary:terrace;t:vert;line:straight}];charges:[{charge:axe;t:gules;p:bdf;size:0.5}];shield:hessen}")</f>
        <v>{t1:argent;ordinaries:[{ordinary:terrace;t:vert;line:straight}];charges:[{charge:axe;t:gules;p:bdf;size:0.5}];shield:hessen}</v>
      </c>
      <c r="Y113" s="193" t="str">
        <f ca="1">IFERROR(__xludf.DUMMYFUNCTION("""COMPUTED_VALUE"""),"https://watabou.github.io/city-generator/?name=Nauthmorcane&amp;population=12031&amp;size=33&amp;seed=3550748350751&amp;river=0&amp;coast=0&amp;farms=1&amp;citadel=1&amp;urban_castle=0&amp;hub=false&amp;plaza=0&amp;temple=0&amp;walls=0&amp;shantytown=0&amp;gates=-1")</f>
        <v>https://watabou.github.io/city-generator/?name=Nauthmorcane&amp;population=12031&amp;size=33&amp;seed=3550748350751&amp;river=0&amp;coast=0&amp;farms=1&amp;citadel=1&amp;urban_castle=0&amp;hub=false&amp;plaza=0&amp;temple=0&amp;walls=0&amp;shantytown=0&amp;gates=-1</v>
      </c>
      <c r="Z113" s="189"/>
    </row>
    <row r="114" spans="1:26" ht="15" x14ac:dyDescent="0.25">
      <c r="A114" s="55">
        <f ca="1">IFERROR(__xludf.DUMMYFUNCTION("""COMPUTED_VALUE"""),758)</f>
        <v>758</v>
      </c>
      <c r="B114" s="55" t="str">
        <f ca="1">IFERROR(__xludf.DUMMYFUNCTION("""COMPUTED_VALUE"""),"Southtligh")</f>
        <v>Southtligh</v>
      </c>
      <c r="C114" s="55" t="str">
        <f ca="1">IFERROR(__xludf.DUMMYFUNCTION("""COMPUTED_VALUE"""),"Sirong")</f>
        <v>Sirong</v>
      </c>
      <c r="D114" s="55" t="str">
        <f ca="1">IFERROR(__xludf.DUMMYFUNCTION("""COMPUTED_VALUE"""),"Sirong Lordship")</f>
        <v>Sirong Lordship</v>
      </c>
      <c r="E114" s="55" t="str">
        <f ca="1">IFERROR(__xludf.DUMMYFUNCTION("""COMPUTED_VALUE"""),"Shavia")</f>
        <v>Shavia</v>
      </c>
      <c r="F114" s="55" t="str">
        <f ca="1">IFERROR(__xludf.DUMMYFUNCTION("""COMPUTED_VALUE"""),"Kingdom of Shavia")</f>
        <v>Kingdom of Shavia</v>
      </c>
      <c r="G114" s="55" t="str">
        <f ca="1">IFERROR(__xludf.DUMMYFUNCTION("""COMPUTED_VALUE"""),"Shavian")</f>
        <v>Shavian</v>
      </c>
      <c r="H114" s="55" t="str">
        <f ca="1">IFERROR(__xludf.DUMMYFUNCTION("""COMPUTED_VALUE"""),"Path of Guiding Light")</f>
        <v>Path of Guiding Light</v>
      </c>
      <c r="I114" s="55">
        <f ca="1">IFERROR(__xludf.DUMMYFUNCTION("""COMPUTED_VALUE"""),2121)</f>
        <v>2121</v>
      </c>
      <c r="J114" s="55">
        <f ca="1">IFERROR(__xludf.DUMMYFUNCTION("""COMPUTED_VALUE"""),489.472659165892)</f>
        <v>489.47265916589203</v>
      </c>
      <c r="K114" s="55">
        <f ca="1">IFERROR(__xludf.DUMMYFUNCTION("""COMPUTED_VALUE"""),762.273153096314)</f>
        <v>762.27315309631399</v>
      </c>
      <c r="L114" s="55">
        <f ca="1">IFERROR(__xludf.DUMMYFUNCTION("""COMPUTED_VALUE"""),-31.78)</f>
        <v>-31.78</v>
      </c>
      <c r="M114" s="55">
        <f ca="1">IFERROR(__xludf.DUMMYFUNCTION("""COMPUTED_VALUE"""),-9.19)</f>
        <v>-9.19</v>
      </c>
      <c r="N114" s="55">
        <f ca="1">IFERROR(__xludf.DUMMYFUNCTION("""COMPUTED_VALUE"""),738)</f>
        <v>738</v>
      </c>
      <c r="O114" s="55" t="str">
        <f ca="1">IFERROR(__xludf.DUMMYFUNCTION("""COMPUTED_VALUE"""),"39°F")</f>
        <v>39°F</v>
      </c>
      <c r="P114" s="55" t="str">
        <f ca="1">IFERROR(__xludf.DUMMYFUNCTION("""COMPUTED_VALUE"""),"Reykjavik")</f>
        <v>Reykjavik</v>
      </c>
      <c r="Q114" s="55" t="str">
        <f ca="1">IFERROR(__xludf.DUMMYFUNCTION("""COMPUTED_VALUE"""),"")</f>
        <v/>
      </c>
      <c r="R114" s="55" t="str">
        <f ca="1">IFERROR(__xludf.DUMMYFUNCTION("""COMPUTED_VALUE"""),"")</f>
        <v/>
      </c>
      <c r="S114" s="55" t="str">
        <f ca="1">IFERROR(__xludf.DUMMYFUNCTION("""COMPUTED_VALUE"""),"citadel")</f>
        <v>citadel</v>
      </c>
      <c r="T114" s="55" t="str">
        <f ca="1">IFERROR(__xludf.DUMMYFUNCTION("""COMPUTED_VALUE"""),"")</f>
        <v/>
      </c>
      <c r="U114" s="55" t="str">
        <f ca="1">IFERROR(__xludf.DUMMYFUNCTION("""COMPUTED_VALUE"""),"plaza")</f>
        <v>plaza</v>
      </c>
      <c r="V114" s="189" t="str">
        <f ca="1">IFERROR(__xludf.DUMMYFUNCTION("""COMPUTED_VALUE"""),"")</f>
        <v/>
      </c>
      <c r="W114" s="189" t="str">
        <f ca="1">IFERROR(__xludf.DUMMYFUNCTION("""COMPUTED_VALUE"""),"")</f>
        <v/>
      </c>
      <c r="X114" s="189" t="str">
        <f ca="1">IFERROR(__xludf.DUMMYFUNCTION("""COMPUTED_VALUE"""),"{t1:or;charges:[{charge:dragonRampant;t:azure;p:e;size:1.5}];shield:fantasy5}")</f>
        <v>{t1:or;charges:[{charge:dragonRampant;t:azure;p:e;size:1.5}];shield:fantasy5}</v>
      </c>
      <c r="Y114" s="193" t="str">
        <f ca="1">IFERROR(__xludf.DUMMYFUNCTION("""COMPUTED_VALUE"""),"https://watabou.github.io/city-generator/?name=Southtligh&amp;population=2121&amp;size=17&amp;seed=3550748350758&amp;river=0&amp;coast=0&amp;farms=1&amp;citadel=1&amp;urban_castle=1&amp;hub=false&amp;plaza=1&amp;temple=0&amp;walls=0&amp;shantytown=0&amp;gates=-1")</f>
        <v>https://watabou.github.io/city-generator/?name=Southtligh&amp;population=2121&amp;size=17&amp;seed=3550748350758&amp;river=0&amp;coast=0&amp;farms=1&amp;citadel=1&amp;urban_castle=1&amp;hub=false&amp;plaza=1&amp;temple=0&amp;walls=0&amp;shantytown=0&amp;gates=-1</v>
      </c>
      <c r="Z114" s="189"/>
    </row>
    <row r="115" spans="1:26" ht="15" x14ac:dyDescent="0.25">
      <c r="A115" s="55">
        <f ca="1">IFERROR(__xludf.DUMMYFUNCTION("""COMPUTED_VALUE"""),759)</f>
        <v>759</v>
      </c>
      <c r="B115" s="55" t="str">
        <f ca="1">IFERROR(__xludf.DUMMYFUNCTION("""COMPUTED_VALUE"""),"Bronholrock")</f>
        <v>Bronholrock</v>
      </c>
      <c r="C115" s="55" t="str">
        <f ca="1">IFERROR(__xludf.DUMMYFUNCTION("""COMPUTED_VALUE"""),"Swanhall")</f>
        <v>Swanhall</v>
      </c>
      <c r="D115" s="55" t="str">
        <f ca="1">IFERROR(__xludf.DUMMYFUNCTION("""COMPUTED_VALUE"""),"Swanhall Province")</f>
        <v>Swanhall Province</v>
      </c>
      <c r="E115" s="55" t="str">
        <f ca="1">IFERROR(__xludf.DUMMYFUNCTION("""COMPUTED_VALUE"""),"Shavia")</f>
        <v>Shavia</v>
      </c>
      <c r="F115" s="55" t="str">
        <f ca="1">IFERROR(__xludf.DUMMYFUNCTION("""COMPUTED_VALUE"""),"Kingdom of Shavia")</f>
        <v>Kingdom of Shavia</v>
      </c>
      <c r="G115" s="55" t="str">
        <f ca="1">IFERROR(__xludf.DUMMYFUNCTION("""COMPUTED_VALUE"""),"Eastern Shavian")</f>
        <v>Eastern Shavian</v>
      </c>
      <c r="H115" s="55" t="str">
        <f ca="1">IFERROR(__xludf.DUMMYFUNCTION("""COMPUTED_VALUE"""),"Path of Guiding Light")</f>
        <v>Path of Guiding Light</v>
      </c>
      <c r="I115" s="55">
        <f ca="1">IFERROR(__xludf.DUMMYFUNCTION("""COMPUTED_VALUE"""),3795)</f>
        <v>3795</v>
      </c>
      <c r="J115" s="55">
        <f ca="1">IFERROR(__xludf.DUMMYFUNCTION("""COMPUTED_VALUE"""),1082.31803251556)</f>
        <v>1082.3180325155599</v>
      </c>
      <c r="K115" s="55">
        <f ca="1">IFERROR(__xludf.DUMMYFUNCTION("""COMPUTED_VALUE"""),798.043942808634)</f>
        <v>798.04394280863403</v>
      </c>
      <c r="L115" s="55">
        <f ca="1">IFERROR(__xludf.DUMMYFUNCTION("""COMPUTED_VALUE"""),-32.94)</f>
        <v>-32.94</v>
      </c>
      <c r="M115" s="55">
        <f ca="1">IFERROR(__xludf.DUMMYFUNCTION("""COMPUTED_VALUE"""),9.96)</f>
        <v>9.9600000000000009</v>
      </c>
      <c r="N115" s="55">
        <f ca="1">IFERROR(__xludf.DUMMYFUNCTION("""COMPUTED_VALUE"""),210)</f>
        <v>210</v>
      </c>
      <c r="O115" s="55" t="str">
        <f ca="1">IFERROR(__xludf.DUMMYFUNCTION("""COMPUTED_VALUE"""),"41°F")</f>
        <v>41°F</v>
      </c>
      <c r="P115" s="55" t="str">
        <f ca="1">IFERROR(__xludf.DUMMYFUNCTION("""COMPUTED_VALUE"""),"Riga")</f>
        <v>Riga</v>
      </c>
      <c r="Q115" s="55" t="str">
        <f ca="1">IFERROR(__xludf.DUMMYFUNCTION("""COMPUTED_VALUE"""),"")</f>
        <v/>
      </c>
      <c r="R115" s="55" t="str">
        <f ca="1">IFERROR(__xludf.DUMMYFUNCTION("""COMPUTED_VALUE"""),"")</f>
        <v/>
      </c>
      <c r="S115" s="55" t="str">
        <f ca="1">IFERROR(__xludf.DUMMYFUNCTION("""COMPUTED_VALUE"""),"citadel")</f>
        <v>citadel</v>
      </c>
      <c r="T115" s="55" t="str">
        <f ca="1">IFERROR(__xludf.DUMMYFUNCTION("""COMPUTED_VALUE"""),"")</f>
        <v/>
      </c>
      <c r="U115" s="55" t="str">
        <f ca="1">IFERROR(__xludf.DUMMYFUNCTION("""COMPUTED_VALUE"""),"")</f>
        <v/>
      </c>
      <c r="V115" s="189" t="str">
        <f ca="1">IFERROR(__xludf.DUMMYFUNCTION("""COMPUTED_VALUE"""),"")</f>
        <v/>
      </c>
      <c r="W115" s="189" t="str">
        <f ca="1">IFERROR(__xludf.DUMMYFUNCTION("""COMPUTED_VALUE"""),"")</f>
        <v/>
      </c>
      <c r="X115" s="189" t="str">
        <f ca="1">IFERROR(__xludf.DUMMYFUNCTION("""COMPUTED_VALUE"""),"{t1:vert;charges:[{charge:chain;t:argent;p:e;size:1.5}];shield:horsehead2}")</f>
        <v>{t1:vert;charges:[{charge:chain;t:argent;p:e;size:1.5}];shield:horsehead2}</v>
      </c>
      <c r="Y115" s="193" t="str">
        <f ca="1">IFERROR(__xludf.DUMMYFUNCTION("""COMPUTED_VALUE"""),"https://watabou.github.io/city-generator/?name=Bronholrock&amp;population=3795&amp;size=21&amp;seed=3550748350759&amp;river=0&amp;coast=0&amp;farms=0&amp;citadel=1&amp;urban_castle=0&amp;hub=false&amp;plaza=0&amp;temple=0&amp;walls=0&amp;shantytown=0&amp;gates=-1")</f>
        <v>https://watabou.github.io/city-generator/?name=Bronholrock&amp;population=3795&amp;size=21&amp;seed=3550748350759&amp;river=0&amp;coast=0&amp;farms=0&amp;citadel=1&amp;urban_castle=0&amp;hub=false&amp;plaza=0&amp;temple=0&amp;walls=0&amp;shantytown=0&amp;gates=-1</v>
      </c>
      <c r="Z115" s="189"/>
    </row>
    <row r="116" spans="1:26" ht="15" x14ac:dyDescent="0.25">
      <c r="A116" s="55">
        <f ca="1">IFERROR(__xludf.DUMMYFUNCTION("""COMPUTED_VALUE"""),760)</f>
        <v>760</v>
      </c>
      <c r="B116" s="55" t="str">
        <f ca="1">IFERROR(__xludf.DUMMYFUNCTION("""COMPUTED_VALUE"""),"Saltvaven")</f>
        <v>Saltvaven</v>
      </c>
      <c r="C116" s="55" t="str">
        <f ca="1">IFERROR(__xludf.DUMMYFUNCTION("""COMPUTED_VALUE"""),"Sirong")</f>
        <v>Sirong</v>
      </c>
      <c r="D116" s="55" t="str">
        <f ca="1">IFERROR(__xludf.DUMMYFUNCTION("""COMPUTED_VALUE"""),"Sirong Lordship")</f>
        <v>Sirong Lordship</v>
      </c>
      <c r="E116" s="55" t="str">
        <f ca="1">IFERROR(__xludf.DUMMYFUNCTION("""COMPUTED_VALUE"""),"Shavia")</f>
        <v>Shavia</v>
      </c>
      <c r="F116" s="55" t="str">
        <f ca="1">IFERROR(__xludf.DUMMYFUNCTION("""COMPUTED_VALUE"""),"Kingdom of Shavia")</f>
        <v>Kingdom of Shavia</v>
      </c>
      <c r="G116" s="55" t="str">
        <f ca="1">IFERROR(__xludf.DUMMYFUNCTION("""COMPUTED_VALUE"""),"Shavian")</f>
        <v>Shavian</v>
      </c>
      <c r="H116" s="55" t="str">
        <f ca="1">IFERROR(__xludf.DUMMYFUNCTION("""COMPUTED_VALUE"""),"Path of Guiding Light")</f>
        <v>Path of Guiding Light</v>
      </c>
      <c r="I116" s="55">
        <f ca="1">IFERROR(__xludf.DUMMYFUNCTION("""COMPUTED_VALUE"""),2514)</f>
        <v>2514</v>
      </c>
      <c r="J116" s="55">
        <f ca="1">IFERROR(__xludf.DUMMYFUNCTION("""COMPUTED_VALUE"""),383.269612669629)</f>
        <v>383.269612669629</v>
      </c>
      <c r="K116" s="55">
        <f ca="1">IFERROR(__xludf.DUMMYFUNCTION("""COMPUTED_VALUE"""),817.739285131196)</f>
        <v>817.73928513119597</v>
      </c>
      <c r="L116" s="55">
        <f ca="1">IFERROR(__xludf.DUMMYFUNCTION("""COMPUTED_VALUE"""),-33.58)</f>
        <v>-33.58</v>
      </c>
      <c r="M116" s="55">
        <f ca="1">IFERROR(__xludf.DUMMYFUNCTION("""COMPUTED_VALUE"""),-12.62)</f>
        <v>-12.62</v>
      </c>
      <c r="N116" s="55">
        <f ca="1">IFERROR(__xludf.DUMMYFUNCTION("""COMPUTED_VALUE"""),397)</f>
        <v>397</v>
      </c>
      <c r="O116" s="55" t="str">
        <f ca="1">IFERROR(__xludf.DUMMYFUNCTION("""COMPUTED_VALUE"""),"39°F")</f>
        <v>39°F</v>
      </c>
      <c r="P116" s="55" t="str">
        <f ca="1">IFERROR(__xludf.DUMMYFUNCTION("""COMPUTED_VALUE"""),"Reykjavik")</f>
        <v>Reykjavik</v>
      </c>
      <c r="Q116" s="55" t="str">
        <f ca="1">IFERROR(__xludf.DUMMYFUNCTION("""COMPUTED_VALUE"""),"")</f>
        <v/>
      </c>
      <c r="R116" s="55" t="str">
        <f ca="1">IFERROR(__xludf.DUMMYFUNCTION("""COMPUTED_VALUE"""),"")</f>
        <v/>
      </c>
      <c r="S116" s="55" t="str">
        <f ca="1">IFERROR(__xludf.DUMMYFUNCTION("""COMPUTED_VALUE"""),"citadel")</f>
        <v>citadel</v>
      </c>
      <c r="T116" s="55" t="str">
        <f ca="1">IFERROR(__xludf.DUMMYFUNCTION("""COMPUTED_VALUE"""),"")</f>
        <v/>
      </c>
      <c r="U116" s="55" t="str">
        <f ca="1">IFERROR(__xludf.DUMMYFUNCTION("""COMPUTED_VALUE"""),"")</f>
        <v/>
      </c>
      <c r="V116" s="189" t="str">
        <f ca="1">IFERROR(__xludf.DUMMYFUNCTION("""COMPUTED_VALUE"""),"")</f>
        <v/>
      </c>
      <c r="W116" s="189" t="str">
        <f ca="1">IFERROR(__xludf.DUMMYFUNCTION("""COMPUTED_VALUE"""),"")</f>
        <v/>
      </c>
      <c r="X116" s="189" t="str">
        <f ca="1">IFERROR(__xludf.DUMMYFUNCTION("""COMPUTED_VALUE"""),"{t1:argent;charges:[{charge:stagsAttires;t:purpure;p:e;size:1.5}];shield:fantasy5}")</f>
        <v>{t1:argent;charges:[{charge:stagsAttires;t:purpure;p:e;size:1.5}];shield:fantasy5}</v>
      </c>
      <c r="Y116" s="193" t="str">
        <f ca="1">IFERROR(__xludf.DUMMYFUNCTION("""COMPUTED_VALUE"""),"https://watabou.github.io/city-generator/?name=Saltvaven&amp;population=2514&amp;size=18&amp;seed=3550748350760&amp;river=0&amp;coast=0&amp;farms=1&amp;citadel=1&amp;urban_castle=1&amp;hub=false&amp;plaza=0&amp;temple=0&amp;walls=0&amp;shantytown=0&amp;gates=-1")</f>
        <v>https://watabou.github.io/city-generator/?name=Saltvaven&amp;population=2514&amp;size=18&amp;seed=3550748350760&amp;river=0&amp;coast=0&amp;farms=1&amp;citadel=1&amp;urban_castle=1&amp;hub=false&amp;plaza=0&amp;temple=0&amp;walls=0&amp;shantytown=0&amp;gates=-1</v>
      </c>
      <c r="Z116" s="189"/>
    </row>
    <row r="117" spans="1:26" ht="15" x14ac:dyDescent="0.25">
      <c r="A117" s="55">
        <f ca="1">IFERROR(__xludf.DUMMYFUNCTION("""COMPUTED_VALUE"""),761)</f>
        <v>761</v>
      </c>
      <c r="B117" s="55" t="str">
        <f ca="1">IFERROR(__xludf.DUMMYFUNCTION("""COMPUTED_VALUE"""),"Sunrun")</f>
        <v>Sunrun</v>
      </c>
      <c r="C117" s="55" t="str">
        <f ca="1">IFERROR(__xludf.DUMMYFUNCTION("""COMPUTED_VALUE"""),"Dreghold")</f>
        <v>Dreghold</v>
      </c>
      <c r="D117" s="55" t="str">
        <f ca="1">IFERROR(__xludf.DUMMYFUNCTION("""COMPUTED_VALUE"""),"Dreghold Province")</f>
        <v>Dreghold Province</v>
      </c>
      <c r="E117" s="55" t="str">
        <f ca="1">IFERROR(__xludf.DUMMYFUNCTION("""COMPUTED_VALUE"""),"Shavia")</f>
        <v>Shavia</v>
      </c>
      <c r="F117" s="55" t="str">
        <f ca="1">IFERROR(__xludf.DUMMYFUNCTION("""COMPUTED_VALUE"""),"Kingdom of Shavia")</f>
        <v>Kingdom of Shavia</v>
      </c>
      <c r="G117" s="55" t="str">
        <f ca="1">IFERROR(__xludf.DUMMYFUNCTION("""COMPUTED_VALUE"""),"Shavian")</f>
        <v>Shavian</v>
      </c>
      <c r="H117" s="55" t="str">
        <f ca="1">IFERROR(__xludf.DUMMYFUNCTION("""COMPUTED_VALUE"""),"Path of Guiding Light")</f>
        <v>Path of Guiding Light</v>
      </c>
      <c r="I117" s="55">
        <f ca="1">IFERROR(__xludf.DUMMYFUNCTION("""COMPUTED_VALUE"""),2154)</f>
        <v>2154</v>
      </c>
      <c r="J117" s="55">
        <f ca="1">IFERROR(__xludf.DUMMYFUNCTION("""COMPUTED_VALUE"""),671.304263236734)</f>
        <v>671.30426323673396</v>
      </c>
      <c r="K117" s="55">
        <f ca="1">IFERROR(__xludf.DUMMYFUNCTION("""COMPUTED_VALUE"""),839.98412334729)</f>
        <v>839.98412334729005</v>
      </c>
      <c r="L117" s="55">
        <f ca="1">IFERROR(__xludf.DUMMYFUNCTION("""COMPUTED_VALUE"""),-34.3)</f>
        <v>-34.299999999999997</v>
      </c>
      <c r="M117" s="55">
        <f ca="1">IFERROR(__xludf.DUMMYFUNCTION("""COMPUTED_VALUE"""),-3.32)</f>
        <v>-3.32</v>
      </c>
      <c r="N117" s="55">
        <f ca="1">IFERROR(__xludf.DUMMYFUNCTION("""COMPUTED_VALUE"""),948)</f>
        <v>948</v>
      </c>
      <c r="O117" s="55" t="str">
        <f ca="1">IFERROR(__xludf.DUMMYFUNCTION("""COMPUTED_VALUE"""),"37°F")</f>
        <v>37°F</v>
      </c>
      <c r="P117" s="55" t="str">
        <f ca="1">IFERROR(__xludf.DUMMYFUNCTION("""COMPUTED_VALUE"""),"Tromsø")</f>
        <v>Tromsø</v>
      </c>
      <c r="Q117" s="55" t="str">
        <f ca="1">IFERROR(__xludf.DUMMYFUNCTION("""COMPUTED_VALUE"""),"")</f>
        <v/>
      </c>
      <c r="R117" s="55" t="str">
        <f ca="1">IFERROR(__xludf.DUMMYFUNCTION("""COMPUTED_VALUE"""),"")</f>
        <v/>
      </c>
      <c r="S117" s="55" t="str">
        <f ca="1">IFERROR(__xludf.DUMMYFUNCTION("""COMPUTED_VALUE"""),"")</f>
        <v/>
      </c>
      <c r="T117" s="55" t="str">
        <f ca="1">IFERROR(__xludf.DUMMYFUNCTION("""COMPUTED_VALUE"""),"")</f>
        <v/>
      </c>
      <c r="U117" s="55" t="str">
        <f ca="1">IFERROR(__xludf.DUMMYFUNCTION("""COMPUTED_VALUE"""),"")</f>
        <v/>
      </c>
      <c r="V117" s="189" t="str">
        <f ca="1">IFERROR(__xludf.DUMMYFUNCTION("""COMPUTED_VALUE"""),"")</f>
        <v/>
      </c>
      <c r="W117" s="189" t="str">
        <f ca="1">IFERROR(__xludf.DUMMYFUNCTION("""COMPUTED_VALUE"""),"")</f>
        <v/>
      </c>
      <c r="X117" s="189" t="str">
        <f ca="1">IFERROR(__xludf.DUMMYFUNCTION("""COMPUTED_VALUE"""),"{t1:vert;charges:[{charge:inescutcheon;t:argent;p:e;size:1.5};{charge:crossFitchy;t:sable;p:e;size:0.75}];shield:horsehead2}")</f>
        <v>{t1:vert;charges:[{charge:inescutcheon;t:argent;p:e;size:1.5};{charge:crossFitchy;t:sable;p:e;size:0.75}];shield:horsehead2}</v>
      </c>
      <c r="Y117" s="193" t="str">
        <f ca="1">IFERROR(__xludf.DUMMYFUNCTION("""COMPUTED_VALUE"""),"https://watabou.github.io/city-generator/?name=Sunrun&amp;population=2154&amp;size=17&amp;seed=3550748350761&amp;river=1&amp;coast=0&amp;farms=1&amp;citadel=0&amp;urban_castle=0&amp;hub=false&amp;plaza=0&amp;temple=0&amp;walls=0&amp;shantytown=0&amp;gates=-1")</f>
        <v>https://watabou.github.io/city-generator/?name=Sunrun&amp;population=2154&amp;size=17&amp;seed=3550748350761&amp;river=1&amp;coast=0&amp;farms=1&amp;citadel=0&amp;urban_castle=0&amp;hub=false&amp;plaza=0&amp;temple=0&amp;walls=0&amp;shantytown=0&amp;gates=-1</v>
      </c>
      <c r="Z117" s="189"/>
    </row>
    <row r="118" spans="1:26" ht="15" x14ac:dyDescent="0.25">
      <c r="A118" s="55">
        <f ca="1">IFERROR(__xludf.DUMMYFUNCTION("""COMPUTED_VALUE"""),763)</f>
        <v>763</v>
      </c>
      <c r="B118" s="55" t="str">
        <f ca="1">IFERROR(__xludf.DUMMYFUNCTION("""COMPUTED_VALUE"""),"Shaven")</f>
        <v>Shaven</v>
      </c>
      <c r="C118" s="55" t="str">
        <f ca="1">IFERROR(__xludf.DUMMYFUNCTION("""COMPUTED_VALUE"""),"Sirong")</f>
        <v>Sirong</v>
      </c>
      <c r="D118" s="55" t="str">
        <f ca="1">IFERROR(__xludf.DUMMYFUNCTION("""COMPUTED_VALUE"""),"Sirong Lordship")</f>
        <v>Sirong Lordship</v>
      </c>
      <c r="E118" s="55" t="str">
        <f ca="1">IFERROR(__xludf.DUMMYFUNCTION("""COMPUTED_VALUE"""),"Shavia")</f>
        <v>Shavia</v>
      </c>
      <c r="F118" s="55" t="str">
        <f ca="1">IFERROR(__xludf.DUMMYFUNCTION("""COMPUTED_VALUE"""),"Kingdom of Shavia")</f>
        <v>Kingdom of Shavia</v>
      </c>
      <c r="G118" s="55" t="str">
        <f ca="1">IFERROR(__xludf.DUMMYFUNCTION("""COMPUTED_VALUE"""),"Shavian")</f>
        <v>Shavian</v>
      </c>
      <c r="H118" s="55" t="str">
        <f ca="1">IFERROR(__xludf.DUMMYFUNCTION("""COMPUTED_VALUE"""),"Path of Guiding Light")</f>
        <v>Path of Guiding Light</v>
      </c>
      <c r="I118" s="55">
        <f ca="1">IFERROR(__xludf.DUMMYFUNCTION("""COMPUTED_VALUE"""),1971)</f>
        <v>1971</v>
      </c>
      <c r="J118" s="55">
        <f ca="1">IFERROR(__xludf.DUMMYFUNCTION("""COMPUTED_VALUE"""),390.022857517385)</f>
        <v>390.02285751738498</v>
      </c>
      <c r="K118" s="55">
        <f ca="1">IFERROR(__xludf.DUMMYFUNCTION("""COMPUTED_VALUE"""),846.873600800044)</f>
        <v>846.87360080004396</v>
      </c>
      <c r="L118" s="55">
        <f ca="1">IFERROR(__xludf.DUMMYFUNCTION("""COMPUTED_VALUE"""),-34.52)</f>
        <v>-34.520000000000003</v>
      </c>
      <c r="M118" s="55">
        <f ca="1">IFERROR(__xludf.DUMMYFUNCTION("""COMPUTED_VALUE"""),-12.4)</f>
        <v>-12.4</v>
      </c>
      <c r="N118" s="55">
        <f ca="1">IFERROR(__xludf.DUMMYFUNCTION("""COMPUTED_VALUE"""),397)</f>
        <v>397</v>
      </c>
      <c r="O118" s="55" t="str">
        <f ca="1">IFERROR(__xludf.DUMMYFUNCTION("""COMPUTED_VALUE"""),"37°F")</f>
        <v>37°F</v>
      </c>
      <c r="P118" s="55" t="str">
        <f ca="1">IFERROR(__xludf.DUMMYFUNCTION("""COMPUTED_VALUE"""),"Tromsø")</f>
        <v>Tromsø</v>
      </c>
      <c r="Q118" s="55" t="str">
        <f ca="1">IFERROR(__xludf.DUMMYFUNCTION("""COMPUTED_VALUE"""),"")</f>
        <v/>
      </c>
      <c r="R118" s="55" t="str">
        <f ca="1">IFERROR(__xludf.DUMMYFUNCTION("""COMPUTED_VALUE"""),"")</f>
        <v/>
      </c>
      <c r="S118" s="55" t="str">
        <f ca="1">IFERROR(__xludf.DUMMYFUNCTION("""COMPUTED_VALUE"""),"citadel")</f>
        <v>citadel</v>
      </c>
      <c r="T118" s="55" t="str">
        <f ca="1">IFERROR(__xludf.DUMMYFUNCTION("""COMPUTED_VALUE"""),"")</f>
        <v/>
      </c>
      <c r="U118" s="55" t="str">
        <f ca="1">IFERROR(__xludf.DUMMYFUNCTION("""COMPUTED_VALUE"""),"")</f>
        <v/>
      </c>
      <c r="V118" s="189" t="str">
        <f ca="1">IFERROR(__xludf.DUMMYFUNCTION("""COMPUTED_VALUE"""),"")</f>
        <v/>
      </c>
      <c r="W118" s="189" t="str">
        <f ca="1">IFERROR(__xludf.DUMMYFUNCTION("""COMPUTED_VALUE"""),"")</f>
        <v/>
      </c>
      <c r="X118" s="189" t="str">
        <f ca="1">IFERROR(__xludf.DUMMYFUNCTION("""COMPUTED_VALUE"""),"{t1:vert;charges:[{charge:arrowsSheaf;t:or;p:jln;size:0.7}];shield:fantasy5}")</f>
        <v>{t1:vert;charges:[{charge:arrowsSheaf;t:or;p:jln;size:0.7}];shield:fantasy5}</v>
      </c>
      <c r="Y118" s="193" t="str">
        <f ca="1">IFERROR(__xludf.DUMMYFUNCTION("""COMPUTED_VALUE"""),"https://watabou.github.io/city-generator/?name=Shaven&amp;population=1971&amp;size=17&amp;seed=3550748350763&amp;river=0&amp;coast=0&amp;farms=1&amp;citadel=1&amp;urban_castle=0&amp;hub=false&amp;plaza=0&amp;temple=0&amp;walls=0&amp;shantytown=0&amp;gates=-1")</f>
        <v>https://watabou.github.io/city-generator/?name=Shaven&amp;population=1971&amp;size=17&amp;seed=3550748350763&amp;river=0&amp;coast=0&amp;farms=1&amp;citadel=1&amp;urban_castle=0&amp;hub=false&amp;plaza=0&amp;temple=0&amp;walls=0&amp;shantytown=0&amp;gates=-1</v>
      </c>
      <c r="Z118" s="189"/>
    </row>
    <row r="119" spans="1:26" ht="15" x14ac:dyDescent="0.25">
      <c r="A119" s="55">
        <f ca="1">IFERROR(__xludf.DUMMYFUNCTION("""COMPUTED_VALUE"""),780)</f>
        <v>780</v>
      </c>
      <c r="B119" s="55" t="str">
        <f ca="1">IFERROR(__xludf.DUMMYFUNCTION("""COMPUTED_VALUE"""),"Dawngview")</f>
        <v>Dawngview</v>
      </c>
      <c r="C119" s="55" t="str">
        <f ca="1">IFERROR(__xludf.DUMMYFUNCTION("""COMPUTED_VALUE"""),"Sirong")</f>
        <v>Sirong</v>
      </c>
      <c r="D119" s="55" t="str">
        <f ca="1">IFERROR(__xludf.DUMMYFUNCTION("""COMPUTED_VALUE"""),"Sirong Lordship")</f>
        <v>Sirong Lordship</v>
      </c>
      <c r="E119" s="55" t="str">
        <f ca="1">IFERROR(__xludf.DUMMYFUNCTION("""COMPUTED_VALUE"""),"Shavia")</f>
        <v>Shavia</v>
      </c>
      <c r="F119" s="55" t="str">
        <f ca="1">IFERROR(__xludf.DUMMYFUNCTION("""COMPUTED_VALUE"""),"Kingdom of Shavia")</f>
        <v>Kingdom of Shavia</v>
      </c>
      <c r="G119" s="55" t="str">
        <f ca="1">IFERROR(__xludf.DUMMYFUNCTION("""COMPUTED_VALUE"""),"Shavian")</f>
        <v>Shavian</v>
      </c>
      <c r="H119" s="55" t="str">
        <f ca="1">IFERROR(__xludf.DUMMYFUNCTION("""COMPUTED_VALUE"""),"Path of Guiding Light")</f>
        <v>Path of Guiding Light</v>
      </c>
      <c r="I119" s="55">
        <f ca="1">IFERROR(__xludf.DUMMYFUNCTION("""COMPUTED_VALUE"""),11051)</f>
        <v>11051</v>
      </c>
      <c r="J119" s="55">
        <f ca="1">IFERROR(__xludf.DUMMYFUNCTION("""COMPUTED_VALUE"""),376.6915240283)</f>
        <v>376.69152402830002</v>
      </c>
      <c r="K119" s="55">
        <f ca="1">IFERROR(__xludf.DUMMYFUNCTION("""COMPUTED_VALUE"""),734.073003861738)</f>
        <v>734.07300386173802</v>
      </c>
      <c r="L119" s="55">
        <f ca="1">IFERROR(__xludf.DUMMYFUNCTION("""COMPUTED_VALUE"""),-30.87)</f>
        <v>-30.87</v>
      </c>
      <c r="M119" s="55">
        <f ca="1">IFERROR(__xludf.DUMMYFUNCTION("""COMPUTED_VALUE"""),-12.83)</f>
        <v>-12.83</v>
      </c>
      <c r="N119" s="55">
        <f ca="1">IFERROR(__xludf.DUMMYFUNCTION("""COMPUTED_VALUE"""),210)</f>
        <v>210</v>
      </c>
      <c r="O119" s="55" t="str">
        <f ca="1">IFERROR(__xludf.DUMMYFUNCTION("""COMPUTED_VALUE"""),"43°F")</f>
        <v>43°F</v>
      </c>
      <c r="P119" s="55" t="str">
        <f ca="1">IFERROR(__xludf.DUMMYFUNCTION("""COMPUTED_VALUE"""),"Stockholm")</f>
        <v>Stockholm</v>
      </c>
      <c r="Q119" s="55" t="str">
        <f ca="1">IFERROR(__xludf.DUMMYFUNCTION("""COMPUTED_VALUE"""),"")</f>
        <v/>
      </c>
      <c r="R119" s="55" t="str">
        <f ca="1">IFERROR(__xludf.DUMMYFUNCTION("""COMPUTED_VALUE"""),"")</f>
        <v/>
      </c>
      <c r="S119" s="55" t="str">
        <f ca="1">IFERROR(__xludf.DUMMYFUNCTION("""COMPUTED_VALUE"""),"citadel")</f>
        <v>citadel</v>
      </c>
      <c r="T119" s="55" t="str">
        <f ca="1">IFERROR(__xludf.DUMMYFUNCTION("""COMPUTED_VALUE"""),"walls")</f>
        <v>walls</v>
      </c>
      <c r="U119" s="55" t="str">
        <f ca="1">IFERROR(__xludf.DUMMYFUNCTION("""COMPUTED_VALUE"""),"")</f>
        <v/>
      </c>
      <c r="V119" s="189" t="str">
        <f ca="1">IFERROR(__xludf.DUMMYFUNCTION("""COMPUTED_VALUE"""),"")</f>
        <v/>
      </c>
      <c r="W119" s="189" t="str">
        <f ca="1">IFERROR(__xludf.DUMMYFUNCTION("""COMPUTED_VALUE"""),"")</f>
        <v/>
      </c>
      <c r="X119" s="189" t="str">
        <f ca="1">IFERROR(__xludf.DUMMYFUNCTION("""COMPUTED_VALUE"""),"{t1:argent;ordinaries:[{ordinary:cross;t:azure;line:dancetty}];charges:[{charge:castle;t:argent;p:behdf;size:0.3}];shield:fantasy5}")</f>
        <v>{t1:argent;ordinaries:[{ordinary:cross;t:azure;line:dancetty}];charges:[{charge:castle;t:argent;p:behdf;size:0.3}];shield:fantasy5}</v>
      </c>
      <c r="Y119" s="193" t="str">
        <f ca="1">IFERROR(__xludf.DUMMYFUNCTION("""COMPUTED_VALUE"""),"https://watabou.github.io/city-generator/?name=Dawngview&amp;population=11051&amp;size=32&amp;seed=3550748350780&amp;river=1&amp;coast=0&amp;farms=0&amp;citadel=1&amp;urban_castle=1&amp;hub=false&amp;plaza=0&amp;temple=0&amp;walls=1&amp;shantytown=0&amp;gates=-1")</f>
        <v>https://watabou.github.io/city-generator/?name=Dawngview&amp;population=11051&amp;size=32&amp;seed=3550748350780&amp;river=1&amp;coast=0&amp;farms=0&amp;citadel=1&amp;urban_castle=1&amp;hub=false&amp;plaza=0&amp;temple=0&amp;walls=1&amp;shantytown=0&amp;gates=-1</v>
      </c>
      <c r="Z119" s="189"/>
    </row>
    <row r="120" spans="1:26" ht="15" x14ac:dyDescent="0.25">
      <c r="A120" s="55">
        <f ca="1">IFERROR(__xludf.DUMMYFUNCTION("""COMPUTED_VALUE"""),782)</f>
        <v>782</v>
      </c>
      <c r="B120" s="55" t="str">
        <f ca="1">IFERROR(__xludf.DUMMYFUNCTION("""COMPUTED_VALUE"""),"Shameverun")</f>
        <v>Shameverun</v>
      </c>
      <c r="C120" s="55" t="str">
        <f ca="1">IFERROR(__xludf.DUMMYFUNCTION("""COMPUTED_VALUE"""),"Dreghold")</f>
        <v>Dreghold</v>
      </c>
      <c r="D120" s="55" t="str">
        <f ca="1">IFERROR(__xludf.DUMMYFUNCTION("""COMPUTED_VALUE"""),"Dreghold Province")</f>
        <v>Dreghold Province</v>
      </c>
      <c r="E120" s="55" t="str">
        <f ca="1">IFERROR(__xludf.DUMMYFUNCTION("""COMPUTED_VALUE"""),"Shavia")</f>
        <v>Shavia</v>
      </c>
      <c r="F120" s="55" t="str">
        <f ca="1">IFERROR(__xludf.DUMMYFUNCTION("""COMPUTED_VALUE"""),"Kingdom of Shavia")</f>
        <v>Kingdom of Shavia</v>
      </c>
      <c r="G120" s="55" t="str">
        <f ca="1">IFERROR(__xludf.DUMMYFUNCTION("""COMPUTED_VALUE"""),"Shavian")</f>
        <v>Shavian</v>
      </c>
      <c r="H120" s="55" t="str">
        <f ca="1">IFERROR(__xludf.DUMMYFUNCTION("""COMPUTED_VALUE"""),"Path of Guiding Light")</f>
        <v>Path of Guiding Light</v>
      </c>
      <c r="I120" s="55">
        <f ca="1">IFERROR(__xludf.DUMMYFUNCTION("""COMPUTED_VALUE"""),14779)</f>
        <v>14779</v>
      </c>
      <c r="J120" s="55">
        <f ca="1">IFERROR(__xludf.DUMMYFUNCTION("""COMPUTED_VALUE"""),686.250926185081)</f>
        <v>686.25092618508097</v>
      </c>
      <c r="K120" s="55">
        <f ca="1">IFERROR(__xludf.DUMMYFUNCTION("""COMPUTED_VALUE"""),862.228961563385)</f>
        <v>862.22896156338504</v>
      </c>
      <c r="L120" s="55">
        <f ca="1">IFERROR(__xludf.DUMMYFUNCTION("""COMPUTED_VALUE"""),-35.02)</f>
        <v>-35.020000000000003</v>
      </c>
      <c r="M120" s="55">
        <f ca="1">IFERROR(__xludf.DUMMYFUNCTION("""COMPUTED_VALUE"""),-2.83)</f>
        <v>-2.83</v>
      </c>
      <c r="N120" s="55">
        <f ca="1">IFERROR(__xludf.DUMMYFUNCTION("""COMPUTED_VALUE"""),328)</f>
        <v>328</v>
      </c>
      <c r="O120" s="55" t="str">
        <f ca="1">IFERROR(__xludf.DUMMYFUNCTION("""COMPUTED_VALUE"""),"39°F")</f>
        <v>39°F</v>
      </c>
      <c r="P120" s="55" t="str">
        <f ca="1">IFERROR(__xludf.DUMMYFUNCTION("""COMPUTED_VALUE"""),"Reykjavik")</f>
        <v>Reykjavik</v>
      </c>
      <c r="Q120" s="55" t="str">
        <f ca="1">IFERROR(__xludf.DUMMYFUNCTION("""COMPUTED_VALUE"""),"")</f>
        <v/>
      </c>
      <c r="R120" s="55" t="str">
        <f ca="1">IFERROR(__xludf.DUMMYFUNCTION("""COMPUTED_VALUE"""),"")</f>
        <v/>
      </c>
      <c r="S120" s="55" t="str">
        <f ca="1">IFERROR(__xludf.DUMMYFUNCTION("""COMPUTED_VALUE"""),"")</f>
        <v/>
      </c>
      <c r="T120" s="55" t="str">
        <f ca="1">IFERROR(__xludf.DUMMYFUNCTION("""COMPUTED_VALUE"""),"walls")</f>
        <v>walls</v>
      </c>
      <c r="U120" s="55" t="str">
        <f ca="1">IFERROR(__xludf.DUMMYFUNCTION("""COMPUTED_VALUE"""),"")</f>
        <v/>
      </c>
      <c r="V120" s="189" t="str">
        <f ca="1">IFERROR(__xludf.DUMMYFUNCTION("""COMPUTED_VALUE"""),"")</f>
        <v/>
      </c>
      <c r="W120" s="189" t="str">
        <f ca="1">IFERROR(__xludf.DUMMYFUNCTION("""COMPUTED_VALUE"""),"")</f>
        <v/>
      </c>
      <c r="X120" s="189" t="str">
        <f ca="1">IFERROR(__xludf.DUMMYFUNCTION("""COMPUTED_VALUE"""),"{t1:purpure;charges:[{charge:crossHummetty;t:argent;p:jln;size:0.7}];shield:horsehead2}")</f>
        <v>{t1:purpure;charges:[{charge:crossHummetty;t:argent;p:jln;size:0.7}];shield:horsehead2}</v>
      </c>
      <c r="Y120" s="193" t="str">
        <f ca="1">IFERROR(__xludf.DUMMYFUNCTION("""COMPUTED_VALUE"""),"https://watabou.github.io/city-generator/?name=Shameverun&amp;population=14779&amp;size=36&amp;seed=3550748350782&amp;river=0&amp;coast=0&amp;farms=1&amp;citadel=0&amp;urban_castle=0&amp;hub=false&amp;plaza=0&amp;temple=0&amp;walls=1&amp;shantytown=0&amp;gates=-1")</f>
        <v>https://watabou.github.io/city-generator/?name=Shameverun&amp;population=14779&amp;size=36&amp;seed=3550748350782&amp;river=0&amp;coast=0&amp;farms=1&amp;citadel=0&amp;urban_castle=0&amp;hub=false&amp;plaza=0&amp;temple=0&amp;walls=1&amp;shantytown=0&amp;gates=-1</v>
      </c>
      <c r="Z120" s="189"/>
    </row>
    <row r="121" spans="1:26" ht="15" x14ac:dyDescent="0.25">
      <c r="A121" s="55">
        <f ca="1">IFERROR(__xludf.DUMMYFUNCTION("""COMPUTED_VALUE"""),783)</f>
        <v>783</v>
      </c>
      <c r="B121" s="55" t="str">
        <f ca="1">IFERROR(__xludf.DUMMYFUNCTION("""COMPUTED_VALUE"""),"Earthilld")</f>
        <v>Earthilld</v>
      </c>
      <c r="C121" s="55" t="str">
        <f ca="1">IFERROR(__xludf.DUMMYFUNCTION("""COMPUTED_VALUE"""),"Swanhall")</f>
        <v>Swanhall</v>
      </c>
      <c r="D121" s="55" t="str">
        <f ca="1">IFERROR(__xludf.DUMMYFUNCTION("""COMPUTED_VALUE"""),"Swanhall Province")</f>
        <v>Swanhall Province</v>
      </c>
      <c r="E121" s="55" t="str">
        <f ca="1">IFERROR(__xludf.DUMMYFUNCTION("""COMPUTED_VALUE"""),"Shavia")</f>
        <v>Shavia</v>
      </c>
      <c r="F121" s="55" t="str">
        <f ca="1">IFERROR(__xludf.DUMMYFUNCTION("""COMPUTED_VALUE"""),"Kingdom of Shavia")</f>
        <v>Kingdom of Shavia</v>
      </c>
      <c r="G121" s="55" t="str">
        <f ca="1">IFERROR(__xludf.DUMMYFUNCTION("""COMPUTED_VALUE"""),"Shavian")</f>
        <v>Shavian</v>
      </c>
      <c r="H121" s="55" t="str">
        <f ca="1">IFERROR(__xludf.DUMMYFUNCTION("""COMPUTED_VALUE"""),"Path of Guiding Light")</f>
        <v>Path of Guiding Light</v>
      </c>
      <c r="I121" s="55">
        <f ca="1">IFERROR(__xludf.DUMMYFUNCTION("""COMPUTED_VALUE"""),1968)</f>
        <v>1968</v>
      </c>
      <c r="J121" s="55">
        <f ca="1">IFERROR(__xludf.DUMMYFUNCTION("""COMPUTED_VALUE"""),848.542882339073)</f>
        <v>848.542882339073</v>
      </c>
      <c r="K121" s="55">
        <f ca="1">IFERROR(__xludf.DUMMYFUNCTION("""COMPUTED_VALUE"""),868.028578176155)</f>
        <v>868.02857817615495</v>
      </c>
      <c r="L121" s="55">
        <f ca="1">IFERROR(__xludf.DUMMYFUNCTION("""COMPUTED_VALUE"""),-35.21)</f>
        <v>-35.21</v>
      </c>
      <c r="M121" s="55">
        <f ca="1">IFERROR(__xludf.DUMMYFUNCTION("""COMPUTED_VALUE"""),2.41)</f>
        <v>2.41</v>
      </c>
      <c r="N121" s="55">
        <f ca="1">IFERROR(__xludf.DUMMYFUNCTION("""COMPUTED_VALUE"""),328)</f>
        <v>328</v>
      </c>
      <c r="O121" s="55" t="str">
        <f ca="1">IFERROR(__xludf.DUMMYFUNCTION("""COMPUTED_VALUE"""),"39°F")</f>
        <v>39°F</v>
      </c>
      <c r="P121" s="55" t="str">
        <f ca="1">IFERROR(__xludf.DUMMYFUNCTION("""COMPUTED_VALUE"""),"Reykjavik")</f>
        <v>Reykjavik</v>
      </c>
      <c r="Q121" s="55" t="str">
        <f ca="1">IFERROR(__xludf.DUMMYFUNCTION("""COMPUTED_VALUE"""),"")</f>
        <v/>
      </c>
      <c r="R121" s="55" t="str">
        <f ca="1">IFERROR(__xludf.DUMMYFUNCTION("""COMPUTED_VALUE"""),"")</f>
        <v/>
      </c>
      <c r="S121" s="55" t="str">
        <f ca="1">IFERROR(__xludf.DUMMYFUNCTION("""COMPUTED_VALUE"""),"citadel")</f>
        <v>citadel</v>
      </c>
      <c r="T121" s="55" t="str">
        <f ca="1">IFERROR(__xludf.DUMMYFUNCTION("""COMPUTED_VALUE"""),"")</f>
        <v/>
      </c>
      <c r="U121" s="55" t="str">
        <f ca="1">IFERROR(__xludf.DUMMYFUNCTION("""COMPUTED_VALUE"""),"")</f>
        <v/>
      </c>
      <c r="V121" s="189" t="str">
        <f ca="1">IFERROR(__xludf.DUMMYFUNCTION("""COMPUTED_VALUE"""),"")</f>
        <v/>
      </c>
      <c r="W121" s="189" t="str">
        <f ca="1">IFERROR(__xludf.DUMMYFUNCTION("""COMPUTED_VALUE"""),"")</f>
        <v/>
      </c>
      <c r="X121" s="189" t="str">
        <f ca="1">IFERROR(__xludf.DUMMYFUNCTION("""COMPUTED_VALUE"""),"{t1:or;charges:[{charge:mallet;t:sable;p:e;size:1.5}];shield:horsehead2}")</f>
        <v>{t1:or;charges:[{charge:mallet;t:sable;p:e;size:1.5}];shield:horsehead2}</v>
      </c>
      <c r="Y121" s="193" t="str">
        <f ca="1">IFERROR(__xludf.DUMMYFUNCTION("""COMPUTED_VALUE"""),"https://watabou.github.io/city-generator/?name=Earthilld&amp;population=1968&amp;size=17&amp;seed=3550748350783&amp;river=0&amp;coast=0&amp;farms=1&amp;citadel=1&amp;urban_castle=0&amp;hub=false&amp;plaza=0&amp;temple=0&amp;walls=0&amp;shantytown=0&amp;gates=-1")</f>
        <v>https://watabou.github.io/city-generator/?name=Earthilld&amp;population=1968&amp;size=17&amp;seed=3550748350783&amp;river=0&amp;coast=0&amp;farms=1&amp;citadel=1&amp;urban_castle=0&amp;hub=false&amp;plaza=0&amp;temple=0&amp;walls=0&amp;shantytown=0&amp;gates=-1</v>
      </c>
      <c r="Z121" s="189"/>
    </row>
    <row r="122" spans="1:26" ht="15" x14ac:dyDescent="0.25">
      <c r="A122" s="55">
        <f ca="1">IFERROR(__xludf.DUMMYFUNCTION("""COMPUTED_VALUE"""),803)</f>
        <v>803</v>
      </c>
      <c r="B122" s="55" t="str">
        <f ca="1">IFERROR(__xludf.DUMMYFUNCTION("""COMPUTED_VALUE"""),"Bridtown")</f>
        <v>Bridtown</v>
      </c>
      <c r="C122" s="55" t="str">
        <f ca="1">IFERROR(__xludf.DUMMYFUNCTION("""COMPUTED_VALUE"""),"Swanhall")</f>
        <v>Swanhall</v>
      </c>
      <c r="D122" s="55" t="str">
        <f ca="1">IFERROR(__xludf.DUMMYFUNCTION("""COMPUTED_VALUE"""),"Swanhall Province")</f>
        <v>Swanhall Province</v>
      </c>
      <c r="E122" s="55" t="str">
        <f ca="1">IFERROR(__xludf.DUMMYFUNCTION("""COMPUTED_VALUE"""),"Shavia")</f>
        <v>Shavia</v>
      </c>
      <c r="F122" s="55" t="str">
        <f ca="1">IFERROR(__xludf.DUMMYFUNCTION("""COMPUTED_VALUE"""),"Kingdom of Shavia")</f>
        <v>Kingdom of Shavia</v>
      </c>
      <c r="G122" s="55" t="str">
        <f ca="1">IFERROR(__xludf.DUMMYFUNCTION("""COMPUTED_VALUE"""),"Eastern Shavian")</f>
        <v>Eastern Shavian</v>
      </c>
      <c r="H122" s="55" t="str">
        <f ca="1">IFERROR(__xludf.DUMMYFUNCTION("""COMPUTED_VALUE"""),"Path of Guiding Light")</f>
        <v>Path of Guiding Light</v>
      </c>
      <c r="I122" s="55">
        <f ca="1">IFERROR(__xludf.DUMMYFUNCTION("""COMPUTED_VALUE"""),13504)</f>
        <v>13504</v>
      </c>
      <c r="J122" s="55">
        <f ca="1">IFERROR(__xludf.DUMMYFUNCTION("""COMPUTED_VALUE"""),1106.95667221947)</f>
        <v>1106.95667221947</v>
      </c>
      <c r="K122" s="55">
        <f ca="1">IFERROR(__xludf.DUMMYFUNCTION("""COMPUTED_VALUE"""),767.352683082667)</f>
        <v>767.352683082667</v>
      </c>
      <c r="L122" s="55">
        <f ca="1">IFERROR(__xludf.DUMMYFUNCTION("""COMPUTED_VALUE"""),-31.95)</f>
        <v>-31.95</v>
      </c>
      <c r="M122" s="55">
        <f ca="1">IFERROR(__xludf.DUMMYFUNCTION("""COMPUTED_VALUE"""),10.75)</f>
        <v>10.75</v>
      </c>
      <c r="N122" s="55">
        <f ca="1">IFERROR(__xludf.DUMMYFUNCTION("""COMPUTED_VALUE"""),328)</f>
        <v>328</v>
      </c>
      <c r="O122" s="55" t="str">
        <f ca="1">IFERROR(__xludf.DUMMYFUNCTION("""COMPUTED_VALUE"""),"41°F")</f>
        <v>41°F</v>
      </c>
      <c r="P122" s="55" t="str">
        <f ca="1">IFERROR(__xludf.DUMMYFUNCTION("""COMPUTED_VALUE"""),"Riga")</f>
        <v>Riga</v>
      </c>
      <c r="Q122" s="55" t="str">
        <f ca="1">IFERROR(__xludf.DUMMYFUNCTION("""COMPUTED_VALUE"""),"")</f>
        <v/>
      </c>
      <c r="R122" s="55" t="str">
        <f ca="1">IFERROR(__xludf.DUMMYFUNCTION("""COMPUTED_VALUE"""),"")</f>
        <v/>
      </c>
      <c r="S122" s="55" t="str">
        <f ca="1">IFERROR(__xludf.DUMMYFUNCTION("""COMPUTED_VALUE"""),"")</f>
        <v/>
      </c>
      <c r="T122" s="55" t="str">
        <f ca="1">IFERROR(__xludf.DUMMYFUNCTION("""COMPUTED_VALUE"""),"")</f>
        <v/>
      </c>
      <c r="U122" s="55" t="str">
        <f ca="1">IFERROR(__xludf.DUMMYFUNCTION("""COMPUTED_VALUE"""),"plaza")</f>
        <v>plaza</v>
      </c>
      <c r="V122" s="189" t="str">
        <f ca="1">IFERROR(__xludf.DUMMYFUNCTION("""COMPUTED_VALUE"""),"")</f>
        <v/>
      </c>
      <c r="W122" s="189" t="str">
        <f ca="1">IFERROR(__xludf.DUMMYFUNCTION("""COMPUTED_VALUE"""),"")</f>
        <v/>
      </c>
      <c r="X122" s="189" t="str">
        <f ca="1">IFERROR(__xludf.DUMMYFUNCTION("""COMPUTED_VALUE"""),"{t1:azure;charges:[{charge:snake;t:or;p:e;size:1.5}];shield:horsehead2}")</f>
        <v>{t1:azure;charges:[{charge:snake;t:or;p:e;size:1.5}];shield:horsehead2}</v>
      </c>
      <c r="Y122" s="193" t="str">
        <f ca="1">IFERROR(__xludf.DUMMYFUNCTION("""COMPUTED_VALUE"""),"https://watabou.github.io/city-generator/?name=Bridtown&amp;population=13504&amp;size=35&amp;seed=3550748350803&amp;river=1&amp;coast=0&amp;farms=1&amp;citadel=0&amp;urban_castle=0&amp;hub=false&amp;plaza=1&amp;temple=0&amp;walls=0&amp;shantytown=0&amp;gates=-1")</f>
        <v>https://watabou.github.io/city-generator/?name=Bridtown&amp;population=13504&amp;size=35&amp;seed=3550748350803&amp;river=1&amp;coast=0&amp;farms=1&amp;citadel=0&amp;urban_castle=0&amp;hub=false&amp;plaza=1&amp;temple=0&amp;walls=0&amp;shantytown=0&amp;gates=-1</v>
      </c>
      <c r="Z122" s="189"/>
    </row>
    <row r="123" spans="1:26" ht="15" x14ac:dyDescent="0.25">
      <c r="A123" s="55">
        <f ca="1">IFERROR(__xludf.DUMMYFUNCTION("""COMPUTED_VALUE"""),804)</f>
        <v>804</v>
      </c>
      <c r="B123" s="55" t="str">
        <f ca="1">IFERROR(__xludf.DUMMYFUNCTION("""COMPUTED_VALUE"""),"Smallverne")</f>
        <v>Smallverne</v>
      </c>
      <c r="C123" s="55" t="str">
        <f ca="1">IFERROR(__xludf.DUMMYFUNCTION("""COMPUTED_VALUE"""),"Swanhall")</f>
        <v>Swanhall</v>
      </c>
      <c r="D123" s="55" t="str">
        <f ca="1">IFERROR(__xludf.DUMMYFUNCTION("""COMPUTED_VALUE"""),"Swanhall Province")</f>
        <v>Swanhall Province</v>
      </c>
      <c r="E123" s="55" t="str">
        <f ca="1">IFERROR(__xludf.DUMMYFUNCTION("""COMPUTED_VALUE"""),"Shavia")</f>
        <v>Shavia</v>
      </c>
      <c r="F123" s="55" t="str">
        <f ca="1">IFERROR(__xludf.DUMMYFUNCTION("""COMPUTED_VALUE"""),"Kingdom of Shavia")</f>
        <v>Kingdom of Shavia</v>
      </c>
      <c r="G123" s="55" t="str">
        <f ca="1">IFERROR(__xludf.DUMMYFUNCTION("""COMPUTED_VALUE"""),"Dail")</f>
        <v>Dail</v>
      </c>
      <c r="H123" s="55" t="str">
        <f ca="1">IFERROR(__xludf.DUMMYFUNCTION("""COMPUTED_VALUE"""),"Path of Guiding Light")</f>
        <v>Path of Guiding Light</v>
      </c>
      <c r="I123" s="55">
        <f ca="1">IFERROR(__xludf.DUMMYFUNCTION("""COMPUTED_VALUE"""),14884)</f>
        <v>14884</v>
      </c>
      <c r="J123" s="55">
        <f ca="1">IFERROR(__xludf.DUMMYFUNCTION("""COMPUTED_VALUE"""),1204.05159598159)</f>
        <v>1204.05159598159</v>
      </c>
      <c r="K123" s="55">
        <f ca="1">IFERROR(__xludf.DUMMYFUNCTION("""COMPUTED_VALUE"""),781.657106607452)</f>
        <v>781.65710660745196</v>
      </c>
      <c r="L123" s="55">
        <f ca="1">IFERROR(__xludf.DUMMYFUNCTION("""COMPUTED_VALUE"""),-32.41)</f>
        <v>-32.409999999999997</v>
      </c>
      <c r="M123" s="55">
        <f ca="1">IFERROR(__xludf.DUMMYFUNCTION("""COMPUTED_VALUE"""),13.89)</f>
        <v>13.89</v>
      </c>
      <c r="N123" s="55">
        <f ca="1">IFERROR(__xludf.DUMMYFUNCTION("""COMPUTED_VALUE"""),30)</f>
        <v>30</v>
      </c>
      <c r="O123" s="55" t="str">
        <f ca="1">IFERROR(__xludf.DUMMYFUNCTION("""COMPUTED_VALUE"""),"41°F")</f>
        <v>41°F</v>
      </c>
      <c r="P123" s="55" t="str">
        <f ca="1">IFERROR(__xludf.DUMMYFUNCTION("""COMPUTED_VALUE"""),"Riga")</f>
        <v>Riga</v>
      </c>
      <c r="Q123" s="55" t="str">
        <f ca="1">IFERROR(__xludf.DUMMYFUNCTION("""COMPUTED_VALUE"""),"")</f>
        <v/>
      </c>
      <c r="R123" s="55" t="str">
        <f ca="1">IFERROR(__xludf.DUMMYFUNCTION("""COMPUTED_VALUE"""),"")</f>
        <v/>
      </c>
      <c r="S123" s="55" t="str">
        <f ca="1">IFERROR(__xludf.DUMMYFUNCTION("""COMPUTED_VALUE"""),"citadel")</f>
        <v>citadel</v>
      </c>
      <c r="T123" s="55" t="str">
        <f ca="1">IFERROR(__xludf.DUMMYFUNCTION("""COMPUTED_VALUE"""),"walls")</f>
        <v>walls</v>
      </c>
      <c r="U123" s="55" t="str">
        <f ca="1">IFERROR(__xludf.DUMMYFUNCTION("""COMPUTED_VALUE"""),"")</f>
        <v/>
      </c>
      <c r="V123" s="189" t="str">
        <f ca="1">IFERROR(__xludf.DUMMYFUNCTION("""COMPUTED_VALUE"""),"")</f>
        <v/>
      </c>
      <c r="W123" s="189" t="str">
        <f ca="1">IFERROR(__xludf.DUMMYFUNCTION("""COMPUTED_VALUE"""),"")</f>
        <v/>
      </c>
      <c r="X123" s="189" t="str">
        <f ca="1">IFERROR(__xludf.DUMMYFUNCTION("""COMPUTED_VALUE"""),"{t1:sable;ordinaries:[{ordinary:fess;t:or;line:straight}];charges:[{charge:eagle;t:vert;p:e;size:0.7}];shield:roman}")</f>
        <v>{t1:sable;ordinaries:[{ordinary:fess;t:or;line:straight}];charges:[{charge:eagle;t:vert;p:e;size:0.7}];shield:roman}</v>
      </c>
      <c r="Y123" s="193" t="str">
        <f ca="1">IFERROR(__xludf.DUMMYFUNCTION("""COMPUTED_VALUE"""),"https://watabou.github.io/city-generator/?name=Smallverne&amp;population=14884&amp;size=36&amp;seed=3550748350804&amp;river=1&amp;coast=0&amp;farms=1&amp;citadel=1&amp;urban_castle=1&amp;hub=false&amp;plaza=0&amp;temple=0&amp;walls=1&amp;shantytown=0&amp;gates=-1")</f>
        <v>https://watabou.github.io/city-generator/?name=Smallverne&amp;population=14884&amp;size=36&amp;seed=3550748350804&amp;river=1&amp;coast=0&amp;farms=1&amp;citadel=1&amp;urban_castle=1&amp;hub=false&amp;plaza=0&amp;temple=0&amp;walls=1&amp;shantytown=0&amp;gates=-1</v>
      </c>
      <c r="Z123" s="189"/>
    </row>
    <row r="124" spans="1:26" ht="15" x14ac:dyDescent="0.25">
      <c r="A124" s="55">
        <f ca="1">IFERROR(__xludf.DUMMYFUNCTION("""COMPUTED_VALUE"""),805)</f>
        <v>805</v>
      </c>
      <c r="B124" s="55" t="str">
        <f ca="1">IFERROR(__xludf.DUMMYFUNCTION("""COMPUTED_VALUE"""),"Houndtownfo")</f>
        <v>Houndtownfo</v>
      </c>
      <c r="C124" s="55" t="str">
        <f ca="1">IFERROR(__xludf.DUMMYFUNCTION("""COMPUTED_VALUE"""),"Swanhall")</f>
        <v>Swanhall</v>
      </c>
      <c r="D124" s="55" t="str">
        <f ca="1">IFERROR(__xludf.DUMMYFUNCTION("""COMPUTED_VALUE"""),"Swanhall Province")</f>
        <v>Swanhall Province</v>
      </c>
      <c r="E124" s="55" t="str">
        <f ca="1">IFERROR(__xludf.DUMMYFUNCTION("""COMPUTED_VALUE"""),"Shavia")</f>
        <v>Shavia</v>
      </c>
      <c r="F124" s="55" t="str">
        <f ca="1">IFERROR(__xludf.DUMMYFUNCTION("""COMPUTED_VALUE"""),"Kingdom of Shavia")</f>
        <v>Kingdom of Shavia</v>
      </c>
      <c r="G124" s="55" t="str">
        <f ca="1">IFERROR(__xludf.DUMMYFUNCTION("""COMPUTED_VALUE"""),"Eastern Shavian")</f>
        <v>Eastern Shavian</v>
      </c>
      <c r="H124" s="55" t="str">
        <f ca="1">IFERROR(__xludf.DUMMYFUNCTION("""COMPUTED_VALUE"""),"Path of Guiding Light")</f>
        <v>Path of Guiding Light</v>
      </c>
      <c r="I124" s="55">
        <f ca="1">IFERROR(__xludf.DUMMYFUNCTION("""COMPUTED_VALUE"""),6371)</f>
        <v>6371</v>
      </c>
      <c r="J124" s="55">
        <f ca="1">IFERROR(__xludf.DUMMYFUNCTION("""COMPUTED_VALUE"""),1103.14215927953)</f>
        <v>1103.14215927953</v>
      </c>
      <c r="K124" s="55">
        <f ca="1">IFERROR(__xludf.DUMMYFUNCTION("""COMPUTED_VALUE"""),795.299828907961)</f>
        <v>795.299828907961</v>
      </c>
      <c r="L124" s="55">
        <f ca="1">IFERROR(__xludf.DUMMYFUNCTION("""COMPUTED_VALUE"""),-32.85)</f>
        <v>-32.85</v>
      </c>
      <c r="M124" s="55">
        <f ca="1">IFERROR(__xludf.DUMMYFUNCTION("""COMPUTED_VALUE"""),10.63)</f>
        <v>10.63</v>
      </c>
      <c r="N124" s="55">
        <f ca="1">IFERROR(__xludf.DUMMYFUNCTION("""COMPUTED_VALUE"""),30)</f>
        <v>30</v>
      </c>
      <c r="O124" s="55" t="str">
        <f ca="1">IFERROR(__xludf.DUMMYFUNCTION("""COMPUTED_VALUE"""),"41°F")</f>
        <v>41°F</v>
      </c>
      <c r="P124" s="55" t="str">
        <f ca="1">IFERROR(__xludf.DUMMYFUNCTION("""COMPUTED_VALUE"""),"Riga")</f>
        <v>Riga</v>
      </c>
      <c r="Q124" s="55" t="str">
        <f ca="1">IFERROR(__xludf.DUMMYFUNCTION("""COMPUTED_VALUE"""),"")</f>
        <v/>
      </c>
      <c r="R124" s="55" t="str">
        <f ca="1">IFERROR(__xludf.DUMMYFUNCTION("""COMPUTED_VALUE"""),"")</f>
        <v/>
      </c>
      <c r="S124" s="55" t="str">
        <f ca="1">IFERROR(__xludf.DUMMYFUNCTION("""COMPUTED_VALUE"""),"citadel")</f>
        <v>citadel</v>
      </c>
      <c r="T124" s="55" t="str">
        <f ca="1">IFERROR(__xludf.DUMMYFUNCTION("""COMPUTED_VALUE"""),"walls")</f>
        <v>walls</v>
      </c>
      <c r="U124" s="55" t="str">
        <f ca="1">IFERROR(__xludf.DUMMYFUNCTION("""COMPUTED_VALUE"""),"")</f>
        <v/>
      </c>
      <c r="V124" s="189" t="str">
        <f ca="1">IFERROR(__xludf.DUMMYFUNCTION("""COMPUTED_VALUE"""),"")</f>
        <v/>
      </c>
      <c r="W124" s="189" t="str">
        <f ca="1">IFERROR(__xludf.DUMMYFUNCTION("""COMPUTED_VALUE"""),"")</f>
        <v/>
      </c>
      <c r="X124" s="189" t="str">
        <f ca="1">IFERROR(__xludf.DUMMYFUNCTION("""COMPUTED_VALUE"""),"{t1:argent;ordinaries:[{ordinary:gyron;t:gules}];charges:[{charge:key;t:purpure;p:bh;size:0.5}];shield:horsehead2}")</f>
        <v>{t1:argent;ordinaries:[{ordinary:gyron;t:gules}];charges:[{charge:key;t:purpure;p:bh;size:0.5}];shield:horsehead2}</v>
      </c>
      <c r="Y124" s="193" t="str">
        <f ca="1">IFERROR(__xludf.DUMMYFUNCTION("""COMPUTED_VALUE"""),"https://watabou.github.io/city-generator/?name=Houndtownfo&amp;population=6371&amp;size=26&amp;seed=3550748350805&amp;river=1&amp;coast=0&amp;farms=1&amp;citadel=1&amp;urban_castle=0&amp;hub=false&amp;plaza=0&amp;temple=0&amp;walls=1&amp;shantytown=0&amp;gates=-1")</f>
        <v>https://watabou.github.io/city-generator/?name=Houndtownfo&amp;population=6371&amp;size=26&amp;seed=3550748350805&amp;river=1&amp;coast=0&amp;farms=1&amp;citadel=1&amp;urban_castle=0&amp;hub=false&amp;plaza=0&amp;temple=0&amp;walls=1&amp;shantytown=0&amp;gates=-1</v>
      </c>
      <c r="Z124" s="189"/>
    </row>
    <row r="125" spans="1:26" ht="15" x14ac:dyDescent="0.25">
      <c r="A125" s="55">
        <f ca="1">IFERROR(__xludf.DUMMYFUNCTION("""COMPUTED_VALUE"""),826)</f>
        <v>826</v>
      </c>
      <c r="B125" s="55" t="str">
        <f ca="1">IFERROR(__xludf.DUMMYFUNCTION("""COMPUTED_VALUE"""),"Elreach")</f>
        <v>Elreach</v>
      </c>
      <c r="C125" s="55" t="str">
        <f ca="1">IFERROR(__xludf.DUMMYFUNCTION("""COMPUTED_VALUE"""),"Swanhall")</f>
        <v>Swanhall</v>
      </c>
      <c r="D125" s="55" t="str">
        <f ca="1">IFERROR(__xludf.DUMMYFUNCTION("""COMPUTED_VALUE"""),"Swanhall Province")</f>
        <v>Swanhall Province</v>
      </c>
      <c r="E125" s="55" t="str">
        <f ca="1">IFERROR(__xludf.DUMMYFUNCTION("""COMPUTED_VALUE"""),"Shavia")</f>
        <v>Shavia</v>
      </c>
      <c r="F125" s="55" t="str">
        <f ca="1">IFERROR(__xludf.DUMMYFUNCTION("""COMPUTED_VALUE"""),"Kingdom of Shavia")</f>
        <v>Kingdom of Shavia</v>
      </c>
      <c r="G125" s="55" t="str">
        <f ca="1">IFERROR(__xludf.DUMMYFUNCTION("""COMPUTED_VALUE"""),"Eastern Shavian")</f>
        <v>Eastern Shavian</v>
      </c>
      <c r="H125" s="55" t="str">
        <f ca="1">IFERROR(__xludf.DUMMYFUNCTION("""COMPUTED_VALUE"""),"Path of Guiding Light")</f>
        <v>Path of Guiding Light</v>
      </c>
      <c r="I125" s="55">
        <f ca="1">IFERROR(__xludf.DUMMYFUNCTION("""COMPUTED_VALUE"""),10378)</f>
        <v>10378</v>
      </c>
      <c r="J125" s="55">
        <f ca="1">IFERROR(__xludf.DUMMYFUNCTION("""COMPUTED_VALUE"""),1009.06381462809)</f>
        <v>1009.06381462809</v>
      </c>
      <c r="K125" s="55">
        <f ca="1">IFERROR(__xludf.DUMMYFUNCTION("""COMPUTED_VALUE"""),679.774579869696)</f>
        <v>679.77457986969603</v>
      </c>
      <c r="L125" s="55">
        <f ca="1">IFERROR(__xludf.DUMMYFUNCTION("""COMPUTED_VALUE"""),-29.11)</f>
        <v>-29.11</v>
      </c>
      <c r="M125" s="55">
        <f ca="1">IFERROR(__xludf.DUMMYFUNCTION("""COMPUTED_VALUE"""),7.59)</f>
        <v>7.59</v>
      </c>
      <c r="N125" s="55">
        <f ca="1">IFERROR(__xludf.DUMMYFUNCTION("""COMPUTED_VALUE"""),2759)</f>
        <v>2759</v>
      </c>
      <c r="O125" s="55" t="str">
        <f ca="1">IFERROR(__xludf.DUMMYFUNCTION("""COMPUTED_VALUE"""),"36°F")</f>
        <v>36°F</v>
      </c>
      <c r="P125" s="55" t="str">
        <f ca="1">IFERROR(__xludf.DUMMYFUNCTION("""COMPUTED_VALUE"""),"Anchorage")</f>
        <v>Anchorage</v>
      </c>
      <c r="Q125" s="55" t="str">
        <f ca="1">IFERROR(__xludf.DUMMYFUNCTION("""COMPUTED_VALUE"""),"")</f>
        <v/>
      </c>
      <c r="R125" s="55" t="str">
        <f ca="1">IFERROR(__xludf.DUMMYFUNCTION("""COMPUTED_VALUE"""),"")</f>
        <v/>
      </c>
      <c r="S125" s="55" t="str">
        <f ca="1">IFERROR(__xludf.DUMMYFUNCTION("""COMPUTED_VALUE"""),"citadel")</f>
        <v>citadel</v>
      </c>
      <c r="T125" s="55" t="str">
        <f ca="1">IFERROR(__xludf.DUMMYFUNCTION("""COMPUTED_VALUE"""),"")</f>
        <v/>
      </c>
      <c r="U125" s="55" t="str">
        <f ca="1">IFERROR(__xludf.DUMMYFUNCTION("""COMPUTED_VALUE"""),"")</f>
        <v/>
      </c>
      <c r="V125" s="189" t="str">
        <f ca="1">IFERROR(__xludf.DUMMYFUNCTION("""COMPUTED_VALUE"""),"")</f>
        <v/>
      </c>
      <c r="W125" s="189" t="str">
        <f ca="1">IFERROR(__xludf.DUMMYFUNCTION("""COMPUTED_VALUE"""),"")</f>
        <v/>
      </c>
      <c r="X125" s="189" t="str">
        <f ca="1">IFERROR(__xludf.DUMMYFUNCTION("""COMPUTED_VALUE"""),"{t1:gules;ordinaries:[{ordinary:chevron;t:argent}];charges:[{charge:mullet;t:argent;p:ach;size:0.5}];shield:horsehead2}")</f>
        <v>{t1:gules;ordinaries:[{ordinary:chevron;t:argent}];charges:[{charge:mullet;t:argent;p:ach;size:0.5}];shield:horsehead2}</v>
      </c>
      <c r="Y125" s="193" t="str">
        <f ca="1">IFERROR(__xludf.DUMMYFUNCTION("""COMPUTED_VALUE"""),"https://watabou.github.io/city-generator/?name=Elreach&amp;population=10378&amp;size=31&amp;seed=3550748350826&amp;river=0&amp;coast=0&amp;farms=0&amp;citadel=1&amp;urban_castle=1&amp;hub=false&amp;plaza=0&amp;temple=0&amp;walls=0&amp;shantytown=0&amp;gates=-1")</f>
        <v>https://watabou.github.io/city-generator/?name=Elreach&amp;population=10378&amp;size=31&amp;seed=3550748350826&amp;river=0&amp;coast=0&amp;farms=0&amp;citadel=1&amp;urban_castle=1&amp;hub=false&amp;plaza=0&amp;temple=0&amp;walls=0&amp;shantytown=0&amp;gates=-1</v>
      </c>
      <c r="Z125" s="189"/>
    </row>
    <row r="126" spans="1:26" ht="15" x14ac:dyDescent="0.25">
      <c r="A126" s="55">
        <f ca="1">IFERROR(__xludf.DUMMYFUNCTION("""COMPUTED_VALUE"""),828)</f>
        <v>828</v>
      </c>
      <c r="B126" s="55" t="str">
        <f ca="1">IFERROR(__xludf.DUMMYFUNCTION("""COMPUTED_VALUE"""),"Utheinar")</f>
        <v>Utheinar</v>
      </c>
      <c r="C126" s="55" t="str">
        <f ca="1">IFERROR(__xludf.DUMMYFUNCTION("""COMPUTED_VALUE"""),"Sirong")</f>
        <v>Sirong</v>
      </c>
      <c r="D126" s="55" t="str">
        <f ca="1">IFERROR(__xludf.DUMMYFUNCTION("""COMPUTED_VALUE"""),"Sirong Lordship")</f>
        <v>Sirong Lordship</v>
      </c>
      <c r="E126" s="55" t="str">
        <f ca="1">IFERROR(__xludf.DUMMYFUNCTION("""COMPUTED_VALUE"""),"Shavia")</f>
        <v>Shavia</v>
      </c>
      <c r="F126" s="55" t="str">
        <f ca="1">IFERROR(__xludf.DUMMYFUNCTION("""COMPUTED_VALUE"""),"Kingdom of Shavia")</f>
        <v>Kingdom of Shavia</v>
      </c>
      <c r="G126" s="55" t="str">
        <f ca="1">IFERROR(__xludf.DUMMYFUNCTION("""COMPUTED_VALUE"""),"Aranvers")</f>
        <v>Aranvers</v>
      </c>
      <c r="H126" s="55" t="str">
        <f ca="1">IFERROR(__xludf.DUMMYFUNCTION("""COMPUTED_VALUE"""),"Path of Guiding Light")</f>
        <v>Path of Guiding Light</v>
      </c>
      <c r="I126" s="55">
        <f ca="1">IFERROR(__xludf.DUMMYFUNCTION("""COMPUTED_VALUE"""),3202)</f>
        <v>3202</v>
      </c>
      <c r="J126" s="55">
        <f ca="1">IFERROR(__xludf.DUMMYFUNCTION("""COMPUTED_VALUE"""),389.5)</f>
        <v>389.5</v>
      </c>
      <c r="K126" s="55">
        <f ca="1">IFERROR(__xludf.DUMMYFUNCTION("""COMPUTED_VALUE"""),877.5)</f>
        <v>877.5</v>
      </c>
      <c r="L126" s="55">
        <f ca="1">IFERROR(__xludf.DUMMYFUNCTION("""COMPUTED_VALUE"""),-35.51)</f>
        <v>-35.51</v>
      </c>
      <c r="M126" s="55">
        <f ca="1">IFERROR(__xludf.DUMMYFUNCTION("""COMPUTED_VALUE"""),-12.42)</f>
        <v>-12.42</v>
      </c>
      <c r="N126" s="55">
        <f ca="1">IFERROR(__xludf.DUMMYFUNCTION("""COMPUTED_VALUE"""),13)</f>
        <v>13</v>
      </c>
      <c r="O126" s="55" t="str">
        <f ca="1">IFERROR(__xludf.DUMMYFUNCTION("""COMPUTED_VALUE"""),"39°F")</f>
        <v>39°F</v>
      </c>
      <c r="P126" s="55" t="str">
        <f ca="1">IFERROR(__xludf.DUMMYFUNCTION("""COMPUTED_VALUE"""),"Reykjavik")</f>
        <v>Reykjavik</v>
      </c>
      <c r="Q126" s="55" t="str">
        <f ca="1">IFERROR(__xludf.DUMMYFUNCTION("""COMPUTED_VALUE"""),"")</f>
        <v/>
      </c>
      <c r="R126" s="55" t="str">
        <f ca="1">IFERROR(__xludf.DUMMYFUNCTION("""COMPUTED_VALUE"""),"port")</f>
        <v>port</v>
      </c>
      <c r="S126" s="55" t="str">
        <f ca="1">IFERROR(__xludf.DUMMYFUNCTION("""COMPUTED_VALUE"""),"citadel")</f>
        <v>citadel</v>
      </c>
      <c r="T126" s="55" t="str">
        <f ca="1">IFERROR(__xludf.DUMMYFUNCTION("""COMPUTED_VALUE"""),"")</f>
        <v/>
      </c>
      <c r="U126" s="55" t="str">
        <f ca="1">IFERROR(__xludf.DUMMYFUNCTION("""COMPUTED_VALUE"""),"plaza")</f>
        <v>plaza</v>
      </c>
      <c r="V126" s="189" t="str">
        <f ca="1">IFERROR(__xludf.DUMMYFUNCTION("""COMPUTED_VALUE"""),"")</f>
        <v/>
      </c>
      <c r="W126" s="189" t="str">
        <f ca="1">IFERROR(__xludf.DUMMYFUNCTION("""COMPUTED_VALUE"""),"")</f>
        <v/>
      </c>
      <c r="X126" s="189" t="str">
        <f ca="1">IFERROR(__xludf.DUMMYFUNCTION("""COMPUTED_VALUE"""),"{t1:gules;ordinaries:[{ordinary:pileInBendSinister;t:or}];charges:[{charge:mullet4;t:gules;p:em;size:0.5}];shield:hessen}")</f>
        <v>{t1:gules;ordinaries:[{ordinary:pileInBendSinister;t:or}];charges:[{charge:mullet4;t:gules;p:em;size:0.5}];shield:hessen}</v>
      </c>
      <c r="Y126" s="193" t="str">
        <f ca="1">IFERROR(__xludf.DUMMYFUNCTION("""COMPUTED_VALUE"""),"https://watabou.github.io/city-generator/?name=Utheinar&amp;population=3202&amp;size=20&amp;seed=3550748350828&amp;river=0&amp;coast=1&amp;farms=1&amp;citadel=1&amp;urban_castle=1&amp;hub=false&amp;plaza=1&amp;temple=0&amp;walls=0&amp;shantytown=0&amp;gates=-1&amp;sea=1.66")</f>
        <v>https://watabou.github.io/city-generator/?name=Utheinar&amp;population=3202&amp;size=20&amp;seed=3550748350828&amp;river=0&amp;coast=1&amp;farms=1&amp;citadel=1&amp;urban_castle=1&amp;hub=false&amp;plaza=1&amp;temple=0&amp;walls=0&amp;shantytown=0&amp;gates=-1&amp;sea=1.66</v>
      </c>
      <c r="Z126" s="189"/>
    </row>
    <row r="127" spans="1:26" ht="15" x14ac:dyDescent="0.25">
      <c r="A127" s="55">
        <f ca="1">IFERROR(__xludf.DUMMYFUNCTION("""COMPUTED_VALUE"""),847)</f>
        <v>847</v>
      </c>
      <c r="B127" s="55" t="str">
        <f ca="1">IFERROR(__xludf.DUMMYFUNCTION("""COMPUTED_VALUE"""),"Swiftme")</f>
        <v>Swiftme</v>
      </c>
      <c r="C127" s="55" t="str">
        <f ca="1">IFERROR(__xludf.DUMMYFUNCTION("""COMPUTED_VALUE"""),"Crownlands")</f>
        <v>Crownlands</v>
      </c>
      <c r="D127" s="55" t="str">
        <f ca="1">IFERROR(__xludf.DUMMYFUNCTION("""COMPUTED_VALUE"""),"Uzd Province")</f>
        <v>Uzd Province</v>
      </c>
      <c r="E127" s="55" t="str">
        <f ca="1">IFERROR(__xludf.DUMMYFUNCTION("""COMPUTED_VALUE"""),"Shavia")</f>
        <v>Shavia</v>
      </c>
      <c r="F127" s="55" t="str">
        <f ca="1">IFERROR(__xludf.DUMMYFUNCTION("""COMPUTED_VALUE"""),"Kingdom of Shavia")</f>
        <v>Kingdom of Shavia</v>
      </c>
      <c r="G127" s="55" t="str">
        <f ca="1">IFERROR(__xludf.DUMMYFUNCTION("""COMPUTED_VALUE"""),"Shavian")</f>
        <v>Shavian</v>
      </c>
      <c r="H127" s="55" t="str">
        <f ca="1">IFERROR(__xludf.DUMMYFUNCTION("""COMPUTED_VALUE"""),"Path of Guiding Light")</f>
        <v>Path of Guiding Light</v>
      </c>
      <c r="I127" s="55">
        <f ca="1">IFERROR(__xludf.DUMMYFUNCTION("""COMPUTED_VALUE"""),15417)</f>
        <v>15417</v>
      </c>
      <c r="J127" s="55">
        <f ca="1">IFERROR(__xludf.DUMMYFUNCTION("""COMPUTED_VALUE"""),502.823454455692)</f>
        <v>502.823454455692</v>
      </c>
      <c r="K127" s="55">
        <f ca="1">IFERROR(__xludf.DUMMYFUNCTION("""COMPUTED_VALUE"""),657.023734835037)</f>
        <v>657.02373483503698</v>
      </c>
      <c r="L127" s="55">
        <f ca="1">IFERROR(__xludf.DUMMYFUNCTION("""COMPUTED_VALUE"""),-28.38)</f>
        <v>-28.38</v>
      </c>
      <c r="M127" s="55">
        <f ca="1">IFERROR(__xludf.DUMMYFUNCTION("""COMPUTED_VALUE"""),-8.76)</f>
        <v>-8.76</v>
      </c>
      <c r="N127" s="55">
        <f ca="1">IFERROR(__xludf.DUMMYFUNCTION("""COMPUTED_VALUE"""),118)</f>
        <v>118</v>
      </c>
      <c r="O127" s="55" t="str">
        <f ca="1">IFERROR(__xludf.DUMMYFUNCTION("""COMPUTED_VALUE"""),"45°F")</f>
        <v>45°F</v>
      </c>
      <c r="P127" s="55" t="str">
        <f ca="1">IFERROR(__xludf.DUMMYFUNCTION("""COMPUTED_VALUE"""),"Halifax")</f>
        <v>Halifax</v>
      </c>
      <c r="Q127" s="55" t="str">
        <f ca="1">IFERROR(__xludf.DUMMYFUNCTION("""COMPUTED_VALUE"""),"")</f>
        <v/>
      </c>
      <c r="R127" s="55" t="str">
        <f ca="1">IFERROR(__xludf.DUMMYFUNCTION("""COMPUTED_VALUE"""),"")</f>
        <v/>
      </c>
      <c r="S127" s="55" t="str">
        <f ca="1">IFERROR(__xludf.DUMMYFUNCTION("""COMPUTED_VALUE"""),"citadel")</f>
        <v>citadel</v>
      </c>
      <c r="T127" s="55" t="str">
        <f ca="1">IFERROR(__xludf.DUMMYFUNCTION("""COMPUTED_VALUE"""),"")</f>
        <v/>
      </c>
      <c r="U127" s="55" t="str">
        <f ca="1">IFERROR(__xludf.DUMMYFUNCTION("""COMPUTED_VALUE"""),"")</f>
        <v/>
      </c>
      <c r="V127" s="189" t="str">
        <f ca="1">IFERROR(__xludf.DUMMYFUNCTION("""COMPUTED_VALUE"""),"")</f>
        <v/>
      </c>
      <c r="W127" s="189" t="str">
        <f ca="1">IFERROR(__xludf.DUMMYFUNCTION("""COMPUTED_VALUE"""),"")</f>
        <v/>
      </c>
      <c r="X127" s="189" t="str">
        <f ca="1">IFERROR(__xludf.DUMMYFUNCTION("""COMPUTED_VALUE"""),"{t1:gules;division:{division:perFess;t:or;line:straight};charges:[{charge:inescutcheon;t:argent;p:e;size:1.5};{charge:mulletPierced;t:azure;p:e;size:0.75}];shield:fantasy5}")</f>
        <v>{t1:gules;division:{division:perFess;t:or;line:straight};charges:[{charge:inescutcheon;t:argent;p:e;size:1.5};{charge:mulletPierced;t:azure;p:e;size:0.75}];shield:fantasy5}</v>
      </c>
      <c r="Y127" s="193" t="str">
        <f ca="1">IFERROR(__xludf.DUMMYFUNCTION("""COMPUTED_VALUE"""),"https://watabou.github.io/city-generator/?name=Swiftme&amp;population=15417&amp;size=36&amp;seed=3550748350847&amp;river=1&amp;coast=0&amp;farms=1&amp;citadel=1&amp;urban_castle=0&amp;hub=false&amp;plaza=0&amp;temple=0&amp;walls=0&amp;shantytown=0&amp;gates=-1")</f>
        <v>https://watabou.github.io/city-generator/?name=Swiftme&amp;population=15417&amp;size=36&amp;seed=3550748350847&amp;river=1&amp;coast=0&amp;farms=1&amp;citadel=1&amp;urban_castle=0&amp;hub=false&amp;plaza=0&amp;temple=0&amp;walls=0&amp;shantytown=0&amp;gates=-1</v>
      </c>
      <c r="Z127" s="189"/>
    </row>
    <row r="128" spans="1:26" ht="15" x14ac:dyDescent="0.25">
      <c r="A128" s="55">
        <f ca="1">IFERROR(__xludf.DUMMYFUNCTION("""COMPUTED_VALUE"""),848)</f>
        <v>848</v>
      </c>
      <c r="B128" s="55" t="str">
        <f ca="1">IFERROR(__xludf.DUMMYFUNCTION("""COMPUTED_VALUE"""),"Lostswindge")</f>
        <v>Lostswindge</v>
      </c>
      <c r="C128" s="55" t="str">
        <f ca="1">IFERROR(__xludf.DUMMYFUNCTION("""COMPUTED_VALUE"""),"Sirong")</f>
        <v>Sirong</v>
      </c>
      <c r="D128" s="55" t="str">
        <f ca="1">IFERROR(__xludf.DUMMYFUNCTION("""COMPUTED_VALUE"""),"Sirong Lordship")</f>
        <v>Sirong Lordship</v>
      </c>
      <c r="E128" s="55" t="str">
        <f ca="1">IFERROR(__xludf.DUMMYFUNCTION("""COMPUTED_VALUE"""),"Shavia")</f>
        <v>Shavia</v>
      </c>
      <c r="F128" s="55" t="str">
        <f ca="1">IFERROR(__xludf.DUMMYFUNCTION("""COMPUTED_VALUE"""),"Kingdom of Shavia")</f>
        <v>Kingdom of Shavia</v>
      </c>
      <c r="G128" s="55" t="str">
        <f ca="1">IFERROR(__xludf.DUMMYFUNCTION("""COMPUTED_VALUE"""),"Shavian")</f>
        <v>Shavian</v>
      </c>
      <c r="H128" s="55" t="str">
        <f ca="1">IFERROR(__xludf.DUMMYFUNCTION("""COMPUTED_VALUE"""),"Path of Guiding Light")</f>
        <v>Path of Guiding Light</v>
      </c>
      <c r="I128" s="55">
        <f ca="1">IFERROR(__xludf.DUMMYFUNCTION("""COMPUTED_VALUE"""),2156)</f>
        <v>2156</v>
      </c>
      <c r="J128" s="55">
        <f ca="1">IFERROR(__xludf.DUMMYFUNCTION("""COMPUTED_VALUE"""),404.405128245026)</f>
        <v>404.40512824502599</v>
      </c>
      <c r="K128" s="55">
        <f ca="1">IFERROR(__xludf.DUMMYFUNCTION("""COMPUTED_VALUE"""),712.159016257781)</f>
        <v>712.15901625778099</v>
      </c>
      <c r="L128" s="55">
        <f ca="1">IFERROR(__xludf.DUMMYFUNCTION("""COMPUTED_VALUE"""),-30.16)</f>
        <v>-30.16</v>
      </c>
      <c r="M128" s="55">
        <f ca="1">IFERROR(__xludf.DUMMYFUNCTION("""COMPUTED_VALUE"""),-11.94)</f>
        <v>-11.94</v>
      </c>
      <c r="N128" s="55">
        <f ca="1">IFERROR(__xludf.DUMMYFUNCTION("""COMPUTED_VALUE"""),554)</f>
        <v>554</v>
      </c>
      <c r="O128" s="55" t="str">
        <f ca="1">IFERROR(__xludf.DUMMYFUNCTION("""COMPUTED_VALUE"""),"41°F")</f>
        <v>41°F</v>
      </c>
      <c r="P128" s="55" t="str">
        <f ca="1">IFERROR(__xludf.DUMMYFUNCTION("""COMPUTED_VALUE"""),"Riga")</f>
        <v>Riga</v>
      </c>
      <c r="Q128" s="55" t="str">
        <f ca="1">IFERROR(__xludf.DUMMYFUNCTION("""COMPUTED_VALUE"""),"")</f>
        <v/>
      </c>
      <c r="R128" s="55" t="str">
        <f ca="1">IFERROR(__xludf.DUMMYFUNCTION("""COMPUTED_VALUE"""),"")</f>
        <v/>
      </c>
      <c r="S128" s="55" t="str">
        <f ca="1">IFERROR(__xludf.DUMMYFUNCTION("""COMPUTED_VALUE"""),"citadel")</f>
        <v>citadel</v>
      </c>
      <c r="T128" s="55" t="str">
        <f ca="1">IFERROR(__xludf.DUMMYFUNCTION("""COMPUTED_VALUE"""),"")</f>
        <v/>
      </c>
      <c r="U128" s="55" t="str">
        <f ca="1">IFERROR(__xludf.DUMMYFUNCTION("""COMPUTED_VALUE"""),"plaza")</f>
        <v>plaza</v>
      </c>
      <c r="V128" s="189" t="str">
        <f ca="1">IFERROR(__xludf.DUMMYFUNCTION("""COMPUTED_VALUE"""),"")</f>
        <v/>
      </c>
      <c r="W128" s="189" t="str">
        <f ca="1">IFERROR(__xludf.DUMMYFUNCTION("""COMPUTED_VALUE"""),"")</f>
        <v/>
      </c>
      <c r="X128" s="189" t="str">
        <f ca="1">IFERROR(__xludf.DUMMYFUNCTION("""COMPUTED_VALUE"""),"{t1:argent;charges:[{charge:horseshoe;t:gules;p:jln;size:0.7}];shield:fantasy5}")</f>
        <v>{t1:argent;charges:[{charge:horseshoe;t:gules;p:jln;size:0.7}];shield:fantasy5}</v>
      </c>
      <c r="Y128" s="193" t="str">
        <f ca="1">IFERROR(__xludf.DUMMYFUNCTION("""COMPUTED_VALUE"""),"https://watabou.github.io/city-generator/?name=Lostswindge&amp;population=2156&amp;size=17&amp;seed=3550748350848&amp;river=0&amp;coast=0&amp;farms=1&amp;citadel=1&amp;urban_castle=1&amp;hub=false&amp;plaza=1&amp;temple=0&amp;walls=0&amp;shantytown=0&amp;gates=-1")</f>
        <v>https://watabou.github.io/city-generator/?name=Lostswindge&amp;population=2156&amp;size=17&amp;seed=3550748350848&amp;river=0&amp;coast=0&amp;farms=1&amp;citadel=1&amp;urban_castle=1&amp;hub=false&amp;plaza=1&amp;temple=0&amp;walls=0&amp;shantytown=0&amp;gates=-1</v>
      </c>
      <c r="Z128" s="189"/>
    </row>
    <row r="129" spans="1:26" ht="15" x14ac:dyDescent="0.25">
      <c r="A129" s="55">
        <f ca="1">IFERROR(__xludf.DUMMYFUNCTION("""COMPUTED_VALUE"""),849)</f>
        <v>849</v>
      </c>
      <c r="B129" s="55" t="str">
        <f ca="1">IFERROR(__xludf.DUMMYFUNCTION("""COMPUTED_VALUE"""),"Mudfair")</f>
        <v>Mudfair</v>
      </c>
      <c r="C129" s="55" t="str">
        <f ca="1">IFERROR(__xludf.DUMMYFUNCTION("""COMPUTED_VALUE"""),"Swanhall")</f>
        <v>Swanhall</v>
      </c>
      <c r="D129" s="55" t="str">
        <f ca="1">IFERROR(__xludf.DUMMYFUNCTION("""COMPUTED_VALUE"""),"Swanhall Province")</f>
        <v>Swanhall Province</v>
      </c>
      <c r="E129" s="55" t="str">
        <f ca="1">IFERROR(__xludf.DUMMYFUNCTION("""COMPUTED_VALUE"""),"Shavia")</f>
        <v>Shavia</v>
      </c>
      <c r="F129" s="55" t="str">
        <f ca="1">IFERROR(__xludf.DUMMYFUNCTION("""COMPUTED_VALUE"""),"Kingdom of Shavia")</f>
        <v>Kingdom of Shavia</v>
      </c>
      <c r="G129" s="55" t="str">
        <f ca="1">IFERROR(__xludf.DUMMYFUNCTION("""COMPUTED_VALUE"""),"Eastern Shavian")</f>
        <v>Eastern Shavian</v>
      </c>
      <c r="H129" s="55" t="str">
        <f ca="1">IFERROR(__xludf.DUMMYFUNCTION("""COMPUTED_VALUE"""),"Path of Guiding Light")</f>
        <v>Path of Guiding Light</v>
      </c>
      <c r="I129" s="55">
        <f ca="1">IFERROR(__xludf.DUMMYFUNCTION("""COMPUTED_VALUE"""),10742)</f>
        <v>10742</v>
      </c>
      <c r="J129" s="55">
        <f ca="1">IFERROR(__xludf.DUMMYFUNCTION("""COMPUTED_VALUE"""),1109.19477930158)</f>
        <v>1109.19477930158</v>
      </c>
      <c r="K129" s="55">
        <f ca="1">IFERROR(__xludf.DUMMYFUNCTION("""COMPUTED_VALUE"""),734.734705086014)</f>
        <v>734.73470508601395</v>
      </c>
      <c r="L129" s="55">
        <f ca="1">IFERROR(__xludf.DUMMYFUNCTION("""COMPUTED_VALUE"""),-30.89)</f>
        <v>-30.89</v>
      </c>
      <c r="M129" s="55">
        <f ca="1">IFERROR(__xludf.DUMMYFUNCTION("""COMPUTED_VALUE"""),10.83)</f>
        <v>10.83</v>
      </c>
      <c r="N129" s="55">
        <f ca="1">IFERROR(__xludf.DUMMYFUNCTION("""COMPUTED_VALUE"""),328)</f>
        <v>328</v>
      </c>
      <c r="O129" s="55" t="str">
        <f ca="1">IFERROR(__xludf.DUMMYFUNCTION("""COMPUTED_VALUE"""),"43°F")</f>
        <v>43°F</v>
      </c>
      <c r="P129" s="55" t="str">
        <f ca="1">IFERROR(__xludf.DUMMYFUNCTION("""COMPUTED_VALUE"""),"Stockholm")</f>
        <v>Stockholm</v>
      </c>
      <c r="Q129" s="55" t="str">
        <f ca="1">IFERROR(__xludf.DUMMYFUNCTION("""COMPUTED_VALUE"""),"")</f>
        <v/>
      </c>
      <c r="R129" s="55" t="str">
        <f ca="1">IFERROR(__xludf.DUMMYFUNCTION("""COMPUTED_VALUE"""),"")</f>
        <v/>
      </c>
      <c r="S129" s="55" t="str">
        <f ca="1">IFERROR(__xludf.DUMMYFUNCTION("""COMPUTED_VALUE"""),"citadel")</f>
        <v>citadel</v>
      </c>
      <c r="T129" s="55" t="str">
        <f ca="1">IFERROR(__xludf.DUMMYFUNCTION("""COMPUTED_VALUE"""),"")</f>
        <v/>
      </c>
      <c r="U129" s="55" t="str">
        <f ca="1">IFERROR(__xludf.DUMMYFUNCTION("""COMPUTED_VALUE"""),"")</f>
        <v/>
      </c>
      <c r="V129" s="189" t="str">
        <f ca="1">IFERROR(__xludf.DUMMYFUNCTION("""COMPUTED_VALUE"""),"")</f>
        <v/>
      </c>
      <c r="W129" s="189" t="str">
        <f ca="1">IFERROR(__xludf.DUMMYFUNCTION("""COMPUTED_VALUE"""),"")</f>
        <v/>
      </c>
      <c r="X129" s="189" t="str">
        <f ca="1">IFERROR(__xludf.DUMMYFUNCTION("""COMPUTED_VALUE"""),"{t1:gules;charges:[{charge:mallet;t:or;p:e;size:1.5}];shield:horsehead2}")</f>
        <v>{t1:gules;charges:[{charge:mallet;t:or;p:e;size:1.5}];shield:horsehead2}</v>
      </c>
      <c r="Y129" s="193" t="str">
        <f ca="1">IFERROR(__xludf.DUMMYFUNCTION("""COMPUTED_VALUE"""),"https://watabou.github.io/city-generator/?name=Mudfair&amp;population=10742&amp;size=32&amp;seed=3550748350849&amp;river=0&amp;coast=0&amp;farms=0&amp;citadel=1&amp;urban_castle=0&amp;hub=false&amp;plaza=0&amp;temple=0&amp;walls=0&amp;shantytown=0&amp;gates=-1")</f>
        <v>https://watabou.github.io/city-generator/?name=Mudfair&amp;population=10742&amp;size=32&amp;seed=3550748350849&amp;river=0&amp;coast=0&amp;farms=0&amp;citadel=1&amp;urban_castle=0&amp;hub=false&amp;plaza=0&amp;temple=0&amp;walls=0&amp;shantytown=0&amp;gates=-1</v>
      </c>
      <c r="Z129" s="189"/>
    </row>
    <row r="130" spans="1:26" ht="15" x14ac:dyDescent="0.25">
      <c r="A130" s="55">
        <f ca="1">IFERROR(__xludf.DUMMYFUNCTION("""COMPUTED_VALUE"""),850)</f>
        <v>850</v>
      </c>
      <c r="B130" s="55" t="str">
        <f ca="1">IFERROR(__xludf.DUMMYFUNCTION("""COMPUTED_VALUE"""),"Anhelm")</f>
        <v>Anhelm</v>
      </c>
      <c r="C130" s="55" t="str">
        <f ca="1">IFERROR(__xludf.DUMMYFUNCTION("""COMPUTED_VALUE"""),"Swanhall")</f>
        <v>Swanhall</v>
      </c>
      <c r="D130" s="55" t="str">
        <f ca="1">IFERROR(__xludf.DUMMYFUNCTION("""COMPUTED_VALUE"""),"Swanhall Province")</f>
        <v>Swanhall Province</v>
      </c>
      <c r="E130" s="55" t="str">
        <f ca="1">IFERROR(__xludf.DUMMYFUNCTION("""COMPUTED_VALUE"""),"Shavia")</f>
        <v>Shavia</v>
      </c>
      <c r="F130" s="55" t="str">
        <f ca="1">IFERROR(__xludf.DUMMYFUNCTION("""COMPUTED_VALUE"""),"Kingdom of Shavia")</f>
        <v>Kingdom of Shavia</v>
      </c>
      <c r="G130" s="55" t="str">
        <f ca="1">IFERROR(__xludf.DUMMYFUNCTION("""COMPUTED_VALUE"""),"Shavian")</f>
        <v>Shavian</v>
      </c>
      <c r="H130" s="55" t="str">
        <f ca="1">IFERROR(__xludf.DUMMYFUNCTION("""COMPUTED_VALUE"""),"Path of Guiding Light")</f>
        <v>Path of Guiding Light</v>
      </c>
      <c r="I130" s="55">
        <f ca="1">IFERROR(__xludf.DUMMYFUNCTION("""COMPUTED_VALUE"""),14188)</f>
        <v>14188</v>
      </c>
      <c r="J130" s="55">
        <f ca="1">IFERROR(__xludf.DUMMYFUNCTION("""COMPUTED_VALUE"""),906.889360879625)</f>
        <v>906.88936087962497</v>
      </c>
      <c r="K130" s="55">
        <f ca="1">IFERROR(__xludf.DUMMYFUNCTION("""COMPUTED_VALUE"""),773.093914293295)</f>
        <v>773.09391429329503</v>
      </c>
      <c r="L130" s="55">
        <f ca="1">IFERROR(__xludf.DUMMYFUNCTION("""COMPUTED_VALUE"""),-32.13)</f>
        <v>-32.130000000000003</v>
      </c>
      <c r="M130" s="55">
        <f ca="1">IFERROR(__xludf.DUMMYFUNCTION("""COMPUTED_VALUE"""),4.29)</f>
        <v>4.29</v>
      </c>
      <c r="N130" s="55">
        <f ca="1">IFERROR(__xludf.DUMMYFUNCTION("""COMPUTED_VALUE"""),210)</f>
        <v>210</v>
      </c>
      <c r="O130" s="55" t="str">
        <f ca="1">IFERROR(__xludf.DUMMYFUNCTION("""COMPUTED_VALUE"""),"41°F")</f>
        <v>41°F</v>
      </c>
      <c r="P130" s="55" t="str">
        <f ca="1">IFERROR(__xludf.DUMMYFUNCTION("""COMPUTED_VALUE"""),"Riga")</f>
        <v>Riga</v>
      </c>
      <c r="Q130" s="55" t="str">
        <f ca="1">IFERROR(__xludf.DUMMYFUNCTION("""COMPUTED_VALUE"""),"")</f>
        <v/>
      </c>
      <c r="R130" s="55" t="str">
        <f ca="1">IFERROR(__xludf.DUMMYFUNCTION("""COMPUTED_VALUE"""),"")</f>
        <v/>
      </c>
      <c r="S130" s="55" t="str">
        <f ca="1">IFERROR(__xludf.DUMMYFUNCTION("""COMPUTED_VALUE"""),"citadel")</f>
        <v>citadel</v>
      </c>
      <c r="T130" s="55" t="str">
        <f ca="1">IFERROR(__xludf.DUMMYFUNCTION("""COMPUTED_VALUE"""),"")</f>
        <v/>
      </c>
      <c r="U130" s="55" t="str">
        <f ca="1">IFERROR(__xludf.DUMMYFUNCTION("""COMPUTED_VALUE"""),"plaza")</f>
        <v>plaza</v>
      </c>
      <c r="V130" s="189" t="str">
        <f ca="1">IFERROR(__xludf.DUMMYFUNCTION("""COMPUTED_VALUE"""),"")</f>
        <v/>
      </c>
      <c r="W130" s="189" t="str">
        <f ca="1">IFERROR(__xludf.DUMMYFUNCTION("""COMPUTED_VALUE"""),"")</f>
        <v/>
      </c>
      <c r="X130" s="189" t="str">
        <f ca="1">IFERROR(__xludf.DUMMYFUNCTION("""COMPUTED_VALUE"""),"{t1:argent;division:{division:perPale;t:semy_of_goutte-or-sable;line:straight};charges:[{charge:triangle;t:vert;p:p;size:0.7};{charge:serpent;t:purpure;p:q;size:0.7}];shield:horsehead2}")</f>
        <v>{t1:argent;division:{division:perPale;t:semy_of_goutte-or-sable;line:straight};charges:[{charge:triangle;t:vert;p:p;size:0.7};{charge:serpent;t:purpure;p:q;size:0.7}];shield:horsehead2}</v>
      </c>
      <c r="Y130" s="193" t="str">
        <f ca="1">IFERROR(__xludf.DUMMYFUNCTION("""COMPUTED_VALUE"""),"https://watabou.github.io/city-generator/?name=Anhelm&amp;population=14188&amp;size=35&amp;seed=3550748350850&amp;river=1&amp;coast=0&amp;farms=1&amp;citadel=1&amp;urban_castle=1&amp;hub=false&amp;plaza=1&amp;temple=0&amp;walls=0&amp;shantytown=0&amp;gates=-1")</f>
        <v>https://watabou.github.io/city-generator/?name=Anhelm&amp;population=14188&amp;size=35&amp;seed=3550748350850&amp;river=1&amp;coast=0&amp;farms=1&amp;citadel=1&amp;urban_castle=1&amp;hub=false&amp;plaza=1&amp;temple=0&amp;walls=0&amp;shantytown=0&amp;gates=-1</v>
      </c>
      <c r="Z130" s="189"/>
    </row>
    <row r="131" spans="1:26" ht="15" x14ac:dyDescent="0.25">
      <c r="A131" s="55">
        <f ca="1">IFERROR(__xludf.DUMMYFUNCTION("""COMPUTED_VALUE"""),851)</f>
        <v>851</v>
      </c>
      <c r="B131" s="55" t="str">
        <f ca="1">IFERROR(__xludf.DUMMYFUNCTION("""COMPUTED_VALUE"""),"Mondhol")</f>
        <v>Mondhol</v>
      </c>
      <c r="C131" s="55" t="str">
        <f ca="1">IFERROR(__xludf.DUMMYFUNCTION("""COMPUTED_VALUE"""),"Sirong")</f>
        <v>Sirong</v>
      </c>
      <c r="D131" s="55" t="str">
        <f ca="1">IFERROR(__xludf.DUMMYFUNCTION("""COMPUTED_VALUE"""),"Sirong Lordship")</f>
        <v>Sirong Lordship</v>
      </c>
      <c r="E131" s="55" t="str">
        <f ca="1">IFERROR(__xludf.DUMMYFUNCTION("""COMPUTED_VALUE"""),"Shavia")</f>
        <v>Shavia</v>
      </c>
      <c r="F131" s="55" t="str">
        <f ca="1">IFERROR(__xludf.DUMMYFUNCTION("""COMPUTED_VALUE"""),"Kingdom of Shavia")</f>
        <v>Kingdom of Shavia</v>
      </c>
      <c r="G131" s="55" t="str">
        <f ca="1">IFERROR(__xludf.DUMMYFUNCTION("""COMPUTED_VALUE"""),"Shavian")</f>
        <v>Shavian</v>
      </c>
      <c r="H131" s="55" t="str">
        <f ca="1">IFERROR(__xludf.DUMMYFUNCTION("""COMPUTED_VALUE"""),"Path of Guiding Light")</f>
        <v>Path of Guiding Light</v>
      </c>
      <c r="I131" s="55">
        <f ca="1">IFERROR(__xludf.DUMMYFUNCTION("""COMPUTED_VALUE"""),14504)</f>
        <v>14504</v>
      </c>
      <c r="J131" s="55">
        <f ca="1">IFERROR(__xludf.DUMMYFUNCTION("""COMPUTED_VALUE"""),465.72926229482)</f>
        <v>465.72926229481999</v>
      </c>
      <c r="K131" s="55">
        <f ca="1">IFERROR(__xludf.DUMMYFUNCTION("""COMPUTED_VALUE"""),777.764746464653)</f>
        <v>777.76474646465294</v>
      </c>
      <c r="L131" s="55">
        <f ca="1">IFERROR(__xludf.DUMMYFUNCTION("""COMPUTED_VALUE"""),-32.28)</f>
        <v>-32.28</v>
      </c>
      <c r="M131" s="55">
        <f ca="1">IFERROR(__xludf.DUMMYFUNCTION("""COMPUTED_VALUE"""),-9.96)</f>
        <v>-9.9600000000000009</v>
      </c>
      <c r="N131" s="55">
        <f ca="1">IFERROR(__xludf.DUMMYFUNCTION("""COMPUTED_VALUE"""),738)</f>
        <v>738</v>
      </c>
      <c r="O131" s="55" t="str">
        <f ca="1">IFERROR(__xludf.DUMMYFUNCTION("""COMPUTED_VALUE"""),"39°F")</f>
        <v>39°F</v>
      </c>
      <c r="P131" s="55" t="str">
        <f ca="1">IFERROR(__xludf.DUMMYFUNCTION("""COMPUTED_VALUE"""),"Reykjavik")</f>
        <v>Reykjavik</v>
      </c>
      <c r="Q131" s="55" t="str">
        <f ca="1">IFERROR(__xludf.DUMMYFUNCTION("""COMPUTED_VALUE"""),"")</f>
        <v/>
      </c>
      <c r="R131" s="55" t="str">
        <f ca="1">IFERROR(__xludf.DUMMYFUNCTION("""COMPUTED_VALUE"""),"")</f>
        <v/>
      </c>
      <c r="S131" s="55" t="str">
        <f ca="1">IFERROR(__xludf.DUMMYFUNCTION("""COMPUTED_VALUE"""),"citadel")</f>
        <v>citadel</v>
      </c>
      <c r="T131" s="55" t="str">
        <f ca="1">IFERROR(__xludf.DUMMYFUNCTION("""COMPUTED_VALUE"""),"")</f>
        <v/>
      </c>
      <c r="U131" s="55" t="str">
        <f ca="1">IFERROR(__xludf.DUMMYFUNCTION("""COMPUTED_VALUE"""),"")</f>
        <v/>
      </c>
      <c r="V131" s="189" t="str">
        <f ca="1">IFERROR(__xludf.DUMMYFUNCTION("""COMPUTED_VALUE"""),"")</f>
        <v/>
      </c>
      <c r="W131" s="189" t="str">
        <f ca="1">IFERROR(__xludf.DUMMYFUNCTION("""COMPUTED_VALUE"""),"")</f>
        <v/>
      </c>
      <c r="X131" s="189" t="str">
        <f ca="1">IFERROR(__xludf.DUMMYFUNCTION("""COMPUTED_VALUE"""),"{t1:argent;charges:[{charge:heron;t:gules;p:e;size:1.5}];shield:fantasy5}")</f>
        <v>{t1:argent;charges:[{charge:heron;t:gules;p:e;size:1.5}];shield:fantasy5}</v>
      </c>
      <c r="Y131" s="193" t="str">
        <f ca="1">IFERROR(__xludf.DUMMYFUNCTION("""COMPUTED_VALUE"""),"https://watabou.github.io/city-generator/?name=Mondhol&amp;population=14504&amp;size=36&amp;seed=3550748350851&amp;river=0&amp;coast=0&amp;farms=1&amp;citadel=1&amp;urban_castle=0&amp;hub=false&amp;plaza=0&amp;temple=0&amp;walls=0&amp;shantytown=0&amp;gates=-1")</f>
        <v>https://watabou.github.io/city-generator/?name=Mondhol&amp;population=14504&amp;size=36&amp;seed=3550748350851&amp;river=0&amp;coast=0&amp;farms=1&amp;citadel=1&amp;urban_castle=0&amp;hub=false&amp;plaza=0&amp;temple=0&amp;walls=0&amp;shantytown=0&amp;gates=-1</v>
      </c>
      <c r="Z131" s="189"/>
    </row>
    <row r="132" spans="1:26" ht="15" x14ac:dyDescent="0.25">
      <c r="A132" s="55">
        <f ca="1">IFERROR(__xludf.DUMMYFUNCTION("""COMPUTED_VALUE"""),852)</f>
        <v>852</v>
      </c>
      <c r="B132" s="55" t="str">
        <f ca="1">IFERROR(__xludf.DUMMYFUNCTION("""COMPUTED_VALUE"""),"Dewgcoast")</f>
        <v>Dewgcoast</v>
      </c>
      <c r="C132" s="55" t="str">
        <f ca="1">IFERROR(__xludf.DUMMYFUNCTION("""COMPUTED_VALUE"""),"Swanhall")</f>
        <v>Swanhall</v>
      </c>
      <c r="D132" s="55" t="str">
        <f ca="1">IFERROR(__xludf.DUMMYFUNCTION("""COMPUTED_VALUE"""),"Swanhall Province")</f>
        <v>Swanhall Province</v>
      </c>
      <c r="E132" s="55" t="str">
        <f ca="1">IFERROR(__xludf.DUMMYFUNCTION("""COMPUTED_VALUE"""),"Shavia")</f>
        <v>Shavia</v>
      </c>
      <c r="F132" s="55" t="str">
        <f ca="1">IFERROR(__xludf.DUMMYFUNCTION("""COMPUTED_VALUE"""),"Kingdom of Shavia")</f>
        <v>Kingdom of Shavia</v>
      </c>
      <c r="G132" s="55" t="str">
        <f ca="1">IFERROR(__xludf.DUMMYFUNCTION("""COMPUTED_VALUE"""),"Shavian")</f>
        <v>Shavian</v>
      </c>
      <c r="H132" s="55" t="str">
        <f ca="1">IFERROR(__xludf.DUMMYFUNCTION("""COMPUTED_VALUE"""),"Path of Guiding Light")</f>
        <v>Path of Guiding Light</v>
      </c>
      <c r="I132" s="55">
        <f ca="1">IFERROR(__xludf.DUMMYFUNCTION("""COMPUTED_VALUE"""),22642)</f>
        <v>22642</v>
      </c>
      <c r="J132" s="55">
        <f ca="1">IFERROR(__xludf.DUMMYFUNCTION("""COMPUTED_VALUE"""),926.526317800045)</f>
        <v>926.52631780004504</v>
      </c>
      <c r="K132" s="55">
        <f ca="1">IFERROR(__xludf.DUMMYFUNCTION("""COMPUTED_VALUE"""),784.323373305269)</f>
        <v>784.323373305269</v>
      </c>
      <c r="L132" s="55">
        <f ca="1">IFERROR(__xludf.DUMMYFUNCTION("""COMPUTED_VALUE"""),-32.5)</f>
        <v>-32.5</v>
      </c>
      <c r="M132" s="55">
        <f ca="1">IFERROR(__xludf.DUMMYFUNCTION("""COMPUTED_VALUE"""),4.93)</f>
        <v>4.93</v>
      </c>
      <c r="N132" s="55">
        <f ca="1">IFERROR(__xludf.DUMMYFUNCTION("""COMPUTED_VALUE"""),266)</f>
        <v>266</v>
      </c>
      <c r="O132" s="55" t="str">
        <f ca="1">IFERROR(__xludf.DUMMYFUNCTION("""COMPUTED_VALUE"""),"41°F")</f>
        <v>41°F</v>
      </c>
      <c r="P132" s="55" t="str">
        <f ca="1">IFERROR(__xludf.DUMMYFUNCTION("""COMPUTED_VALUE"""),"Riga")</f>
        <v>Riga</v>
      </c>
      <c r="Q132" s="55" t="str">
        <f ca="1">IFERROR(__xludf.DUMMYFUNCTION("""COMPUTED_VALUE"""),"")</f>
        <v/>
      </c>
      <c r="R132" s="55" t="str">
        <f ca="1">IFERROR(__xludf.DUMMYFUNCTION("""COMPUTED_VALUE"""),"")</f>
        <v/>
      </c>
      <c r="S132" s="55" t="str">
        <f ca="1">IFERROR(__xludf.DUMMYFUNCTION("""COMPUTED_VALUE"""),"citadel")</f>
        <v>citadel</v>
      </c>
      <c r="T132" s="55" t="str">
        <f ca="1">IFERROR(__xludf.DUMMYFUNCTION("""COMPUTED_VALUE"""),"walls")</f>
        <v>walls</v>
      </c>
      <c r="U132" s="55" t="str">
        <f ca="1">IFERROR(__xludf.DUMMYFUNCTION("""COMPUTED_VALUE"""),"")</f>
        <v/>
      </c>
      <c r="V132" s="189" t="str">
        <f ca="1">IFERROR(__xludf.DUMMYFUNCTION("""COMPUTED_VALUE"""),"temple")</f>
        <v>temple</v>
      </c>
      <c r="W132" s="189" t="str">
        <f ca="1">IFERROR(__xludf.DUMMYFUNCTION("""COMPUTED_VALUE"""),"")</f>
        <v/>
      </c>
      <c r="X132" s="189" t="str">
        <f ca="1">IFERROR(__xludf.DUMMYFUNCTION("""COMPUTED_VALUE"""),"{t1:or;division:{division:perSaltire;t:azure};charges:[{charge:crescent;t:sable;p:bhdf;divided:counter;size:0.5}];shield:horsehead2}")</f>
        <v>{t1:or;division:{division:perSaltire;t:azure};charges:[{charge:crescent;t:sable;p:bhdf;divided:counter;size:0.5}];shield:horsehead2}</v>
      </c>
      <c r="Y132" s="193" t="str">
        <f ca="1">IFERROR(__xludf.DUMMYFUNCTION("""COMPUTED_VALUE"""),"https://watabou.github.io/city-generator/?name=Dewgcoast&amp;population=22642&amp;size=42&amp;seed=3550748350852&amp;river=1&amp;coast=0&amp;farms=1&amp;citadel=1&amp;urban_castle=1&amp;hub=false&amp;plaza=0&amp;temple=1&amp;walls=1&amp;shantytown=0&amp;gates=-1")</f>
        <v>https://watabou.github.io/city-generator/?name=Dewgcoast&amp;population=22642&amp;size=42&amp;seed=3550748350852&amp;river=1&amp;coast=0&amp;farms=1&amp;citadel=1&amp;urban_castle=1&amp;hub=false&amp;plaza=0&amp;temple=1&amp;walls=1&amp;shantytown=0&amp;gates=-1</v>
      </c>
      <c r="Z132" s="189"/>
    </row>
    <row r="133" spans="1:26" ht="15" x14ac:dyDescent="0.25">
      <c r="A133" s="55">
        <f ca="1">IFERROR(__xludf.DUMMYFUNCTION("""COMPUTED_VALUE"""),853)</f>
        <v>853</v>
      </c>
      <c r="B133" s="55" t="str">
        <f ca="1">IFERROR(__xludf.DUMMYFUNCTION("""COMPUTED_VALUE"""),"Scorcross")</f>
        <v>Scorcross</v>
      </c>
      <c r="C133" s="55" t="str">
        <f ca="1">IFERROR(__xludf.DUMMYFUNCTION("""COMPUTED_VALUE"""),"Sirong")</f>
        <v>Sirong</v>
      </c>
      <c r="D133" s="55" t="str">
        <f ca="1">IFERROR(__xludf.DUMMYFUNCTION("""COMPUTED_VALUE"""),"Sirong Lordship")</f>
        <v>Sirong Lordship</v>
      </c>
      <c r="E133" s="55" t="str">
        <f ca="1">IFERROR(__xludf.DUMMYFUNCTION("""COMPUTED_VALUE"""),"Shavia")</f>
        <v>Shavia</v>
      </c>
      <c r="F133" s="55" t="str">
        <f ca="1">IFERROR(__xludf.DUMMYFUNCTION("""COMPUTED_VALUE"""),"Kingdom of Shavia")</f>
        <v>Kingdom of Shavia</v>
      </c>
      <c r="G133" s="55" t="str">
        <f ca="1">IFERROR(__xludf.DUMMYFUNCTION("""COMPUTED_VALUE"""),"Shavian")</f>
        <v>Shavian</v>
      </c>
      <c r="H133" s="55" t="str">
        <f ca="1">IFERROR(__xludf.DUMMYFUNCTION("""COMPUTED_VALUE"""),"Path of Guiding Light")</f>
        <v>Path of Guiding Light</v>
      </c>
      <c r="I133" s="55">
        <f ca="1">IFERROR(__xludf.DUMMYFUNCTION("""COMPUTED_VALUE"""),17781)</f>
        <v>17781</v>
      </c>
      <c r="J133" s="55">
        <f ca="1">IFERROR(__xludf.DUMMYFUNCTION("""COMPUTED_VALUE"""),330.430823731137)</f>
        <v>330.43082373113702</v>
      </c>
      <c r="K133" s="55">
        <f ca="1">IFERROR(__xludf.DUMMYFUNCTION("""COMPUTED_VALUE"""),847.554763825034)</f>
        <v>847.554763825034</v>
      </c>
      <c r="L133" s="55">
        <f ca="1">IFERROR(__xludf.DUMMYFUNCTION("""COMPUTED_VALUE"""),-34.54)</f>
        <v>-34.54</v>
      </c>
      <c r="M133" s="55">
        <f ca="1">IFERROR(__xludf.DUMMYFUNCTION("""COMPUTED_VALUE"""),-14.33)</f>
        <v>-14.33</v>
      </c>
      <c r="N133" s="55">
        <f ca="1">IFERROR(__xludf.DUMMYFUNCTION("""COMPUTED_VALUE"""),52)</f>
        <v>52</v>
      </c>
      <c r="O133" s="55" t="str">
        <f ca="1">IFERROR(__xludf.DUMMYFUNCTION("""COMPUTED_VALUE"""),"39°F")</f>
        <v>39°F</v>
      </c>
      <c r="P133" s="55" t="str">
        <f ca="1">IFERROR(__xludf.DUMMYFUNCTION("""COMPUTED_VALUE"""),"Reykjavik")</f>
        <v>Reykjavik</v>
      </c>
      <c r="Q133" s="55" t="str">
        <f ca="1">IFERROR(__xludf.DUMMYFUNCTION("""COMPUTED_VALUE"""),"")</f>
        <v/>
      </c>
      <c r="R133" s="55" t="str">
        <f ca="1">IFERROR(__xludf.DUMMYFUNCTION("""COMPUTED_VALUE"""),"")</f>
        <v/>
      </c>
      <c r="S133" s="55" t="str">
        <f ca="1">IFERROR(__xludf.DUMMYFUNCTION("""COMPUTED_VALUE"""),"")</f>
        <v/>
      </c>
      <c r="T133" s="55" t="str">
        <f ca="1">IFERROR(__xludf.DUMMYFUNCTION("""COMPUTED_VALUE"""),"walls")</f>
        <v>walls</v>
      </c>
      <c r="U133" s="55" t="str">
        <f ca="1">IFERROR(__xludf.DUMMYFUNCTION("""COMPUTED_VALUE"""),"")</f>
        <v/>
      </c>
      <c r="V133" s="189" t="str">
        <f ca="1">IFERROR(__xludf.DUMMYFUNCTION("""COMPUTED_VALUE"""),"")</f>
        <v/>
      </c>
      <c r="W133" s="189" t="str">
        <f ca="1">IFERROR(__xludf.DUMMYFUNCTION("""COMPUTED_VALUE"""),"")</f>
        <v/>
      </c>
      <c r="X133" s="189" t="str">
        <f ca="1">IFERROR(__xludf.DUMMYFUNCTION("""COMPUTED_VALUE"""),"{t1:purpure;ordinaries:[{ordinary:pile;t:or}];shield:fantasy5}")</f>
        <v>{t1:purpure;ordinaries:[{ordinary:pile;t:or}];shield:fantasy5}</v>
      </c>
      <c r="Y133" s="193" t="str">
        <f ca="1">IFERROR(__xludf.DUMMYFUNCTION("""COMPUTED_VALUE"""),"https://watabou.github.io/city-generator/?name=Scorcross&amp;population=17781&amp;size=38&amp;seed=3550748350853&amp;river=0&amp;coast=0&amp;farms=1&amp;citadel=0&amp;urban_castle=0&amp;hub=false&amp;plaza=0&amp;temple=0&amp;walls=1&amp;shantytown=0&amp;gates=-1")</f>
        <v>https://watabou.github.io/city-generator/?name=Scorcross&amp;population=17781&amp;size=38&amp;seed=3550748350853&amp;river=0&amp;coast=0&amp;farms=1&amp;citadel=0&amp;urban_castle=0&amp;hub=false&amp;plaza=0&amp;temple=0&amp;walls=1&amp;shantytown=0&amp;gates=-1</v>
      </c>
      <c r="Z133" s="189"/>
    </row>
    <row r="134" spans="1:26" ht="15" x14ac:dyDescent="0.25">
      <c r="A134" s="55">
        <f ca="1">IFERROR(__xludf.DUMMYFUNCTION("""COMPUTED_VALUE"""),873)</f>
        <v>873</v>
      </c>
      <c r="B134" s="55" t="str">
        <f ca="1">IFERROR(__xludf.DUMMYFUNCTION("""COMPUTED_VALUE"""),"Mondbaypond")</f>
        <v>Mondbaypond</v>
      </c>
      <c r="C134" s="55" t="str">
        <f ca="1">IFERROR(__xludf.DUMMYFUNCTION("""COMPUTED_VALUE"""),"Swanhall")</f>
        <v>Swanhall</v>
      </c>
      <c r="D134" s="55" t="str">
        <f ca="1">IFERROR(__xludf.DUMMYFUNCTION("""COMPUTED_VALUE"""),"Swanhall Province")</f>
        <v>Swanhall Province</v>
      </c>
      <c r="E134" s="55" t="str">
        <f ca="1">IFERROR(__xludf.DUMMYFUNCTION("""COMPUTED_VALUE"""),"Shavia")</f>
        <v>Shavia</v>
      </c>
      <c r="F134" s="55" t="str">
        <f ca="1">IFERROR(__xludf.DUMMYFUNCTION("""COMPUTED_VALUE"""),"Kingdom of Shavia")</f>
        <v>Kingdom of Shavia</v>
      </c>
      <c r="G134" s="55" t="str">
        <f ca="1">IFERROR(__xludf.DUMMYFUNCTION("""COMPUTED_VALUE"""),"Shavian")</f>
        <v>Shavian</v>
      </c>
      <c r="H134" s="55" t="str">
        <f ca="1">IFERROR(__xludf.DUMMYFUNCTION("""COMPUTED_VALUE"""),"Path of Guiding Light")</f>
        <v>Path of Guiding Light</v>
      </c>
      <c r="I134" s="55">
        <f ca="1">IFERROR(__xludf.DUMMYFUNCTION("""COMPUTED_VALUE"""),2093)</f>
        <v>2093</v>
      </c>
      <c r="J134" s="55">
        <f ca="1">IFERROR(__xludf.DUMMYFUNCTION("""COMPUTED_VALUE"""),774.471268821613)</f>
        <v>774.47126882161297</v>
      </c>
      <c r="K134" s="55">
        <f ca="1">IFERROR(__xludf.DUMMYFUNCTION("""COMPUTED_VALUE"""),842.12492142583)</f>
        <v>842.12492142583005</v>
      </c>
      <c r="L134" s="55">
        <f ca="1">IFERROR(__xludf.DUMMYFUNCTION("""COMPUTED_VALUE"""),-34.37)</f>
        <v>-34.369999999999997</v>
      </c>
      <c r="M134" s="55">
        <f ca="1">IFERROR(__xludf.DUMMYFUNCTION("""COMPUTED_VALUE"""),0.02)</f>
        <v>0.02</v>
      </c>
      <c r="N134" s="55">
        <f ca="1">IFERROR(__xludf.DUMMYFUNCTION("""COMPUTED_VALUE"""),210)</f>
        <v>210</v>
      </c>
      <c r="O134" s="55" t="str">
        <f ca="1">IFERROR(__xludf.DUMMYFUNCTION("""COMPUTED_VALUE"""),"39°F")</f>
        <v>39°F</v>
      </c>
      <c r="P134" s="55" t="str">
        <f ca="1">IFERROR(__xludf.DUMMYFUNCTION("""COMPUTED_VALUE"""),"Reykjavik")</f>
        <v>Reykjavik</v>
      </c>
      <c r="Q134" s="55" t="str">
        <f ca="1">IFERROR(__xludf.DUMMYFUNCTION("""COMPUTED_VALUE"""),"")</f>
        <v/>
      </c>
      <c r="R134" s="55" t="str">
        <f ca="1">IFERROR(__xludf.DUMMYFUNCTION("""COMPUTED_VALUE"""),"")</f>
        <v/>
      </c>
      <c r="S134" s="55" t="str">
        <f ca="1">IFERROR(__xludf.DUMMYFUNCTION("""COMPUTED_VALUE"""),"")</f>
        <v/>
      </c>
      <c r="T134" s="55" t="str">
        <f ca="1">IFERROR(__xludf.DUMMYFUNCTION("""COMPUTED_VALUE"""),"walls")</f>
        <v>walls</v>
      </c>
      <c r="U134" s="55" t="str">
        <f ca="1">IFERROR(__xludf.DUMMYFUNCTION("""COMPUTED_VALUE"""),"")</f>
        <v/>
      </c>
      <c r="V134" s="189" t="str">
        <f ca="1">IFERROR(__xludf.DUMMYFUNCTION("""COMPUTED_VALUE"""),"")</f>
        <v/>
      </c>
      <c r="W134" s="189" t="str">
        <f ca="1">IFERROR(__xludf.DUMMYFUNCTION("""COMPUTED_VALUE"""),"")</f>
        <v/>
      </c>
      <c r="X134" s="189" t="str">
        <f ca="1">IFERROR(__xludf.DUMMYFUNCTION("""COMPUTED_VALUE"""),"{t1:gules;charges:[{charge:helmet;t:or;p:e;size:1.5}];shield:horsehead2}")</f>
        <v>{t1:gules;charges:[{charge:helmet;t:or;p:e;size:1.5}];shield:horsehead2}</v>
      </c>
      <c r="Y134" s="193" t="str">
        <f ca="1">IFERROR(__xludf.DUMMYFUNCTION("""COMPUTED_VALUE"""),"https://watabou.github.io/city-generator/?name=Mondbaypond&amp;population=2093&amp;size=17&amp;seed=3550748350873&amp;river=0&amp;coast=0&amp;farms=1&amp;citadel=0&amp;urban_castle=0&amp;hub=false&amp;plaza=0&amp;temple=0&amp;walls=1&amp;shantytown=0&amp;gates=-1")</f>
        <v>https://watabou.github.io/city-generator/?name=Mondbaypond&amp;population=2093&amp;size=17&amp;seed=3550748350873&amp;river=0&amp;coast=0&amp;farms=1&amp;citadel=0&amp;urban_castle=0&amp;hub=false&amp;plaza=0&amp;temple=0&amp;walls=1&amp;shantytown=0&amp;gates=-1</v>
      </c>
      <c r="Z134" s="189"/>
    </row>
    <row r="135" spans="1:26" ht="15" x14ac:dyDescent="0.25">
      <c r="A135" s="55">
        <f ca="1">IFERROR(__xludf.DUMMYFUNCTION("""COMPUTED_VALUE"""),892)</f>
        <v>892</v>
      </c>
      <c r="B135" s="55" t="str">
        <f ca="1">IFERROR(__xludf.DUMMYFUNCTION("""COMPUTED_VALUE"""),"Vojhamenz")</f>
        <v>Vojhamenz</v>
      </c>
      <c r="C135" s="55" t="str">
        <f ca="1">IFERROR(__xludf.DUMMYFUNCTION("""COMPUTED_VALUE"""),"Crownlands")</f>
        <v>Crownlands</v>
      </c>
      <c r="D135" s="55" t="str">
        <f ca="1">IFERROR(__xludf.DUMMYFUNCTION("""COMPUTED_VALUE"""),"Uzd Province")</f>
        <v>Uzd Province</v>
      </c>
      <c r="E135" s="55" t="str">
        <f ca="1">IFERROR(__xludf.DUMMYFUNCTION("""COMPUTED_VALUE"""),"Shavia")</f>
        <v>Shavia</v>
      </c>
      <c r="F135" s="55" t="str">
        <f ca="1">IFERROR(__xludf.DUMMYFUNCTION("""COMPUTED_VALUE"""),"Kingdom of Shavia")</f>
        <v>Kingdom of Shavia</v>
      </c>
      <c r="G135" s="55" t="str">
        <f ca="1">IFERROR(__xludf.DUMMYFUNCTION("""COMPUTED_VALUE"""),"Aranvers")</f>
        <v>Aranvers</v>
      </c>
      <c r="H135" s="55" t="str">
        <f ca="1">IFERROR(__xludf.DUMMYFUNCTION("""COMPUTED_VALUE"""),"Path of Guiding Light")</f>
        <v>Path of Guiding Light</v>
      </c>
      <c r="I135" s="55">
        <f ca="1">IFERROR(__xludf.DUMMYFUNCTION("""COMPUTED_VALUE"""),9654)</f>
        <v>9654</v>
      </c>
      <c r="J135" s="55">
        <f ca="1">IFERROR(__xludf.DUMMYFUNCTION("""COMPUTED_VALUE"""),427)</f>
        <v>427</v>
      </c>
      <c r="K135" s="55">
        <f ca="1">IFERROR(__xludf.DUMMYFUNCTION("""COMPUTED_VALUE"""),540.5)</f>
        <v>540.5</v>
      </c>
      <c r="L135" s="55">
        <f ca="1">IFERROR(__xludf.DUMMYFUNCTION("""COMPUTED_VALUE"""),-24.6)</f>
        <v>-24.6</v>
      </c>
      <c r="M135" s="55">
        <f ca="1">IFERROR(__xludf.DUMMYFUNCTION("""COMPUTED_VALUE"""),-11.21)</f>
        <v>-11.21</v>
      </c>
      <c r="N135" s="55">
        <f ca="1">IFERROR(__xludf.DUMMYFUNCTION("""COMPUTED_VALUE"""),161)</f>
        <v>161</v>
      </c>
      <c r="O135" s="55" t="str">
        <f ca="1">IFERROR(__xludf.DUMMYFUNCTION("""COMPUTED_VALUE"""),"48°F")</f>
        <v>48°F</v>
      </c>
      <c r="P135" s="55" t="str">
        <f ca="1">IFERROR(__xludf.DUMMYFUNCTION("""COMPUTED_VALUE"""),"Copenhagen")</f>
        <v>Copenhagen</v>
      </c>
      <c r="Q135" s="55" t="str">
        <f ca="1">IFERROR(__xludf.DUMMYFUNCTION("""COMPUTED_VALUE"""),"")</f>
        <v/>
      </c>
      <c r="R135" s="55" t="str">
        <f ca="1">IFERROR(__xludf.DUMMYFUNCTION("""COMPUTED_VALUE"""),"port")</f>
        <v>port</v>
      </c>
      <c r="S135" s="55" t="str">
        <f ca="1">IFERROR(__xludf.DUMMYFUNCTION("""COMPUTED_VALUE"""),"")</f>
        <v/>
      </c>
      <c r="T135" s="55" t="str">
        <f ca="1">IFERROR(__xludf.DUMMYFUNCTION("""COMPUTED_VALUE"""),"")</f>
        <v/>
      </c>
      <c r="U135" s="55" t="str">
        <f ca="1">IFERROR(__xludf.DUMMYFUNCTION("""COMPUTED_VALUE"""),"")</f>
        <v/>
      </c>
      <c r="V135" s="189" t="str">
        <f ca="1">IFERROR(__xludf.DUMMYFUNCTION("""COMPUTED_VALUE"""),"")</f>
        <v/>
      </c>
      <c r="W135" s="189" t="str">
        <f ca="1">IFERROR(__xludf.DUMMYFUNCTION("""COMPUTED_VALUE"""),"")</f>
        <v/>
      </c>
      <c r="X135" s="189" t="str">
        <f ca="1">IFERROR(__xludf.DUMMYFUNCTION("""COMPUTED_VALUE"""),"{t1:fusily-or-azure;charges:[{charge:crossPommy;t:gules;p:e;size:1.5}];shield:hessen}")</f>
        <v>{t1:fusily-or-azure;charges:[{charge:crossPommy;t:gules;p:e;size:1.5}];shield:hessen}</v>
      </c>
      <c r="Y135" s="193" t="str">
        <f ca="1">IFERROR(__xludf.DUMMYFUNCTION("""COMPUTED_VALUE"""),"https://watabou.github.io/city-generator/?name=Vojhamenz&amp;population=9654&amp;size=31&amp;seed=3550748350892&amp;river=0&amp;coast=1&amp;farms=1&amp;citadel=0&amp;urban_castle=0&amp;hub=false&amp;plaza=0&amp;temple=0&amp;walls=0&amp;shantytown=0&amp;gates=-1&amp;sea=1.5")</f>
        <v>https://watabou.github.io/city-generator/?name=Vojhamenz&amp;population=9654&amp;size=31&amp;seed=3550748350892&amp;river=0&amp;coast=1&amp;farms=1&amp;citadel=0&amp;urban_castle=0&amp;hub=false&amp;plaza=0&amp;temple=0&amp;walls=0&amp;shantytown=0&amp;gates=-1&amp;sea=1.5</v>
      </c>
      <c r="Z135" s="189"/>
    </row>
    <row r="136" spans="1:26" ht="15" x14ac:dyDescent="0.25">
      <c r="A136" s="55">
        <f ca="1">IFERROR(__xludf.DUMMYFUNCTION("""COMPUTED_VALUE"""),899)</f>
        <v>899</v>
      </c>
      <c r="B136" s="55" t="str">
        <f ca="1">IFERROR(__xludf.DUMMYFUNCTION("""COMPUTED_VALUE"""),"Brimegcoast")</f>
        <v>Brimegcoast</v>
      </c>
      <c r="C136" s="55" t="str">
        <f ca="1">IFERROR(__xludf.DUMMYFUNCTION("""COMPUTED_VALUE"""),"Dreghold")</f>
        <v>Dreghold</v>
      </c>
      <c r="D136" s="55" t="str">
        <f ca="1">IFERROR(__xludf.DUMMYFUNCTION("""COMPUTED_VALUE"""),"Dreghold Province")</f>
        <v>Dreghold Province</v>
      </c>
      <c r="E136" s="55" t="str">
        <f ca="1">IFERROR(__xludf.DUMMYFUNCTION("""COMPUTED_VALUE"""),"Shavia")</f>
        <v>Shavia</v>
      </c>
      <c r="F136" s="55" t="str">
        <f ca="1">IFERROR(__xludf.DUMMYFUNCTION("""COMPUTED_VALUE"""),"Kingdom of Shavia")</f>
        <v>Kingdom of Shavia</v>
      </c>
      <c r="G136" s="55" t="str">
        <f ca="1">IFERROR(__xludf.DUMMYFUNCTION("""COMPUTED_VALUE"""),"Shavian")</f>
        <v>Shavian</v>
      </c>
      <c r="H136" s="55" t="str">
        <f ca="1">IFERROR(__xludf.DUMMYFUNCTION("""COMPUTED_VALUE"""),"Path of Guiding Light")</f>
        <v>Path of Guiding Light</v>
      </c>
      <c r="I136" s="55">
        <f ca="1">IFERROR(__xludf.DUMMYFUNCTION("""COMPUTED_VALUE"""),21754)</f>
        <v>21754</v>
      </c>
      <c r="J136" s="55">
        <f ca="1">IFERROR(__xludf.DUMMYFUNCTION("""COMPUTED_VALUE"""),634.774463296568)</f>
        <v>634.774463296568</v>
      </c>
      <c r="K136" s="55">
        <f ca="1">IFERROR(__xludf.DUMMYFUNCTION("""COMPUTED_VALUE"""),904.811381525603)</f>
        <v>904.811381525603</v>
      </c>
      <c r="L136" s="55">
        <f ca="1">IFERROR(__xludf.DUMMYFUNCTION("""COMPUTED_VALUE"""),-36.4)</f>
        <v>-36.4</v>
      </c>
      <c r="M136" s="55">
        <f ca="1">IFERROR(__xludf.DUMMYFUNCTION("""COMPUTED_VALUE"""),-4.5)</f>
        <v>-4.5</v>
      </c>
      <c r="N136" s="55">
        <f ca="1">IFERROR(__xludf.DUMMYFUNCTION("""COMPUTED_VALUE"""),472)</f>
        <v>472</v>
      </c>
      <c r="O136" s="55" t="str">
        <f ca="1">IFERROR(__xludf.DUMMYFUNCTION("""COMPUTED_VALUE"""),"37°F")</f>
        <v>37°F</v>
      </c>
      <c r="P136" s="55" t="str">
        <f ca="1">IFERROR(__xludf.DUMMYFUNCTION("""COMPUTED_VALUE"""),"Tromsø")</f>
        <v>Tromsø</v>
      </c>
      <c r="Q136" s="55" t="str">
        <f ca="1">IFERROR(__xludf.DUMMYFUNCTION("""COMPUTED_VALUE"""),"")</f>
        <v/>
      </c>
      <c r="R136" s="55" t="str">
        <f ca="1">IFERROR(__xludf.DUMMYFUNCTION("""COMPUTED_VALUE"""),"")</f>
        <v/>
      </c>
      <c r="S136" s="55" t="str">
        <f ca="1">IFERROR(__xludf.DUMMYFUNCTION("""COMPUTED_VALUE"""),"citadel")</f>
        <v>citadel</v>
      </c>
      <c r="T136" s="55" t="str">
        <f ca="1">IFERROR(__xludf.DUMMYFUNCTION("""COMPUTED_VALUE"""),"walls")</f>
        <v>walls</v>
      </c>
      <c r="U136" s="55" t="str">
        <f ca="1">IFERROR(__xludf.DUMMYFUNCTION("""COMPUTED_VALUE"""),"")</f>
        <v/>
      </c>
      <c r="V136" s="189" t="str">
        <f ca="1">IFERROR(__xludf.DUMMYFUNCTION("""COMPUTED_VALUE"""),"temple")</f>
        <v>temple</v>
      </c>
      <c r="W136" s="189" t="str">
        <f ca="1">IFERROR(__xludf.DUMMYFUNCTION("""COMPUTED_VALUE"""),"")</f>
        <v/>
      </c>
      <c r="X136" s="189" t="str">
        <f ca="1">IFERROR(__xludf.DUMMYFUNCTION("""COMPUTED_VALUE"""),"{t1:pally-sable-or;division:{division:perBendSinister;t:argent;line:straight};ordinaries:[{ordinary:cross;t:gules;line:straight}];shield:horsehead2}")</f>
        <v>{t1:pally-sable-or;division:{division:perBendSinister;t:argent;line:straight};ordinaries:[{ordinary:cross;t:gules;line:straight}];shield:horsehead2}</v>
      </c>
      <c r="Y136" s="193" t="str">
        <f ca="1">IFERROR(__xludf.DUMMYFUNCTION("""COMPUTED_VALUE"""),"https://watabou.github.io/city-generator/?name=Brimegcoast&amp;population=21754&amp;size=42&amp;seed=3550748350899&amp;river=0&amp;coast=0&amp;farms=0&amp;citadel=1&amp;urban_castle=0&amp;hub=false&amp;plaza=0&amp;temple=1&amp;walls=1&amp;shantytown=0&amp;gates=-1")</f>
        <v>https://watabou.github.io/city-generator/?name=Brimegcoast&amp;population=21754&amp;size=42&amp;seed=3550748350899&amp;river=0&amp;coast=0&amp;farms=0&amp;citadel=1&amp;urban_castle=0&amp;hub=false&amp;plaza=0&amp;temple=1&amp;walls=1&amp;shantytown=0&amp;gates=-1</v>
      </c>
      <c r="Z136" s="189"/>
    </row>
    <row r="137" spans="1:26" ht="15" x14ac:dyDescent="0.25">
      <c r="A137" s="55">
        <f ca="1">IFERROR(__xludf.DUMMYFUNCTION("""COMPUTED_VALUE"""),920)</f>
        <v>920</v>
      </c>
      <c r="B137" s="55" t="str">
        <f ca="1">IFERROR(__xludf.DUMMYFUNCTION("""COMPUTED_VALUE"""),"Clifpass")</f>
        <v>Clifpass</v>
      </c>
      <c r="C137" s="55" t="str">
        <f ca="1">IFERROR(__xludf.DUMMYFUNCTION("""COMPUTED_VALUE"""),"Swanhall")</f>
        <v>Swanhall</v>
      </c>
      <c r="D137" s="55" t="str">
        <f ca="1">IFERROR(__xludf.DUMMYFUNCTION("""COMPUTED_VALUE"""),"Swanhall Province")</f>
        <v>Swanhall Province</v>
      </c>
      <c r="E137" s="55" t="str">
        <f ca="1">IFERROR(__xludf.DUMMYFUNCTION("""COMPUTED_VALUE"""),"Shavia")</f>
        <v>Shavia</v>
      </c>
      <c r="F137" s="55" t="str">
        <f ca="1">IFERROR(__xludf.DUMMYFUNCTION("""COMPUTED_VALUE"""),"Kingdom of Shavia")</f>
        <v>Kingdom of Shavia</v>
      </c>
      <c r="G137" s="55" t="str">
        <f ca="1">IFERROR(__xludf.DUMMYFUNCTION("""COMPUTED_VALUE"""),"Eastern Shavian")</f>
        <v>Eastern Shavian</v>
      </c>
      <c r="H137" s="55" t="str">
        <f ca="1">IFERROR(__xludf.DUMMYFUNCTION("""COMPUTED_VALUE"""),"Path of Guiding Light")</f>
        <v>Path of Guiding Light</v>
      </c>
      <c r="I137" s="55">
        <f ca="1">IFERROR(__xludf.DUMMYFUNCTION("""COMPUTED_VALUE"""),27069)</f>
        <v>27069</v>
      </c>
      <c r="J137" s="55">
        <f ca="1">IFERROR(__xludf.DUMMYFUNCTION("""COMPUTED_VALUE"""),1046.06069778539)</f>
        <v>1046.0606977853899</v>
      </c>
      <c r="K137" s="55">
        <f ca="1">IFERROR(__xludf.DUMMYFUNCTION("""COMPUTED_VALUE"""),713.015335489197)</f>
        <v>713.01533548919701</v>
      </c>
      <c r="L137" s="55">
        <f ca="1">IFERROR(__xludf.DUMMYFUNCTION("""COMPUTED_VALUE"""),-30.19)</f>
        <v>-30.19</v>
      </c>
      <c r="M137" s="55">
        <f ca="1">IFERROR(__xludf.DUMMYFUNCTION("""COMPUTED_VALUE"""),8.79)</f>
        <v>8.7899999999999991</v>
      </c>
      <c r="N137" s="55">
        <f ca="1">IFERROR(__xludf.DUMMYFUNCTION("""COMPUTED_VALUE"""),948)</f>
        <v>948</v>
      </c>
      <c r="O137" s="55" t="str">
        <f ca="1">IFERROR(__xludf.DUMMYFUNCTION("""COMPUTED_VALUE"""),"41°F")</f>
        <v>41°F</v>
      </c>
      <c r="P137" s="55" t="str">
        <f ca="1">IFERROR(__xludf.DUMMYFUNCTION("""COMPUTED_VALUE"""),"Riga")</f>
        <v>Riga</v>
      </c>
      <c r="Q137" s="55" t="str">
        <f ca="1">IFERROR(__xludf.DUMMYFUNCTION("""COMPUTED_VALUE"""),"")</f>
        <v/>
      </c>
      <c r="R137" s="55" t="str">
        <f ca="1">IFERROR(__xludf.DUMMYFUNCTION("""COMPUTED_VALUE"""),"")</f>
        <v/>
      </c>
      <c r="S137" s="55" t="str">
        <f ca="1">IFERROR(__xludf.DUMMYFUNCTION("""COMPUTED_VALUE"""),"")</f>
        <v/>
      </c>
      <c r="T137" s="55" t="str">
        <f ca="1">IFERROR(__xludf.DUMMYFUNCTION("""COMPUTED_VALUE"""),"walls")</f>
        <v>walls</v>
      </c>
      <c r="U137" s="55" t="str">
        <f ca="1">IFERROR(__xludf.DUMMYFUNCTION("""COMPUTED_VALUE"""),"plaza")</f>
        <v>plaza</v>
      </c>
      <c r="V137" s="189" t="str">
        <f ca="1">IFERROR(__xludf.DUMMYFUNCTION("""COMPUTED_VALUE"""),"")</f>
        <v/>
      </c>
      <c r="W137" s="189" t="str">
        <f ca="1">IFERROR(__xludf.DUMMYFUNCTION("""COMPUTED_VALUE"""),"")</f>
        <v/>
      </c>
      <c r="X137" s="189" t="str">
        <f ca="1">IFERROR(__xludf.DUMMYFUNCTION("""COMPUTED_VALUE"""),"{t1:azure;charges:[{charge:crossAvellane;t:or;p:e;size:1.5}];shield:horsehead2}")</f>
        <v>{t1:azure;charges:[{charge:crossAvellane;t:or;p:e;size:1.5}];shield:horsehead2}</v>
      </c>
      <c r="Y137" s="193" t="str">
        <f ca="1">IFERROR(__xludf.DUMMYFUNCTION("""COMPUTED_VALUE"""),"https://watabou.github.io/city-generator/?name=Clifpass&amp;population=27069&amp;size=45&amp;seed=3550748350920&amp;river=0&amp;coast=0&amp;farms=0&amp;citadel=0&amp;urban_castle=0&amp;hub=false&amp;plaza=1&amp;temple=0&amp;walls=1&amp;shantytown=0&amp;gates=-1")</f>
        <v>https://watabou.github.io/city-generator/?name=Clifpass&amp;population=27069&amp;size=45&amp;seed=3550748350920&amp;river=0&amp;coast=0&amp;farms=0&amp;citadel=0&amp;urban_castle=0&amp;hub=false&amp;plaza=1&amp;temple=0&amp;walls=1&amp;shantytown=0&amp;gates=-1</v>
      </c>
      <c r="Z137" s="189"/>
    </row>
    <row r="138" spans="1:26" ht="15" x14ac:dyDescent="0.25">
      <c r="A138" s="55">
        <f ca="1">IFERROR(__xludf.DUMMYFUNCTION("""COMPUTED_VALUE"""),923)</f>
        <v>923</v>
      </c>
      <c r="B138" s="55" t="str">
        <f ca="1">IFERROR(__xludf.DUMMYFUNCTION("""COMPUTED_VALUE"""),"Swangarmire")</f>
        <v>Swangarmire</v>
      </c>
      <c r="C138" s="55" t="str">
        <f ca="1">IFERROR(__xludf.DUMMYFUNCTION("""COMPUTED_VALUE"""),"Sirong")</f>
        <v>Sirong</v>
      </c>
      <c r="D138" s="55" t="str">
        <f ca="1">IFERROR(__xludf.DUMMYFUNCTION("""COMPUTED_VALUE"""),"Sirong Lordship")</f>
        <v>Sirong Lordship</v>
      </c>
      <c r="E138" s="55" t="str">
        <f ca="1">IFERROR(__xludf.DUMMYFUNCTION("""COMPUTED_VALUE"""),"Shavia")</f>
        <v>Shavia</v>
      </c>
      <c r="F138" s="55" t="str">
        <f ca="1">IFERROR(__xludf.DUMMYFUNCTION("""COMPUTED_VALUE"""),"Kingdom of Shavia")</f>
        <v>Kingdom of Shavia</v>
      </c>
      <c r="G138" s="55" t="str">
        <f ca="1">IFERROR(__xludf.DUMMYFUNCTION("""COMPUTED_VALUE"""),"Shavian")</f>
        <v>Shavian</v>
      </c>
      <c r="H138" s="55" t="str">
        <f ca="1">IFERROR(__xludf.DUMMYFUNCTION("""COMPUTED_VALUE"""),"Path of Guiding Light")</f>
        <v>Path of Guiding Light</v>
      </c>
      <c r="I138" s="55">
        <f ca="1">IFERROR(__xludf.DUMMYFUNCTION("""COMPUTED_VALUE"""),24215)</f>
        <v>24215</v>
      </c>
      <c r="J138" s="55">
        <f ca="1">IFERROR(__xludf.DUMMYFUNCTION("""COMPUTED_VALUE"""),465.651415091964)</f>
        <v>465.651415091964</v>
      </c>
      <c r="K138" s="55">
        <f ca="1">IFERROR(__xludf.DUMMYFUNCTION("""COMPUTED_VALUE"""),735.162864701721)</f>
        <v>735.16286470172099</v>
      </c>
      <c r="L138" s="55">
        <f ca="1">IFERROR(__xludf.DUMMYFUNCTION("""COMPUTED_VALUE"""),-30.91)</f>
        <v>-30.91</v>
      </c>
      <c r="M138" s="55">
        <f ca="1">IFERROR(__xludf.DUMMYFUNCTION("""COMPUTED_VALUE"""),-9.96)</f>
        <v>-9.9600000000000009</v>
      </c>
      <c r="N138" s="55">
        <f ca="1">IFERROR(__xludf.DUMMYFUNCTION("""COMPUTED_VALUE"""),948)</f>
        <v>948</v>
      </c>
      <c r="O138" s="55" t="str">
        <f ca="1">IFERROR(__xludf.DUMMYFUNCTION("""COMPUTED_VALUE"""),"41°F")</f>
        <v>41°F</v>
      </c>
      <c r="P138" s="55" t="str">
        <f ca="1">IFERROR(__xludf.DUMMYFUNCTION("""COMPUTED_VALUE"""),"Riga")</f>
        <v>Riga</v>
      </c>
      <c r="Q138" s="55" t="str">
        <f ca="1">IFERROR(__xludf.DUMMYFUNCTION("""COMPUTED_VALUE"""),"")</f>
        <v/>
      </c>
      <c r="R138" s="55" t="str">
        <f ca="1">IFERROR(__xludf.DUMMYFUNCTION("""COMPUTED_VALUE"""),"")</f>
        <v/>
      </c>
      <c r="S138" s="55" t="str">
        <f ca="1">IFERROR(__xludf.DUMMYFUNCTION("""COMPUTED_VALUE"""),"")</f>
        <v/>
      </c>
      <c r="T138" s="55" t="str">
        <f ca="1">IFERROR(__xludf.DUMMYFUNCTION("""COMPUTED_VALUE"""),"walls")</f>
        <v>walls</v>
      </c>
      <c r="U138" s="55" t="str">
        <f ca="1">IFERROR(__xludf.DUMMYFUNCTION("""COMPUTED_VALUE"""),"plaza")</f>
        <v>plaza</v>
      </c>
      <c r="V138" s="189" t="str">
        <f ca="1">IFERROR(__xludf.DUMMYFUNCTION("""COMPUTED_VALUE"""),"temple")</f>
        <v>temple</v>
      </c>
      <c r="W138" s="189" t="str">
        <f ca="1">IFERROR(__xludf.DUMMYFUNCTION("""COMPUTED_VALUE"""),"")</f>
        <v/>
      </c>
      <c r="X138" s="189" t="str">
        <f ca="1">IFERROR(__xludf.DUMMYFUNCTION("""COMPUTED_VALUE"""),"{t1:azure;charges:[{charge:lionRampant;t:argent;p:e;size:1.5}];shield:fantasy5}")</f>
        <v>{t1:azure;charges:[{charge:lionRampant;t:argent;p:e;size:1.5}];shield:fantasy5}</v>
      </c>
      <c r="Y138" s="193" t="str">
        <f ca="1">IFERROR(__xludf.DUMMYFUNCTION("""COMPUTED_VALUE"""),"https://watabou.github.io/city-generator/?name=Swangarmire&amp;population=24215&amp;size=43&amp;seed=3550748350923&amp;river=0&amp;coast=0&amp;farms=1&amp;citadel=0&amp;urban_castle=0&amp;hub=false&amp;plaza=1&amp;temple=1&amp;walls=1&amp;shantytown=0&amp;gates=-1")</f>
        <v>https://watabou.github.io/city-generator/?name=Swangarmire&amp;population=24215&amp;size=43&amp;seed=3550748350923&amp;river=0&amp;coast=0&amp;farms=1&amp;citadel=0&amp;urban_castle=0&amp;hub=false&amp;plaza=1&amp;temple=1&amp;walls=1&amp;shantytown=0&amp;gates=-1</v>
      </c>
      <c r="Z138" s="189"/>
    </row>
    <row r="139" spans="1:26" ht="15" x14ac:dyDescent="0.25">
      <c r="A139" s="55">
        <f ca="1">IFERROR(__xludf.DUMMYFUNCTION("""COMPUTED_VALUE"""),924)</f>
        <v>924</v>
      </c>
      <c r="B139" s="55" t="str">
        <f ca="1">IFERROR(__xludf.DUMMYFUNCTION("""COMPUTED_VALUE"""),"Mightfall")</f>
        <v>Mightfall</v>
      </c>
      <c r="C139" s="55" t="str">
        <f ca="1">IFERROR(__xludf.DUMMYFUNCTION("""COMPUTED_VALUE"""),"Swanhall")</f>
        <v>Swanhall</v>
      </c>
      <c r="D139" s="55" t="str">
        <f ca="1">IFERROR(__xludf.DUMMYFUNCTION("""COMPUTED_VALUE"""),"Swanhall Province")</f>
        <v>Swanhall Province</v>
      </c>
      <c r="E139" s="55" t="str">
        <f ca="1">IFERROR(__xludf.DUMMYFUNCTION("""COMPUTED_VALUE"""),"Shavia")</f>
        <v>Shavia</v>
      </c>
      <c r="F139" s="55" t="str">
        <f ca="1">IFERROR(__xludf.DUMMYFUNCTION("""COMPUTED_VALUE"""),"Kingdom of Shavia")</f>
        <v>Kingdom of Shavia</v>
      </c>
      <c r="G139" s="55" t="str">
        <f ca="1">IFERROR(__xludf.DUMMYFUNCTION("""COMPUTED_VALUE"""),"Eastern Shavian")</f>
        <v>Eastern Shavian</v>
      </c>
      <c r="H139" s="55" t="str">
        <f ca="1">IFERROR(__xludf.DUMMYFUNCTION("""COMPUTED_VALUE"""),"Path of Guiding Light")</f>
        <v>Path of Guiding Light</v>
      </c>
      <c r="I139" s="55">
        <f ca="1">IFERROR(__xludf.DUMMYFUNCTION("""COMPUTED_VALUE"""),5362)</f>
        <v>5362</v>
      </c>
      <c r="J139" s="55">
        <f ca="1">IFERROR(__xludf.DUMMYFUNCTION("""COMPUTED_VALUE"""),1164.68037313718)</f>
        <v>1164.6803731371799</v>
      </c>
      <c r="K139" s="55">
        <f ca="1">IFERROR(__xludf.DUMMYFUNCTION("""COMPUTED_VALUE"""),774.981708962552)</f>
        <v>774.98170896255203</v>
      </c>
      <c r="L139" s="55">
        <f ca="1">IFERROR(__xludf.DUMMYFUNCTION("""COMPUTED_VALUE"""),-32.19)</f>
        <v>-32.19</v>
      </c>
      <c r="M139" s="55">
        <f ca="1">IFERROR(__xludf.DUMMYFUNCTION("""COMPUTED_VALUE"""),12.62)</f>
        <v>12.62</v>
      </c>
      <c r="N139" s="55">
        <f ca="1">IFERROR(__xludf.DUMMYFUNCTION("""COMPUTED_VALUE"""),161)</f>
        <v>161</v>
      </c>
      <c r="O139" s="55" t="str">
        <f ca="1">IFERROR(__xludf.DUMMYFUNCTION("""COMPUTED_VALUE"""),"41°F")</f>
        <v>41°F</v>
      </c>
      <c r="P139" s="55" t="str">
        <f ca="1">IFERROR(__xludf.DUMMYFUNCTION("""COMPUTED_VALUE"""),"Riga")</f>
        <v>Riga</v>
      </c>
      <c r="Q139" s="55" t="str">
        <f ca="1">IFERROR(__xludf.DUMMYFUNCTION("""COMPUTED_VALUE"""),"")</f>
        <v/>
      </c>
      <c r="R139" s="55" t="str">
        <f ca="1">IFERROR(__xludf.DUMMYFUNCTION("""COMPUTED_VALUE"""),"")</f>
        <v/>
      </c>
      <c r="S139" s="55" t="str">
        <f ca="1">IFERROR(__xludf.DUMMYFUNCTION("""COMPUTED_VALUE"""),"citadel")</f>
        <v>citadel</v>
      </c>
      <c r="T139" s="55" t="str">
        <f ca="1">IFERROR(__xludf.DUMMYFUNCTION("""COMPUTED_VALUE"""),"")</f>
        <v/>
      </c>
      <c r="U139" s="55" t="str">
        <f ca="1">IFERROR(__xludf.DUMMYFUNCTION("""COMPUTED_VALUE"""),"")</f>
        <v/>
      </c>
      <c r="V139" s="189" t="str">
        <f ca="1">IFERROR(__xludf.DUMMYFUNCTION("""COMPUTED_VALUE"""),"")</f>
        <v/>
      </c>
      <c r="W139" s="189" t="str">
        <f ca="1">IFERROR(__xludf.DUMMYFUNCTION("""COMPUTED_VALUE"""),"")</f>
        <v/>
      </c>
      <c r="X139" s="189" t="str">
        <f ca="1">IFERROR(__xludf.DUMMYFUNCTION("""COMPUTED_VALUE"""),"{t1:purpure;charges:[{charge:chain;t:or;p:jln;size:0.7}];shield:horsehead2}")</f>
        <v>{t1:purpure;charges:[{charge:chain;t:or;p:jln;size:0.7}];shield:horsehead2}</v>
      </c>
      <c r="Y139" s="193" t="str">
        <f ca="1">IFERROR(__xludf.DUMMYFUNCTION("""COMPUTED_VALUE"""),"https://watabou.github.io/city-generator/?name=Mightfall&amp;population=5362&amp;size=24&amp;seed=3550748350924&amp;river=0&amp;coast=0&amp;farms=0&amp;citadel=1&amp;urban_castle=1&amp;hub=false&amp;plaza=0&amp;temple=0&amp;walls=0&amp;shantytown=0&amp;gates=-1")</f>
        <v>https://watabou.github.io/city-generator/?name=Mightfall&amp;population=5362&amp;size=24&amp;seed=3550748350924&amp;river=0&amp;coast=0&amp;farms=0&amp;citadel=1&amp;urban_castle=1&amp;hub=false&amp;plaza=0&amp;temple=0&amp;walls=0&amp;shantytown=0&amp;gates=-1</v>
      </c>
      <c r="Z139" s="189"/>
    </row>
    <row r="140" spans="1:26" ht="15" x14ac:dyDescent="0.25">
      <c r="A140" s="55">
        <f ca="1">IFERROR(__xludf.DUMMYFUNCTION("""COMPUTED_VALUE"""),925)</f>
        <v>925</v>
      </c>
      <c r="B140" s="55" t="str">
        <f ca="1">IFERROR(__xludf.DUMMYFUNCTION("""COMPUTED_VALUE"""),"Shimhand")</f>
        <v>Shimhand</v>
      </c>
      <c r="C140" s="55" t="str">
        <f ca="1">IFERROR(__xludf.DUMMYFUNCTION("""COMPUTED_VALUE"""),"Sirong")</f>
        <v>Sirong</v>
      </c>
      <c r="D140" s="55" t="str">
        <f ca="1">IFERROR(__xludf.DUMMYFUNCTION("""COMPUTED_VALUE"""),"Sirong Lordship")</f>
        <v>Sirong Lordship</v>
      </c>
      <c r="E140" s="55" t="str">
        <f ca="1">IFERROR(__xludf.DUMMYFUNCTION("""COMPUTED_VALUE"""),"Shavia")</f>
        <v>Shavia</v>
      </c>
      <c r="F140" s="55" t="str">
        <f ca="1">IFERROR(__xludf.DUMMYFUNCTION("""COMPUTED_VALUE"""),"Kingdom of Shavia")</f>
        <v>Kingdom of Shavia</v>
      </c>
      <c r="G140" s="55" t="str">
        <f ca="1">IFERROR(__xludf.DUMMYFUNCTION("""COMPUTED_VALUE"""),"Shavian")</f>
        <v>Shavian</v>
      </c>
      <c r="H140" s="55" t="str">
        <f ca="1">IFERROR(__xludf.DUMMYFUNCTION("""COMPUTED_VALUE"""),"Path of Guiding Light")</f>
        <v>Path of Guiding Light</v>
      </c>
      <c r="I140" s="55">
        <f ca="1">IFERROR(__xludf.DUMMYFUNCTION("""COMPUTED_VALUE"""),10406)</f>
        <v>10406</v>
      </c>
      <c r="J140" s="55">
        <f ca="1">IFERROR(__xludf.DUMMYFUNCTION("""COMPUTED_VALUE"""),498.386163892901)</f>
        <v>498.38616389290098</v>
      </c>
      <c r="K140" s="55">
        <f ca="1">IFERROR(__xludf.DUMMYFUNCTION("""COMPUTED_VALUE"""),783.136203461715)</f>
        <v>783.13620346171501</v>
      </c>
      <c r="L140" s="55">
        <f ca="1">IFERROR(__xludf.DUMMYFUNCTION("""COMPUTED_VALUE"""),-32.46)</f>
        <v>-32.46</v>
      </c>
      <c r="M140" s="55">
        <f ca="1">IFERROR(__xludf.DUMMYFUNCTION("""COMPUTED_VALUE"""),-8.9)</f>
        <v>-8.9</v>
      </c>
      <c r="N140" s="55">
        <f ca="1">IFERROR(__xludf.DUMMYFUNCTION("""COMPUTED_VALUE"""),643)</f>
        <v>643</v>
      </c>
      <c r="O140" s="55" t="str">
        <f ca="1">IFERROR(__xludf.DUMMYFUNCTION("""COMPUTED_VALUE"""),"39°F")</f>
        <v>39°F</v>
      </c>
      <c r="P140" s="55" t="str">
        <f ca="1">IFERROR(__xludf.DUMMYFUNCTION("""COMPUTED_VALUE"""),"Reykjavik")</f>
        <v>Reykjavik</v>
      </c>
      <c r="Q140" s="55" t="str">
        <f ca="1">IFERROR(__xludf.DUMMYFUNCTION("""COMPUTED_VALUE"""),"")</f>
        <v/>
      </c>
      <c r="R140" s="55" t="str">
        <f ca="1">IFERROR(__xludf.DUMMYFUNCTION("""COMPUTED_VALUE"""),"")</f>
        <v/>
      </c>
      <c r="S140" s="55" t="str">
        <f ca="1">IFERROR(__xludf.DUMMYFUNCTION("""COMPUTED_VALUE"""),"")</f>
        <v/>
      </c>
      <c r="T140" s="55" t="str">
        <f ca="1">IFERROR(__xludf.DUMMYFUNCTION("""COMPUTED_VALUE"""),"")</f>
        <v/>
      </c>
      <c r="U140" s="55" t="str">
        <f ca="1">IFERROR(__xludf.DUMMYFUNCTION("""COMPUTED_VALUE"""),"")</f>
        <v/>
      </c>
      <c r="V140" s="189" t="str">
        <f ca="1">IFERROR(__xludf.DUMMYFUNCTION("""COMPUTED_VALUE"""),"")</f>
        <v/>
      </c>
      <c r="W140" s="189" t="str">
        <f ca="1">IFERROR(__xludf.DUMMYFUNCTION("""COMPUTED_VALUE"""),"")</f>
        <v/>
      </c>
      <c r="X140" s="189" t="str">
        <f ca="1">IFERROR(__xludf.DUMMYFUNCTION("""COMPUTED_VALUE"""),"{t1:azure;charges:[{charge:bearRampant;t:or;p:e;size:1.5}];shield:fantasy5}")</f>
        <v>{t1:azure;charges:[{charge:bearRampant;t:or;p:e;size:1.5}];shield:fantasy5}</v>
      </c>
      <c r="Y140" s="193" t="str">
        <f ca="1">IFERROR(__xludf.DUMMYFUNCTION("""COMPUTED_VALUE"""),"https://watabou.github.io/city-generator/?name=Shimhand&amp;population=10406&amp;size=31&amp;seed=3550748350925&amp;river=0&amp;coast=0&amp;farms=1&amp;citadel=0&amp;urban_castle=0&amp;hub=false&amp;plaza=0&amp;temple=0&amp;walls=0&amp;shantytown=0&amp;gates=-1")</f>
        <v>https://watabou.github.io/city-generator/?name=Shimhand&amp;population=10406&amp;size=31&amp;seed=3550748350925&amp;river=0&amp;coast=0&amp;farms=1&amp;citadel=0&amp;urban_castle=0&amp;hub=false&amp;plaza=0&amp;temple=0&amp;walls=0&amp;shantytown=0&amp;gates=-1</v>
      </c>
      <c r="Z140" s="189"/>
    </row>
    <row r="141" spans="1:26" ht="15" x14ac:dyDescent="0.25">
      <c r="A141" s="55">
        <f ca="1">IFERROR(__xludf.DUMMYFUNCTION("""COMPUTED_VALUE"""),926)</f>
        <v>926</v>
      </c>
      <c r="B141" s="55" t="str">
        <f ca="1">IFERROR(__xludf.DUMMYFUNCTION("""COMPUTED_VALUE"""),"Swanhall")</f>
        <v>Swanhall</v>
      </c>
      <c r="C141" s="55" t="str">
        <f ca="1">IFERROR(__xludf.DUMMYFUNCTION("""COMPUTED_VALUE"""),"Swanhall")</f>
        <v>Swanhall</v>
      </c>
      <c r="D141" s="55" t="str">
        <f ca="1">IFERROR(__xludf.DUMMYFUNCTION("""COMPUTED_VALUE"""),"Swanhall Province")</f>
        <v>Swanhall Province</v>
      </c>
      <c r="E141" s="55" t="str">
        <f ca="1">IFERROR(__xludf.DUMMYFUNCTION("""COMPUTED_VALUE"""),"Shavia")</f>
        <v>Shavia</v>
      </c>
      <c r="F141" s="55" t="str">
        <f ca="1">IFERROR(__xludf.DUMMYFUNCTION("""COMPUTED_VALUE"""),"Kingdom of Shavia")</f>
        <v>Kingdom of Shavia</v>
      </c>
      <c r="G141" s="55" t="str">
        <f ca="1">IFERROR(__xludf.DUMMYFUNCTION("""COMPUTED_VALUE"""),"Dail")</f>
        <v>Dail</v>
      </c>
      <c r="H141" s="55" t="str">
        <f ca="1">IFERROR(__xludf.DUMMYFUNCTION("""COMPUTED_VALUE"""),"Path of Guiding Light")</f>
        <v>Path of Guiding Light</v>
      </c>
      <c r="I141" s="55">
        <f ca="1">IFERROR(__xludf.DUMMYFUNCTION("""COMPUTED_VALUE"""),19219)</f>
        <v>19219</v>
      </c>
      <c r="J141" s="55">
        <f ca="1">IFERROR(__xludf.DUMMYFUNCTION("""COMPUTED_VALUE"""),1118.75)</f>
        <v>1118.75</v>
      </c>
      <c r="K141" s="55">
        <f ca="1">IFERROR(__xludf.DUMMYFUNCTION("""COMPUTED_VALUE"""),811.75)</f>
        <v>811.75</v>
      </c>
      <c r="L141" s="55">
        <f ca="1">IFERROR(__xludf.DUMMYFUNCTION("""COMPUTED_VALUE"""),-33.39)</f>
        <v>-33.39</v>
      </c>
      <c r="M141" s="55">
        <f ca="1">IFERROR(__xludf.DUMMYFUNCTION("""COMPUTED_VALUE"""),11.14)</f>
        <v>11.14</v>
      </c>
      <c r="N141" s="55">
        <f ca="1">IFERROR(__xludf.DUMMYFUNCTION("""COMPUTED_VALUE"""),82)</f>
        <v>82</v>
      </c>
      <c r="O141" s="55" t="str">
        <f ca="1">IFERROR(__xludf.DUMMYFUNCTION("""COMPUTED_VALUE"""),"41°F")</f>
        <v>41°F</v>
      </c>
      <c r="P141" s="55" t="str">
        <f ca="1">IFERROR(__xludf.DUMMYFUNCTION("""COMPUTED_VALUE"""),"Riga")</f>
        <v>Riga</v>
      </c>
      <c r="Q141" s="55" t="str">
        <f ca="1">IFERROR(__xludf.DUMMYFUNCTION("""COMPUTED_VALUE"""),"")</f>
        <v/>
      </c>
      <c r="R141" s="55" t="str">
        <f ca="1">IFERROR(__xludf.DUMMYFUNCTION("""COMPUTED_VALUE"""),"port")</f>
        <v>port</v>
      </c>
      <c r="S141" s="55" t="str">
        <f ca="1">IFERROR(__xludf.DUMMYFUNCTION("""COMPUTED_VALUE"""),"citadel")</f>
        <v>citadel</v>
      </c>
      <c r="T141" s="55" t="str">
        <f ca="1">IFERROR(__xludf.DUMMYFUNCTION("""COMPUTED_VALUE"""),"walls")</f>
        <v>walls</v>
      </c>
      <c r="U141" s="55" t="str">
        <f ca="1">IFERROR(__xludf.DUMMYFUNCTION("""COMPUTED_VALUE"""),"plaza")</f>
        <v>plaza</v>
      </c>
      <c r="V141" s="189" t="str">
        <f ca="1">IFERROR(__xludf.DUMMYFUNCTION("""COMPUTED_VALUE"""),"")</f>
        <v/>
      </c>
      <c r="W141" s="189" t="str">
        <f ca="1">IFERROR(__xludf.DUMMYFUNCTION("""COMPUTED_VALUE"""),"")</f>
        <v/>
      </c>
      <c r="X141" s="189" t="str">
        <f ca="1">IFERROR(__xludf.DUMMYFUNCTION("""COMPUTED_VALUE"""),"{t1:vairEnPointe-azure-argent-big;ordinaries:[{ordinary:flaunches;t:or}];charges:[{charge:mullet4;t:or;p:beh;size:0.5}];shield:roman}")</f>
        <v>{t1:vairEnPointe-azure-argent-big;ordinaries:[{ordinary:flaunches;t:or}];charges:[{charge:mullet4;t:or;p:beh;size:0.5}];shield:roman}</v>
      </c>
      <c r="Y141" s="193" t="str">
        <f ca="1">IFERROR(__xludf.DUMMYFUNCTION("""COMPUTED_VALUE"""),"https://watabou.github.io/city-generator/?name=Swanhall&amp;population=19219&amp;size=40&amp;seed=3550748350926&amp;river=0&amp;coast=1&amp;farms=1&amp;citadel=1&amp;urban_castle=1&amp;hub=false&amp;plaza=1&amp;temple=0&amp;walls=1&amp;shantytown=0&amp;gates=-1&amp;sea=0.81")</f>
        <v>https://watabou.github.io/city-generator/?name=Swanhall&amp;population=19219&amp;size=40&amp;seed=3550748350926&amp;river=0&amp;coast=1&amp;farms=1&amp;citadel=1&amp;urban_castle=1&amp;hub=false&amp;plaza=1&amp;temple=0&amp;walls=1&amp;shantytown=0&amp;gates=-1&amp;sea=0.81</v>
      </c>
      <c r="Z141" s="189"/>
    </row>
    <row r="142" spans="1:26" ht="15" x14ac:dyDescent="0.25">
      <c r="A142" s="55">
        <f ca="1">IFERROR(__xludf.DUMMYFUNCTION("""COMPUTED_VALUE"""),927)</f>
        <v>927</v>
      </c>
      <c r="B142" s="55" t="str">
        <f ca="1">IFERROR(__xludf.DUMMYFUNCTION("""COMPUTED_VALUE"""),"Dregrefrant")</f>
        <v>Dregrefrant</v>
      </c>
      <c r="C142" s="55" t="str">
        <f ca="1">IFERROR(__xludf.DUMMYFUNCTION("""COMPUTED_VALUE"""),"Sirong")</f>
        <v>Sirong</v>
      </c>
      <c r="D142" s="55" t="str">
        <f ca="1">IFERROR(__xludf.DUMMYFUNCTION("""COMPUTED_VALUE"""),"Sirong Lordship")</f>
        <v>Sirong Lordship</v>
      </c>
      <c r="E142" s="55" t="str">
        <f ca="1">IFERROR(__xludf.DUMMYFUNCTION("""COMPUTED_VALUE"""),"Shavia")</f>
        <v>Shavia</v>
      </c>
      <c r="F142" s="55" t="str">
        <f ca="1">IFERROR(__xludf.DUMMYFUNCTION("""COMPUTED_VALUE"""),"Kingdom of Shavia")</f>
        <v>Kingdom of Shavia</v>
      </c>
      <c r="G142" s="55" t="str">
        <f ca="1">IFERROR(__xludf.DUMMYFUNCTION("""COMPUTED_VALUE"""),"Aranvers")</f>
        <v>Aranvers</v>
      </c>
      <c r="H142" s="55" t="str">
        <f ca="1">IFERROR(__xludf.DUMMYFUNCTION("""COMPUTED_VALUE"""),"Path of Guiding Light")</f>
        <v>Path of Guiding Light</v>
      </c>
      <c r="I142" s="55">
        <f ca="1">IFERROR(__xludf.DUMMYFUNCTION("""COMPUTED_VALUE"""),6191)</f>
        <v>6191</v>
      </c>
      <c r="J142" s="55">
        <f ca="1">IFERROR(__xludf.DUMMYFUNCTION("""COMPUTED_VALUE"""),399.69537247224)</f>
        <v>399.69537247224002</v>
      </c>
      <c r="K142" s="55">
        <f ca="1">IFERROR(__xludf.DUMMYFUNCTION("""COMPUTED_VALUE"""),868.067501777583)</f>
        <v>868.06750177758295</v>
      </c>
      <c r="L142" s="55">
        <f ca="1">IFERROR(__xludf.DUMMYFUNCTION("""COMPUTED_VALUE"""),-35.21)</f>
        <v>-35.21</v>
      </c>
      <c r="M142" s="55">
        <f ca="1">IFERROR(__xludf.DUMMYFUNCTION("""COMPUTED_VALUE"""),-12.09)</f>
        <v>-12.09</v>
      </c>
      <c r="N142" s="55">
        <f ca="1">IFERROR(__xludf.DUMMYFUNCTION("""COMPUTED_VALUE"""),82)</f>
        <v>82</v>
      </c>
      <c r="O142" s="55" t="str">
        <f ca="1">IFERROR(__xludf.DUMMYFUNCTION("""COMPUTED_VALUE"""),"39°F")</f>
        <v>39°F</v>
      </c>
      <c r="P142" s="55" t="str">
        <f ca="1">IFERROR(__xludf.DUMMYFUNCTION("""COMPUTED_VALUE"""),"Reykjavik")</f>
        <v>Reykjavik</v>
      </c>
      <c r="Q142" s="55" t="str">
        <f ca="1">IFERROR(__xludf.DUMMYFUNCTION("""COMPUTED_VALUE"""),"")</f>
        <v/>
      </c>
      <c r="R142" s="55" t="str">
        <f ca="1">IFERROR(__xludf.DUMMYFUNCTION("""COMPUTED_VALUE"""),"")</f>
        <v/>
      </c>
      <c r="S142" s="55" t="str">
        <f ca="1">IFERROR(__xludf.DUMMYFUNCTION("""COMPUTED_VALUE"""),"citadel")</f>
        <v>citadel</v>
      </c>
      <c r="T142" s="55" t="str">
        <f ca="1">IFERROR(__xludf.DUMMYFUNCTION("""COMPUTED_VALUE"""),"walls")</f>
        <v>walls</v>
      </c>
      <c r="U142" s="55" t="str">
        <f ca="1">IFERROR(__xludf.DUMMYFUNCTION("""COMPUTED_VALUE"""),"plaza")</f>
        <v>plaza</v>
      </c>
      <c r="V142" s="189" t="str">
        <f ca="1">IFERROR(__xludf.DUMMYFUNCTION("""COMPUTED_VALUE"""),"")</f>
        <v/>
      </c>
      <c r="W142" s="189" t="str">
        <f ca="1">IFERROR(__xludf.DUMMYFUNCTION("""COMPUTED_VALUE"""),"")</f>
        <v/>
      </c>
      <c r="X142" s="189" t="str">
        <f ca="1">IFERROR(__xludf.DUMMYFUNCTION("""COMPUTED_VALUE"""),"{t1:palyBendy-gules-argent;charges:[{charge:heron;t:or;p:e;size:1.5}];shield:hessen}")</f>
        <v>{t1:palyBendy-gules-argent;charges:[{charge:heron;t:or;p:e;size:1.5}];shield:hessen}</v>
      </c>
      <c r="Y142" s="193" t="str">
        <f ca="1">IFERROR(__xludf.DUMMYFUNCTION("""COMPUTED_VALUE"""),"https://watabou.github.io/city-generator/?name=Dregrefrant&amp;population=6191&amp;size=26&amp;seed=3550748350927&amp;river=0&amp;coast=0&amp;farms=1&amp;citadel=1&amp;urban_castle=0&amp;hub=false&amp;plaza=1&amp;temple=0&amp;walls=1&amp;shantytown=0&amp;gates=-1")</f>
        <v>https://watabou.github.io/city-generator/?name=Dregrefrant&amp;population=6191&amp;size=26&amp;seed=3550748350927&amp;river=0&amp;coast=0&amp;farms=1&amp;citadel=1&amp;urban_castle=0&amp;hub=false&amp;plaza=1&amp;temple=0&amp;walls=1&amp;shantytown=0&amp;gates=-1</v>
      </c>
      <c r="Z142" s="189"/>
    </row>
    <row r="143" spans="1:26" ht="15" x14ac:dyDescent="0.25">
      <c r="A143" s="55">
        <f ca="1">IFERROR(__xludf.DUMMYFUNCTION("""COMPUTED_VALUE"""),953)</f>
        <v>953</v>
      </c>
      <c r="B143" s="55" t="str">
        <f ca="1">IFERROR(__xludf.DUMMYFUNCTION("""COMPUTED_VALUE"""),"Snagonb")</f>
        <v>Snagonb</v>
      </c>
      <c r="C143" s="55" t="str">
        <f ca="1">IFERROR(__xludf.DUMMYFUNCTION("""COMPUTED_VALUE"""),"Dreghold")</f>
        <v>Dreghold</v>
      </c>
      <c r="D143" s="55" t="str">
        <f ca="1">IFERROR(__xludf.DUMMYFUNCTION("""COMPUTED_VALUE"""),"Dreghold Province")</f>
        <v>Dreghold Province</v>
      </c>
      <c r="E143" s="55" t="str">
        <f ca="1">IFERROR(__xludf.DUMMYFUNCTION("""COMPUTED_VALUE"""),"Shavia")</f>
        <v>Shavia</v>
      </c>
      <c r="F143" s="55" t="str">
        <f ca="1">IFERROR(__xludf.DUMMYFUNCTION("""COMPUTED_VALUE"""),"Kingdom of Shavia")</f>
        <v>Kingdom of Shavia</v>
      </c>
      <c r="G143" s="55" t="str">
        <f ca="1">IFERROR(__xludf.DUMMYFUNCTION("""COMPUTED_VALUE"""),"Shavian")</f>
        <v>Shavian</v>
      </c>
      <c r="H143" s="55" t="str">
        <f ca="1">IFERROR(__xludf.DUMMYFUNCTION("""COMPUTED_VALUE"""),"Path of Guiding Light")</f>
        <v>Path of Guiding Light</v>
      </c>
      <c r="I143" s="55">
        <f ca="1">IFERROR(__xludf.DUMMYFUNCTION("""COMPUTED_VALUE"""),18741)</f>
        <v>18741</v>
      </c>
      <c r="J143" s="55">
        <f ca="1">IFERROR(__xludf.DUMMYFUNCTION("""COMPUTED_VALUE"""),722.663955320962)</f>
        <v>722.66395532096203</v>
      </c>
      <c r="K143" s="55">
        <f ca="1">IFERROR(__xludf.DUMMYFUNCTION("""COMPUTED_VALUE"""),675.298365705477)</f>
        <v>675.29836570547695</v>
      </c>
      <c r="L143" s="55">
        <f ca="1">IFERROR(__xludf.DUMMYFUNCTION("""COMPUTED_VALUE"""),-28.97)</f>
        <v>-28.97</v>
      </c>
      <c r="M143" s="55">
        <f ca="1">IFERROR(__xludf.DUMMYFUNCTION("""COMPUTED_VALUE"""),-1.66)</f>
        <v>-1.66</v>
      </c>
      <c r="N143" s="55">
        <f ca="1">IFERROR(__xludf.DUMMYFUNCTION("""COMPUTED_VALUE"""),3153)</f>
        <v>3153</v>
      </c>
      <c r="O143" s="55" t="str">
        <f ca="1">IFERROR(__xludf.DUMMYFUNCTION("""COMPUTED_VALUE"""),"36°F")</f>
        <v>36°F</v>
      </c>
      <c r="P143" s="55" t="str">
        <f ca="1">IFERROR(__xludf.DUMMYFUNCTION("""COMPUTED_VALUE"""),"Anchorage")</f>
        <v>Anchorage</v>
      </c>
      <c r="Q143" s="55" t="str">
        <f ca="1">IFERROR(__xludf.DUMMYFUNCTION("""COMPUTED_VALUE"""),"")</f>
        <v/>
      </c>
      <c r="R143" s="55" t="str">
        <f ca="1">IFERROR(__xludf.DUMMYFUNCTION("""COMPUTED_VALUE"""),"")</f>
        <v/>
      </c>
      <c r="S143" s="55" t="str">
        <f ca="1">IFERROR(__xludf.DUMMYFUNCTION("""COMPUTED_VALUE"""),"")</f>
        <v/>
      </c>
      <c r="T143" s="55" t="str">
        <f ca="1">IFERROR(__xludf.DUMMYFUNCTION("""COMPUTED_VALUE"""),"")</f>
        <v/>
      </c>
      <c r="U143" s="55" t="str">
        <f ca="1">IFERROR(__xludf.DUMMYFUNCTION("""COMPUTED_VALUE"""),"")</f>
        <v/>
      </c>
      <c r="V143" s="189" t="str">
        <f ca="1">IFERROR(__xludf.DUMMYFUNCTION("""COMPUTED_VALUE"""),"")</f>
        <v/>
      </c>
      <c r="W143" s="189" t="str">
        <f ca="1">IFERROR(__xludf.DUMMYFUNCTION("""COMPUTED_VALUE"""),"")</f>
        <v/>
      </c>
      <c r="X143" s="189" t="str">
        <f ca="1">IFERROR(__xludf.DUMMYFUNCTION("""COMPUTED_VALUE"""),"{t1:azure;division:{division:perFess;t:or;line:straight};ordinaries:[{ordinary:cross;t:argent;line:straight;divided:counter}];shield:horsehead2}")</f>
        <v>{t1:azure;division:{division:perFess;t:or;line:straight};ordinaries:[{ordinary:cross;t:argent;line:straight;divided:counter}];shield:horsehead2}</v>
      </c>
      <c r="Y143" s="193" t="str">
        <f ca="1">IFERROR(__xludf.DUMMYFUNCTION("""COMPUTED_VALUE"""),"https://watabou.github.io/city-generator/?name=Snagonb&amp;population=18741&amp;size=39&amp;seed=3550748350953&amp;river=0&amp;coast=0&amp;farms=0&amp;citadel=0&amp;urban_castle=0&amp;hub=false&amp;plaza=0&amp;temple=0&amp;walls=0&amp;shantytown=0&amp;gates=-1")</f>
        <v>https://watabou.github.io/city-generator/?name=Snagonb&amp;population=18741&amp;size=39&amp;seed=3550748350953&amp;river=0&amp;coast=0&amp;farms=0&amp;citadel=0&amp;urban_castle=0&amp;hub=false&amp;plaza=0&amp;temple=0&amp;walls=0&amp;shantytown=0&amp;gates=-1</v>
      </c>
      <c r="Z143" s="189"/>
    </row>
    <row r="144" spans="1:26" ht="15" x14ac:dyDescent="0.25">
      <c r="A144" s="55">
        <f ca="1">IFERROR(__xludf.DUMMYFUNCTION("""COMPUTED_VALUE"""),955)</f>
        <v>955</v>
      </c>
      <c r="B144" s="55" t="str">
        <f ca="1">IFERROR(__xludf.DUMMYFUNCTION("""COMPUTED_VALUE"""),"Sprinkeep")</f>
        <v>Sprinkeep</v>
      </c>
      <c r="C144" s="55" t="str">
        <f ca="1">IFERROR(__xludf.DUMMYFUNCTION("""COMPUTED_VALUE"""),"Swanhall")</f>
        <v>Swanhall</v>
      </c>
      <c r="D144" s="55" t="str">
        <f ca="1">IFERROR(__xludf.DUMMYFUNCTION("""COMPUTED_VALUE"""),"Swanhall Province")</f>
        <v>Swanhall Province</v>
      </c>
      <c r="E144" s="55" t="str">
        <f ca="1">IFERROR(__xludf.DUMMYFUNCTION("""COMPUTED_VALUE"""),"Shavia")</f>
        <v>Shavia</v>
      </c>
      <c r="F144" s="55" t="str">
        <f ca="1">IFERROR(__xludf.DUMMYFUNCTION("""COMPUTED_VALUE"""),"Kingdom of Shavia")</f>
        <v>Kingdom of Shavia</v>
      </c>
      <c r="G144" s="55" t="str">
        <f ca="1">IFERROR(__xludf.DUMMYFUNCTION("""COMPUTED_VALUE"""),"Shavian")</f>
        <v>Shavian</v>
      </c>
      <c r="H144" s="55" t="str">
        <f ca="1">IFERROR(__xludf.DUMMYFUNCTION("""COMPUTED_VALUE"""),"Path of Guiding Light")</f>
        <v>Path of Guiding Light</v>
      </c>
      <c r="I144" s="55">
        <f ca="1">IFERROR(__xludf.DUMMYFUNCTION("""COMPUTED_VALUE"""),19714)</f>
        <v>19714</v>
      </c>
      <c r="J144" s="55">
        <f ca="1">IFERROR(__xludf.DUMMYFUNCTION("""COMPUTED_VALUE"""),916.46456683091)</f>
        <v>916.46456683091003</v>
      </c>
      <c r="K144" s="55">
        <f ca="1">IFERROR(__xludf.DUMMYFUNCTION("""COMPUTED_VALUE"""),735.629947918857)</f>
        <v>735.62994791885706</v>
      </c>
      <c r="L144" s="55">
        <f ca="1">IFERROR(__xludf.DUMMYFUNCTION("""COMPUTED_VALUE"""),-30.92)</f>
        <v>-30.92</v>
      </c>
      <c r="M144" s="55">
        <f ca="1">IFERROR(__xludf.DUMMYFUNCTION("""COMPUTED_VALUE"""),4.6)</f>
        <v>4.5999999999999996</v>
      </c>
      <c r="N144" s="55">
        <f ca="1">IFERROR(__xludf.DUMMYFUNCTION("""COMPUTED_VALUE"""),210)</f>
        <v>210</v>
      </c>
      <c r="O144" s="55" t="str">
        <f ca="1">IFERROR(__xludf.DUMMYFUNCTION("""COMPUTED_VALUE"""),"43°F")</f>
        <v>43°F</v>
      </c>
      <c r="P144" s="55" t="str">
        <f ca="1">IFERROR(__xludf.DUMMYFUNCTION("""COMPUTED_VALUE"""),"Stockholm")</f>
        <v>Stockholm</v>
      </c>
      <c r="Q144" s="55" t="str">
        <f ca="1">IFERROR(__xludf.DUMMYFUNCTION("""COMPUTED_VALUE"""),"")</f>
        <v/>
      </c>
      <c r="R144" s="55" t="str">
        <f ca="1">IFERROR(__xludf.DUMMYFUNCTION("""COMPUTED_VALUE"""),"")</f>
        <v/>
      </c>
      <c r="S144" s="55" t="str">
        <f ca="1">IFERROR(__xludf.DUMMYFUNCTION("""COMPUTED_VALUE"""),"")</f>
        <v/>
      </c>
      <c r="T144" s="55" t="str">
        <f ca="1">IFERROR(__xludf.DUMMYFUNCTION("""COMPUTED_VALUE"""),"walls")</f>
        <v>walls</v>
      </c>
      <c r="U144" s="55" t="str">
        <f ca="1">IFERROR(__xludf.DUMMYFUNCTION("""COMPUTED_VALUE"""),"plaza")</f>
        <v>plaza</v>
      </c>
      <c r="V144" s="189" t="str">
        <f ca="1">IFERROR(__xludf.DUMMYFUNCTION("""COMPUTED_VALUE"""),"")</f>
        <v/>
      </c>
      <c r="W144" s="189" t="str">
        <f ca="1">IFERROR(__xludf.DUMMYFUNCTION("""COMPUTED_VALUE"""),"")</f>
        <v/>
      </c>
      <c r="X144" s="189" t="str">
        <f ca="1">IFERROR(__xludf.DUMMYFUNCTION("""COMPUTED_VALUE"""),"{t1:gules;ordinaries:[{ordinary:pale;t:or;line:straight}];charges:[{charge:sun;t:sable;p:beh;size:0.5}];shield:horsehead2}")</f>
        <v>{t1:gules;ordinaries:[{ordinary:pale;t:or;line:straight}];charges:[{charge:sun;t:sable;p:beh;size:0.5}];shield:horsehead2}</v>
      </c>
      <c r="Y144" s="193" t="str">
        <f ca="1">IFERROR(__xludf.DUMMYFUNCTION("""COMPUTED_VALUE"""),"https://watabou.github.io/city-generator/?name=Sprinkeep&amp;population=19714&amp;size=40&amp;seed=3550748350955&amp;river=0&amp;coast=0&amp;farms=0&amp;citadel=0&amp;urban_castle=0&amp;hub=false&amp;plaza=1&amp;temple=0&amp;walls=1&amp;shantytown=0&amp;gates=-1")</f>
        <v>https://watabou.github.io/city-generator/?name=Sprinkeep&amp;population=19714&amp;size=40&amp;seed=3550748350955&amp;river=0&amp;coast=0&amp;farms=0&amp;citadel=0&amp;urban_castle=0&amp;hub=false&amp;plaza=1&amp;temple=0&amp;walls=1&amp;shantytown=0&amp;gates=-1</v>
      </c>
      <c r="Z144" s="189"/>
    </row>
    <row r="145" spans="1:26" ht="15" x14ac:dyDescent="0.25">
      <c r="A145" s="55">
        <f ca="1">IFERROR(__xludf.DUMMYFUNCTION("""COMPUTED_VALUE"""),956)</f>
        <v>956</v>
      </c>
      <c r="B145" s="55" t="str">
        <f ca="1">IFERROR(__xludf.DUMMYFUNCTION("""COMPUTED_VALUE"""),"Drymond")</f>
        <v>Drymond</v>
      </c>
      <c r="C145" s="55" t="str">
        <f ca="1">IFERROR(__xludf.DUMMYFUNCTION("""COMPUTED_VALUE"""),"Sirong")</f>
        <v>Sirong</v>
      </c>
      <c r="D145" s="55" t="str">
        <f ca="1">IFERROR(__xludf.DUMMYFUNCTION("""COMPUTED_VALUE"""),"Sirong Lordship")</f>
        <v>Sirong Lordship</v>
      </c>
      <c r="E145" s="55" t="str">
        <f ca="1">IFERROR(__xludf.DUMMYFUNCTION("""COMPUTED_VALUE"""),"Shavia")</f>
        <v>Shavia</v>
      </c>
      <c r="F145" s="55" t="str">
        <f ca="1">IFERROR(__xludf.DUMMYFUNCTION("""COMPUTED_VALUE"""),"Kingdom of Shavia")</f>
        <v>Kingdom of Shavia</v>
      </c>
      <c r="G145" s="55" t="str">
        <f ca="1">IFERROR(__xludf.DUMMYFUNCTION("""COMPUTED_VALUE"""),"Shavian")</f>
        <v>Shavian</v>
      </c>
      <c r="H145" s="55" t="str">
        <f ca="1">IFERROR(__xludf.DUMMYFUNCTION("""COMPUTED_VALUE"""),"Path of Guiding Light")</f>
        <v>Path of Guiding Light</v>
      </c>
      <c r="I145" s="55">
        <f ca="1">IFERROR(__xludf.DUMMYFUNCTION("""COMPUTED_VALUE"""),16708)</f>
        <v>16708</v>
      </c>
      <c r="J145" s="55">
        <f ca="1">IFERROR(__xludf.DUMMYFUNCTION("""COMPUTED_VALUE"""),290.378437861738)</f>
        <v>290.37843786173801</v>
      </c>
      <c r="K145" s="55">
        <f ca="1">IFERROR(__xludf.DUMMYFUNCTION("""COMPUTED_VALUE"""),816.727271494068)</f>
        <v>816.72727149406796</v>
      </c>
      <c r="L145" s="55">
        <f ca="1">IFERROR(__xludf.DUMMYFUNCTION("""COMPUTED_VALUE"""),-33.55)</f>
        <v>-33.549999999999997</v>
      </c>
      <c r="M145" s="55">
        <f ca="1">IFERROR(__xludf.DUMMYFUNCTION("""COMPUTED_VALUE"""),-15.62)</f>
        <v>-15.62</v>
      </c>
      <c r="N145" s="55">
        <f ca="1">IFERROR(__xludf.DUMMYFUNCTION("""COMPUTED_VALUE"""),643)</f>
        <v>643</v>
      </c>
      <c r="O145" s="55" t="str">
        <f ca="1">IFERROR(__xludf.DUMMYFUNCTION("""COMPUTED_VALUE"""),"39°F")</f>
        <v>39°F</v>
      </c>
      <c r="P145" s="55" t="str">
        <f ca="1">IFERROR(__xludf.DUMMYFUNCTION("""COMPUTED_VALUE"""),"Reykjavik")</f>
        <v>Reykjavik</v>
      </c>
      <c r="Q145" s="55" t="str">
        <f ca="1">IFERROR(__xludf.DUMMYFUNCTION("""COMPUTED_VALUE"""),"")</f>
        <v/>
      </c>
      <c r="R145" s="55" t="str">
        <f ca="1">IFERROR(__xludf.DUMMYFUNCTION("""COMPUTED_VALUE"""),"")</f>
        <v/>
      </c>
      <c r="S145" s="55" t="str">
        <f ca="1">IFERROR(__xludf.DUMMYFUNCTION("""COMPUTED_VALUE"""),"")</f>
        <v/>
      </c>
      <c r="T145" s="55" t="str">
        <f ca="1">IFERROR(__xludf.DUMMYFUNCTION("""COMPUTED_VALUE"""),"")</f>
        <v/>
      </c>
      <c r="U145" s="55" t="str">
        <f ca="1">IFERROR(__xludf.DUMMYFUNCTION("""COMPUTED_VALUE"""),"")</f>
        <v/>
      </c>
      <c r="V145" s="189" t="str">
        <f ca="1">IFERROR(__xludf.DUMMYFUNCTION("""COMPUTED_VALUE"""),"")</f>
        <v/>
      </c>
      <c r="W145" s="189" t="str">
        <f ca="1">IFERROR(__xludf.DUMMYFUNCTION("""COMPUTED_VALUE"""),"")</f>
        <v/>
      </c>
      <c r="X145" s="189" t="str">
        <f ca="1">IFERROR(__xludf.DUMMYFUNCTION("""COMPUTED_VALUE"""),"{t1:argent;ordinaries:[{ordinary:cross;t:vert;line:straight}];charges:[{charge:trefle;t:argent;p:behdf;size:0.3}];shield:fantasy5}")</f>
        <v>{t1:argent;ordinaries:[{ordinary:cross;t:vert;line:straight}];charges:[{charge:trefle;t:argent;p:behdf;size:0.3}];shield:fantasy5}</v>
      </c>
      <c r="Y145" s="193" t="str">
        <f ca="1">IFERROR(__xludf.DUMMYFUNCTION("""COMPUTED_VALUE"""),"https://watabou.github.io/city-generator/?name=Drymond&amp;population=16708&amp;size=38&amp;seed=3550748350956&amp;river=0&amp;coast=0&amp;farms=1&amp;citadel=0&amp;urban_castle=0&amp;hub=false&amp;plaza=0&amp;temple=0&amp;walls=0&amp;shantytown=0&amp;gates=-1")</f>
        <v>https://watabou.github.io/city-generator/?name=Drymond&amp;population=16708&amp;size=38&amp;seed=3550748350956&amp;river=0&amp;coast=0&amp;farms=1&amp;citadel=0&amp;urban_castle=0&amp;hub=false&amp;plaza=0&amp;temple=0&amp;walls=0&amp;shantytown=0&amp;gates=-1</v>
      </c>
      <c r="Z145" s="189"/>
    </row>
    <row r="146" spans="1:26" ht="15" x14ac:dyDescent="0.25">
      <c r="A146" s="55">
        <f ca="1">IFERROR(__xludf.DUMMYFUNCTION("""COMPUTED_VALUE"""),979)</f>
        <v>979</v>
      </c>
      <c r="B146" s="55" t="str">
        <f ca="1">IFERROR(__xludf.DUMMYFUNCTION("""COMPUTED_VALUE"""),"Dogport")</f>
        <v>Dogport</v>
      </c>
      <c r="C146" s="55" t="str">
        <f ca="1">IFERROR(__xludf.DUMMYFUNCTION("""COMPUTED_VALUE"""),"Swanhall")</f>
        <v>Swanhall</v>
      </c>
      <c r="D146" s="55" t="str">
        <f ca="1">IFERROR(__xludf.DUMMYFUNCTION("""COMPUTED_VALUE"""),"Swanhall Province")</f>
        <v>Swanhall Province</v>
      </c>
      <c r="E146" s="55" t="str">
        <f ca="1">IFERROR(__xludf.DUMMYFUNCTION("""COMPUTED_VALUE"""),"Shavia")</f>
        <v>Shavia</v>
      </c>
      <c r="F146" s="55" t="str">
        <f ca="1">IFERROR(__xludf.DUMMYFUNCTION("""COMPUTED_VALUE"""),"Kingdom of Shavia")</f>
        <v>Kingdom of Shavia</v>
      </c>
      <c r="G146" s="55" t="str">
        <f ca="1">IFERROR(__xludf.DUMMYFUNCTION("""COMPUTED_VALUE"""),"Eastern Shavian")</f>
        <v>Eastern Shavian</v>
      </c>
      <c r="H146" s="55" t="str">
        <f ca="1">IFERROR(__xludf.DUMMYFUNCTION("""COMPUTED_VALUE"""),"Path of Guiding Light")</f>
        <v>Path of Guiding Light</v>
      </c>
      <c r="I146" s="55">
        <f ca="1">IFERROR(__xludf.DUMMYFUNCTION("""COMPUTED_VALUE"""),2286)</f>
        <v>2286</v>
      </c>
      <c r="J146" s="55">
        <f ca="1">IFERROR(__xludf.DUMMYFUNCTION("""COMPUTED_VALUE"""),1057.83508721735)</f>
        <v>1057.8350872173501</v>
      </c>
      <c r="K146" s="55">
        <f ca="1">IFERROR(__xludf.DUMMYFUNCTION("""COMPUTED_VALUE"""),603.834633483693)</f>
        <v>603.83463348369298</v>
      </c>
      <c r="L146" s="55">
        <f ca="1">IFERROR(__xludf.DUMMYFUNCTION("""COMPUTED_VALUE"""),-26.65)</f>
        <v>-26.65</v>
      </c>
      <c r="M146" s="55">
        <f ca="1">IFERROR(__xludf.DUMMYFUNCTION("""COMPUTED_VALUE"""),9.17)</f>
        <v>9.17</v>
      </c>
      <c r="N146" s="55">
        <f ca="1">IFERROR(__xludf.DUMMYFUNCTION("""COMPUTED_VALUE"""),2572)</f>
        <v>2572</v>
      </c>
      <c r="O146" s="55" t="str">
        <f ca="1">IFERROR(__xludf.DUMMYFUNCTION("""COMPUTED_VALUE"""),"39°F")</f>
        <v>39°F</v>
      </c>
      <c r="P146" s="55" t="str">
        <f ca="1">IFERROR(__xludf.DUMMYFUNCTION("""COMPUTED_VALUE"""),"Reykjavik")</f>
        <v>Reykjavik</v>
      </c>
      <c r="Q146" s="55" t="str">
        <f ca="1">IFERROR(__xludf.DUMMYFUNCTION("""COMPUTED_VALUE"""),"")</f>
        <v/>
      </c>
      <c r="R146" s="55" t="str">
        <f ca="1">IFERROR(__xludf.DUMMYFUNCTION("""COMPUTED_VALUE"""),"")</f>
        <v/>
      </c>
      <c r="S146" s="55" t="str">
        <f ca="1">IFERROR(__xludf.DUMMYFUNCTION("""COMPUTED_VALUE"""),"")</f>
        <v/>
      </c>
      <c r="T146" s="55" t="str">
        <f ca="1">IFERROR(__xludf.DUMMYFUNCTION("""COMPUTED_VALUE"""),"")</f>
        <v/>
      </c>
      <c r="U146" s="55" t="str">
        <f ca="1">IFERROR(__xludf.DUMMYFUNCTION("""COMPUTED_VALUE"""),"")</f>
        <v/>
      </c>
      <c r="V146" s="189" t="str">
        <f ca="1">IFERROR(__xludf.DUMMYFUNCTION("""COMPUTED_VALUE"""),"")</f>
        <v/>
      </c>
      <c r="W146" s="189" t="str">
        <f ca="1">IFERROR(__xludf.DUMMYFUNCTION("""COMPUTED_VALUE"""),"")</f>
        <v/>
      </c>
      <c r="X146" s="189" t="str">
        <f ca="1">IFERROR(__xludf.DUMMYFUNCTION("""COMPUTED_VALUE"""),"{t1:argent;charges:[{charge:crossFleury;t:gules;p:e;size:1.5}];shield:horsehead2}")</f>
        <v>{t1:argent;charges:[{charge:crossFleury;t:gules;p:e;size:1.5}];shield:horsehead2}</v>
      </c>
      <c r="Y146" s="193" t="str">
        <f ca="1">IFERROR(__xludf.DUMMYFUNCTION("""COMPUTED_VALUE"""),"https://watabou.github.io/city-generator/?name=Dogport&amp;population=2286&amp;size=18&amp;seed=3550748350979&amp;river=0&amp;coast=0&amp;farms=0&amp;citadel=0&amp;urban_castle=0&amp;hub=false&amp;plaza=0&amp;temple=0&amp;walls=0&amp;shantytown=0&amp;gates=-1")</f>
        <v>https://watabou.github.io/city-generator/?name=Dogport&amp;population=2286&amp;size=18&amp;seed=3550748350979&amp;river=0&amp;coast=0&amp;farms=0&amp;citadel=0&amp;urban_castle=0&amp;hub=false&amp;plaza=0&amp;temple=0&amp;walls=0&amp;shantytown=0&amp;gates=-1</v>
      </c>
      <c r="Z146" s="189"/>
    </row>
    <row r="147" spans="1:26" ht="15" x14ac:dyDescent="0.25">
      <c r="A147" s="55">
        <f ca="1">IFERROR(__xludf.DUMMYFUNCTION("""COMPUTED_VALUE"""),984)</f>
        <v>984</v>
      </c>
      <c r="B147" s="55" t="str">
        <f ca="1">IFERROR(__xludf.DUMMYFUNCTION("""COMPUTED_VALUE"""),"Shrourestar")</f>
        <v>Shrourestar</v>
      </c>
      <c r="C147" s="55" t="str">
        <f ca="1">IFERROR(__xludf.DUMMYFUNCTION("""COMPUTED_VALUE"""),"Dreghold")</f>
        <v>Dreghold</v>
      </c>
      <c r="D147" s="55" t="str">
        <f ca="1">IFERROR(__xludf.DUMMYFUNCTION("""COMPUTED_VALUE"""),"Dreghold Province")</f>
        <v>Dreghold Province</v>
      </c>
      <c r="E147" s="55" t="str">
        <f ca="1">IFERROR(__xludf.DUMMYFUNCTION("""COMPUTED_VALUE"""),"Shavia")</f>
        <v>Shavia</v>
      </c>
      <c r="F147" s="55" t="str">
        <f ca="1">IFERROR(__xludf.DUMMYFUNCTION("""COMPUTED_VALUE"""),"Kingdom of Shavia")</f>
        <v>Kingdom of Shavia</v>
      </c>
      <c r="G147" s="55" t="str">
        <f ca="1">IFERROR(__xludf.DUMMYFUNCTION("""COMPUTED_VALUE"""),"Shavian")</f>
        <v>Shavian</v>
      </c>
      <c r="H147" s="55" t="str">
        <f ca="1">IFERROR(__xludf.DUMMYFUNCTION("""COMPUTED_VALUE"""),"Path of Guiding Light")</f>
        <v>Path of Guiding Light</v>
      </c>
      <c r="I147" s="55">
        <f ca="1">IFERROR(__xludf.DUMMYFUNCTION("""COMPUTED_VALUE"""),10356)</f>
        <v>10356</v>
      </c>
      <c r="J147" s="55">
        <f ca="1">IFERROR(__xludf.DUMMYFUNCTION("""COMPUTED_VALUE"""),691.602921381429)</f>
        <v>691.60292138142904</v>
      </c>
      <c r="K147" s="55">
        <f ca="1">IFERROR(__xludf.DUMMYFUNCTION("""COMPUTED_VALUE"""),814.956247629095)</f>
        <v>814.95624762909495</v>
      </c>
      <c r="L147" s="55">
        <f ca="1">IFERROR(__xludf.DUMMYFUNCTION("""COMPUTED_VALUE"""),-33.49)</f>
        <v>-33.49</v>
      </c>
      <c r="M147" s="55">
        <f ca="1">IFERROR(__xludf.DUMMYFUNCTION("""COMPUTED_VALUE"""),-2.66)</f>
        <v>-2.66</v>
      </c>
      <c r="N147" s="55">
        <f ca="1">IFERROR(__xludf.DUMMYFUNCTION("""COMPUTED_VALUE"""),1063)</f>
        <v>1063</v>
      </c>
      <c r="O147" s="55" t="str">
        <f ca="1">IFERROR(__xludf.DUMMYFUNCTION("""COMPUTED_VALUE"""),"37°F")</f>
        <v>37°F</v>
      </c>
      <c r="P147" s="55" t="str">
        <f ca="1">IFERROR(__xludf.DUMMYFUNCTION("""COMPUTED_VALUE"""),"Tromsø")</f>
        <v>Tromsø</v>
      </c>
      <c r="Q147" s="55" t="str">
        <f ca="1">IFERROR(__xludf.DUMMYFUNCTION("""COMPUTED_VALUE"""),"")</f>
        <v/>
      </c>
      <c r="R147" s="55" t="str">
        <f ca="1">IFERROR(__xludf.DUMMYFUNCTION("""COMPUTED_VALUE"""),"")</f>
        <v/>
      </c>
      <c r="S147" s="55" t="str">
        <f ca="1">IFERROR(__xludf.DUMMYFUNCTION("""COMPUTED_VALUE"""),"")</f>
        <v/>
      </c>
      <c r="T147" s="55" t="str">
        <f ca="1">IFERROR(__xludf.DUMMYFUNCTION("""COMPUTED_VALUE"""),"")</f>
        <v/>
      </c>
      <c r="U147" s="55" t="str">
        <f ca="1">IFERROR(__xludf.DUMMYFUNCTION("""COMPUTED_VALUE"""),"")</f>
        <v/>
      </c>
      <c r="V147" s="189" t="str">
        <f ca="1">IFERROR(__xludf.DUMMYFUNCTION("""COMPUTED_VALUE"""),"")</f>
        <v/>
      </c>
      <c r="W147" s="189" t="str">
        <f ca="1">IFERROR(__xludf.DUMMYFUNCTION("""COMPUTED_VALUE"""),"")</f>
        <v/>
      </c>
      <c r="X147" s="189" t="str">
        <f ca="1">IFERROR(__xludf.DUMMYFUNCTION("""COMPUTED_VALUE"""),"{t1:azure;ordinaries:[{ordinary:pale;t:argent;line:straight}];charges:[{charge:crossArrowed;t:purpure;p:beh;size:0.5}];shield:horsehead2}")</f>
        <v>{t1:azure;ordinaries:[{ordinary:pale;t:argent;line:straight}];charges:[{charge:crossArrowed;t:purpure;p:beh;size:0.5}];shield:horsehead2}</v>
      </c>
      <c r="Y147" s="193" t="str">
        <f ca="1">IFERROR(__xludf.DUMMYFUNCTION("""COMPUTED_VALUE"""),"https://watabou.github.io/city-generator/?name=Shrourestar&amp;population=10356&amp;size=31&amp;seed=3550748350984&amp;river=0&amp;coast=0&amp;farms=0&amp;citadel=0&amp;urban_castle=0&amp;hub=false&amp;plaza=0&amp;temple=0&amp;walls=0&amp;shantytown=0&amp;gates=-1")</f>
        <v>https://watabou.github.io/city-generator/?name=Shrourestar&amp;population=10356&amp;size=31&amp;seed=3550748350984&amp;river=0&amp;coast=0&amp;farms=0&amp;citadel=0&amp;urban_castle=0&amp;hub=false&amp;plaza=0&amp;temple=0&amp;walls=0&amp;shantytown=0&amp;gates=-1</v>
      </c>
      <c r="Z147" s="189"/>
    </row>
    <row r="148" spans="1:26" ht="15" x14ac:dyDescent="0.25">
      <c r="A148" s="55">
        <f ca="1">IFERROR(__xludf.DUMMYFUNCTION("""COMPUTED_VALUE"""),985)</f>
        <v>985</v>
      </c>
      <c r="B148" s="55" t="str">
        <f ca="1">IFERROR(__xludf.DUMMYFUNCTION("""COMPUTED_VALUE"""),"Dryvaterga")</f>
        <v>Dryvaterga</v>
      </c>
      <c r="C148" s="55" t="str">
        <f ca="1">IFERROR(__xludf.DUMMYFUNCTION("""COMPUTED_VALUE"""),"Sirong")</f>
        <v>Sirong</v>
      </c>
      <c r="D148" s="55" t="str">
        <f ca="1">IFERROR(__xludf.DUMMYFUNCTION("""COMPUTED_VALUE"""),"Sirong Lordship")</f>
        <v>Sirong Lordship</v>
      </c>
      <c r="E148" s="55" t="str">
        <f ca="1">IFERROR(__xludf.DUMMYFUNCTION("""COMPUTED_VALUE"""),"Shavia")</f>
        <v>Shavia</v>
      </c>
      <c r="F148" s="55" t="str">
        <f ca="1">IFERROR(__xludf.DUMMYFUNCTION("""COMPUTED_VALUE"""),"Kingdom of Shavia")</f>
        <v>Kingdom of Shavia</v>
      </c>
      <c r="G148" s="55" t="str">
        <f ca="1">IFERROR(__xludf.DUMMYFUNCTION("""COMPUTED_VALUE"""),"Shavian")</f>
        <v>Shavian</v>
      </c>
      <c r="H148" s="55" t="str">
        <f ca="1">IFERROR(__xludf.DUMMYFUNCTION("""COMPUTED_VALUE"""),"Path of Guiding Light")</f>
        <v>Path of Guiding Light</v>
      </c>
      <c r="I148" s="55">
        <f ca="1">IFERROR(__xludf.DUMMYFUNCTION("""COMPUTED_VALUE"""),34107)</f>
        <v>34107</v>
      </c>
      <c r="J148" s="55">
        <f ca="1">IFERROR(__xludf.DUMMYFUNCTION("""COMPUTED_VALUE"""),535)</f>
        <v>535</v>
      </c>
      <c r="K148" s="55">
        <f ca="1">IFERROR(__xludf.DUMMYFUNCTION("""COMPUTED_VALUE"""),833.5)</f>
        <v>833.5</v>
      </c>
      <c r="L148" s="55">
        <f ca="1">IFERROR(__xludf.DUMMYFUNCTION("""COMPUTED_VALUE"""),-34.09)</f>
        <v>-34.090000000000003</v>
      </c>
      <c r="M148" s="55">
        <f ca="1">IFERROR(__xludf.DUMMYFUNCTION("""COMPUTED_VALUE"""),-7.72)</f>
        <v>-7.72</v>
      </c>
      <c r="N148" s="55">
        <f ca="1">IFERROR(__xludf.DUMMYFUNCTION("""COMPUTED_VALUE"""),13)</f>
        <v>13</v>
      </c>
      <c r="O148" s="55" t="str">
        <f ca="1">IFERROR(__xludf.DUMMYFUNCTION("""COMPUTED_VALUE"""),"39°F")</f>
        <v>39°F</v>
      </c>
      <c r="P148" s="55" t="str">
        <f ca="1">IFERROR(__xludf.DUMMYFUNCTION("""COMPUTED_VALUE"""),"Reykjavik")</f>
        <v>Reykjavik</v>
      </c>
      <c r="Q148" s="55" t="str">
        <f ca="1">IFERROR(__xludf.DUMMYFUNCTION("""COMPUTED_VALUE"""),"")</f>
        <v/>
      </c>
      <c r="R148" s="55" t="str">
        <f ca="1">IFERROR(__xludf.DUMMYFUNCTION("""COMPUTED_VALUE"""),"port")</f>
        <v>port</v>
      </c>
      <c r="S148" s="55" t="str">
        <f ca="1">IFERROR(__xludf.DUMMYFUNCTION("""COMPUTED_VALUE"""),"")</f>
        <v/>
      </c>
      <c r="T148" s="55" t="str">
        <f ca="1">IFERROR(__xludf.DUMMYFUNCTION("""COMPUTED_VALUE"""),"walls")</f>
        <v>walls</v>
      </c>
      <c r="U148" s="55" t="str">
        <f ca="1">IFERROR(__xludf.DUMMYFUNCTION("""COMPUTED_VALUE"""),"plaza")</f>
        <v>plaza</v>
      </c>
      <c r="V148" s="189" t="str">
        <f ca="1">IFERROR(__xludf.DUMMYFUNCTION("""COMPUTED_VALUE"""),"")</f>
        <v/>
      </c>
      <c r="W148" s="189" t="str">
        <f ca="1">IFERROR(__xludf.DUMMYFUNCTION("""COMPUTED_VALUE"""),"shanty town")</f>
        <v>shanty town</v>
      </c>
      <c r="X148" s="189" t="str">
        <f ca="1">IFERROR(__xludf.DUMMYFUNCTION("""COMPUTED_VALUE"""),"{t1:azure;charges:[{charge:crossHummetty;t:argent;p:jln;size:0.7}];shield:fantasy5}")</f>
        <v>{t1:azure;charges:[{charge:crossHummetty;t:argent;p:jln;size:0.7}];shield:fantasy5}</v>
      </c>
      <c r="Y148" s="193" t="str">
        <f ca="1">IFERROR(__xludf.DUMMYFUNCTION("""COMPUTED_VALUE"""),"https://watabou.github.io/city-generator/?name=Dryvaterga&amp;population=34107&amp;size=49&amp;seed=3550748350985&amp;river=1&amp;coast=1&amp;farms=1&amp;citadel=0&amp;urban_castle=0&amp;hub=false&amp;plaza=1&amp;temple=0&amp;walls=1&amp;shantytown=1&amp;gates=-1&amp;sea=1.81")</f>
        <v>https://watabou.github.io/city-generator/?name=Dryvaterga&amp;population=34107&amp;size=49&amp;seed=3550748350985&amp;river=1&amp;coast=1&amp;farms=1&amp;citadel=0&amp;urban_castle=0&amp;hub=false&amp;plaza=1&amp;temple=0&amp;walls=1&amp;shantytown=1&amp;gates=-1&amp;sea=1.81</v>
      </c>
      <c r="Z148" s="189"/>
    </row>
    <row r="149" spans="1:26" ht="15" x14ac:dyDescent="0.25">
      <c r="A149" s="55">
        <f ca="1">IFERROR(__xludf.DUMMYFUNCTION("""COMPUTED_VALUE"""),987)</f>
        <v>987</v>
      </c>
      <c r="B149" s="55" t="str">
        <f ca="1">IFERROR(__xludf.DUMMYFUNCTION("""COMPUTED_VALUE"""),"Vhalthin")</f>
        <v>Vhalthin</v>
      </c>
      <c r="C149" s="55" t="str">
        <f ca="1">IFERROR(__xludf.DUMMYFUNCTION("""COMPUTED_VALUE"""),"Sirong")</f>
        <v>Sirong</v>
      </c>
      <c r="D149" s="55" t="str">
        <f ca="1">IFERROR(__xludf.DUMMYFUNCTION("""COMPUTED_VALUE"""),"Sirong Lordship")</f>
        <v>Sirong Lordship</v>
      </c>
      <c r="E149" s="55" t="str">
        <f ca="1">IFERROR(__xludf.DUMMYFUNCTION("""COMPUTED_VALUE"""),"Shavia")</f>
        <v>Shavia</v>
      </c>
      <c r="F149" s="55" t="str">
        <f ca="1">IFERROR(__xludf.DUMMYFUNCTION("""COMPUTED_VALUE"""),"Kingdom of Shavia")</f>
        <v>Kingdom of Shavia</v>
      </c>
      <c r="G149" s="55" t="str">
        <f ca="1">IFERROR(__xludf.DUMMYFUNCTION("""COMPUTED_VALUE"""),"Aranvers")</f>
        <v>Aranvers</v>
      </c>
      <c r="H149" s="55" t="str">
        <f ca="1">IFERROR(__xludf.DUMMYFUNCTION("""COMPUTED_VALUE"""),"Path of Guiding Light")</f>
        <v>Path of Guiding Light</v>
      </c>
      <c r="I149" s="55">
        <f ca="1">IFERROR(__xludf.DUMMYFUNCTION("""COMPUTED_VALUE"""),2535)</f>
        <v>2535</v>
      </c>
      <c r="J149" s="55">
        <f ca="1">IFERROR(__xludf.DUMMYFUNCTION("""COMPUTED_VALUE"""),259.239556719349)</f>
        <v>259.23955671934903</v>
      </c>
      <c r="K149" s="55">
        <f ca="1">IFERROR(__xludf.DUMMYFUNCTION("""COMPUTED_VALUE"""),897.04612304072)</f>
        <v>897.04612304071998</v>
      </c>
      <c r="L149" s="55">
        <f ca="1">IFERROR(__xludf.DUMMYFUNCTION("""COMPUTED_VALUE"""),-36.15)</f>
        <v>-36.15</v>
      </c>
      <c r="M149" s="55">
        <f ca="1">IFERROR(__xludf.DUMMYFUNCTION("""COMPUTED_VALUE"""),-16.63)</f>
        <v>-16.63</v>
      </c>
      <c r="N149" s="55">
        <f ca="1">IFERROR(__xludf.DUMMYFUNCTION("""COMPUTED_VALUE"""),30)</f>
        <v>30</v>
      </c>
      <c r="O149" s="55" t="str">
        <f ca="1">IFERROR(__xludf.DUMMYFUNCTION("""COMPUTED_VALUE"""),"39°F")</f>
        <v>39°F</v>
      </c>
      <c r="P149" s="55" t="str">
        <f ca="1">IFERROR(__xludf.DUMMYFUNCTION("""COMPUTED_VALUE"""),"Reykjavik")</f>
        <v>Reykjavik</v>
      </c>
      <c r="Q149" s="55" t="str">
        <f ca="1">IFERROR(__xludf.DUMMYFUNCTION("""COMPUTED_VALUE"""),"")</f>
        <v/>
      </c>
      <c r="R149" s="55" t="str">
        <f ca="1">IFERROR(__xludf.DUMMYFUNCTION("""COMPUTED_VALUE"""),"")</f>
        <v/>
      </c>
      <c r="S149" s="55" t="str">
        <f ca="1">IFERROR(__xludf.DUMMYFUNCTION("""COMPUTED_VALUE"""),"")</f>
        <v/>
      </c>
      <c r="T149" s="55" t="str">
        <f ca="1">IFERROR(__xludf.DUMMYFUNCTION("""COMPUTED_VALUE"""),"")</f>
        <v/>
      </c>
      <c r="U149" s="55" t="str">
        <f ca="1">IFERROR(__xludf.DUMMYFUNCTION("""COMPUTED_VALUE"""),"plaza")</f>
        <v>plaza</v>
      </c>
      <c r="V149" s="189" t="str">
        <f ca="1">IFERROR(__xludf.DUMMYFUNCTION("""COMPUTED_VALUE"""),"")</f>
        <v/>
      </c>
      <c r="W149" s="189" t="str">
        <f ca="1">IFERROR(__xludf.DUMMYFUNCTION("""COMPUTED_VALUE"""),"")</f>
        <v/>
      </c>
      <c r="X149" s="189" t="str">
        <f ca="1">IFERROR(__xludf.DUMMYFUNCTION("""COMPUTED_VALUE"""),"{t1:argent;ordinaries:[{ordinary:bendlet;t:gules;line:dancetty}];charges:[{charge:inescutcheon;t:argent;p:joe;size:0.3};{charge:eagleTwoHeards;t:gules;p:joe;size:0.15}];shield:hessen}")</f>
        <v>{t1:argent;ordinaries:[{ordinary:bendlet;t:gules;line:dancetty}];charges:[{charge:inescutcheon;t:argent;p:joe;size:0.3};{charge:eagleTwoHeards;t:gules;p:joe;size:0.15}];shield:hessen}</v>
      </c>
      <c r="Y149" s="193" t="str">
        <f ca="1">IFERROR(__xludf.DUMMYFUNCTION("""COMPUTED_VALUE"""),"https://watabou.github.io/city-generator/?name=Vhalthin&amp;population=2535&amp;size=18&amp;seed=3550748350987&amp;river=1&amp;coast=0&amp;farms=1&amp;citadel=0&amp;urban_castle=0&amp;hub=false&amp;plaza=1&amp;temple=0&amp;walls=0&amp;shantytown=0&amp;gates=-1")</f>
        <v>https://watabou.github.io/city-generator/?name=Vhalthin&amp;population=2535&amp;size=18&amp;seed=3550748350987&amp;river=1&amp;coast=0&amp;farms=1&amp;citadel=0&amp;urban_castle=0&amp;hub=false&amp;plaza=1&amp;temple=0&amp;walls=0&amp;shantytown=0&amp;gates=-1</v>
      </c>
      <c r="Z149" s="189"/>
    </row>
    <row r="150" spans="1:26" ht="15" x14ac:dyDescent="0.25">
      <c r="A150" s="55">
        <f ca="1">IFERROR(__xludf.DUMMYFUNCTION("""COMPUTED_VALUE"""),1011)</f>
        <v>1011</v>
      </c>
      <c r="B150" s="55" t="str">
        <f ca="1">IFERROR(__xludf.DUMMYFUNCTION("""COMPUTED_VALUE"""),"Edenhelmer")</f>
        <v>Edenhelmer</v>
      </c>
      <c r="C150" s="55" t="str">
        <f ca="1">IFERROR(__xludf.DUMMYFUNCTION("""COMPUTED_VALUE"""),"Swanhall")</f>
        <v>Swanhall</v>
      </c>
      <c r="D150" s="55" t="str">
        <f ca="1">IFERROR(__xludf.DUMMYFUNCTION("""COMPUTED_VALUE"""),"Swanhall Province")</f>
        <v>Swanhall Province</v>
      </c>
      <c r="E150" s="55" t="str">
        <f ca="1">IFERROR(__xludf.DUMMYFUNCTION("""COMPUTED_VALUE"""),"Shavia")</f>
        <v>Shavia</v>
      </c>
      <c r="F150" s="55" t="str">
        <f ca="1">IFERROR(__xludf.DUMMYFUNCTION("""COMPUTED_VALUE"""),"Kingdom of Shavia")</f>
        <v>Kingdom of Shavia</v>
      </c>
      <c r="G150" s="55" t="str">
        <f ca="1">IFERROR(__xludf.DUMMYFUNCTION("""COMPUTED_VALUE"""),"Eastern Shavian")</f>
        <v>Eastern Shavian</v>
      </c>
      <c r="H150" s="55" t="str">
        <f ca="1">IFERROR(__xludf.DUMMYFUNCTION("""COMPUTED_VALUE"""),"Path of Guiding Light")</f>
        <v>Path of Guiding Light</v>
      </c>
      <c r="I150" s="55">
        <f ca="1">IFERROR(__xludf.DUMMYFUNCTION("""COMPUTED_VALUE"""),5151)</f>
        <v>5151</v>
      </c>
      <c r="J150" s="55">
        <f ca="1">IFERROR(__xludf.DUMMYFUNCTION("""COMPUTED_VALUE"""),1023.15415834502)</f>
        <v>1023.1541583450201</v>
      </c>
      <c r="K150" s="55">
        <f ca="1">IFERROR(__xludf.DUMMYFUNCTION("""COMPUTED_VALUE"""),719.418267924101)</f>
        <v>719.41826792410097</v>
      </c>
      <c r="L150" s="55">
        <f ca="1">IFERROR(__xludf.DUMMYFUNCTION("""COMPUTED_VALUE"""),-30.4)</f>
        <v>-30.4</v>
      </c>
      <c r="M150" s="55">
        <f ca="1">IFERROR(__xludf.DUMMYFUNCTION("""COMPUTED_VALUE"""),8.05)</f>
        <v>8.0500000000000007</v>
      </c>
      <c r="N150" s="55">
        <f ca="1">IFERROR(__xludf.DUMMYFUNCTION("""COMPUTED_VALUE"""),1184)</f>
        <v>1184</v>
      </c>
      <c r="O150" s="55" t="str">
        <f ca="1">IFERROR(__xludf.DUMMYFUNCTION("""COMPUTED_VALUE"""),"39°F")</f>
        <v>39°F</v>
      </c>
      <c r="P150" s="55" t="str">
        <f ca="1">IFERROR(__xludf.DUMMYFUNCTION("""COMPUTED_VALUE"""),"Reykjavik")</f>
        <v>Reykjavik</v>
      </c>
      <c r="Q150" s="55" t="str">
        <f ca="1">IFERROR(__xludf.DUMMYFUNCTION("""COMPUTED_VALUE"""),"")</f>
        <v/>
      </c>
      <c r="R150" s="55" t="str">
        <f ca="1">IFERROR(__xludf.DUMMYFUNCTION("""COMPUTED_VALUE"""),"")</f>
        <v/>
      </c>
      <c r="S150" s="55" t="str">
        <f ca="1">IFERROR(__xludf.DUMMYFUNCTION("""COMPUTED_VALUE"""),"")</f>
        <v/>
      </c>
      <c r="T150" s="55" t="str">
        <f ca="1">IFERROR(__xludf.DUMMYFUNCTION("""COMPUTED_VALUE"""),"")</f>
        <v/>
      </c>
      <c r="U150" s="55" t="str">
        <f ca="1">IFERROR(__xludf.DUMMYFUNCTION("""COMPUTED_VALUE"""),"")</f>
        <v/>
      </c>
      <c r="V150" s="189" t="str">
        <f ca="1">IFERROR(__xludf.DUMMYFUNCTION("""COMPUTED_VALUE"""),"")</f>
        <v/>
      </c>
      <c r="W150" s="189" t="str">
        <f ca="1">IFERROR(__xludf.DUMMYFUNCTION("""COMPUTED_VALUE"""),"")</f>
        <v/>
      </c>
      <c r="X150" s="189" t="str">
        <f ca="1">IFERROR(__xludf.DUMMYFUNCTION("""COMPUTED_VALUE"""),"{t1:or;ordinaries:[{ordinary:chevron;t:purpure}];charges:[{charge:crossHummetty;t:sable;p:h;size:0.5}];shield:horsehead2}")</f>
        <v>{t1:or;ordinaries:[{ordinary:chevron;t:purpure}];charges:[{charge:crossHummetty;t:sable;p:h;size:0.5}];shield:horsehead2}</v>
      </c>
      <c r="Y150" s="193" t="str">
        <f ca="1">IFERROR(__xludf.DUMMYFUNCTION("""COMPUTED_VALUE"""),"https://watabou.github.io/city-generator/?name=Edenhelmer&amp;population=5151&amp;size=24&amp;seed=3550748351011&amp;river=0&amp;coast=0&amp;farms=1&amp;citadel=0&amp;urban_castle=0&amp;hub=false&amp;plaza=0&amp;temple=0&amp;walls=0&amp;shantytown=0&amp;gates=-1")</f>
        <v>https://watabou.github.io/city-generator/?name=Edenhelmer&amp;population=5151&amp;size=24&amp;seed=3550748351011&amp;river=0&amp;coast=0&amp;farms=1&amp;citadel=0&amp;urban_castle=0&amp;hub=false&amp;plaza=0&amp;temple=0&amp;walls=0&amp;shantytown=0&amp;gates=-1</v>
      </c>
      <c r="Z150" s="189"/>
    </row>
    <row r="151" spans="1:26" ht="15" x14ac:dyDescent="0.25">
      <c r="A151" s="55">
        <f ca="1">IFERROR(__xludf.DUMMYFUNCTION("""COMPUTED_VALUE"""),1012)</f>
        <v>1012</v>
      </c>
      <c r="B151" s="55" t="str">
        <f ca="1">IFERROR(__xludf.DUMMYFUNCTION("""COMPUTED_VALUE"""),"Mythspell")</f>
        <v>Mythspell</v>
      </c>
      <c r="C151" s="55" t="str">
        <f ca="1">IFERROR(__xludf.DUMMYFUNCTION("""COMPUTED_VALUE"""),"Swanhall")</f>
        <v>Swanhall</v>
      </c>
      <c r="D151" s="55" t="str">
        <f ca="1">IFERROR(__xludf.DUMMYFUNCTION("""COMPUTED_VALUE"""),"Swanhall Province")</f>
        <v>Swanhall Province</v>
      </c>
      <c r="E151" s="55" t="str">
        <f ca="1">IFERROR(__xludf.DUMMYFUNCTION("""COMPUTED_VALUE"""),"Shavia")</f>
        <v>Shavia</v>
      </c>
      <c r="F151" s="55" t="str">
        <f ca="1">IFERROR(__xludf.DUMMYFUNCTION("""COMPUTED_VALUE"""),"Kingdom of Shavia")</f>
        <v>Kingdom of Shavia</v>
      </c>
      <c r="G151" s="55" t="str">
        <f ca="1">IFERROR(__xludf.DUMMYFUNCTION("""COMPUTED_VALUE"""),"Eastern Shavian")</f>
        <v>Eastern Shavian</v>
      </c>
      <c r="H151" s="55" t="str">
        <f ca="1">IFERROR(__xludf.DUMMYFUNCTION("""COMPUTED_VALUE"""),"Path of Guiding Light")</f>
        <v>Path of Guiding Light</v>
      </c>
      <c r="I151" s="55">
        <f ca="1">IFERROR(__xludf.DUMMYFUNCTION("""COMPUTED_VALUE"""),13544)</f>
        <v>13544</v>
      </c>
      <c r="J151" s="55">
        <f ca="1">IFERROR(__xludf.DUMMYFUNCTION("""COMPUTED_VALUE"""),1139.12702879971)</f>
        <v>1139.1270287997099</v>
      </c>
      <c r="K151" s="55">
        <f ca="1">IFERROR(__xludf.DUMMYFUNCTION("""COMPUTED_VALUE"""),778.231829681789)</f>
        <v>778.23182968178901</v>
      </c>
      <c r="L151" s="55">
        <f ca="1">IFERROR(__xludf.DUMMYFUNCTION("""COMPUTED_VALUE"""),-32.3)</f>
        <v>-32.299999999999997</v>
      </c>
      <c r="M151" s="55">
        <f ca="1">IFERROR(__xludf.DUMMYFUNCTION("""COMPUTED_VALUE"""),11.79)</f>
        <v>11.79</v>
      </c>
      <c r="N151" s="55">
        <f ca="1">IFERROR(__xludf.DUMMYFUNCTION("""COMPUTED_VALUE"""),13)</f>
        <v>13</v>
      </c>
      <c r="O151" s="55" t="str">
        <f ca="1">IFERROR(__xludf.DUMMYFUNCTION("""COMPUTED_VALUE"""),"41°F")</f>
        <v>41°F</v>
      </c>
      <c r="P151" s="55" t="str">
        <f ca="1">IFERROR(__xludf.DUMMYFUNCTION("""COMPUTED_VALUE"""),"Riga")</f>
        <v>Riga</v>
      </c>
      <c r="Q151" s="55" t="str">
        <f ca="1">IFERROR(__xludf.DUMMYFUNCTION("""COMPUTED_VALUE"""),"")</f>
        <v/>
      </c>
      <c r="R151" s="55" t="str">
        <f ca="1">IFERROR(__xludf.DUMMYFUNCTION("""COMPUTED_VALUE"""),"")</f>
        <v/>
      </c>
      <c r="S151" s="55" t="str">
        <f ca="1">IFERROR(__xludf.DUMMYFUNCTION("""COMPUTED_VALUE"""),"")</f>
        <v/>
      </c>
      <c r="T151" s="55" t="str">
        <f ca="1">IFERROR(__xludf.DUMMYFUNCTION("""COMPUTED_VALUE"""),"walls")</f>
        <v>walls</v>
      </c>
      <c r="U151" s="55" t="str">
        <f ca="1">IFERROR(__xludf.DUMMYFUNCTION("""COMPUTED_VALUE"""),"plaza")</f>
        <v>plaza</v>
      </c>
      <c r="V151" s="189" t="str">
        <f ca="1">IFERROR(__xludf.DUMMYFUNCTION("""COMPUTED_VALUE"""),"")</f>
        <v/>
      </c>
      <c r="W151" s="189" t="str">
        <f ca="1">IFERROR(__xludf.DUMMYFUNCTION("""COMPUTED_VALUE"""),"")</f>
        <v/>
      </c>
      <c r="X151" s="189" t="str">
        <f ca="1">IFERROR(__xludf.DUMMYFUNCTION("""COMPUTED_VALUE"""),"{t1:or;charges:[{charge:key;t:purpure;p:abc;size:0.5}];shield:horsehead2}")</f>
        <v>{t1:or;charges:[{charge:key;t:purpure;p:abc;size:0.5}];shield:horsehead2}</v>
      </c>
      <c r="Y151" s="193" t="str">
        <f ca="1">IFERROR(__xludf.DUMMYFUNCTION("""COMPUTED_VALUE"""),"https://watabou.github.io/city-generator/?name=Mythspell&amp;population=13544&amp;size=35&amp;seed=3550748351012&amp;river=1&amp;coast=0&amp;farms=0&amp;citadel=0&amp;urban_castle=0&amp;hub=false&amp;plaza=1&amp;temple=0&amp;walls=1&amp;shantytown=0&amp;gates=-1")</f>
        <v>https://watabou.github.io/city-generator/?name=Mythspell&amp;population=13544&amp;size=35&amp;seed=3550748351012&amp;river=1&amp;coast=0&amp;farms=0&amp;citadel=0&amp;urban_castle=0&amp;hub=false&amp;plaza=1&amp;temple=0&amp;walls=1&amp;shantytown=0&amp;gates=-1</v>
      </c>
      <c r="Z151" s="189"/>
    </row>
    <row r="152" spans="1:26" ht="15" x14ac:dyDescent="0.25">
      <c r="A152" s="55">
        <f ca="1">IFERROR(__xludf.DUMMYFUNCTION("""COMPUTED_VALUE"""),1013)</f>
        <v>1013</v>
      </c>
      <c r="B152" s="55" t="str">
        <f ca="1">IFERROR(__xludf.DUMMYFUNCTION("""COMPUTED_VALUE"""),"Grirevein")</f>
        <v>Grirevein</v>
      </c>
      <c r="C152" s="55" t="str">
        <f ca="1">IFERROR(__xludf.DUMMYFUNCTION("""COMPUTED_VALUE"""),"Dreghold")</f>
        <v>Dreghold</v>
      </c>
      <c r="D152" s="55" t="str">
        <f ca="1">IFERROR(__xludf.DUMMYFUNCTION("""COMPUTED_VALUE"""),"Dreghold Province")</f>
        <v>Dreghold Province</v>
      </c>
      <c r="E152" s="55" t="str">
        <f ca="1">IFERROR(__xludf.DUMMYFUNCTION("""COMPUTED_VALUE"""),"Shavia")</f>
        <v>Shavia</v>
      </c>
      <c r="F152" s="55" t="str">
        <f ca="1">IFERROR(__xludf.DUMMYFUNCTION("""COMPUTED_VALUE"""),"Kingdom of Shavia")</f>
        <v>Kingdom of Shavia</v>
      </c>
      <c r="G152" s="55" t="str">
        <f ca="1">IFERROR(__xludf.DUMMYFUNCTION("""COMPUTED_VALUE"""),"Shavian")</f>
        <v>Shavian</v>
      </c>
      <c r="H152" s="55" t="str">
        <f ca="1">IFERROR(__xludf.DUMMYFUNCTION("""COMPUTED_VALUE"""),"Path of Guiding Light")</f>
        <v>Path of Guiding Light</v>
      </c>
      <c r="I152" s="55">
        <f ca="1">IFERROR(__xludf.DUMMYFUNCTION("""COMPUTED_VALUE"""),2337)</f>
        <v>2337</v>
      </c>
      <c r="J152" s="55">
        <f ca="1">IFERROR(__xludf.DUMMYFUNCTION("""COMPUTED_VALUE"""),538.944556580864)</f>
        <v>538.94455658086395</v>
      </c>
      <c r="K152" s="55">
        <f ca="1">IFERROR(__xludf.DUMMYFUNCTION("""COMPUTED_VALUE"""),801.624914140009)</f>
        <v>801.62491414000897</v>
      </c>
      <c r="L152" s="55">
        <f ca="1">IFERROR(__xludf.DUMMYFUNCTION("""COMPUTED_VALUE"""),-33.06)</f>
        <v>-33.06</v>
      </c>
      <c r="M152" s="55">
        <f ca="1">IFERROR(__xludf.DUMMYFUNCTION("""COMPUTED_VALUE"""),-7.59)</f>
        <v>-7.59</v>
      </c>
      <c r="N152" s="55">
        <f ca="1">IFERROR(__xludf.DUMMYFUNCTION("""COMPUTED_VALUE"""),52)</f>
        <v>52</v>
      </c>
      <c r="O152" s="55" t="str">
        <f ca="1">IFERROR(__xludf.DUMMYFUNCTION("""COMPUTED_VALUE"""),"41°F")</f>
        <v>41°F</v>
      </c>
      <c r="P152" s="55" t="str">
        <f ca="1">IFERROR(__xludf.DUMMYFUNCTION("""COMPUTED_VALUE"""),"Riga")</f>
        <v>Riga</v>
      </c>
      <c r="Q152" s="55" t="str">
        <f ca="1">IFERROR(__xludf.DUMMYFUNCTION("""COMPUTED_VALUE"""),"")</f>
        <v/>
      </c>
      <c r="R152" s="55" t="str">
        <f ca="1">IFERROR(__xludf.DUMMYFUNCTION("""COMPUTED_VALUE"""),"")</f>
        <v/>
      </c>
      <c r="S152" s="55" t="str">
        <f ca="1">IFERROR(__xludf.DUMMYFUNCTION("""COMPUTED_VALUE"""),"")</f>
        <v/>
      </c>
      <c r="T152" s="55" t="str">
        <f ca="1">IFERROR(__xludf.DUMMYFUNCTION("""COMPUTED_VALUE"""),"")</f>
        <v/>
      </c>
      <c r="U152" s="55" t="str">
        <f ca="1">IFERROR(__xludf.DUMMYFUNCTION("""COMPUTED_VALUE"""),"")</f>
        <v/>
      </c>
      <c r="V152" s="189" t="str">
        <f ca="1">IFERROR(__xludf.DUMMYFUNCTION("""COMPUTED_VALUE"""),"")</f>
        <v/>
      </c>
      <c r="W152" s="189" t="str">
        <f ca="1">IFERROR(__xludf.DUMMYFUNCTION("""COMPUTED_VALUE"""),"")</f>
        <v/>
      </c>
      <c r="X152" s="189" t="str">
        <f ca="1">IFERROR(__xludf.DUMMYFUNCTION("""COMPUTED_VALUE"""),"{t1:or;charges:[{charge:lionRampant;t:gules;p:e;size:1.5}];shield:fantasy5}")</f>
        <v>{t1:or;charges:[{charge:lionRampant;t:gules;p:e;size:1.5}];shield:fantasy5}</v>
      </c>
      <c r="Y152" s="193" t="str">
        <f ca="1">IFERROR(__xludf.DUMMYFUNCTION("""COMPUTED_VALUE"""),"https://watabou.github.io/city-generator/?name=Grirevein&amp;population=2337&amp;size=18&amp;seed=3550748351013&amp;river=1&amp;coast=0&amp;farms=1&amp;citadel=0&amp;urban_castle=0&amp;hub=false&amp;plaza=0&amp;temple=0&amp;walls=0&amp;shantytown=0&amp;gates=-1")</f>
        <v>https://watabou.github.io/city-generator/?name=Grirevein&amp;population=2337&amp;size=18&amp;seed=3550748351013&amp;river=1&amp;coast=0&amp;farms=1&amp;citadel=0&amp;urban_castle=0&amp;hub=false&amp;plaza=0&amp;temple=0&amp;walls=0&amp;shantytown=0&amp;gates=-1</v>
      </c>
      <c r="Z152" s="189"/>
    </row>
    <row r="153" spans="1:26" ht="15" x14ac:dyDescent="0.25">
      <c r="A153" s="55">
        <f ca="1">IFERROR(__xludf.DUMMYFUNCTION("""COMPUTED_VALUE"""),1014)</f>
        <v>1014</v>
      </c>
      <c r="B153" s="55" t="str">
        <f ca="1">IFERROR(__xludf.DUMMYFUNCTION("""COMPUTED_VALUE"""),"Deadford")</f>
        <v>Deadford</v>
      </c>
      <c r="C153" s="55" t="str">
        <f ca="1">IFERROR(__xludf.DUMMYFUNCTION("""COMPUTED_VALUE"""),"Sirong")</f>
        <v>Sirong</v>
      </c>
      <c r="D153" s="55" t="str">
        <f ca="1">IFERROR(__xludf.DUMMYFUNCTION("""COMPUTED_VALUE"""),"Sirong Lordship")</f>
        <v>Sirong Lordship</v>
      </c>
      <c r="E153" s="55" t="str">
        <f ca="1">IFERROR(__xludf.DUMMYFUNCTION("""COMPUTED_VALUE"""),"Shavia")</f>
        <v>Shavia</v>
      </c>
      <c r="F153" s="55" t="str">
        <f ca="1">IFERROR(__xludf.DUMMYFUNCTION("""COMPUTED_VALUE"""),"Kingdom of Shavia")</f>
        <v>Kingdom of Shavia</v>
      </c>
      <c r="G153" s="55" t="str">
        <f ca="1">IFERROR(__xludf.DUMMYFUNCTION("""COMPUTED_VALUE"""),"Shavian")</f>
        <v>Shavian</v>
      </c>
      <c r="H153" s="55" t="str">
        <f ca="1">IFERROR(__xludf.DUMMYFUNCTION("""COMPUTED_VALUE"""),"Path of Guiding Light")</f>
        <v>Path of Guiding Light</v>
      </c>
      <c r="I153" s="55">
        <f ca="1">IFERROR(__xludf.DUMMYFUNCTION("""COMPUTED_VALUE"""),6982)</f>
        <v>6982</v>
      </c>
      <c r="J153" s="55">
        <f ca="1">IFERROR(__xludf.DUMMYFUNCTION("""COMPUTED_VALUE"""),259.765025338627)</f>
        <v>259.76502533862703</v>
      </c>
      <c r="K153" s="55">
        <f ca="1">IFERROR(__xludf.DUMMYFUNCTION("""COMPUTED_VALUE"""),849.890179910713)</f>
        <v>849.89017991071296</v>
      </c>
      <c r="L153" s="55">
        <f ca="1">IFERROR(__xludf.DUMMYFUNCTION("""COMPUTED_VALUE"""),-34.62)</f>
        <v>-34.619999999999997</v>
      </c>
      <c r="M153" s="55">
        <f ca="1">IFERROR(__xludf.DUMMYFUNCTION("""COMPUTED_VALUE"""),-16.61)</f>
        <v>-16.61</v>
      </c>
      <c r="N153" s="55">
        <f ca="1">IFERROR(__xludf.DUMMYFUNCTION("""COMPUTED_VALUE"""),161)</f>
        <v>161</v>
      </c>
      <c r="O153" s="55" t="str">
        <f ca="1">IFERROR(__xludf.DUMMYFUNCTION("""COMPUTED_VALUE"""),"39°F")</f>
        <v>39°F</v>
      </c>
      <c r="P153" s="55" t="str">
        <f ca="1">IFERROR(__xludf.DUMMYFUNCTION("""COMPUTED_VALUE"""),"Reykjavik")</f>
        <v>Reykjavik</v>
      </c>
      <c r="Q153" s="55" t="str">
        <f ca="1">IFERROR(__xludf.DUMMYFUNCTION("""COMPUTED_VALUE"""),"")</f>
        <v/>
      </c>
      <c r="R153" s="55" t="str">
        <f ca="1">IFERROR(__xludf.DUMMYFUNCTION("""COMPUTED_VALUE"""),"")</f>
        <v/>
      </c>
      <c r="S153" s="55" t="str">
        <f ca="1">IFERROR(__xludf.DUMMYFUNCTION("""COMPUTED_VALUE"""),"citadel")</f>
        <v>citadel</v>
      </c>
      <c r="T153" s="55" t="str">
        <f ca="1">IFERROR(__xludf.DUMMYFUNCTION("""COMPUTED_VALUE"""),"")</f>
        <v/>
      </c>
      <c r="U153" s="55" t="str">
        <f ca="1">IFERROR(__xludf.DUMMYFUNCTION("""COMPUTED_VALUE"""),"plaza")</f>
        <v>plaza</v>
      </c>
      <c r="V153" s="189" t="str">
        <f ca="1">IFERROR(__xludf.DUMMYFUNCTION("""COMPUTED_VALUE"""),"")</f>
        <v/>
      </c>
      <c r="W153" s="189" t="str">
        <f ca="1">IFERROR(__xludf.DUMMYFUNCTION("""COMPUTED_VALUE"""),"")</f>
        <v/>
      </c>
      <c r="X153" s="189" t="str">
        <f ca="1">IFERROR(__xludf.DUMMYFUNCTION("""COMPUTED_VALUE"""),"{t1:or;division:{division:perPale;t:vert;line:straight};charges:[{charge:crown;t:sable;p:p;size:0.7};{charge:raven;t:argent;p:q;size:0.7}];shield:fantasy5}")</f>
        <v>{t1:or;division:{division:perPale;t:vert;line:straight};charges:[{charge:crown;t:sable;p:p;size:0.7};{charge:raven;t:argent;p:q;size:0.7}];shield:fantasy5}</v>
      </c>
      <c r="Y153" s="193" t="str">
        <f ca="1">IFERROR(__xludf.DUMMYFUNCTION("""COMPUTED_VALUE"""),"https://watabou.github.io/city-generator/?name=Deadford&amp;population=6982&amp;size=27&amp;seed=3550748351014&amp;river=0&amp;coast=0&amp;farms=1&amp;citadel=1&amp;urban_castle=1&amp;hub=false&amp;plaza=1&amp;temple=0&amp;walls=0&amp;shantytown=0&amp;gates=-1")</f>
        <v>https://watabou.github.io/city-generator/?name=Deadford&amp;population=6982&amp;size=27&amp;seed=3550748351014&amp;river=0&amp;coast=0&amp;farms=1&amp;citadel=1&amp;urban_castle=1&amp;hub=false&amp;plaza=1&amp;temple=0&amp;walls=0&amp;shantytown=0&amp;gates=-1</v>
      </c>
      <c r="Z153" s="189"/>
    </row>
    <row r="154" spans="1:26" ht="15" x14ac:dyDescent="0.25">
      <c r="A154" s="55">
        <f ca="1">IFERROR(__xludf.DUMMYFUNCTION("""COMPUTED_VALUE"""),1015)</f>
        <v>1015</v>
      </c>
      <c r="B154" s="55" t="str">
        <f ca="1">IFERROR(__xludf.DUMMYFUNCTION("""COMPUTED_VALUE"""),"Oatercoast")</f>
        <v>Oatercoast</v>
      </c>
      <c r="C154" s="55" t="str">
        <f ca="1">IFERROR(__xludf.DUMMYFUNCTION("""COMPUTED_VALUE"""),"Dreghold")</f>
        <v>Dreghold</v>
      </c>
      <c r="D154" s="55" t="str">
        <f ca="1">IFERROR(__xludf.DUMMYFUNCTION("""COMPUTED_VALUE"""),"Dreghold Province")</f>
        <v>Dreghold Province</v>
      </c>
      <c r="E154" s="55" t="str">
        <f ca="1">IFERROR(__xludf.DUMMYFUNCTION("""COMPUTED_VALUE"""),"Shavia")</f>
        <v>Shavia</v>
      </c>
      <c r="F154" s="55" t="str">
        <f ca="1">IFERROR(__xludf.DUMMYFUNCTION("""COMPUTED_VALUE"""),"Kingdom of Shavia")</f>
        <v>Kingdom of Shavia</v>
      </c>
      <c r="G154" s="55" t="str">
        <f ca="1">IFERROR(__xludf.DUMMYFUNCTION("""COMPUTED_VALUE"""),"Shavian")</f>
        <v>Shavian</v>
      </c>
      <c r="H154" s="55" t="str">
        <f ca="1">IFERROR(__xludf.DUMMYFUNCTION("""COMPUTED_VALUE"""),"Path of Guiding Light")</f>
        <v>Path of Guiding Light</v>
      </c>
      <c r="I154" s="55">
        <f ca="1">IFERROR(__xludf.DUMMYFUNCTION("""COMPUTED_VALUE"""),9448)</f>
        <v>9448</v>
      </c>
      <c r="J154" s="55">
        <f ca="1">IFERROR(__xludf.DUMMYFUNCTION("""COMPUTED_VALUE"""),656.76629810338)</f>
        <v>656.76629810338</v>
      </c>
      <c r="K154" s="55">
        <f ca="1">IFERROR(__xludf.DUMMYFUNCTION("""COMPUTED_VALUE"""),855.105942502063)</f>
        <v>855.10594250206304</v>
      </c>
      <c r="L154" s="55">
        <f ca="1">IFERROR(__xludf.DUMMYFUNCTION("""COMPUTED_VALUE"""),-34.79)</f>
        <v>-34.79</v>
      </c>
      <c r="M154" s="55">
        <f ca="1">IFERROR(__xludf.DUMMYFUNCTION("""COMPUTED_VALUE"""),-3.79)</f>
        <v>-3.79</v>
      </c>
      <c r="N154" s="55">
        <f ca="1">IFERROR(__xludf.DUMMYFUNCTION("""COMPUTED_VALUE"""),643)</f>
        <v>643</v>
      </c>
      <c r="O154" s="55" t="str">
        <f ca="1">IFERROR(__xludf.DUMMYFUNCTION("""COMPUTED_VALUE"""),"37°F")</f>
        <v>37°F</v>
      </c>
      <c r="P154" s="55" t="str">
        <f ca="1">IFERROR(__xludf.DUMMYFUNCTION("""COMPUTED_VALUE"""),"Tromsø")</f>
        <v>Tromsø</v>
      </c>
      <c r="Q154" s="55" t="str">
        <f ca="1">IFERROR(__xludf.DUMMYFUNCTION("""COMPUTED_VALUE"""),"")</f>
        <v/>
      </c>
      <c r="R154" s="55" t="str">
        <f ca="1">IFERROR(__xludf.DUMMYFUNCTION("""COMPUTED_VALUE"""),"")</f>
        <v/>
      </c>
      <c r="S154" s="55" t="str">
        <f ca="1">IFERROR(__xludf.DUMMYFUNCTION("""COMPUTED_VALUE"""),"")</f>
        <v/>
      </c>
      <c r="T154" s="55" t="str">
        <f ca="1">IFERROR(__xludf.DUMMYFUNCTION("""COMPUTED_VALUE"""),"")</f>
        <v/>
      </c>
      <c r="U154" s="55" t="str">
        <f ca="1">IFERROR(__xludf.DUMMYFUNCTION("""COMPUTED_VALUE"""),"")</f>
        <v/>
      </c>
      <c r="V154" s="189" t="str">
        <f ca="1">IFERROR(__xludf.DUMMYFUNCTION("""COMPUTED_VALUE"""),"")</f>
        <v/>
      </c>
      <c r="W154" s="189" t="str">
        <f ca="1">IFERROR(__xludf.DUMMYFUNCTION("""COMPUTED_VALUE"""),"")</f>
        <v/>
      </c>
      <c r="X154" s="189" t="str">
        <f ca="1">IFERROR(__xludf.DUMMYFUNCTION("""COMPUTED_VALUE"""),"{t1:or;charges:[{charge:lute;t:purpure;p:e;size:1.5}];shield:horsehead2}")</f>
        <v>{t1:or;charges:[{charge:lute;t:purpure;p:e;size:1.5}];shield:horsehead2}</v>
      </c>
      <c r="Y154" s="193" t="str">
        <f ca="1">IFERROR(__xludf.DUMMYFUNCTION("""COMPUTED_VALUE"""),"https://watabou.github.io/city-generator/?name=Oatercoast&amp;population=9448&amp;size=30&amp;seed=3550748351015&amp;river=0&amp;coast=0&amp;farms=1&amp;citadel=0&amp;urban_castle=0&amp;hub=false&amp;plaza=0&amp;temple=0&amp;walls=0&amp;shantytown=0&amp;gates=-1")</f>
        <v>https://watabou.github.io/city-generator/?name=Oatercoast&amp;population=9448&amp;size=30&amp;seed=3550748351015&amp;river=0&amp;coast=0&amp;farms=1&amp;citadel=0&amp;urban_castle=0&amp;hub=false&amp;plaza=0&amp;temple=0&amp;walls=0&amp;shantytown=0&amp;gates=-1</v>
      </c>
      <c r="Z154" s="189"/>
    </row>
    <row r="155" spans="1:26" ht="15" x14ac:dyDescent="0.25">
      <c r="A155" s="55">
        <f ca="1">IFERROR(__xludf.DUMMYFUNCTION("""COMPUTED_VALUE"""),1039)</f>
        <v>1039</v>
      </c>
      <c r="B155" s="55" t="str">
        <f ca="1">IFERROR(__xludf.DUMMYFUNCTION("""COMPUTED_VALUE"""),"Slutiarm")</f>
        <v>Slutiarm</v>
      </c>
      <c r="C155" s="55" t="str">
        <f ca="1">IFERROR(__xludf.DUMMYFUNCTION("""COMPUTED_VALUE"""),"Madinglia")</f>
        <v>Madinglia</v>
      </c>
      <c r="D155" s="55" t="str">
        <f ca="1">IFERROR(__xludf.DUMMYFUNCTION("""COMPUTED_VALUE"""),"Madinglia Province")</f>
        <v>Madinglia Province</v>
      </c>
      <c r="E155" s="55" t="str">
        <f ca="1">IFERROR(__xludf.DUMMYFUNCTION("""COMPUTED_VALUE"""),"Shavia")</f>
        <v>Shavia</v>
      </c>
      <c r="F155" s="55" t="str">
        <f ca="1">IFERROR(__xludf.DUMMYFUNCTION("""COMPUTED_VALUE"""),"Kingdom of Shavia")</f>
        <v>Kingdom of Shavia</v>
      </c>
      <c r="G155" s="55" t="str">
        <f ca="1">IFERROR(__xludf.DUMMYFUNCTION("""COMPUTED_VALUE"""),"Madinglian")</f>
        <v>Madinglian</v>
      </c>
      <c r="H155" s="55" t="str">
        <f ca="1">IFERROR(__xludf.DUMMYFUNCTION("""COMPUTED_VALUE"""),"Children of Stone")</f>
        <v>Children of Stone</v>
      </c>
      <c r="I155" s="55">
        <f ca="1">IFERROR(__xludf.DUMMYFUNCTION("""COMPUTED_VALUE"""),20004)</f>
        <v>20004</v>
      </c>
      <c r="J155" s="55">
        <f ca="1">IFERROR(__xludf.DUMMYFUNCTION("""COMPUTED_VALUE"""),886.512855532074)</f>
        <v>886.51285553207401</v>
      </c>
      <c r="K155" s="55">
        <f ca="1">IFERROR(__xludf.DUMMYFUNCTION("""COMPUTED_VALUE"""),434.633738076233)</f>
        <v>434.63373807623299</v>
      </c>
      <c r="L155" s="55">
        <f ca="1">IFERROR(__xludf.DUMMYFUNCTION("""COMPUTED_VALUE"""),-21.17)</f>
        <v>-21.17</v>
      </c>
      <c r="M155" s="55">
        <f ca="1">IFERROR(__xludf.DUMMYFUNCTION("""COMPUTED_VALUE"""),3.63)</f>
        <v>3.63</v>
      </c>
      <c r="N155" s="55">
        <f ca="1">IFERROR(__xludf.DUMMYFUNCTION("""COMPUTED_VALUE"""),7559)</f>
        <v>7559</v>
      </c>
      <c r="O155" s="55" t="str">
        <f ca="1">IFERROR(__xludf.DUMMYFUNCTION("""COMPUTED_VALUE"""),"27°F")</f>
        <v>27°F</v>
      </c>
      <c r="P155" s="55" t="str">
        <f ca="1">IFERROR(__xludf.DUMMYFUNCTION("""COMPUTED_VALUE"""),"Okhotsk (Russia)")</f>
        <v>Okhotsk (Russia)</v>
      </c>
      <c r="Q155" s="55" t="str">
        <f ca="1">IFERROR(__xludf.DUMMYFUNCTION("""COMPUTED_VALUE"""),"")</f>
        <v/>
      </c>
      <c r="R155" s="55" t="str">
        <f ca="1">IFERROR(__xludf.DUMMYFUNCTION("""COMPUTED_VALUE"""),"")</f>
        <v/>
      </c>
      <c r="S155" s="55" t="str">
        <f ca="1">IFERROR(__xludf.DUMMYFUNCTION("""COMPUTED_VALUE"""),"citadel")</f>
        <v>citadel</v>
      </c>
      <c r="T155" s="55" t="str">
        <f ca="1">IFERROR(__xludf.DUMMYFUNCTION("""COMPUTED_VALUE"""),"walls")</f>
        <v>walls</v>
      </c>
      <c r="U155" s="55" t="str">
        <f ca="1">IFERROR(__xludf.DUMMYFUNCTION("""COMPUTED_VALUE"""),"plaza")</f>
        <v>plaza</v>
      </c>
      <c r="V155" s="189" t="str">
        <f ca="1">IFERROR(__xludf.DUMMYFUNCTION("""COMPUTED_VALUE"""),"")</f>
        <v/>
      </c>
      <c r="W155" s="189" t="str">
        <f ca="1">IFERROR(__xludf.DUMMYFUNCTION("""COMPUTED_VALUE"""),"shanty town")</f>
        <v>shanty town</v>
      </c>
      <c r="X155" s="189" t="str">
        <f ca="1">IFERROR(__xludf.DUMMYFUNCTION("""COMPUTED_VALUE"""),"{t1:azure;ordinaries:[{ordinary:pale;t:argent;line:dentilly}];charges:[{charge:pique;t:azure;p:beh;size:0.5}];shield:ironHills}")</f>
        <v>{t1:azure;ordinaries:[{ordinary:pale;t:argent;line:dentilly}];charges:[{charge:pique;t:azure;p:beh;size:0.5}];shield:ironHills}</v>
      </c>
      <c r="Y155" s="193" t="str">
        <f ca="1">IFERROR(__xludf.DUMMYFUNCTION("""COMPUTED_VALUE"""),"https://watabou.github.io/city-generator/?name=Slutiarm&amp;population=20004&amp;size=40&amp;seed=3550748351039&amp;river=0&amp;coast=0&amp;farms=0&amp;citadel=1&amp;urban_castle=0&amp;hub=false&amp;plaza=1&amp;temple=0&amp;walls=1&amp;shantytown=1&amp;gates=-1")</f>
        <v>https://watabou.github.io/city-generator/?name=Slutiarm&amp;population=20004&amp;size=40&amp;seed=3550748351039&amp;river=0&amp;coast=0&amp;farms=0&amp;citadel=1&amp;urban_castle=0&amp;hub=false&amp;plaza=1&amp;temple=0&amp;walls=1&amp;shantytown=1&amp;gates=-1</v>
      </c>
      <c r="Z155" s="189"/>
    </row>
    <row r="156" spans="1:26" ht="15" x14ac:dyDescent="0.25">
      <c r="A156" s="55">
        <f ca="1">IFERROR(__xludf.DUMMYFUNCTION("""COMPUTED_VALUE"""),1040)</f>
        <v>1040</v>
      </c>
      <c r="B156" s="55" t="str">
        <f ca="1">IFERROR(__xludf.DUMMYFUNCTION("""COMPUTED_VALUE"""),"Yeobury")</f>
        <v>Yeobury</v>
      </c>
      <c r="C156" s="55" t="str">
        <f ca="1">IFERROR(__xludf.DUMMYFUNCTION("""COMPUTED_VALUE"""),"Madinglia")</f>
        <v>Madinglia</v>
      </c>
      <c r="D156" s="55" t="str">
        <f ca="1">IFERROR(__xludf.DUMMYFUNCTION("""COMPUTED_VALUE"""),"Madinglia Province")</f>
        <v>Madinglia Province</v>
      </c>
      <c r="E156" s="55" t="str">
        <f ca="1">IFERROR(__xludf.DUMMYFUNCTION("""COMPUTED_VALUE"""),"Shavia")</f>
        <v>Shavia</v>
      </c>
      <c r="F156" s="55" t="str">
        <f ca="1">IFERROR(__xludf.DUMMYFUNCTION("""COMPUTED_VALUE"""),"Kingdom of Shavia")</f>
        <v>Kingdom of Shavia</v>
      </c>
      <c r="G156" s="55" t="str">
        <f ca="1">IFERROR(__xludf.DUMMYFUNCTION("""COMPUTED_VALUE"""),"Shavian")</f>
        <v>Shavian</v>
      </c>
      <c r="H156" s="55" t="str">
        <f ca="1">IFERROR(__xludf.DUMMYFUNCTION("""COMPUTED_VALUE"""),"No religion")</f>
        <v>No religion</v>
      </c>
      <c r="I156" s="55">
        <f ca="1">IFERROR(__xludf.DUMMYFUNCTION("""COMPUTED_VALUE"""),1115)</f>
        <v>1115</v>
      </c>
      <c r="J156" s="55">
        <f ca="1">IFERROR(__xludf.DUMMYFUNCTION("""COMPUTED_VALUE"""),865.708190568815)</f>
        <v>865.70819056881498</v>
      </c>
      <c r="K156" s="55">
        <f ca="1">IFERROR(__xludf.DUMMYFUNCTION("""COMPUTED_VALUE"""),604.146022295117)</f>
        <v>604.14602229511695</v>
      </c>
      <c r="L156" s="55">
        <f ca="1">IFERROR(__xludf.DUMMYFUNCTION("""COMPUTED_VALUE"""),-26.66)</f>
        <v>-26.66</v>
      </c>
      <c r="M156" s="55">
        <f ca="1">IFERROR(__xludf.DUMMYFUNCTION("""COMPUTED_VALUE"""),2.96)</f>
        <v>2.96</v>
      </c>
      <c r="N156" s="55">
        <f ca="1">IFERROR(__xludf.DUMMYFUNCTION("""COMPUTED_VALUE"""),7248)</f>
        <v>7248</v>
      </c>
      <c r="O156" s="55" t="str">
        <f ca="1">IFERROR(__xludf.DUMMYFUNCTION("""COMPUTED_VALUE"""),"25°F")</f>
        <v>25°F</v>
      </c>
      <c r="P156" s="55" t="str">
        <f ca="1">IFERROR(__xludf.DUMMYFUNCTION("""COMPUTED_VALUE"""),"Yellowknife (Canada)")</f>
        <v>Yellowknife (Canada)</v>
      </c>
      <c r="Q156" s="55" t="str">
        <f ca="1">IFERROR(__xludf.DUMMYFUNCTION("""COMPUTED_VALUE"""),"")</f>
        <v/>
      </c>
      <c r="R156" s="55" t="str">
        <f ca="1">IFERROR(__xludf.DUMMYFUNCTION("""COMPUTED_VALUE"""),"")</f>
        <v/>
      </c>
      <c r="S156" s="55" t="str">
        <f ca="1">IFERROR(__xludf.DUMMYFUNCTION("""COMPUTED_VALUE"""),"")</f>
        <v/>
      </c>
      <c r="T156" s="55" t="str">
        <f ca="1">IFERROR(__xludf.DUMMYFUNCTION("""COMPUTED_VALUE"""),"")</f>
        <v/>
      </c>
      <c r="U156" s="55" t="str">
        <f ca="1">IFERROR(__xludf.DUMMYFUNCTION("""COMPUTED_VALUE"""),"")</f>
        <v/>
      </c>
      <c r="V156" s="189" t="str">
        <f ca="1">IFERROR(__xludf.DUMMYFUNCTION("""COMPUTED_VALUE"""),"")</f>
        <v/>
      </c>
      <c r="W156" s="189" t="str">
        <f ca="1">IFERROR(__xludf.DUMMYFUNCTION("""COMPUTED_VALUE"""),"")</f>
        <v/>
      </c>
      <c r="X156" s="189" t="str">
        <f ca="1">IFERROR(__xludf.DUMMYFUNCTION("""COMPUTED_VALUE"""),"{t1:gules;charges:[{charge:lionRampant;t:or;p:e;size:1.5}];shield:round}")</f>
        <v>{t1:gules;charges:[{charge:lionRampant;t:or;p:e;size:1.5}];shield:round}</v>
      </c>
      <c r="Y156" s="193" t="str">
        <f ca="1">IFERROR(__xludf.DUMMYFUNCTION("""COMPUTED_VALUE"""),"https://watabou.github.io/village-generator/?pop=1115&amp;name=&amp;seed=3550748351040&amp;width=1400&amp;height=636&amp;tags=highway%2Cuncultivated%2Cno+orchards%2Cno+square%2Cdense")</f>
        <v>https://watabou.github.io/village-generator/?pop=1115&amp;name=&amp;seed=3550748351040&amp;width=1400&amp;height=636&amp;tags=highway%2Cuncultivated%2Cno+orchards%2Cno+square%2Cdense</v>
      </c>
      <c r="Z156" s="189"/>
    </row>
    <row r="157" spans="1:26" ht="15" x14ac:dyDescent="0.25">
      <c r="A157" s="55">
        <f ca="1">IFERROR(__xludf.DUMMYFUNCTION("""COMPUTED_VALUE"""),1041)</f>
        <v>1041</v>
      </c>
      <c r="B157" s="55" t="str">
        <f ca="1">IFERROR(__xludf.DUMMYFUNCTION("""COMPUTED_VALUE"""),"Thornwell")</f>
        <v>Thornwell</v>
      </c>
      <c r="C157" s="55" t="str">
        <f ca="1">IFERROR(__xludf.DUMMYFUNCTION("""COMPUTED_VALUE"""),"Madinglia")</f>
        <v>Madinglia</v>
      </c>
      <c r="D157" s="55" t="str">
        <f ca="1">IFERROR(__xludf.DUMMYFUNCTION("""COMPUTED_VALUE"""),"Madinglia Province")</f>
        <v>Madinglia Province</v>
      </c>
      <c r="E157" s="55" t="str">
        <f ca="1">IFERROR(__xludf.DUMMYFUNCTION("""COMPUTED_VALUE"""),"Shavia")</f>
        <v>Shavia</v>
      </c>
      <c r="F157" s="55" t="str">
        <f ca="1">IFERROR(__xludf.DUMMYFUNCTION("""COMPUTED_VALUE"""),"Kingdom of Shavia")</f>
        <v>Kingdom of Shavia</v>
      </c>
      <c r="G157" s="55" t="str">
        <f ca="1">IFERROR(__xludf.DUMMYFUNCTION("""COMPUTED_VALUE"""),"Madinglian")</f>
        <v>Madinglian</v>
      </c>
      <c r="H157" s="55" t="str">
        <f ca="1">IFERROR(__xludf.DUMMYFUNCTION("""COMPUTED_VALUE"""),"Children of Stone")</f>
        <v>Children of Stone</v>
      </c>
      <c r="I157" s="55">
        <f ca="1">IFERROR(__xludf.DUMMYFUNCTION("""COMPUTED_VALUE"""),3288)</f>
        <v>3288</v>
      </c>
      <c r="J157" s="55">
        <f ca="1">IFERROR(__xludf.DUMMYFUNCTION("""COMPUTED_VALUE"""),870.729335153025)</f>
        <v>870.72933515302498</v>
      </c>
      <c r="K157" s="55">
        <f ca="1">IFERROR(__xludf.DUMMYFUNCTION("""COMPUTED_VALUE"""),531.047498813357)</f>
        <v>531.04749881335704</v>
      </c>
      <c r="L157" s="55">
        <f ca="1">IFERROR(__xludf.DUMMYFUNCTION("""COMPUTED_VALUE"""),-24.3)</f>
        <v>-24.3</v>
      </c>
      <c r="M157" s="55">
        <f ca="1">IFERROR(__xludf.DUMMYFUNCTION("""COMPUTED_VALUE"""),3.12)</f>
        <v>3.12</v>
      </c>
      <c r="N157" s="55">
        <f ca="1">IFERROR(__xludf.DUMMYFUNCTION("""COMPUTED_VALUE"""),210)</f>
        <v>210</v>
      </c>
      <c r="O157" s="55" t="str">
        <f ca="1">IFERROR(__xludf.DUMMYFUNCTION("""COMPUTED_VALUE"""),"48°F")</f>
        <v>48°F</v>
      </c>
      <c r="P157" s="55" t="str">
        <f ca="1">IFERROR(__xludf.DUMMYFUNCTION("""COMPUTED_VALUE"""),"Copenhagen")</f>
        <v>Copenhagen</v>
      </c>
      <c r="Q157" s="55" t="str">
        <f ca="1">IFERROR(__xludf.DUMMYFUNCTION("""COMPUTED_VALUE"""),"")</f>
        <v/>
      </c>
      <c r="R157" s="55" t="str">
        <f ca="1">IFERROR(__xludf.DUMMYFUNCTION("""COMPUTED_VALUE"""),"")</f>
        <v/>
      </c>
      <c r="S157" s="55" t="str">
        <f ca="1">IFERROR(__xludf.DUMMYFUNCTION("""COMPUTED_VALUE"""),"citadel")</f>
        <v>citadel</v>
      </c>
      <c r="T157" s="55" t="str">
        <f ca="1">IFERROR(__xludf.DUMMYFUNCTION("""COMPUTED_VALUE"""),"")</f>
        <v/>
      </c>
      <c r="U157" s="55" t="str">
        <f ca="1">IFERROR(__xludf.DUMMYFUNCTION("""COMPUTED_VALUE"""),"")</f>
        <v/>
      </c>
      <c r="V157" s="189" t="str">
        <f ca="1">IFERROR(__xludf.DUMMYFUNCTION("""COMPUTED_VALUE"""),"")</f>
        <v/>
      </c>
      <c r="W157" s="189" t="str">
        <f ca="1">IFERROR(__xludf.DUMMYFUNCTION("""COMPUTED_VALUE"""),"")</f>
        <v/>
      </c>
      <c r="X157" s="189" t="str">
        <f ca="1">IFERROR(__xludf.DUMMYFUNCTION("""COMPUTED_VALUE"""),"{t1:bendy-or-purpure;division:{division:perPale;t:gules;line:straight};ordinaries:[{ordinary:bendSinister;t:sable;line:straight}];shield:fantasy5}")</f>
        <v>{t1:bendy-or-purpure;division:{division:perPale;t:gules;line:straight};ordinaries:[{ordinary:bendSinister;t:sable;line:straight}];shield:fantasy5}</v>
      </c>
      <c r="Y157" s="193" t="str">
        <f ca="1">IFERROR(__xludf.DUMMYFUNCTION("""COMPUTED_VALUE"""),"https://watabou.github.io/city-generator/?name=Thornwell&amp;population=3288&amp;size=20&amp;seed=3550748351041&amp;river=0&amp;coast=0&amp;farms=0&amp;citadel=1&amp;urban_castle=0&amp;hub=false&amp;plaza=0&amp;temple=0&amp;walls=0&amp;shantytown=0&amp;gates=-1")</f>
        <v>https://watabou.github.io/city-generator/?name=Thornwell&amp;population=3288&amp;size=20&amp;seed=3550748351041&amp;river=0&amp;coast=0&amp;farms=0&amp;citadel=1&amp;urban_castle=0&amp;hub=false&amp;plaza=0&amp;temple=0&amp;walls=0&amp;shantytown=0&amp;gates=-1</v>
      </c>
      <c r="Z157" s="189"/>
    </row>
    <row r="158" spans="1:26" ht="15" x14ac:dyDescent="0.25">
      <c r="A158" s="55">
        <f ca="1">IFERROR(__xludf.DUMMYFUNCTION("""COMPUTED_VALUE"""),1042)</f>
        <v>1042</v>
      </c>
      <c r="B158" s="55" t="str">
        <f ca="1">IFERROR(__xludf.DUMMYFUNCTION("""COMPUTED_VALUE"""),"Brimegrore")</f>
        <v>Brimegrore</v>
      </c>
      <c r="C158" s="55" t="str">
        <f ca="1">IFERROR(__xludf.DUMMYFUNCTION("""COMPUTED_VALUE"""),"Madinglia")</f>
        <v>Madinglia</v>
      </c>
      <c r="D158" s="55" t="str">
        <f ca="1">IFERROR(__xludf.DUMMYFUNCTION("""COMPUTED_VALUE"""),"Madinglia Province")</f>
        <v>Madinglia Province</v>
      </c>
      <c r="E158" s="55" t="str">
        <f ca="1">IFERROR(__xludf.DUMMYFUNCTION("""COMPUTED_VALUE"""),"Shavia")</f>
        <v>Shavia</v>
      </c>
      <c r="F158" s="55" t="str">
        <f ca="1">IFERROR(__xludf.DUMMYFUNCTION("""COMPUTED_VALUE"""),"Kingdom of Shavia")</f>
        <v>Kingdom of Shavia</v>
      </c>
      <c r="G158" s="55" t="str">
        <f ca="1">IFERROR(__xludf.DUMMYFUNCTION("""COMPUTED_VALUE"""),"Madinglian")</f>
        <v>Madinglian</v>
      </c>
      <c r="H158" s="55" t="str">
        <f ca="1">IFERROR(__xludf.DUMMYFUNCTION("""COMPUTED_VALUE"""),"Children of Stone")</f>
        <v>Children of Stone</v>
      </c>
      <c r="I158" s="55">
        <f ca="1">IFERROR(__xludf.DUMMYFUNCTION("""COMPUTED_VALUE"""),3294)</f>
        <v>3294</v>
      </c>
      <c r="J158" s="55">
        <f ca="1">IFERROR(__xludf.DUMMYFUNCTION("""COMPUTED_VALUE"""),901.206515071139)</f>
        <v>901.20651507113905</v>
      </c>
      <c r="K158" s="55">
        <f ca="1">IFERROR(__xludf.DUMMYFUNCTION("""COMPUTED_VALUE"""),529.957637973374)</f>
        <v>529.95763797337395</v>
      </c>
      <c r="L158" s="55">
        <f ca="1">IFERROR(__xludf.DUMMYFUNCTION("""COMPUTED_VALUE"""),-24.26)</f>
        <v>-24.26</v>
      </c>
      <c r="M158" s="55">
        <f ca="1">IFERROR(__xludf.DUMMYFUNCTION("""COMPUTED_VALUE"""),4.11)</f>
        <v>4.1100000000000003</v>
      </c>
      <c r="N158" s="55">
        <f ca="1">IFERROR(__xludf.DUMMYFUNCTION("""COMPUTED_VALUE"""),554)</f>
        <v>554</v>
      </c>
      <c r="O158" s="55" t="str">
        <f ca="1">IFERROR(__xludf.DUMMYFUNCTION("""COMPUTED_VALUE"""),"46°F")</f>
        <v>46°F</v>
      </c>
      <c r="P158" s="55" t="str">
        <f ca="1">IFERROR(__xludf.DUMMYFUNCTION("""COMPUTED_VALUE"""),"Prague")</f>
        <v>Prague</v>
      </c>
      <c r="Q158" s="55" t="str">
        <f ca="1">IFERROR(__xludf.DUMMYFUNCTION("""COMPUTED_VALUE"""),"")</f>
        <v/>
      </c>
      <c r="R158" s="55" t="str">
        <f ca="1">IFERROR(__xludf.DUMMYFUNCTION("""COMPUTED_VALUE"""),"")</f>
        <v/>
      </c>
      <c r="S158" s="55" t="str">
        <f ca="1">IFERROR(__xludf.DUMMYFUNCTION("""COMPUTED_VALUE"""),"")</f>
        <v/>
      </c>
      <c r="T158" s="55" t="str">
        <f ca="1">IFERROR(__xludf.DUMMYFUNCTION("""COMPUTED_VALUE"""),"walls")</f>
        <v>walls</v>
      </c>
      <c r="U158" s="55" t="str">
        <f ca="1">IFERROR(__xludf.DUMMYFUNCTION("""COMPUTED_VALUE"""),"plaza")</f>
        <v>plaza</v>
      </c>
      <c r="V158" s="189" t="str">
        <f ca="1">IFERROR(__xludf.DUMMYFUNCTION("""COMPUTED_VALUE"""),"")</f>
        <v/>
      </c>
      <c r="W158" s="189" t="str">
        <f ca="1">IFERROR(__xludf.DUMMYFUNCTION("""COMPUTED_VALUE"""),"")</f>
        <v/>
      </c>
      <c r="X158" s="189" t="str">
        <f ca="1">IFERROR(__xludf.DUMMYFUNCTION("""COMPUTED_VALUE"""),"{t1:gules;ordinaries:[{ordinary:bend;t:argent;line:wavy}];charges:[{charge:axe;t:purpure;p:jo;size:0.7}];shield:fantasy5}")</f>
        <v>{t1:gules;ordinaries:[{ordinary:bend;t:argent;line:wavy}];charges:[{charge:axe;t:purpure;p:jo;size:0.7}];shield:fantasy5}</v>
      </c>
      <c r="Y158" s="193" t="str">
        <f ca="1">IFERROR(__xludf.DUMMYFUNCTION("""COMPUTED_VALUE"""),"https://watabou.github.io/city-generator/?name=Brimegrore&amp;population=3294&amp;size=20&amp;seed=3550748351042&amp;river=0&amp;coast=0&amp;farms=0&amp;citadel=0&amp;urban_castle=0&amp;hub=false&amp;plaza=1&amp;temple=0&amp;walls=1&amp;shantytown=0&amp;gates=-1")</f>
        <v>https://watabou.github.io/city-generator/?name=Brimegrore&amp;population=3294&amp;size=20&amp;seed=3550748351042&amp;river=0&amp;coast=0&amp;farms=0&amp;citadel=0&amp;urban_castle=0&amp;hub=false&amp;plaza=1&amp;temple=0&amp;walls=1&amp;shantytown=0&amp;gates=-1</v>
      </c>
      <c r="Z158" s="189"/>
    </row>
    <row r="159" spans="1:26" ht="15" x14ac:dyDescent="0.25">
      <c r="A159" s="55">
        <f ca="1">IFERROR(__xludf.DUMMYFUNCTION("""COMPUTED_VALUE"""),1043)</f>
        <v>1043</v>
      </c>
      <c r="B159" s="55" t="str">
        <f ca="1">IFERROR(__xludf.DUMMYFUNCTION("""COMPUTED_VALUE"""),"Khuld")</f>
        <v>Khuld</v>
      </c>
      <c r="C159" s="55" t="str">
        <f ca="1">IFERROR(__xludf.DUMMYFUNCTION("""COMPUTED_VALUE"""),"Madinglia")</f>
        <v>Madinglia</v>
      </c>
      <c r="D159" s="55" t="str">
        <f ca="1">IFERROR(__xludf.DUMMYFUNCTION("""COMPUTED_VALUE"""),"Madinglia Province")</f>
        <v>Madinglia Province</v>
      </c>
      <c r="E159" s="55" t="str">
        <f ca="1">IFERROR(__xludf.DUMMYFUNCTION("""COMPUTED_VALUE"""),"Shavia")</f>
        <v>Shavia</v>
      </c>
      <c r="F159" s="55" t="str">
        <f ca="1">IFERROR(__xludf.DUMMYFUNCTION("""COMPUTED_VALUE"""),"Kingdom of Shavia")</f>
        <v>Kingdom of Shavia</v>
      </c>
      <c r="G159" s="55" t="str">
        <f ca="1">IFERROR(__xludf.DUMMYFUNCTION("""COMPUTED_VALUE"""),"Stovemea")</f>
        <v>Stovemea</v>
      </c>
      <c r="H159" s="55" t="str">
        <f ca="1">IFERROR(__xludf.DUMMYFUNCTION("""COMPUTED_VALUE"""),"Children of Stone")</f>
        <v>Children of Stone</v>
      </c>
      <c r="I159" s="55">
        <f ca="1">IFERROR(__xludf.DUMMYFUNCTION("""COMPUTED_VALUE"""),1472)</f>
        <v>1472</v>
      </c>
      <c r="J159" s="55">
        <f ca="1">IFERROR(__xludf.DUMMYFUNCTION("""COMPUTED_VALUE"""),1135.23466865691)</f>
        <v>1135.2346686569099</v>
      </c>
      <c r="K159" s="55">
        <f ca="1">IFERROR(__xludf.DUMMYFUNCTION("""COMPUTED_VALUE"""),468.322115112156)</f>
        <v>468.32211511215598</v>
      </c>
      <c r="L159" s="55">
        <f ca="1">IFERROR(__xludf.DUMMYFUNCTION("""COMPUTED_VALUE"""),-22.26)</f>
        <v>-22.26</v>
      </c>
      <c r="M159" s="55">
        <f ca="1">IFERROR(__xludf.DUMMYFUNCTION("""COMPUTED_VALUE"""),11.67)</f>
        <v>11.67</v>
      </c>
      <c r="N159" s="55">
        <f ca="1">IFERROR(__xludf.DUMMYFUNCTION("""COMPUTED_VALUE"""),6644)</f>
        <v>6644</v>
      </c>
      <c r="O159" s="55" t="str">
        <f ca="1">IFERROR(__xludf.DUMMYFUNCTION("""COMPUTED_VALUE"""),"30°F")</f>
        <v>30°F</v>
      </c>
      <c r="P159" s="55" t="str">
        <f ca="1">IFERROR(__xludf.DUMMYFUNCTION("""COMPUTED_VALUE"""),"Nuuk (Greenland)")</f>
        <v>Nuuk (Greenland)</v>
      </c>
      <c r="Q159" s="55" t="str">
        <f ca="1">IFERROR(__xludf.DUMMYFUNCTION("""COMPUTED_VALUE"""),"")</f>
        <v/>
      </c>
      <c r="R159" s="55" t="str">
        <f ca="1">IFERROR(__xludf.DUMMYFUNCTION("""COMPUTED_VALUE"""),"")</f>
        <v/>
      </c>
      <c r="S159" s="55" t="str">
        <f ca="1">IFERROR(__xludf.DUMMYFUNCTION("""COMPUTED_VALUE"""),"citadel")</f>
        <v>citadel</v>
      </c>
      <c r="T159" s="55" t="str">
        <f ca="1">IFERROR(__xludf.DUMMYFUNCTION("""COMPUTED_VALUE"""),"")</f>
        <v/>
      </c>
      <c r="U159" s="55" t="str">
        <f ca="1">IFERROR(__xludf.DUMMYFUNCTION("""COMPUTED_VALUE"""),"")</f>
        <v/>
      </c>
      <c r="V159" s="189" t="str">
        <f ca="1">IFERROR(__xludf.DUMMYFUNCTION("""COMPUTED_VALUE"""),"")</f>
        <v/>
      </c>
      <c r="W159" s="189" t="str">
        <f ca="1">IFERROR(__xludf.DUMMYFUNCTION("""COMPUTED_VALUE"""),"")</f>
        <v/>
      </c>
      <c r="X159" s="189" t="str">
        <f ca="1">IFERROR(__xludf.DUMMYFUNCTION("""COMPUTED_VALUE"""),"{t1:azure;division:{division:perCross;t:bendy-or-azure;line:straight};charges:[{charge:mullet;t:argent;p:e;size:1.5}];shield:fantasy2}")</f>
        <v>{t1:azure;division:{division:perCross;t:bendy-or-azure;line:straight};charges:[{charge:mullet;t:argent;p:e;size:1.5}];shield:fantasy2}</v>
      </c>
      <c r="Y159" s="193" t="str">
        <f ca="1">IFERROR(__xludf.DUMMYFUNCTION("""COMPUTED_VALUE"""),"https://watabou.github.io/city-generator/?name=Khuld&amp;population=1472&amp;size=15&amp;seed=3550748351043&amp;river=0&amp;coast=0&amp;farms=0&amp;citadel=1&amp;urban_castle=0&amp;hub=false&amp;plaza=0&amp;temple=0&amp;walls=0&amp;shantytown=0&amp;gates=-1")</f>
        <v>https://watabou.github.io/city-generator/?name=Khuld&amp;population=1472&amp;size=15&amp;seed=3550748351043&amp;river=0&amp;coast=0&amp;farms=0&amp;citadel=1&amp;urban_castle=0&amp;hub=false&amp;plaza=0&amp;temple=0&amp;walls=0&amp;shantytown=0&amp;gates=-1</v>
      </c>
      <c r="Z159" s="189"/>
    </row>
    <row r="160" spans="1:26" ht="15" x14ac:dyDescent="0.25">
      <c r="A160" s="55">
        <f ca="1">IFERROR(__xludf.DUMMYFUNCTION("""COMPUTED_VALUE"""),1044)</f>
        <v>1044</v>
      </c>
      <c r="B160" s="55" t="str">
        <f ca="1">IFERROR(__xludf.DUMMYFUNCTION("""COMPUTED_VALUE"""),"Nilbog")</f>
        <v>Nilbog</v>
      </c>
      <c r="C160" s="55" t="str">
        <f ca="1">IFERROR(__xludf.DUMMYFUNCTION("""COMPUTED_VALUE"""),"Madinglia")</f>
        <v>Madinglia</v>
      </c>
      <c r="D160" s="55" t="str">
        <f ca="1">IFERROR(__xludf.DUMMYFUNCTION("""COMPUTED_VALUE"""),"Madinglia Province")</f>
        <v>Madinglia Province</v>
      </c>
      <c r="E160" s="55" t="str">
        <f ca="1">IFERROR(__xludf.DUMMYFUNCTION("""COMPUTED_VALUE"""),"Shavia")</f>
        <v>Shavia</v>
      </c>
      <c r="F160" s="55" t="str">
        <f ca="1">IFERROR(__xludf.DUMMYFUNCTION("""COMPUTED_VALUE"""),"Kingdom of Shavia")</f>
        <v>Kingdom of Shavia</v>
      </c>
      <c r="G160" s="55" t="str">
        <f ca="1">IFERROR(__xludf.DUMMYFUNCTION("""COMPUTED_VALUE"""),"Madinglian")</f>
        <v>Madinglian</v>
      </c>
      <c r="H160" s="55" t="str">
        <f ca="1">IFERROR(__xludf.DUMMYFUNCTION("""COMPUTED_VALUE"""),"Children of Stone")</f>
        <v>Children of Stone</v>
      </c>
      <c r="I160" s="55">
        <f ca="1">IFERROR(__xludf.DUMMYFUNCTION("""COMPUTED_VALUE"""),2947)</f>
        <v>2947</v>
      </c>
      <c r="J160" s="55">
        <f ca="1">IFERROR(__xludf.DUMMYFUNCTION("""COMPUTED_VALUE"""),1061.39659674802)</f>
        <v>1061.3965967480201</v>
      </c>
      <c r="K160" s="55">
        <f ca="1">IFERROR(__xludf.DUMMYFUNCTION("""COMPUTED_VALUE"""),488.737544061135)</f>
        <v>488.737544061135</v>
      </c>
      <c r="L160" s="55">
        <f ca="1">IFERROR(__xludf.DUMMYFUNCTION("""COMPUTED_VALUE"""),-22.93)</f>
        <v>-22.93</v>
      </c>
      <c r="M160" s="55">
        <f ca="1">IFERROR(__xludf.DUMMYFUNCTION("""COMPUTED_VALUE"""),9.28)</f>
        <v>9.2799999999999994</v>
      </c>
      <c r="N160" s="55">
        <f ca="1">IFERROR(__xludf.DUMMYFUNCTION("""COMPUTED_VALUE"""),2392)</f>
        <v>2392</v>
      </c>
      <c r="O160" s="55" t="str">
        <f ca="1">IFERROR(__xludf.DUMMYFUNCTION("""COMPUTED_VALUE"""),"41°F")</f>
        <v>41°F</v>
      </c>
      <c r="P160" s="55" t="str">
        <f ca="1">IFERROR(__xludf.DUMMYFUNCTION("""COMPUTED_VALUE"""),"Riga")</f>
        <v>Riga</v>
      </c>
      <c r="Q160" s="55" t="str">
        <f ca="1">IFERROR(__xludf.DUMMYFUNCTION("""COMPUTED_VALUE"""),"")</f>
        <v/>
      </c>
      <c r="R160" s="55" t="str">
        <f ca="1">IFERROR(__xludf.DUMMYFUNCTION("""COMPUTED_VALUE"""),"")</f>
        <v/>
      </c>
      <c r="S160" s="55" t="str">
        <f ca="1">IFERROR(__xludf.DUMMYFUNCTION("""COMPUTED_VALUE"""),"")</f>
        <v/>
      </c>
      <c r="T160" s="55" t="str">
        <f ca="1">IFERROR(__xludf.DUMMYFUNCTION("""COMPUTED_VALUE"""),"")</f>
        <v/>
      </c>
      <c r="U160" s="55" t="str">
        <f ca="1">IFERROR(__xludf.DUMMYFUNCTION("""COMPUTED_VALUE"""),"plaza")</f>
        <v>plaza</v>
      </c>
      <c r="V160" s="189" t="str">
        <f ca="1">IFERROR(__xludf.DUMMYFUNCTION("""COMPUTED_VALUE"""),"")</f>
        <v/>
      </c>
      <c r="W160" s="189" t="str">
        <f ca="1">IFERROR(__xludf.DUMMYFUNCTION("""COMPUTED_VALUE"""),"")</f>
        <v/>
      </c>
      <c r="X160" s="189" t="str">
        <f ca="1">IFERROR(__xludf.DUMMYFUNCTION("""COMPUTED_VALUE"""),"{t1:or;charges:[{charge:sabre2;t:sable;p:jeo;size:0.5}];shield:ironHills}")</f>
        <v>{t1:or;charges:[{charge:sabre2;t:sable;p:jeo;size:0.5}];shield:ironHills}</v>
      </c>
      <c r="Y160" s="193" t="str">
        <f ca="1">IFERROR(__xludf.DUMMYFUNCTION("""COMPUTED_VALUE"""),"https://watabou.github.io/city-generator/?name=Nilbog&amp;population=2947&amp;size=20&amp;seed=3550748351044&amp;river=1&amp;coast=0&amp;farms=1&amp;citadel=0&amp;urban_castle=0&amp;hub=false&amp;plaza=1&amp;temple=0&amp;walls=0&amp;shantytown=0&amp;gates=-1")</f>
        <v>https://watabou.github.io/city-generator/?name=Nilbog&amp;population=2947&amp;size=20&amp;seed=3550748351044&amp;river=1&amp;coast=0&amp;farms=1&amp;citadel=0&amp;urban_castle=0&amp;hub=false&amp;plaza=1&amp;temple=0&amp;walls=0&amp;shantytown=0&amp;gates=-1</v>
      </c>
      <c r="Z160" s="189"/>
    </row>
    <row r="161" spans="1:26" ht="15" x14ac:dyDescent="0.25">
      <c r="A161" s="55">
        <f ca="1">IFERROR(__xludf.DUMMYFUNCTION("""COMPUTED_VALUE"""),1045)</f>
        <v>1045</v>
      </c>
      <c r="B161" s="55" t="str">
        <f ca="1">IFERROR(__xludf.DUMMYFUNCTION("""COMPUTED_VALUE"""),"Newtown")</f>
        <v>Newtown</v>
      </c>
      <c r="C161" s="55" t="str">
        <f ca="1">IFERROR(__xludf.DUMMYFUNCTION("""COMPUTED_VALUE"""),"Madinglia")</f>
        <v>Madinglia</v>
      </c>
      <c r="D161" s="55" t="str">
        <f ca="1">IFERROR(__xludf.DUMMYFUNCTION("""COMPUTED_VALUE"""),"Madinglia Province")</f>
        <v>Madinglia Province</v>
      </c>
      <c r="E161" s="55" t="str">
        <f ca="1">IFERROR(__xludf.DUMMYFUNCTION("""COMPUTED_VALUE"""),"Shavia")</f>
        <v>Shavia</v>
      </c>
      <c r="F161" s="55" t="str">
        <f ca="1">IFERROR(__xludf.DUMMYFUNCTION("""COMPUTED_VALUE"""),"Kingdom of Shavia")</f>
        <v>Kingdom of Shavia</v>
      </c>
      <c r="G161" s="55" t="str">
        <f ca="1">IFERROR(__xludf.DUMMYFUNCTION("""COMPUTED_VALUE"""),"Madinglian")</f>
        <v>Madinglian</v>
      </c>
      <c r="H161" s="55" t="str">
        <f ca="1">IFERROR(__xludf.DUMMYFUNCTION("""COMPUTED_VALUE"""),"Children of Stone")</f>
        <v>Children of Stone</v>
      </c>
      <c r="I161" s="55">
        <f ca="1">IFERROR(__xludf.DUMMYFUNCTION("""COMPUTED_VALUE"""),3250)</f>
        <v>3250</v>
      </c>
      <c r="J161" s="55">
        <f ca="1">IFERROR(__xludf.DUMMYFUNCTION("""COMPUTED_VALUE"""),846.363160659105)</f>
        <v>846.36316065910501</v>
      </c>
      <c r="K161" s="55">
        <f ca="1">IFERROR(__xludf.DUMMYFUNCTION("""COMPUTED_VALUE"""),548.251730644528)</f>
        <v>548.25173064452804</v>
      </c>
      <c r="L161" s="55">
        <f ca="1">IFERROR(__xludf.DUMMYFUNCTION("""COMPUTED_VALUE"""),-24.85)</f>
        <v>-24.85</v>
      </c>
      <c r="M161" s="55">
        <f ca="1">IFERROR(__xludf.DUMMYFUNCTION("""COMPUTED_VALUE"""),2.34)</f>
        <v>2.34</v>
      </c>
      <c r="N161" s="55">
        <f ca="1">IFERROR(__xludf.DUMMYFUNCTION("""COMPUTED_VALUE"""),118)</f>
        <v>118</v>
      </c>
      <c r="O161" s="55" t="str">
        <f ca="1">IFERROR(__xludf.DUMMYFUNCTION("""COMPUTED_VALUE"""),"46°F")</f>
        <v>46°F</v>
      </c>
      <c r="P161" s="55" t="str">
        <f ca="1">IFERROR(__xludf.DUMMYFUNCTION("""COMPUTED_VALUE"""),"Prague")</f>
        <v>Prague</v>
      </c>
      <c r="Q161" s="55" t="str">
        <f ca="1">IFERROR(__xludf.DUMMYFUNCTION("""COMPUTED_VALUE"""),"")</f>
        <v/>
      </c>
      <c r="R161" s="55" t="str">
        <f ca="1">IFERROR(__xludf.DUMMYFUNCTION("""COMPUTED_VALUE"""),"")</f>
        <v/>
      </c>
      <c r="S161" s="55" t="str">
        <f ca="1">IFERROR(__xludf.DUMMYFUNCTION("""COMPUTED_VALUE"""),"citadel")</f>
        <v>citadel</v>
      </c>
      <c r="T161" s="55" t="str">
        <f ca="1">IFERROR(__xludf.DUMMYFUNCTION("""COMPUTED_VALUE"""),"")</f>
        <v/>
      </c>
      <c r="U161" s="55" t="str">
        <f ca="1">IFERROR(__xludf.DUMMYFUNCTION("""COMPUTED_VALUE"""),"plaza")</f>
        <v>plaza</v>
      </c>
      <c r="V161" s="189" t="str">
        <f ca="1">IFERROR(__xludf.DUMMYFUNCTION("""COMPUTED_VALUE"""),"")</f>
        <v/>
      </c>
      <c r="W161" s="189" t="str">
        <f ca="1">IFERROR(__xludf.DUMMYFUNCTION("""COMPUTED_VALUE"""),"")</f>
        <v/>
      </c>
      <c r="X161" s="189" t="str">
        <f ca="1">IFERROR(__xludf.DUMMYFUNCTION("""COMPUTED_VALUE"""),"{t1:argent;charges:[{charge:bow;t:azure;p:e;size:1.5}];shield:fantasy5}")</f>
        <v>{t1:argent;charges:[{charge:bow;t:azure;p:e;size:1.5}];shield:fantasy5}</v>
      </c>
      <c r="Y161" s="193" t="str">
        <f ca="1">IFERROR(__xludf.DUMMYFUNCTION("""COMPUTED_VALUE"""),"https://watabou.github.io/city-generator/?name=Newtown&amp;population=3250&amp;size=20&amp;seed=3550748351045&amp;river=1&amp;coast=0&amp;farms=1&amp;citadel=1&amp;urban_castle=0&amp;hub=false&amp;plaza=1&amp;temple=0&amp;walls=0&amp;shantytown=0&amp;gates=-1")</f>
        <v>https://watabou.github.io/city-generator/?name=Newtown&amp;population=3250&amp;size=20&amp;seed=3550748351045&amp;river=1&amp;coast=0&amp;farms=1&amp;citadel=1&amp;urban_castle=0&amp;hub=false&amp;plaza=1&amp;temple=0&amp;walls=0&amp;shantytown=0&amp;gates=-1</v>
      </c>
      <c r="Z161" s="189"/>
    </row>
    <row r="162" spans="1:26" ht="15" x14ac:dyDescent="0.25">
      <c r="A162" s="55">
        <f ca="1">IFERROR(__xludf.DUMMYFUNCTION("""COMPUTED_VALUE"""),1046)</f>
        <v>1046</v>
      </c>
      <c r="B162" s="55" t="str">
        <f ca="1">IFERROR(__xludf.DUMMYFUNCTION("""COMPUTED_VALUE"""),"Rordgoz")</f>
        <v>Rordgoz</v>
      </c>
      <c r="C162" s="55" t="str">
        <f ca="1">IFERROR(__xludf.DUMMYFUNCTION("""COMPUTED_VALUE"""),"Madinglia")</f>
        <v>Madinglia</v>
      </c>
      <c r="D162" s="55" t="str">
        <f ca="1">IFERROR(__xludf.DUMMYFUNCTION("""COMPUTED_VALUE"""),"Madinglia Province")</f>
        <v>Madinglia Province</v>
      </c>
      <c r="E162" s="55" t="str">
        <f ca="1">IFERROR(__xludf.DUMMYFUNCTION("""COMPUTED_VALUE"""),"Shavia")</f>
        <v>Shavia</v>
      </c>
      <c r="F162" s="55" t="str">
        <f ca="1">IFERROR(__xludf.DUMMYFUNCTION("""COMPUTED_VALUE"""),"Kingdom of Shavia")</f>
        <v>Kingdom of Shavia</v>
      </c>
      <c r="G162" s="55" t="str">
        <f ca="1">IFERROR(__xludf.DUMMYFUNCTION("""COMPUTED_VALUE"""),"Stovemea")</f>
        <v>Stovemea</v>
      </c>
      <c r="H162" s="55" t="str">
        <f ca="1">IFERROR(__xludf.DUMMYFUNCTION("""COMPUTED_VALUE"""),"Elsevercism")</f>
        <v>Elsevercism</v>
      </c>
      <c r="I162" s="55">
        <f ca="1">IFERROR(__xludf.DUMMYFUNCTION("""COMPUTED_VALUE"""),1849)</f>
        <v>1849</v>
      </c>
      <c r="J162" s="55">
        <f ca="1">IFERROR(__xludf.DUMMYFUNCTION("""COMPUTED_VALUE"""),976.815610845004)</f>
        <v>976.81561084500402</v>
      </c>
      <c r="K162" s="55">
        <f ca="1">IFERROR(__xludf.DUMMYFUNCTION("""COMPUTED_VALUE"""),410.2481017816)</f>
        <v>410.24810178159998</v>
      </c>
      <c r="L162" s="55">
        <f ca="1">IFERROR(__xludf.DUMMYFUNCTION("""COMPUTED_VALUE"""),-20.38)</f>
        <v>-20.38</v>
      </c>
      <c r="M162" s="55">
        <f ca="1">IFERROR(__xludf.DUMMYFUNCTION("""COMPUTED_VALUE"""),6.55)</f>
        <v>6.55</v>
      </c>
      <c r="N162" s="55">
        <f ca="1">IFERROR(__xludf.DUMMYFUNCTION("""COMPUTED_VALUE"""),5515)</f>
        <v>5515</v>
      </c>
      <c r="O162" s="55" t="str">
        <f ca="1">IFERROR(__xludf.DUMMYFUNCTION("""COMPUTED_VALUE"""),"34°F")</f>
        <v>34°F</v>
      </c>
      <c r="P162" s="55" t="str">
        <f ca="1">IFERROR(__xludf.DUMMYFUNCTION("""COMPUTED_VALUE"""),"Arkhangelsk")</f>
        <v>Arkhangelsk</v>
      </c>
      <c r="Q162" s="55" t="str">
        <f ca="1">IFERROR(__xludf.DUMMYFUNCTION("""COMPUTED_VALUE"""),"")</f>
        <v/>
      </c>
      <c r="R162" s="55" t="str">
        <f ca="1">IFERROR(__xludf.DUMMYFUNCTION("""COMPUTED_VALUE"""),"")</f>
        <v/>
      </c>
      <c r="S162" s="55" t="str">
        <f ca="1">IFERROR(__xludf.DUMMYFUNCTION("""COMPUTED_VALUE"""),"citadel")</f>
        <v>citadel</v>
      </c>
      <c r="T162" s="55" t="str">
        <f ca="1">IFERROR(__xludf.DUMMYFUNCTION("""COMPUTED_VALUE"""),"walls")</f>
        <v>walls</v>
      </c>
      <c r="U162" s="55" t="str">
        <f ca="1">IFERROR(__xludf.DUMMYFUNCTION("""COMPUTED_VALUE"""),"")</f>
        <v/>
      </c>
      <c r="V162" s="189" t="str">
        <f ca="1">IFERROR(__xludf.DUMMYFUNCTION("""COMPUTED_VALUE"""),"")</f>
        <v/>
      </c>
      <c r="W162" s="189" t="str">
        <f ca="1">IFERROR(__xludf.DUMMYFUNCTION("""COMPUTED_VALUE"""),"")</f>
        <v/>
      </c>
      <c r="X162" s="189" t="str">
        <f ca="1">IFERROR(__xludf.DUMMYFUNCTION("""COMPUTED_VALUE"""),"{t1:azure;charges:[{charge:griffinPassant;t:argent;p:e;size:1.5}];shield:fantasy2}")</f>
        <v>{t1:azure;charges:[{charge:griffinPassant;t:argent;p:e;size:1.5}];shield:fantasy2}</v>
      </c>
      <c r="Y162" s="193" t="str">
        <f ca="1">IFERROR(__xludf.DUMMYFUNCTION("""COMPUTED_VALUE"""),"https://watabou.github.io/city-generator/?name=Rordgoz&amp;population=1849&amp;size=16&amp;seed=3550748351046&amp;river=0&amp;coast=0&amp;farms=0&amp;citadel=1&amp;urban_castle=1&amp;hub=false&amp;plaza=0&amp;temple=0&amp;walls=1&amp;shantytown=0&amp;gates=-1")</f>
        <v>https://watabou.github.io/city-generator/?name=Rordgoz&amp;population=1849&amp;size=16&amp;seed=3550748351046&amp;river=0&amp;coast=0&amp;farms=0&amp;citadel=1&amp;urban_castle=1&amp;hub=false&amp;plaza=0&amp;temple=0&amp;walls=1&amp;shantytown=0&amp;gates=-1</v>
      </c>
      <c r="Z162" s="189"/>
    </row>
    <row r="163" spans="1:26" ht="15" x14ac:dyDescent="0.25">
      <c r="A163" s="55">
        <f ca="1">IFERROR(__xludf.DUMMYFUNCTION("""COMPUTED_VALUE"""),1047)</f>
        <v>1047</v>
      </c>
      <c r="B163" s="55" t="str">
        <f ca="1">IFERROR(__xludf.DUMMYFUNCTION("""COMPUTED_VALUE"""),"Persterton")</f>
        <v>Persterton</v>
      </c>
      <c r="C163" s="55" t="str">
        <f ca="1">IFERROR(__xludf.DUMMYFUNCTION("""COMPUTED_VALUE"""),"Madinglia")</f>
        <v>Madinglia</v>
      </c>
      <c r="D163" s="55" t="str">
        <f ca="1">IFERROR(__xludf.DUMMYFUNCTION("""COMPUTED_VALUE"""),"Madinglia Province")</f>
        <v>Madinglia Province</v>
      </c>
      <c r="E163" s="55" t="str">
        <f ca="1">IFERROR(__xludf.DUMMYFUNCTION("""COMPUTED_VALUE"""),"Shavia")</f>
        <v>Shavia</v>
      </c>
      <c r="F163" s="55" t="str">
        <f ca="1">IFERROR(__xludf.DUMMYFUNCTION("""COMPUTED_VALUE"""),"Kingdom of Shavia")</f>
        <v>Kingdom of Shavia</v>
      </c>
      <c r="G163" s="55" t="str">
        <f ca="1">IFERROR(__xludf.DUMMYFUNCTION("""COMPUTED_VALUE"""),"Wildlands")</f>
        <v>Wildlands</v>
      </c>
      <c r="H163" s="55" t="str">
        <f ca="1">IFERROR(__xludf.DUMMYFUNCTION("""COMPUTED_VALUE"""),"Children of Stone")</f>
        <v>Children of Stone</v>
      </c>
      <c r="I163" s="55">
        <f ca="1">IFERROR(__xludf.DUMMYFUNCTION("""COMPUTED_VALUE"""),1174)</f>
        <v>1174</v>
      </c>
      <c r="J163" s="55">
        <f ca="1">IFERROR(__xludf.DUMMYFUNCTION("""COMPUTED_VALUE"""),1073.22937158212)</f>
        <v>1073.2293715821199</v>
      </c>
      <c r="K163" s="55">
        <f ca="1">IFERROR(__xludf.DUMMYFUNCTION("""COMPUTED_VALUE"""),564.73587584928)</f>
        <v>564.73587584927998</v>
      </c>
      <c r="L163" s="55">
        <f ca="1">IFERROR(__xludf.DUMMYFUNCTION("""COMPUTED_VALUE"""),-25.39)</f>
        <v>-25.39</v>
      </c>
      <c r="M163" s="55">
        <f ca="1">IFERROR(__xludf.DUMMYFUNCTION("""COMPUTED_VALUE"""),9.67)</f>
        <v>9.67</v>
      </c>
      <c r="N163" s="55">
        <f ca="1">IFERROR(__xludf.DUMMYFUNCTION("""COMPUTED_VALUE"""),6644)</f>
        <v>6644</v>
      </c>
      <c r="O163" s="55" t="str">
        <f ca="1">IFERROR(__xludf.DUMMYFUNCTION("""COMPUTED_VALUE"""),"27°F")</f>
        <v>27°F</v>
      </c>
      <c r="P163" s="55" t="str">
        <f ca="1">IFERROR(__xludf.DUMMYFUNCTION("""COMPUTED_VALUE"""),"Okhotsk (Russia)")</f>
        <v>Okhotsk (Russia)</v>
      </c>
      <c r="Q163" s="55" t="str">
        <f ca="1">IFERROR(__xludf.DUMMYFUNCTION("""COMPUTED_VALUE"""),"")</f>
        <v/>
      </c>
      <c r="R163" s="55" t="str">
        <f ca="1">IFERROR(__xludf.DUMMYFUNCTION("""COMPUTED_VALUE"""),"")</f>
        <v/>
      </c>
      <c r="S163" s="55" t="str">
        <f ca="1">IFERROR(__xludf.DUMMYFUNCTION("""COMPUTED_VALUE"""),"")</f>
        <v/>
      </c>
      <c r="T163" s="55" t="str">
        <f ca="1">IFERROR(__xludf.DUMMYFUNCTION("""COMPUTED_VALUE"""),"walls")</f>
        <v>walls</v>
      </c>
      <c r="U163" s="55" t="str">
        <f ca="1">IFERROR(__xludf.DUMMYFUNCTION("""COMPUTED_VALUE"""),"")</f>
        <v/>
      </c>
      <c r="V163" s="189" t="str">
        <f ca="1">IFERROR(__xludf.DUMMYFUNCTION("""COMPUTED_VALUE"""),"")</f>
        <v/>
      </c>
      <c r="W163" s="189" t="str">
        <f ca="1">IFERROR(__xludf.DUMMYFUNCTION("""COMPUTED_VALUE"""),"")</f>
        <v/>
      </c>
      <c r="X163" s="189" t="str">
        <f ca="1">IFERROR(__xludf.DUMMYFUNCTION("""COMPUTED_VALUE"""),"{t1:vert;ordinaries:[{ordinary:chief;t:or;line:straight}];charges:[{charge:triangle;t:or;p:emo;size:0.5}];shield:round}")</f>
        <v>{t1:vert;ordinaries:[{ordinary:chief;t:or;line:straight}];charges:[{charge:triangle;t:or;p:emo;size:0.5}];shield:round}</v>
      </c>
      <c r="Y163" s="193" t="str">
        <f ca="1">IFERROR(__xludf.DUMMYFUNCTION("""COMPUTED_VALUE"""),"https://watabou.github.io/city-generator/?name=Persterton&amp;population=1174&amp;size=14&amp;seed=3550748351047&amp;river=0&amp;coast=0&amp;farms=0&amp;citadel=0&amp;urban_castle=0&amp;hub=false&amp;plaza=0&amp;temple=0&amp;walls=1&amp;shantytown=0&amp;gates=-1")</f>
        <v>https://watabou.github.io/city-generator/?name=Persterton&amp;population=1174&amp;size=14&amp;seed=3550748351047&amp;river=0&amp;coast=0&amp;farms=0&amp;citadel=0&amp;urban_castle=0&amp;hub=false&amp;plaza=0&amp;temple=0&amp;walls=1&amp;shantytown=0&amp;gates=-1</v>
      </c>
      <c r="Z163" s="189"/>
    </row>
    <row r="164" spans="1:26" ht="15" x14ac:dyDescent="0.25">
      <c r="A164" s="55">
        <f ca="1">IFERROR(__xludf.DUMMYFUNCTION("""COMPUTED_VALUE"""),1048)</f>
        <v>1048</v>
      </c>
      <c r="B164" s="55" t="str">
        <f ca="1">IFERROR(__xludf.DUMMYFUNCTION("""COMPUTED_VALUE"""),"Ishzit")</f>
        <v>Ishzit</v>
      </c>
      <c r="C164" s="55" t="str">
        <f ca="1">IFERROR(__xludf.DUMMYFUNCTION("""COMPUTED_VALUE"""),"Madinglia")</f>
        <v>Madinglia</v>
      </c>
      <c r="D164" s="55" t="str">
        <f ca="1">IFERROR(__xludf.DUMMYFUNCTION("""COMPUTED_VALUE"""),"Madinglia Province")</f>
        <v>Madinglia Province</v>
      </c>
      <c r="E164" s="55" t="str">
        <f ca="1">IFERROR(__xludf.DUMMYFUNCTION("""COMPUTED_VALUE"""),"Shavia")</f>
        <v>Shavia</v>
      </c>
      <c r="F164" s="55" t="str">
        <f ca="1">IFERROR(__xludf.DUMMYFUNCTION("""COMPUTED_VALUE"""),"Kingdom of Shavia")</f>
        <v>Kingdom of Shavia</v>
      </c>
      <c r="G164" s="55" t="str">
        <f ca="1">IFERROR(__xludf.DUMMYFUNCTION("""COMPUTED_VALUE"""),"Madinglian")</f>
        <v>Madinglian</v>
      </c>
      <c r="H164" s="55" t="str">
        <f ca="1">IFERROR(__xludf.DUMMYFUNCTION("""COMPUTED_VALUE"""),"Children of Stone")</f>
        <v>Children of Stone</v>
      </c>
      <c r="I164" s="55">
        <f ca="1">IFERROR(__xludf.DUMMYFUNCTION("""COMPUTED_VALUE"""),1857)</f>
        <v>1857</v>
      </c>
      <c r="J164" s="55">
        <f ca="1">IFERROR(__xludf.DUMMYFUNCTION("""COMPUTED_VALUE"""),1109.0780084973)</f>
        <v>1109.0780084973001</v>
      </c>
      <c r="K164" s="55">
        <f ca="1">IFERROR(__xludf.DUMMYFUNCTION("""COMPUTED_VALUE"""),515.984065060726)</f>
        <v>515.98406506072604</v>
      </c>
      <c r="L164" s="55">
        <f ca="1">IFERROR(__xludf.DUMMYFUNCTION("""COMPUTED_VALUE"""),-23.81)</f>
        <v>-23.81</v>
      </c>
      <c r="M164" s="55">
        <f ca="1">IFERROR(__xludf.DUMMYFUNCTION("""COMPUTED_VALUE"""),10.82)</f>
        <v>10.82</v>
      </c>
      <c r="N164" s="55">
        <f ca="1">IFERROR(__xludf.DUMMYFUNCTION("""COMPUTED_VALUE"""),4492)</f>
        <v>4492</v>
      </c>
      <c r="O164" s="55" t="str">
        <f ca="1">IFERROR(__xludf.DUMMYFUNCTION("""COMPUTED_VALUE"""),"32°F")</f>
        <v>32°F</v>
      </c>
      <c r="P164" s="55" t="str">
        <f ca="1">IFERROR(__xludf.DUMMYFUNCTION("""COMPUTED_VALUE"""),"Murmansk")</f>
        <v>Murmansk</v>
      </c>
      <c r="Q164" s="55" t="str">
        <f ca="1">IFERROR(__xludf.DUMMYFUNCTION("""COMPUTED_VALUE"""),"")</f>
        <v/>
      </c>
      <c r="R164" s="55" t="str">
        <f ca="1">IFERROR(__xludf.DUMMYFUNCTION("""COMPUTED_VALUE"""),"")</f>
        <v/>
      </c>
      <c r="S164" s="55" t="str">
        <f ca="1">IFERROR(__xludf.DUMMYFUNCTION("""COMPUTED_VALUE"""),"")</f>
        <v/>
      </c>
      <c r="T164" s="55" t="str">
        <f ca="1">IFERROR(__xludf.DUMMYFUNCTION("""COMPUTED_VALUE"""),"")</f>
        <v/>
      </c>
      <c r="U164" s="55" t="str">
        <f ca="1">IFERROR(__xludf.DUMMYFUNCTION("""COMPUTED_VALUE"""),"")</f>
        <v/>
      </c>
      <c r="V164" s="189" t="str">
        <f ca="1">IFERROR(__xludf.DUMMYFUNCTION("""COMPUTED_VALUE"""),"")</f>
        <v/>
      </c>
      <c r="W164" s="189" t="str">
        <f ca="1">IFERROR(__xludf.DUMMYFUNCTION("""COMPUTED_VALUE"""),"")</f>
        <v/>
      </c>
      <c r="X164" s="189" t="str">
        <f ca="1">IFERROR(__xludf.DUMMYFUNCTION("""COMPUTED_VALUE"""),"{t1:sable;ordinaries:[{ordinary:chief;t:argent;line:straight}];charges:[{charge:mascle;t:azure;p:abc;size:0.5}];shield:ironHills}")</f>
        <v>{t1:sable;ordinaries:[{ordinary:chief;t:argent;line:straight}];charges:[{charge:mascle;t:azure;p:abc;size:0.5}];shield:ironHills}</v>
      </c>
      <c r="Y164" s="193" t="str">
        <f ca="1">IFERROR(__xludf.DUMMYFUNCTION("""COMPUTED_VALUE"""),"https://watabou.github.io/village-generator/?pop=1857&amp;name=&amp;seed=3550748351048&amp;width=1600&amp;height=727&amp;tags=dead+end%2Cuncultivated%2Cno+orchards%2Cno+square%2Cdense")</f>
        <v>https://watabou.github.io/village-generator/?pop=1857&amp;name=&amp;seed=3550748351048&amp;width=1600&amp;height=727&amp;tags=dead+end%2Cuncultivated%2Cno+orchards%2Cno+square%2Cdense</v>
      </c>
      <c r="Z164" s="189"/>
    </row>
    <row r="165" spans="1:26" ht="15" x14ac:dyDescent="0.25">
      <c r="A165" s="55">
        <f ca="1">IFERROR(__xludf.DUMMYFUNCTION("""COMPUTED_VALUE"""),1049)</f>
        <v>1049</v>
      </c>
      <c r="B165" s="55" t="str">
        <f ca="1">IFERROR(__xludf.DUMMYFUNCTION("""COMPUTED_VALUE"""),"Buggalhob")</f>
        <v>Buggalhob</v>
      </c>
      <c r="C165" s="55" t="str">
        <f ca="1">IFERROR(__xludf.DUMMYFUNCTION("""COMPUTED_VALUE"""),"Madinglia")</f>
        <v>Madinglia</v>
      </c>
      <c r="D165" s="55" t="str">
        <f ca="1">IFERROR(__xludf.DUMMYFUNCTION("""COMPUTED_VALUE"""),"Madinglia Province")</f>
        <v>Madinglia Province</v>
      </c>
      <c r="E165" s="55" t="str">
        <f ca="1">IFERROR(__xludf.DUMMYFUNCTION("""COMPUTED_VALUE"""),"Shavia")</f>
        <v>Shavia</v>
      </c>
      <c r="F165" s="55" t="str">
        <f ca="1">IFERROR(__xludf.DUMMYFUNCTION("""COMPUTED_VALUE"""),"Kingdom of Shavia")</f>
        <v>Kingdom of Shavia</v>
      </c>
      <c r="G165" s="55" t="str">
        <f ca="1">IFERROR(__xludf.DUMMYFUNCTION("""COMPUTED_VALUE"""),"Madinglian")</f>
        <v>Madinglian</v>
      </c>
      <c r="H165" s="55" t="str">
        <f ca="1">IFERROR(__xludf.DUMMYFUNCTION("""COMPUTED_VALUE"""),"Children of Stone")</f>
        <v>Children of Stone</v>
      </c>
      <c r="I165" s="55">
        <f ca="1">IFERROR(__xludf.DUMMYFUNCTION("""COMPUTED_VALUE"""),1506)</f>
        <v>1506</v>
      </c>
      <c r="J165" s="55">
        <f ca="1">IFERROR(__xludf.DUMMYFUNCTION("""COMPUTED_VALUE"""),1035.96002321483)</f>
        <v>1035.96002321483</v>
      </c>
      <c r="K165" s="55">
        <f ca="1">IFERROR(__xludf.DUMMYFUNCTION("""COMPUTED_VALUE"""),576.91896309624)</f>
        <v>576.91896309623996</v>
      </c>
      <c r="L165" s="55">
        <f ca="1">IFERROR(__xludf.DUMMYFUNCTION("""COMPUTED_VALUE"""),-25.78)</f>
        <v>-25.78</v>
      </c>
      <c r="M165" s="55">
        <f ca="1">IFERROR(__xludf.DUMMYFUNCTION("""COMPUTED_VALUE"""),8.46)</f>
        <v>8.4600000000000009</v>
      </c>
      <c r="N165" s="55">
        <f ca="1">IFERROR(__xludf.DUMMYFUNCTION("""COMPUTED_VALUE"""),6067)</f>
        <v>6067</v>
      </c>
      <c r="O165" s="55" t="str">
        <f ca="1">IFERROR(__xludf.DUMMYFUNCTION("""COMPUTED_VALUE"""),"28°F")</f>
        <v>28°F</v>
      </c>
      <c r="P165" s="55" t="str">
        <f ca="1">IFERROR(__xludf.DUMMYFUNCTION("""COMPUTED_VALUE"""),"Fairbanks (Alaska)")</f>
        <v>Fairbanks (Alaska)</v>
      </c>
      <c r="Q165" s="55" t="str">
        <f ca="1">IFERROR(__xludf.DUMMYFUNCTION("""COMPUTED_VALUE"""),"")</f>
        <v/>
      </c>
      <c r="R165" s="55" t="str">
        <f ca="1">IFERROR(__xludf.DUMMYFUNCTION("""COMPUTED_VALUE"""),"")</f>
        <v/>
      </c>
      <c r="S165" s="55" t="str">
        <f ca="1">IFERROR(__xludf.DUMMYFUNCTION("""COMPUTED_VALUE"""),"")</f>
        <v/>
      </c>
      <c r="T165" s="55" t="str">
        <f ca="1">IFERROR(__xludf.DUMMYFUNCTION("""COMPUTED_VALUE"""),"")</f>
        <v/>
      </c>
      <c r="U165" s="55" t="str">
        <f ca="1">IFERROR(__xludf.DUMMYFUNCTION("""COMPUTED_VALUE"""),"")</f>
        <v/>
      </c>
      <c r="V165" s="189" t="str">
        <f ca="1">IFERROR(__xludf.DUMMYFUNCTION("""COMPUTED_VALUE"""),"")</f>
        <v/>
      </c>
      <c r="W165" s="189" t="str">
        <f ca="1">IFERROR(__xludf.DUMMYFUNCTION("""COMPUTED_VALUE"""),"")</f>
        <v/>
      </c>
      <c r="X165" s="189" t="str">
        <f ca="1">IFERROR(__xludf.DUMMYFUNCTION("""COMPUTED_VALUE"""),"{t1:vert;charges:[{charge:mullet;t:argent;p:abcpqh;size:0.5}];shield:ironHills}")</f>
        <v>{t1:vert;charges:[{charge:mullet;t:argent;p:abcpqh;size:0.5}];shield:ironHills}</v>
      </c>
      <c r="Y165" s="193" t="str">
        <f ca="1">IFERROR(__xludf.DUMMYFUNCTION("""COMPUTED_VALUE"""),"https://watabou.github.io/village-generator/?pop=1506&amp;name=&amp;seed=3550748351049&amp;width=1600&amp;height=727&amp;tags=dead+end%2Cuncultivated%2Cno+orchards%2Cno+square%2Cdense")</f>
        <v>https://watabou.github.io/village-generator/?pop=1506&amp;name=&amp;seed=3550748351049&amp;width=1600&amp;height=727&amp;tags=dead+end%2Cuncultivated%2Cno+orchards%2Cno+square%2Cdense</v>
      </c>
      <c r="Z165" s="189"/>
    </row>
    <row r="166" spans="1:26" ht="15" x14ac:dyDescent="0.25">
      <c r="A166" s="55">
        <f ca="1">IFERROR(__xludf.DUMMYFUNCTION("""COMPUTED_VALUE"""),1050)</f>
        <v>1050</v>
      </c>
      <c r="B166" s="55" t="str">
        <f ca="1">IFERROR(__xludf.DUMMYFUNCTION("""COMPUTED_VALUE"""),"Brid")</f>
        <v>Brid</v>
      </c>
      <c r="C166" s="55" t="str">
        <f ca="1">IFERROR(__xludf.DUMMYFUNCTION("""COMPUTED_VALUE"""),"Madinglia")</f>
        <v>Madinglia</v>
      </c>
      <c r="D166" s="55" t="str">
        <f ca="1">IFERROR(__xludf.DUMMYFUNCTION("""COMPUTED_VALUE"""),"Madinglia Province")</f>
        <v>Madinglia Province</v>
      </c>
      <c r="E166" s="55" t="str">
        <f ca="1">IFERROR(__xludf.DUMMYFUNCTION("""COMPUTED_VALUE"""),"Shavia")</f>
        <v>Shavia</v>
      </c>
      <c r="F166" s="55" t="str">
        <f ca="1">IFERROR(__xludf.DUMMYFUNCTION("""COMPUTED_VALUE"""),"Kingdom of Shavia")</f>
        <v>Kingdom of Shavia</v>
      </c>
      <c r="G166" s="55" t="str">
        <f ca="1">IFERROR(__xludf.DUMMYFUNCTION("""COMPUTED_VALUE"""),"Madinglian")</f>
        <v>Madinglian</v>
      </c>
      <c r="H166" s="55" t="str">
        <f ca="1">IFERROR(__xludf.DUMMYFUNCTION("""COMPUTED_VALUE"""),"Children of Stone")</f>
        <v>Children of Stone</v>
      </c>
      <c r="I166" s="55">
        <f ca="1">IFERROR(__xludf.DUMMYFUNCTION("""COMPUTED_VALUE"""),1867)</f>
        <v>1867</v>
      </c>
      <c r="J166" s="55">
        <f ca="1">IFERROR(__xludf.DUMMYFUNCTION("""COMPUTED_VALUE"""),967.863182516567)</f>
        <v>967.86318251656701</v>
      </c>
      <c r="K166" s="55">
        <f ca="1">IFERROR(__xludf.DUMMYFUNCTION("""COMPUTED_VALUE"""),534.978782557584)</f>
        <v>534.97878255758405</v>
      </c>
      <c r="L166" s="55">
        <f ca="1">IFERROR(__xludf.DUMMYFUNCTION("""COMPUTED_VALUE"""),-24.42)</f>
        <v>-24.42</v>
      </c>
      <c r="M166" s="55">
        <f ca="1">IFERROR(__xludf.DUMMYFUNCTION("""COMPUTED_VALUE"""),6.26)</f>
        <v>6.26</v>
      </c>
      <c r="N166" s="55">
        <f ca="1">IFERROR(__xludf.DUMMYFUNCTION("""COMPUTED_VALUE"""),4738)</f>
        <v>4738</v>
      </c>
      <c r="O166" s="55" t="str">
        <f ca="1">IFERROR(__xludf.DUMMYFUNCTION("""COMPUTED_VALUE"""),"34°F")</f>
        <v>34°F</v>
      </c>
      <c r="P166" s="55" t="str">
        <f ca="1">IFERROR(__xludf.DUMMYFUNCTION("""COMPUTED_VALUE"""),"Arkhangelsk")</f>
        <v>Arkhangelsk</v>
      </c>
      <c r="Q166" s="55" t="str">
        <f ca="1">IFERROR(__xludf.DUMMYFUNCTION("""COMPUTED_VALUE"""),"")</f>
        <v/>
      </c>
      <c r="R166" s="55" t="str">
        <f ca="1">IFERROR(__xludf.DUMMYFUNCTION("""COMPUTED_VALUE"""),"")</f>
        <v/>
      </c>
      <c r="S166" s="55" t="str">
        <f ca="1">IFERROR(__xludf.DUMMYFUNCTION("""COMPUTED_VALUE"""),"")</f>
        <v/>
      </c>
      <c r="T166" s="55" t="str">
        <f ca="1">IFERROR(__xludf.DUMMYFUNCTION("""COMPUTED_VALUE"""),"")</f>
        <v/>
      </c>
      <c r="U166" s="55" t="str">
        <f ca="1">IFERROR(__xludf.DUMMYFUNCTION("""COMPUTED_VALUE"""),"")</f>
        <v/>
      </c>
      <c r="V166" s="189" t="str">
        <f ca="1">IFERROR(__xludf.DUMMYFUNCTION("""COMPUTED_VALUE"""),"")</f>
        <v/>
      </c>
      <c r="W166" s="189" t="str">
        <f ca="1">IFERROR(__xludf.DUMMYFUNCTION("""COMPUTED_VALUE"""),"")</f>
        <v/>
      </c>
      <c r="X166" s="189" t="str">
        <f ca="1">IFERROR(__xludf.DUMMYFUNCTION("""COMPUTED_VALUE"""),"{t1:azure;ordinaries:[{ordinary:bendletSinister;t:or;line:straight}];charges:[{charge:fusil;t:sable;p:lem;size:0.3}];shield:ironHills}")</f>
        <v>{t1:azure;ordinaries:[{ordinary:bendletSinister;t:or;line:straight}];charges:[{charge:fusil;t:sable;p:lem;size:0.3}];shield:ironHills}</v>
      </c>
      <c r="Y166" s="193" t="str">
        <f ca="1">IFERROR(__xludf.DUMMYFUNCTION("""COMPUTED_VALUE"""),"https://watabou.github.io/village-generator/?pop=1867&amp;name=&amp;seed=3550748351050&amp;width=1600&amp;height=727&amp;tags=dead+end%2Cuncultivated%2Cno+square%2Cdense")</f>
        <v>https://watabou.github.io/village-generator/?pop=1867&amp;name=&amp;seed=3550748351050&amp;width=1600&amp;height=727&amp;tags=dead+end%2Cuncultivated%2Cno+square%2Cdense</v>
      </c>
      <c r="Z166" s="189"/>
    </row>
    <row r="167" spans="1:26" ht="15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189"/>
      <c r="W167" s="189"/>
      <c r="X167" s="189"/>
      <c r="Y167" s="189"/>
      <c r="Z167" s="189"/>
    </row>
    <row r="168" spans="1:26" ht="15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189"/>
      <c r="W168" s="189"/>
      <c r="X168" s="189"/>
      <c r="Y168" s="189"/>
      <c r="Z168" s="189"/>
    </row>
    <row r="169" spans="1:26" ht="15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189"/>
      <c r="W169" s="189"/>
      <c r="X169" s="189"/>
      <c r="Y169" s="189"/>
      <c r="Z169" s="189"/>
    </row>
    <row r="170" spans="1:26" ht="15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189"/>
      <c r="W170" s="189"/>
      <c r="X170" s="189"/>
      <c r="Y170" s="189"/>
      <c r="Z170" s="189"/>
    </row>
    <row r="171" spans="1:26" ht="15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189"/>
      <c r="W171" s="189"/>
      <c r="X171" s="189"/>
      <c r="Y171" s="189"/>
      <c r="Z171" s="189"/>
    </row>
    <row r="172" spans="1:26" ht="15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189"/>
      <c r="W172" s="189"/>
      <c r="X172" s="189"/>
      <c r="Y172" s="189"/>
      <c r="Z172" s="189"/>
    </row>
    <row r="173" spans="1:26" ht="15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189"/>
      <c r="W173" s="189"/>
      <c r="X173" s="189"/>
      <c r="Y173" s="189"/>
      <c r="Z173" s="189"/>
    </row>
    <row r="174" spans="1:26" ht="15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189"/>
      <c r="W174" s="189"/>
      <c r="X174" s="189"/>
      <c r="Y174" s="189"/>
      <c r="Z174" s="189"/>
    </row>
    <row r="175" spans="1:26" ht="15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189"/>
      <c r="W175" s="189"/>
      <c r="X175" s="189"/>
      <c r="Y175" s="189"/>
      <c r="Z175" s="189"/>
    </row>
    <row r="176" spans="1:26" ht="15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189"/>
      <c r="W176" s="189"/>
      <c r="X176" s="189"/>
      <c r="Y176" s="189"/>
      <c r="Z176" s="189"/>
    </row>
    <row r="177" spans="1:26" ht="15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189"/>
      <c r="W177" s="189"/>
      <c r="X177" s="189"/>
      <c r="Y177" s="189"/>
      <c r="Z177" s="189"/>
    </row>
    <row r="178" spans="1:26" ht="15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189"/>
      <c r="W178" s="189"/>
      <c r="X178" s="189"/>
      <c r="Y178" s="189"/>
      <c r="Z178" s="189"/>
    </row>
    <row r="179" spans="1:26" ht="15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189"/>
      <c r="W179" s="189"/>
      <c r="X179" s="189"/>
      <c r="Y179" s="189"/>
      <c r="Z179" s="189"/>
    </row>
    <row r="180" spans="1:26" ht="15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189"/>
      <c r="W180" s="189"/>
      <c r="X180" s="189"/>
      <c r="Y180" s="189"/>
      <c r="Z180" s="189"/>
    </row>
    <row r="181" spans="1:26" ht="15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189"/>
      <c r="W181" s="189"/>
      <c r="X181" s="189"/>
      <c r="Y181" s="189"/>
      <c r="Z181" s="189"/>
    </row>
    <row r="182" spans="1:26" ht="15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189"/>
      <c r="W182" s="189"/>
      <c r="X182" s="189"/>
      <c r="Y182" s="189"/>
      <c r="Z182" s="189"/>
    </row>
    <row r="183" spans="1:26" ht="15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189"/>
      <c r="W183" s="189"/>
      <c r="X183" s="189"/>
      <c r="Y183" s="189"/>
      <c r="Z183" s="189"/>
    </row>
    <row r="184" spans="1:26" ht="15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189"/>
      <c r="W184" s="189"/>
      <c r="X184" s="189"/>
      <c r="Y184" s="189"/>
      <c r="Z184" s="189"/>
    </row>
    <row r="185" spans="1:26" ht="15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189"/>
      <c r="W185" s="189"/>
      <c r="X185" s="189"/>
      <c r="Y185" s="189"/>
      <c r="Z185" s="189"/>
    </row>
    <row r="186" spans="1:26" ht="15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189"/>
      <c r="W186" s="189"/>
      <c r="X186" s="189"/>
      <c r="Y186" s="189"/>
      <c r="Z186" s="189"/>
    </row>
    <row r="187" spans="1:26" ht="15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189"/>
      <c r="W187" s="189"/>
      <c r="X187" s="189"/>
      <c r="Y187" s="189"/>
      <c r="Z187" s="189"/>
    </row>
    <row r="188" spans="1:26" ht="15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189"/>
      <c r="W188" s="189"/>
      <c r="X188" s="189"/>
      <c r="Y188" s="189"/>
      <c r="Z188" s="189"/>
    </row>
    <row r="189" spans="1:26" ht="15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189"/>
      <c r="W189" s="189"/>
      <c r="X189" s="189"/>
      <c r="Y189" s="189"/>
      <c r="Z189" s="189"/>
    </row>
    <row r="190" spans="1:26" ht="15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189"/>
      <c r="W190" s="189"/>
      <c r="X190" s="189"/>
      <c r="Y190" s="189"/>
      <c r="Z190" s="189"/>
    </row>
    <row r="191" spans="1:26" ht="15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189"/>
      <c r="W191" s="189"/>
      <c r="X191" s="189"/>
      <c r="Y191" s="189"/>
      <c r="Z191" s="189"/>
    </row>
    <row r="192" spans="1:26" ht="15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189"/>
      <c r="W192" s="189"/>
      <c r="X192" s="189"/>
      <c r="Y192" s="189"/>
      <c r="Z192" s="189"/>
    </row>
    <row r="193" spans="1:26" ht="15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189"/>
      <c r="W193" s="189"/>
      <c r="X193" s="189"/>
      <c r="Y193" s="189"/>
      <c r="Z193" s="189"/>
    </row>
    <row r="194" spans="1:26" ht="15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189"/>
      <c r="W194" s="189"/>
      <c r="X194" s="189"/>
      <c r="Y194" s="189"/>
      <c r="Z194" s="189"/>
    </row>
    <row r="195" spans="1:26" ht="15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189"/>
      <c r="W195" s="189"/>
      <c r="X195" s="189"/>
      <c r="Y195" s="189"/>
      <c r="Z195" s="189"/>
    </row>
    <row r="196" spans="1:26" ht="15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189"/>
      <c r="W196" s="189"/>
      <c r="X196" s="189"/>
      <c r="Y196" s="189"/>
      <c r="Z196" s="189"/>
    </row>
    <row r="197" spans="1:26" ht="15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189"/>
      <c r="W197" s="189"/>
      <c r="X197" s="189"/>
      <c r="Y197" s="189"/>
      <c r="Z197" s="189"/>
    </row>
    <row r="198" spans="1:26" ht="15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189"/>
      <c r="W198" s="189"/>
      <c r="X198" s="189"/>
      <c r="Y198" s="189"/>
      <c r="Z198" s="189"/>
    </row>
    <row r="199" spans="1:26" ht="15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189"/>
      <c r="W199" s="189"/>
      <c r="X199" s="189"/>
      <c r="Y199" s="189"/>
      <c r="Z199" s="189"/>
    </row>
    <row r="200" spans="1:26" ht="15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189"/>
      <c r="W200" s="189"/>
      <c r="X200" s="189"/>
      <c r="Y200" s="189"/>
      <c r="Z200" s="189"/>
    </row>
    <row r="201" spans="1:26" ht="15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189"/>
      <c r="W201" s="189"/>
      <c r="X201" s="189"/>
      <c r="Y201" s="189"/>
      <c r="Z201" s="189"/>
    </row>
    <row r="202" spans="1:26" ht="15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189"/>
      <c r="W202" s="189"/>
      <c r="X202" s="189"/>
      <c r="Y202" s="189"/>
      <c r="Z202" s="189"/>
    </row>
    <row r="203" spans="1:26" ht="15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189"/>
      <c r="W203" s="189"/>
      <c r="X203" s="189"/>
      <c r="Y203" s="189"/>
      <c r="Z203" s="189"/>
    </row>
    <row r="204" spans="1:26" ht="15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189"/>
      <c r="W204" s="189"/>
      <c r="X204" s="189"/>
      <c r="Y204" s="189"/>
      <c r="Z204" s="189"/>
    </row>
    <row r="205" spans="1:26" ht="15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189"/>
      <c r="W205" s="189"/>
      <c r="X205" s="189"/>
      <c r="Y205" s="189"/>
      <c r="Z205" s="189"/>
    </row>
    <row r="206" spans="1:26" ht="15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189"/>
      <c r="W206" s="189"/>
      <c r="X206" s="189"/>
      <c r="Y206" s="189"/>
      <c r="Z206" s="189"/>
    </row>
    <row r="207" spans="1:26" ht="15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189"/>
      <c r="W207" s="189"/>
      <c r="X207" s="189"/>
      <c r="Y207" s="189"/>
      <c r="Z207" s="189"/>
    </row>
    <row r="208" spans="1:26" ht="15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189"/>
      <c r="W208" s="189"/>
      <c r="X208" s="189"/>
      <c r="Y208" s="189"/>
      <c r="Z208" s="189"/>
    </row>
    <row r="209" spans="1:26" ht="15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189"/>
      <c r="W209" s="189"/>
      <c r="X209" s="189"/>
      <c r="Y209" s="189"/>
      <c r="Z209" s="189"/>
    </row>
    <row r="210" spans="1:26" ht="15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189"/>
      <c r="W210" s="189"/>
      <c r="X210" s="189"/>
      <c r="Y210" s="189"/>
      <c r="Z210" s="189"/>
    </row>
    <row r="211" spans="1:26" ht="15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189"/>
      <c r="W211" s="189"/>
      <c r="X211" s="189"/>
      <c r="Y211" s="189"/>
      <c r="Z211" s="189"/>
    </row>
    <row r="212" spans="1:26" ht="15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189"/>
      <c r="W212" s="189"/>
      <c r="X212" s="189"/>
      <c r="Y212" s="189"/>
      <c r="Z212" s="189"/>
    </row>
    <row r="213" spans="1:26" ht="15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189"/>
      <c r="W213" s="189"/>
      <c r="X213" s="189"/>
      <c r="Y213" s="189"/>
      <c r="Z213" s="189"/>
    </row>
    <row r="214" spans="1:26" ht="15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189"/>
      <c r="W214" s="189"/>
      <c r="X214" s="189"/>
      <c r="Y214" s="189"/>
      <c r="Z214" s="189"/>
    </row>
    <row r="215" spans="1:26" ht="15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189"/>
      <c r="W215" s="189"/>
      <c r="X215" s="189"/>
      <c r="Y215" s="189"/>
      <c r="Z215" s="189"/>
    </row>
    <row r="216" spans="1:26" ht="15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189"/>
      <c r="W216" s="189"/>
      <c r="X216" s="189"/>
      <c r="Y216" s="189"/>
      <c r="Z216" s="189"/>
    </row>
    <row r="217" spans="1:26" ht="15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189"/>
      <c r="W217" s="189"/>
      <c r="X217" s="189"/>
      <c r="Y217" s="189"/>
      <c r="Z217" s="189"/>
    </row>
    <row r="218" spans="1:26" ht="15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189"/>
      <c r="W218" s="189"/>
      <c r="X218" s="189"/>
      <c r="Y218" s="189"/>
      <c r="Z218" s="189"/>
    </row>
    <row r="219" spans="1:26" ht="15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189"/>
      <c r="W219" s="189"/>
      <c r="X219" s="189"/>
      <c r="Y219" s="189"/>
      <c r="Z219" s="189"/>
    </row>
    <row r="220" spans="1:26" ht="15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189"/>
      <c r="W220" s="189"/>
      <c r="X220" s="189"/>
      <c r="Y220" s="189"/>
      <c r="Z220" s="189"/>
    </row>
    <row r="221" spans="1:26" ht="15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189"/>
      <c r="W221" s="189"/>
      <c r="X221" s="189"/>
      <c r="Y221" s="189"/>
      <c r="Z221" s="189"/>
    </row>
    <row r="222" spans="1:26" ht="15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189"/>
      <c r="W222" s="189"/>
      <c r="X222" s="189"/>
      <c r="Y222" s="189"/>
      <c r="Z222" s="189"/>
    </row>
    <row r="223" spans="1:26" ht="15" x14ac:dyDescent="0.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189"/>
      <c r="W223" s="189"/>
      <c r="X223" s="189"/>
      <c r="Y223" s="189"/>
      <c r="Z223" s="189"/>
    </row>
    <row r="224" spans="1:26" ht="15" x14ac:dyDescent="0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189"/>
      <c r="W224" s="189"/>
      <c r="X224" s="189"/>
      <c r="Y224" s="189"/>
      <c r="Z224" s="189"/>
    </row>
    <row r="225" spans="1:26" ht="15" x14ac:dyDescent="0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189"/>
      <c r="W225" s="189"/>
      <c r="X225" s="189"/>
      <c r="Y225" s="189"/>
      <c r="Z225" s="189"/>
    </row>
    <row r="226" spans="1:26" ht="15" x14ac:dyDescent="0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189"/>
      <c r="W226" s="189"/>
      <c r="X226" s="189"/>
      <c r="Y226" s="189"/>
      <c r="Z226" s="189"/>
    </row>
    <row r="227" spans="1:26" ht="15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189"/>
      <c r="W227" s="189"/>
      <c r="X227" s="189"/>
      <c r="Y227" s="189"/>
      <c r="Z227" s="189"/>
    </row>
    <row r="228" spans="1:26" ht="15" x14ac:dyDescent="0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189"/>
      <c r="W228" s="189"/>
      <c r="X228" s="189"/>
      <c r="Y228" s="189"/>
      <c r="Z228" s="189"/>
    </row>
    <row r="229" spans="1:26" ht="15" x14ac:dyDescent="0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189"/>
      <c r="W229" s="189"/>
      <c r="X229" s="189"/>
      <c r="Y229" s="189"/>
      <c r="Z229" s="189"/>
    </row>
    <row r="230" spans="1:26" ht="15" x14ac:dyDescent="0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189"/>
      <c r="W230" s="189"/>
      <c r="X230" s="189"/>
      <c r="Y230" s="189"/>
      <c r="Z230" s="189"/>
    </row>
    <row r="231" spans="1:26" ht="15" x14ac:dyDescent="0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189"/>
      <c r="W231" s="189"/>
      <c r="X231" s="189"/>
      <c r="Y231" s="189"/>
      <c r="Z231" s="189"/>
    </row>
    <row r="232" spans="1:26" ht="15" x14ac:dyDescent="0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189"/>
      <c r="W232" s="189"/>
      <c r="X232" s="189"/>
      <c r="Y232" s="189"/>
      <c r="Z232" s="189"/>
    </row>
    <row r="233" spans="1:26" ht="15" x14ac:dyDescent="0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189"/>
      <c r="W233" s="189"/>
      <c r="X233" s="189"/>
      <c r="Y233" s="189"/>
      <c r="Z233" s="189"/>
    </row>
    <row r="234" spans="1:26" ht="15" x14ac:dyDescent="0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189"/>
      <c r="W234" s="189"/>
      <c r="X234" s="189"/>
      <c r="Y234" s="189"/>
      <c r="Z234" s="189"/>
    </row>
    <row r="235" spans="1:26" ht="15" x14ac:dyDescent="0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189"/>
      <c r="W235" s="189"/>
      <c r="X235" s="189"/>
      <c r="Y235" s="189"/>
      <c r="Z235" s="189"/>
    </row>
    <row r="236" spans="1:26" ht="15" x14ac:dyDescent="0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189"/>
      <c r="W236" s="189"/>
      <c r="X236" s="189"/>
      <c r="Y236" s="189"/>
      <c r="Z236" s="189"/>
    </row>
    <row r="237" spans="1:26" ht="15" x14ac:dyDescent="0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189"/>
      <c r="W237" s="189"/>
      <c r="X237" s="189"/>
      <c r="Y237" s="189"/>
      <c r="Z237" s="189"/>
    </row>
    <row r="238" spans="1:26" ht="15" x14ac:dyDescent="0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189"/>
      <c r="W238" s="189"/>
      <c r="X238" s="189"/>
      <c r="Y238" s="189"/>
      <c r="Z238" s="189"/>
    </row>
    <row r="239" spans="1:26" ht="15" x14ac:dyDescent="0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189"/>
      <c r="W239" s="189"/>
      <c r="X239" s="189"/>
      <c r="Y239" s="189"/>
      <c r="Z239" s="189"/>
    </row>
    <row r="240" spans="1:26" ht="15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189"/>
      <c r="W240" s="189"/>
      <c r="X240" s="189"/>
      <c r="Y240" s="189"/>
      <c r="Z240" s="189"/>
    </row>
    <row r="241" spans="1:26" ht="15" x14ac:dyDescent="0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189"/>
      <c r="W241" s="189"/>
      <c r="X241" s="189"/>
      <c r="Y241" s="189"/>
      <c r="Z241" s="189"/>
    </row>
    <row r="242" spans="1:26" ht="15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189"/>
      <c r="W242" s="189"/>
      <c r="X242" s="189"/>
      <c r="Y242" s="189"/>
      <c r="Z242" s="189"/>
    </row>
    <row r="243" spans="1:26" ht="15" x14ac:dyDescent="0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189"/>
      <c r="W243" s="189"/>
      <c r="X243" s="189"/>
      <c r="Y243" s="189"/>
      <c r="Z243" s="189"/>
    </row>
    <row r="244" spans="1:26" ht="15" x14ac:dyDescent="0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189"/>
      <c r="W244" s="189"/>
      <c r="X244" s="189"/>
      <c r="Y244" s="189"/>
      <c r="Z244" s="189"/>
    </row>
    <row r="245" spans="1:26" ht="15" x14ac:dyDescent="0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189"/>
      <c r="W245" s="189"/>
      <c r="X245" s="189"/>
      <c r="Y245" s="189"/>
      <c r="Z245" s="189"/>
    </row>
    <row r="246" spans="1:26" ht="15" x14ac:dyDescent="0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189"/>
      <c r="W246" s="189"/>
      <c r="X246" s="189"/>
      <c r="Y246" s="189"/>
      <c r="Z246" s="189"/>
    </row>
    <row r="247" spans="1:26" ht="15" x14ac:dyDescent="0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189"/>
      <c r="W247" s="189"/>
      <c r="X247" s="189"/>
      <c r="Y247" s="189"/>
      <c r="Z247" s="189"/>
    </row>
    <row r="248" spans="1:26" ht="15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189"/>
      <c r="W248" s="189"/>
      <c r="X248" s="189"/>
      <c r="Y248" s="189"/>
      <c r="Z248" s="189"/>
    </row>
    <row r="249" spans="1:26" ht="15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189"/>
      <c r="W249" s="189"/>
      <c r="X249" s="189"/>
      <c r="Y249" s="189"/>
      <c r="Z249" s="189"/>
    </row>
    <row r="250" spans="1:26" ht="15" x14ac:dyDescent="0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189"/>
      <c r="W250" s="189"/>
      <c r="X250" s="189"/>
      <c r="Y250" s="189"/>
      <c r="Z250" s="189"/>
    </row>
    <row r="251" spans="1:26" ht="15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189"/>
      <c r="W251" s="189"/>
      <c r="X251" s="189"/>
      <c r="Y251" s="189"/>
      <c r="Z251" s="189"/>
    </row>
    <row r="252" spans="1:26" ht="15" x14ac:dyDescent="0.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189"/>
      <c r="W252" s="189"/>
      <c r="X252" s="189"/>
      <c r="Y252" s="189"/>
      <c r="Z252" s="189"/>
    </row>
    <row r="253" spans="1:26" ht="15" x14ac:dyDescent="0.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189"/>
      <c r="W253" s="189"/>
      <c r="X253" s="189"/>
      <c r="Y253" s="189"/>
      <c r="Z253" s="189"/>
    </row>
    <row r="254" spans="1:26" ht="15" x14ac:dyDescent="0.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189"/>
      <c r="W254" s="189"/>
      <c r="X254" s="189"/>
      <c r="Y254" s="189"/>
      <c r="Z254" s="189"/>
    </row>
    <row r="255" spans="1:26" ht="15" x14ac:dyDescent="0.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189"/>
      <c r="W255" s="189"/>
      <c r="X255" s="189"/>
      <c r="Y255" s="189"/>
      <c r="Z255" s="189"/>
    </row>
    <row r="256" spans="1:26" ht="15" x14ac:dyDescent="0.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189"/>
      <c r="W256" s="189"/>
      <c r="X256" s="189"/>
      <c r="Y256" s="189"/>
      <c r="Z256" s="189"/>
    </row>
    <row r="257" spans="1:26" ht="15" x14ac:dyDescent="0.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189"/>
      <c r="W257" s="189"/>
      <c r="X257" s="189"/>
      <c r="Y257" s="189"/>
      <c r="Z257" s="189"/>
    </row>
    <row r="258" spans="1:26" ht="15" x14ac:dyDescent="0.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189"/>
      <c r="W258" s="189"/>
      <c r="X258" s="189"/>
      <c r="Y258" s="189"/>
      <c r="Z258" s="189"/>
    </row>
    <row r="259" spans="1:26" ht="15" x14ac:dyDescent="0.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189"/>
      <c r="W259" s="189"/>
      <c r="X259" s="189"/>
      <c r="Y259" s="189"/>
      <c r="Z259" s="189"/>
    </row>
    <row r="260" spans="1:26" ht="15" x14ac:dyDescent="0.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189"/>
      <c r="W260" s="189"/>
      <c r="X260" s="189"/>
      <c r="Y260" s="189"/>
      <c r="Z260" s="189"/>
    </row>
    <row r="261" spans="1:26" ht="15" x14ac:dyDescent="0.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189"/>
      <c r="W261" s="189"/>
      <c r="X261" s="189"/>
      <c r="Y261" s="189"/>
      <c r="Z261" s="189"/>
    </row>
    <row r="262" spans="1:26" ht="15" x14ac:dyDescent="0.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189"/>
      <c r="W262" s="189"/>
      <c r="X262" s="189"/>
      <c r="Y262" s="189"/>
      <c r="Z262" s="189"/>
    </row>
    <row r="263" spans="1:26" ht="15" x14ac:dyDescent="0.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189"/>
      <c r="W263" s="189"/>
      <c r="X263" s="189"/>
      <c r="Y263" s="189"/>
      <c r="Z263" s="189"/>
    </row>
    <row r="264" spans="1:26" ht="15" x14ac:dyDescent="0.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189"/>
      <c r="W264" s="189"/>
      <c r="X264" s="189"/>
      <c r="Y264" s="189"/>
      <c r="Z264" s="189"/>
    </row>
    <row r="265" spans="1:26" ht="15" x14ac:dyDescent="0.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189"/>
      <c r="W265" s="189"/>
      <c r="X265" s="189"/>
      <c r="Y265" s="189"/>
      <c r="Z265" s="189"/>
    </row>
    <row r="266" spans="1:26" ht="15" x14ac:dyDescent="0.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189"/>
      <c r="W266" s="189"/>
      <c r="X266" s="189"/>
      <c r="Y266" s="189"/>
      <c r="Z266" s="189"/>
    </row>
    <row r="267" spans="1:26" ht="15" x14ac:dyDescent="0.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189"/>
      <c r="W267" s="189"/>
      <c r="X267" s="189"/>
      <c r="Y267" s="189"/>
      <c r="Z267" s="189"/>
    </row>
    <row r="268" spans="1:26" ht="15" x14ac:dyDescent="0.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189"/>
      <c r="W268" s="189"/>
      <c r="X268" s="189"/>
      <c r="Y268" s="189"/>
      <c r="Z268" s="189"/>
    </row>
    <row r="269" spans="1:26" ht="15" x14ac:dyDescent="0.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189"/>
      <c r="W269" s="189"/>
      <c r="X269" s="189"/>
      <c r="Y269" s="189"/>
      <c r="Z269" s="189"/>
    </row>
    <row r="270" spans="1:26" ht="15" x14ac:dyDescent="0.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189"/>
      <c r="W270" s="189"/>
      <c r="X270" s="189"/>
      <c r="Y270" s="189"/>
      <c r="Z270" s="189"/>
    </row>
    <row r="271" spans="1:26" ht="15" x14ac:dyDescent="0.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189"/>
      <c r="W271" s="189"/>
      <c r="X271" s="189"/>
      <c r="Y271" s="189"/>
      <c r="Z271" s="189"/>
    </row>
    <row r="272" spans="1:26" ht="15" x14ac:dyDescent="0.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189"/>
      <c r="W272" s="189"/>
      <c r="X272" s="189"/>
      <c r="Y272" s="189"/>
      <c r="Z272" s="189"/>
    </row>
    <row r="273" spans="1:26" ht="15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189"/>
      <c r="W273" s="189"/>
      <c r="X273" s="189"/>
      <c r="Y273" s="189"/>
      <c r="Z273" s="189"/>
    </row>
    <row r="274" spans="1:26" ht="15" x14ac:dyDescent="0.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189"/>
      <c r="W274" s="189"/>
      <c r="X274" s="189"/>
      <c r="Y274" s="189"/>
      <c r="Z274" s="189"/>
    </row>
    <row r="275" spans="1:26" ht="15" x14ac:dyDescent="0.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189"/>
      <c r="W275" s="189"/>
      <c r="X275" s="189"/>
      <c r="Y275" s="189"/>
      <c r="Z275" s="189"/>
    </row>
    <row r="276" spans="1:26" ht="15" x14ac:dyDescent="0.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189"/>
      <c r="W276" s="189"/>
      <c r="X276" s="189"/>
      <c r="Y276" s="189"/>
      <c r="Z276" s="189"/>
    </row>
    <row r="277" spans="1:26" ht="15" x14ac:dyDescent="0.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189"/>
      <c r="W277" s="189"/>
      <c r="X277" s="189"/>
      <c r="Y277" s="189"/>
      <c r="Z277" s="189"/>
    </row>
    <row r="278" spans="1:26" ht="15" x14ac:dyDescent="0.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189"/>
      <c r="W278" s="189"/>
      <c r="X278" s="189"/>
      <c r="Y278" s="189"/>
      <c r="Z278" s="189"/>
    </row>
    <row r="279" spans="1:26" ht="15" x14ac:dyDescent="0.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189"/>
      <c r="W279" s="189"/>
      <c r="X279" s="189"/>
      <c r="Y279" s="189"/>
      <c r="Z279" s="189"/>
    </row>
    <row r="280" spans="1:26" ht="15" x14ac:dyDescent="0.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189"/>
      <c r="W280" s="189"/>
      <c r="X280" s="189"/>
      <c r="Y280" s="189"/>
      <c r="Z280" s="189"/>
    </row>
    <row r="281" spans="1:26" ht="15" x14ac:dyDescent="0.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189"/>
      <c r="W281" s="189"/>
      <c r="X281" s="189"/>
      <c r="Y281" s="189"/>
      <c r="Z281" s="189"/>
    </row>
    <row r="282" spans="1:26" ht="15" x14ac:dyDescent="0.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189"/>
      <c r="W282" s="189"/>
      <c r="X282" s="189"/>
      <c r="Y282" s="189"/>
      <c r="Z282" s="189"/>
    </row>
    <row r="283" spans="1:26" ht="15" x14ac:dyDescent="0.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189"/>
      <c r="W283" s="189"/>
      <c r="X283" s="189"/>
      <c r="Y283" s="189"/>
      <c r="Z283" s="189"/>
    </row>
    <row r="284" spans="1:26" ht="15" x14ac:dyDescent="0.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189"/>
      <c r="W284" s="189"/>
      <c r="X284" s="189"/>
      <c r="Y284" s="189"/>
      <c r="Z284" s="189"/>
    </row>
    <row r="285" spans="1:26" ht="15" x14ac:dyDescent="0.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189"/>
      <c r="W285" s="189"/>
      <c r="X285" s="189"/>
      <c r="Y285" s="189"/>
      <c r="Z285" s="189"/>
    </row>
    <row r="286" spans="1:26" ht="15" x14ac:dyDescent="0.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189"/>
      <c r="W286" s="189"/>
      <c r="X286" s="189"/>
      <c r="Y286" s="189"/>
      <c r="Z286" s="189"/>
    </row>
    <row r="287" spans="1:26" ht="15" x14ac:dyDescent="0.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189"/>
      <c r="W287" s="189"/>
      <c r="X287" s="189"/>
      <c r="Y287" s="189"/>
      <c r="Z287" s="189"/>
    </row>
    <row r="288" spans="1:26" ht="15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189"/>
      <c r="W288" s="189"/>
      <c r="X288" s="189"/>
      <c r="Y288" s="189"/>
      <c r="Z288" s="189"/>
    </row>
    <row r="289" spans="1:26" ht="15" x14ac:dyDescent="0.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189"/>
      <c r="W289" s="189"/>
      <c r="X289" s="189"/>
      <c r="Y289" s="189"/>
      <c r="Z289" s="189"/>
    </row>
    <row r="290" spans="1:26" ht="15" x14ac:dyDescent="0.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189"/>
      <c r="W290" s="189"/>
      <c r="X290" s="189"/>
      <c r="Y290" s="189"/>
      <c r="Z290" s="189"/>
    </row>
    <row r="291" spans="1:26" ht="15" x14ac:dyDescent="0.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189"/>
      <c r="W291" s="189"/>
      <c r="X291" s="189"/>
      <c r="Y291" s="189"/>
      <c r="Z291" s="189"/>
    </row>
    <row r="292" spans="1:26" ht="15" x14ac:dyDescent="0.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189"/>
      <c r="W292" s="189"/>
      <c r="X292" s="189"/>
      <c r="Y292" s="189"/>
      <c r="Z292" s="189"/>
    </row>
    <row r="293" spans="1:26" ht="15" x14ac:dyDescent="0.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189"/>
      <c r="W293" s="189"/>
      <c r="X293" s="189"/>
      <c r="Y293" s="189"/>
      <c r="Z293" s="189"/>
    </row>
    <row r="294" spans="1:26" ht="15" x14ac:dyDescent="0.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189"/>
      <c r="W294" s="189"/>
      <c r="X294" s="189"/>
      <c r="Y294" s="189"/>
      <c r="Z294" s="189"/>
    </row>
    <row r="295" spans="1:26" ht="15" x14ac:dyDescent="0.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189"/>
      <c r="W295" s="189"/>
      <c r="X295" s="189"/>
      <c r="Y295" s="189"/>
      <c r="Z295" s="189"/>
    </row>
    <row r="296" spans="1:26" ht="15" x14ac:dyDescent="0.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189"/>
      <c r="W296" s="189"/>
      <c r="X296" s="189"/>
      <c r="Y296" s="189"/>
      <c r="Z296" s="189"/>
    </row>
    <row r="297" spans="1:26" ht="15" x14ac:dyDescent="0.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189"/>
      <c r="W297" s="189"/>
      <c r="X297" s="189"/>
      <c r="Y297" s="189"/>
      <c r="Z297" s="189"/>
    </row>
    <row r="298" spans="1:26" ht="15" x14ac:dyDescent="0.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189"/>
      <c r="W298" s="189"/>
      <c r="X298" s="189"/>
      <c r="Y298" s="189"/>
      <c r="Z298" s="189"/>
    </row>
    <row r="299" spans="1:26" ht="15" x14ac:dyDescent="0.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189"/>
      <c r="W299" s="189"/>
      <c r="X299" s="189"/>
      <c r="Y299" s="189"/>
      <c r="Z299" s="189"/>
    </row>
    <row r="300" spans="1:26" ht="15" x14ac:dyDescent="0.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189"/>
      <c r="W300" s="189"/>
      <c r="X300" s="189"/>
      <c r="Y300" s="189"/>
      <c r="Z300" s="189"/>
    </row>
    <row r="301" spans="1:26" ht="15" x14ac:dyDescent="0.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189"/>
      <c r="W301" s="189"/>
      <c r="X301" s="189"/>
      <c r="Y301" s="189"/>
      <c r="Z301" s="189"/>
    </row>
    <row r="302" spans="1:26" ht="15" x14ac:dyDescent="0.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189"/>
      <c r="W302" s="189"/>
      <c r="X302" s="189"/>
      <c r="Y302" s="189"/>
      <c r="Z302" s="189"/>
    </row>
    <row r="303" spans="1:26" ht="15" x14ac:dyDescent="0.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189"/>
      <c r="W303" s="189"/>
      <c r="X303" s="189"/>
      <c r="Y303" s="189"/>
      <c r="Z303" s="189"/>
    </row>
    <row r="304" spans="1:26" ht="15" x14ac:dyDescent="0.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189"/>
      <c r="W304" s="189"/>
      <c r="X304" s="189"/>
      <c r="Y304" s="189"/>
      <c r="Z304" s="189"/>
    </row>
    <row r="305" spans="1:26" ht="15" x14ac:dyDescent="0.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189"/>
      <c r="W305" s="189"/>
      <c r="X305" s="189"/>
      <c r="Y305" s="189"/>
      <c r="Z305" s="189"/>
    </row>
    <row r="306" spans="1:26" ht="15" x14ac:dyDescent="0.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189"/>
      <c r="W306" s="189"/>
      <c r="X306" s="189"/>
      <c r="Y306" s="189"/>
      <c r="Z306" s="189"/>
    </row>
    <row r="307" spans="1:26" ht="15" x14ac:dyDescent="0.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189"/>
      <c r="W307" s="189"/>
      <c r="X307" s="189"/>
      <c r="Y307" s="189"/>
      <c r="Z307" s="189"/>
    </row>
    <row r="308" spans="1:26" ht="15" x14ac:dyDescent="0.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189"/>
      <c r="W308" s="189"/>
      <c r="X308" s="189"/>
      <c r="Y308" s="189"/>
      <c r="Z308" s="189"/>
    </row>
    <row r="309" spans="1:26" ht="15" x14ac:dyDescent="0.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189"/>
      <c r="W309" s="189"/>
      <c r="X309" s="189"/>
      <c r="Y309" s="189"/>
      <c r="Z309" s="189"/>
    </row>
    <row r="310" spans="1:26" ht="15" x14ac:dyDescent="0.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189"/>
      <c r="W310" s="189"/>
      <c r="X310" s="189"/>
      <c r="Y310" s="189"/>
      <c r="Z310" s="189"/>
    </row>
    <row r="311" spans="1:26" ht="15" x14ac:dyDescent="0.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189"/>
      <c r="W311" s="189"/>
      <c r="X311" s="189"/>
      <c r="Y311" s="189"/>
      <c r="Z311" s="189"/>
    </row>
    <row r="312" spans="1:26" ht="15" x14ac:dyDescent="0.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189"/>
      <c r="W312" s="189"/>
      <c r="X312" s="189"/>
      <c r="Y312" s="189"/>
      <c r="Z312" s="189"/>
    </row>
    <row r="313" spans="1:26" ht="15" x14ac:dyDescent="0.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189"/>
      <c r="W313" s="189"/>
      <c r="X313" s="189"/>
      <c r="Y313" s="189"/>
      <c r="Z313" s="189"/>
    </row>
    <row r="314" spans="1:26" ht="15" x14ac:dyDescent="0.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189"/>
      <c r="W314" s="189"/>
      <c r="X314" s="189"/>
      <c r="Y314" s="189"/>
      <c r="Z314" s="189"/>
    </row>
    <row r="315" spans="1:26" ht="15" x14ac:dyDescent="0.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189"/>
      <c r="W315" s="189"/>
      <c r="X315" s="189"/>
      <c r="Y315" s="189"/>
      <c r="Z315" s="189"/>
    </row>
    <row r="316" spans="1:26" ht="15" x14ac:dyDescent="0.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189"/>
      <c r="W316" s="189"/>
      <c r="X316" s="189"/>
      <c r="Y316" s="189"/>
      <c r="Z316" s="189"/>
    </row>
    <row r="317" spans="1:26" ht="15" x14ac:dyDescent="0.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189"/>
      <c r="W317" s="189"/>
      <c r="X317" s="189"/>
      <c r="Y317" s="189"/>
      <c r="Z317" s="189"/>
    </row>
    <row r="318" spans="1:26" ht="15" x14ac:dyDescent="0.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189"/>
      <c r="W318" s="189"/>
      <c r="X318" s="189"/>
      <c r="Y318" s="189"/>
      <c r="Z318" s="189"/>
    </row>
    <row r="319" spans="1:26" ht="15" x14ac:dyDescent="0.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189"/>
      <c r="W319" s="189"/>
      <c r="X319" s="189"/>
      <c r="Y319" s="189"/>
      <c r="Z319" s="189"/>
    </row>
    <row r="320" spans="1:26" ht="15" x14ac:dyDescent="0.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189"/>
      <c r="W320" s="189"/>
      <c r="X320" s="189"/>
      <c r="Y320" s="189"/>
      <c r="Z320" s="189"/>
    </row>
    <row r="321" spans="1:26" ht="15" x14ac:dyDescent="0.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189"/>
      <c r="W321" s="189"/>
      <c r="X321" s="189"/>
      <c r="Y321" s="189"/>
      <c r="Z321" s="189"/>
    </row>
    <row r="322" spans="1:26" ht="15" x14ac:dyDescent="0.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189"/>
      <c r="W322" s="189"/>
      <c r="X322" s="189"/>
      <c r="Y322" s="189"/>
      <c r="Z322" s="189"/>
    </row>
    <row r="323" spans="1:26" ht="15" x14ac:dyDescent="0.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189"/>
      <c r="W323" s="189"/>
      <c r="X323" s="189"/>
      <c r="Y323" s="189"/>
      <c r="Z323" s="189"/>
    </row>
    <row r="324" spans="1:26" ht="15" x14ac:dyDescent="0.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189"/>
      <c r="W324" s="189"/>
      <c r="X324" s="189"/>
      <c r="Y324" s="189"/>
      <c r="Z324" s="189"/>
    </row>
    <row r="325" spans="1:26" ht="15" x14ac:dyDescent="0.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189"/>
      <c r="W325" s="189"/>
      <c r="X325" s="189"/>
      <c r="Y325" s="189"/>
      <c r="Z325" s="189"/>
    </row>
    <row r="326" spans="1:26" ht="15" x14ac:dyDescent="0.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189"/>
      <c r="W326" s="189"/>
      <c r="X326" s="189"/>
      <c r="Y326" s="189"/>
      <c r="Z326" s="189"/>
    </row>
    <row r="327" spans="1:26" ht="15" x14ac:dyDescent="0.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189"/>
      <c r="W327" s="189"/>
      <c r="X327" s="189"/>
      <c r="Y327" s="189"/>
      <c r="Z327" s="189"/>
    </row>
    <row r="328" spans="1:26" ht="15" x14ac:dyDescent="0.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189"/>
      <c r="W328" s="189"/>
      <c r="X328" s="189"/>
      <c r="Y328" s="189"/>
      <c r="Z328" s="189"/>
    </row>
    <row r="329" spans="1:26" ht="15" x14ac:dyDescent="0.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189"/>
      <c r="W329" s="189"/>
      <c r="X329" s="189"/>
      <c r="Y329" s="189"/>
      <c r="Z329" s="189"/>
    </row>
    <row r="330" spans="1:26" ht="15" x14ac:dyDescent="0.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189"/>
      <c r="W330" s="189"/>
      <c r="X330" s="189"/>
      <c r="Y330" s="189"/>
      <c r="Z330" s="189"/>
    </row>
    <row r="331" spans="1:26" ht="15" x14ac:dyDescent="0.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189"/>
      <c r="W331" s="189"/>
      <c r="X331" s="189"/>
      <c r="Y331" s="189"/>
      <c r="Z331" s="189"/>
    </row>
    <row r="332" spans="1:26" ht="15" x14ac:dyDescent="0.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189"/>
      <c r="W332" s="189"/>
      <c r="X332" s="189"/>
      <c r="Y332" s="189"/>
      <c r="Z332" s="189"/>
    </row>
    <row r="333" spans="1:26" ht="15" x14ac:dyDescent="0.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189"/>
      <c r="W333" s="189"/>
      <c r="X333" s="189"/>
      <c r="Y333" s="189"/>
      <c r="Z333" s="189"/>
    </row>
    <row r="334" spans="1:26" ht="15" x14ac:dyDescent="0.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189"/>
      <c r="W334" s="189"/>
      <c r="X334" s="189"/>
      <c r="Y334" s="189"/>
      <c r="Z334" s="189"/>
    </row>
    <row r="335" spans="1:26" ht="15" x14ac:dyDescent="0.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189"/>
      <c r="W335" s="189"/>
      <c r="X335" s="189"/>
      <c r="Y335" s="189"/>
      <c r="Z335" s="189"/>
    </row>
    <row r="336" spans="1:26" ht="15" x14ac:dyDescent="0.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189"/>
      <c r="W336" s="189"/>
      <c r="X336" s="189"/>
      <c r="Y336" s="189"/>
      <c r="Z336" s="189"/>
    </row>
    <row r="337" spans="1:26" ht="15" x14ac:dyDescent="0.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189"/>
      <c r="W337" s="189"/>
      <c r="X337" s="189"/>
      <c r="Y337" s="189"/>
      <c r="Z337" s="189"/>
    </row>
    <row r="338" spans="1:26" ht="15" x14ac:dyDescent="0.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189"/>
      <c r="W338" s="189"/>
      <c r="X338" s="189"/>
      <c r="Y338" s="189"/>
      <c r="Z338" s="189"/>
    </row>
    <row r="339" spans="1:26" ht="15" x14ac:dyDescent="0.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189"/>
      <c r="W339" s="189"/>
      <c r="X339" s="189"/>
      <c r="Y339" s="189"/>
      <c r="Z339" s="189"/>
    </row>
    <row r="340" spans="1:26" ht="15" x14ac:dyDescent="0.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189"/>
      <c r="W340" s="189"/>
      <c r="X340" s="189"/>
      <c r="Y340" s="189"/>
      <c r="Z340" s="189"/>
    </row>
    <row r="341" spans="1:26" ht="15" x14ac:dyDescent="0.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189"/>
      <c r="W341" s="189"/>
      <c r="X341" s="189"/>
      <c r="Y341" s="189"/>
      <c r="Z341" s="189"/>
    </row>
    <row r="342" spans="1:26" ht="15" x14ac:dyDescent="0.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189"/>
      <c r="W342" s="189"/>
      <c r="X342" s="189"/>
      <c r="Y342" s="189"/>
      <c r="Z342" s="189"/>
    </row>
    <row r="343" spans="1:26" ht="15" x14ac:dyDescent="0.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189"/>
      <c r="W343" s="189"/>
      <c r="X343" s="189"/>
      <c r="Y343" s="189"/>
      <c r="Z343" s="189"/>
    </row>
    <row r="344" spans="1:26" ht="15" x14ac:dyDescent="0.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189"/>
      <c r="W344" s="189"/>
      <c r="X344" s="189"/>
      <c r="Y344" s="189"/>
      <c r="Z344" s="189"/>
    </row>
    <row r="345" spans="1:26" ht="15" x14ac:dyDescent="0.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189"/>
      <c r="W345" s="189"/>
      <c r="X345" s="189"/>
      <c r="Y345" s="189"/>
      <c r="Z345" s="189"/>
    </row>
    <row r="346" spans="1:26" ht="15" x14ac:dyDescent="0.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189"/>
      <c r="W346" s="189"/>
      <c r="X346" s="189"/>
      <c r="Y346" s="189"/>
      <c r="Z346" s="189"/>
    </row>
    <row r="347" spans="1:26" ht="15" x14ac:dyDescent="0.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189"/>
      <c r="W347" s="189"/>
      <c r="X347" s="189"/>
      <c r="Y347" s="189"/>
      <c r="Z347" s="189"/>
    </row>
    <row r="348" spans="1:26" ht="15" x14ac:dyDescent="0.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189"/>
      <c r="W348" s="189"/>
      <c r="X348" s="189"/>
      <c r="Y348" s="189"/>
      <c r="Z348" s="189"/>
    </row>
    <row r="349" spans="1:26" ht="15" x14ac:dyDescent="0.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189"/>
      <c r="W349" s="189"/>
      <c r="X349" s="189"/>
      <c r="Y349" s="189"/>
      <c r="Z349" s="189"/>
    </row>
    <row r="350" spans="1:26" ht="15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189"/>
      <c r="W350" s="189"/>
      <c r="X350" s="189"/>
      <c r="Y350" s="189"/>
      <c r="Z350" s="189"/>
    </row>
    <row r="351" spans="1:26" ht="15" x14ac:dyDescent="0.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189"/>
      <c r="W351" s="189"/>
      <c r="X351" s="189"/>
      <c r="Y351" s="189"/>
      <c r="Z351" s="189"/>
    </row>
    <row r="352" spans="1:26" ht="15" x14ac:dyDescent="0.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189"/>
      <c r="W352" s="189"/>
      <c r="X352" s="189"/>
      <c r="Y352" s="189"/>
      <c r="Z352" s="189"/>
    </row>
    <row r="353" spans="1:26" ht="15" x14ac:dyDescent="0.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189"/>
      <c r="W353" s="189"/>
      <c r="X353" s="189"/>
      <c r="Y353" s="189"/>
      <c r="Z353" s="189"/>
    </row>
    <row r="354" spans="1:26" ht="15" x14ac:dyDescent="0.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189"/>
      <c r="W354" s="189"/>
      <c r="X354" s="189"/>
      <c r="Y354" s="189"/>
      <c r="Z354" s="189"/>
    </row>
    <row r="355" spans="1:26" ht="15" x14ac:dyDescent="0.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189"/>
      <c r="W355" s="189"/>
      <c r="X355" s="189"/>
      <c r="Y355" s="189"/>
      <c r="Z355" s="189"/>
    </row>
    <row r="356" spans="1:26" ht="15" x14ac:dyDescent="0.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189"/>
      <c r="W356" s="189"/>
      <c r="X356" s="189"/>
      <c r="Y356" s="189"/>
      <c r="Z356" s="189"/>
    </row>
    <row r="357" spans="1:26" ht="15" x14ac:dyDescent="0.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189"/>
      <c r="W357" s="189"/>
      <c r="X357" s="189"/>
      <c r="Y357" s="189"/>
      <c r="Z357" s="189"/>
    </row>
    <row r="358" spans="1:26" ht="15" x14ac:dyDescent="0.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189"/>
      <c r="W358" s="189"/>
      <c r="X358" s="189"/>
      <c r="Y358" s="189"/>
      <c r="Z358" s="189"/>
    </row>
    <row r="359" spans="1:26" ht="15" x14ac:dyDescent="0.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189"/>
      <c r="W359" s="189"/>
      <c r="X359" s="189"/>
      <c r="Y359" s="189"/>
      <c r="Z359" s="189"/>
    </row>
    <row r="360" spans="1:26" ht="15" x14ac:dyDescent="0.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189"/>
      <c r="W360" s="189"/>
      <c r="X360" s="189"/>
      <c r="Y360" s="189"/>
      <c r="Z360" s="189"/>
    </row>
    <row r="361" spans="1:26" ht="15" x14ac:dyDescent="0.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189"/>
      <c r="W361" s="189"/>
      <c r="X361" s="189"/>
      <c r="Y361" s="189"/>
      <c r="Z361" s="189"/>
    </row>
    <row r="362" spans="1:26" ht="15" x14ac:dyDescent="0.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189"/>
      <c r="W362" s="189"/>
      <c r="X362" s="189"/>
      <c r="Y362" s="189"/>
      <c r="Z362" s="189"/>
    </row>
    <row r="363" spans="1:26" ht="15" x14ac:dyDescent="0.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189"/>
      <c r="W363" s="189"/>
      <c r="X363" s="189"/>
      <c r="Y363" s="189"/>
      <c r="Z363" s="189"/>
    </row>
    <row r="364" spans="1:26" ht="15" x14ac:dyDescent="0.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189"/>
      <c r="W364" s="189"/>
      <c r="X364" s="189"/>
      <c r="Y364" s="189"/>
      <c r="Z364" s="189"/>
    </row>
    <row r="365" spans="1:26" ht="15" x14ac:dyDescent="0.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189"/>
      <c r="W365" s="189"/>
      <c r="X365" s="189"/>
      <c r="Y365" s="189"/>
      <c r="Z365" s="189"/>
    </row>
    <row r="366" spans="1:26" ht="15" x14ac:dyDescent="0.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189"/>
      <c r="W366" s="189"/>
      <c r="X366" s="189"/>
      <c r="Y366" s="189"/>
      <c r="Z366" s="189"/>
    </row>
    <row r="367" spans="1:26" ht="15" x14ac:dyDescent="0.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189"/>
      <c r="W367" s="189"/>
      <c r="X367" s="189"/>
      <c r="Y367" s="189"/>
      <c r="Z367" s="189"/>
    </row>
    <row r="368" spans="1:26" ht="15" x14ac:dyDescent="0.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189"/>
      <c r="W368" s="189"/>
      <c r="X368" s="189"/>
      <c r="Y368" s="189"/>
      <c r="Z368" s="189"/>
    </row>
    <row r="369" spans="1:26" ht="15" x14ac:dyDescent="0.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189"/>
      <c r="W369" s="189"/>
      <c r="X369" s="189"/>
      <c r="Y369" s="189"/>
      <c r="Z369" s="189"/>
    </row>
    <row r="370" spans="1:26" ht="15" x14ac:dyDescent="0.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189"/>
      <c r="W370" s="189"/>
      <c r="X370" s="189"/>
      <c r="Y370" s="189"/>
      <c r="Z370" s="189"/>
    </row>
    <row r="371" spans="1:26" ht="15" x14ac:dyDescent="0.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189"/>
      <c r="W371" s="189"/>
      <c r="X371" s="189"/>
      <c r="Y371" s="189"/>
      <c r="Z371" s="189"/>
    </row>
    <row r="372" spans="1:26" ht="15" x14ac:dyDescent="0.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189"/>
      <c r="W372" s="189"/>
      <c r="X372" s="189"/>
      <c r="Y372" s="189"/>
      <c r="Z372" s="189"/>
    </row>
    <row r="373" spans="1:26" ht="15" x14ac:dyDescent="0.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189"/>
      <c r="W373" s="189"/>
      <c r="X373" s="189"/>
      <c r="Y373" s="189"/>
      <c r="Z373" s="189"/>
    </row>
    <row r="374" spans="1:26" ht="15" x14ac:dyDescent="0.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189"/>
      <c r="W374" s="189"/>
      <c r="X374" s="189"/>
      <c r="Y374" s="189"/>
      <c r="Z374" s="189"/>
    </row>
    <row r="375" spans="1:26" ht="15" x14ac:dyDescent="0.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189"/>
      <c r="W375" s="189"/>
      <c r="X375" s="189"/>
      <c r="Y375" s="189"/>
      <c r="Z375" s="189"/>
    </row>
    <row r="376" spans="1:26" ht="15" x14ac:dyDescent="0.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189"/>
      <c r="W376" s="189"/>
      <c r="X376" s="189"/>
      <c r="Y376" s="189"/>
      <c r="Z376" s="189"/>
    </row>
    <row r="377" spans="1:26" ht="15" x14ac:dyDescent="0.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189"/>
      <c r="W377" s="189"/>
      <c r="X377" s="189"/>
      <c r="Y377" s="189"/>
      <c r="Z377" s="189"/>
    </row>
    <row r="378" spans="1:26" ht="15" x14ac:dyDescent="0.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189"/>
      <c r="W378" s="189"/>
      <c r="X378" s="189"/>
      <c r="Y378" s="189"/>
      <c r="Z378" s="189"/>
    </row>
    <row r="379" spans="1:26" ht="15" x14ac:dyDescent="0.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189"/>
      <c r="W379" s="189"/>
      <c r="X379" s="189"/>
      <c r="Y379" s="189"/>
      <c r="Z379" s="189"/>
    </row>
    <row r="380" spans="1:26" ht="15" x14ac:dyDescent="0.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189"/>
      <c r="W380" s="189"/>
      <c r="X380" s="189"/>
      <c r="Y380" s="189"/>
      <c r="Z380" s="189"/>
    </row>
    <row r="381" spans="1:26" ht="15" x14ac:dyDescent="0.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189"/>
      <c r="W381" s="189"/>
      <c r="X381" s="189"/>
      <c r="Y381" s="189"/>
      <c r="Z381" s="189"/>
    </row>
    <row r="382" spans="1:26" ht="15" x14ac:dyDescent="0.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189"/>
      <c r="W382" s="189"/>
      <c r="X382" s="189"/>
      <c r="Y382" s="189"/>
      <c r="Z382" s="189"/>
    </row>
    <row r="383" spans="1:26" ht="15" x14ac:dyDescent="0.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189"/>
      <c r="W383" s="189"/>
      <c r="X383" s="189"/>
      <c r="Y383" s="189"/>
      <c r="Z383" s="189"/>
    </row>
    <row r="384" spans="1:26" ht="15" x14ac:dyDescent="0.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189"/>
      <c r="W384" s="189"/>
      <c r="X384" s="189"/>
      <c r="Y384" s="189"/>
      <c r="Z384" s="189"/>
    </row>
    <row r="385" spans="1:26" ht="15" x14ac:dyDescent="0.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189"/>
      <c r="W385" s="189"/>
      <c r="X385" s="189"/>
      <c r="Y385" s="189"/>
      <c r="Z385" s="189"/>
    </row>
    <row r="386" spans="1:26" ht="15" x14ac:dyDescent="0.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189"/>
      <c r="W386" s="189"/>
      <c r="X386" s="189"/>
      <c r="Y386" s="189"/>
      <c r="Z386" s="189"/>
    </row>
    <row r="387" spans="1:26" ht="15" x14ac:dyDescent="0.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189"/>
      <c r="W387" s="189"/>
      <c r="X387" s="189"/>
      <c r="Y387" s="189"/>
      <c r="Z387" s="189"/>
    </row>
    <row r="388" spans="1:26" ht="15" x14ac:dyDescent="0.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189"/>
      <c r="W388" s="189"/>
      <c r="X388" s="189"/>
      <c r="Y388" s="189"/>
      <c r="Z388" s="189"/>
    </row>
    <row r="389" spans="1:26" ht="15" x14ac:dyDescent="0.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189"/>
      <c r="W389" s="189"/>
      <c r="X389" s="189"/>
      <c r="Y389" s="189"/>
      <c r="Z389" s="189"/>
    </row>
    <row r="390" spans="1:26" ht="15" x14ac:dyDescent="0.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189"/>
      <c r="W390" s="189"/>
      <c r="X390" s="189"/>
      <c r="Y390" s="189"/>
      <c r="Z390" s="189"/>
    </row>
    <row r="391" spans="1:26" ht="15" x14ac:dyDescent="0.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189"/>
      <c r="W391" s="189"/>
      <c r="X391" s="189"/>
      <c r="Y391" s="189"/>
      <c r="Z391" s="189"/>
    </row>
    <row r="392" spans="1:26" ht="15" x14ac:dyDescent="0.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189"/>
      <c r="W392" s="189"/>
      <c r="X392" s="189"/>
      <c r="Y392" s="189"/>
      <c r="Z392" s="189"/>
    </row>
    <row r="393" spans="1:26" ht="15" x14ac:dyDescent="0.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189"/>
      <c r="W393" s="189"/>
      <c r="X393" s="189"/>
      <c r="Y393" s="189"/>
      <c r="Z393" s="189"/>
    </row>
    <row r="394" spans="1:26" ht="15" x14ac:dyDescent="0.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189"/>
      <c r="W394" s="189"/>
      <c r="X394" s="189"/>
      <c r="Y394" s="189"/>
      <c r="Z394" s="189"/>
    </row>
    <row r="395" spans="1:26" ht="15" x14ac:dyDescent="0.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189"/>
      <c r="W395" s="189"/>
      <c r="X395" s="189"/>
      <c r="Y395" s="189"/>
      <c r="Z395" s="189"/>
    </row>
    <row r="396" spans="1:26" ht="15" x14ac:dyDescent="0.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189"/>
      <c r="W396" s="189"/>
      <c r="X396" s="189"/>
      <c r="Y396" s="189"/>
      <c r="Z396" s="189"/>
    </row>
    <row r="397" spans="1:26" ht="15" x14ac:dyDescent="0.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189"/>
      <c r="W397" s="189"/>
      <c r="X397" s="189"/>
      <c r="Y397" s="189"/>
      <c r="Z397" s="189"/>
    </row>
    <row r="398" spans="1:26" ht="15" x14ac:dyDescent="0.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189"/>
      <c r="W398" s="189"/>
      <c r="X398" s="189"/>
      <c r="Y398" s="189"/>
      <c r="Z398" s="189"/>
    </row>
    <row r="399" spans="1:26" ht="15" x14ac:dyDescent="0.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189"/>
      <c r="W399" s="189"/>
      <c r="X399" s="189"/>
      <c r="Y399" s="189"/>
      <c r="Z399" s="189"/>
    </row>
    <row r="400" spans="1:26" ht="15" x14ac:dyDescent="0.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189"/>
      <c r="W400" s="189"/>
      <c r="X400" s="189"/>
      <c r="Y400" s="189"/>
      <c r="Z400" s="189"/>
    </row>
    <row r="401" spans="1:26" ht="15" x14ac:dyDescent="0.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189"/>
      <c r="W401" s="189"/>
      <c r="X401" s="189"/>
      <c r="Y401" s="189"/>
      <c r="Z401" s="189"/>
    </row>
    <row r="402" spans="1:26" ht="15" x14ac:dyDescent="0.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189"/>
      <c r="W402" s="189"/>
      <c r="X402" s="189"/>
      <c r="Y402" s="189"/>
      <c r="Z402" s="189"/>
    </row>
    <row r="403" spans="1:26" ht="15" x14ac:dyDescent="0.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189"/>
      <c r="W403" s="189"/>
      <c r="X403" s="189"/>
      <c r="Y403" s="189"/>
      <c r="Z403" s="189"/>
    </row>
    <row r="404" spans="1:26" ht="15" x14ac:dyDescent="0.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189"/>
      <c r="W404" s="189"/>
      <c r="X404" s="189"/>
      <c r="Y404" s="189"/>
      <c r="Z404" s="189"/>
    </row>
    <row r="405" spans="1:26" ht="15" x14ac:dyDescent="0.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189"/>
      <c r="W405" s="189"/>
      <c r="X405" s="189"/>
      <c r="Y405" s="189"/>
      <c r="Z405" s="189"/>
    </row>
    <row r="406" spans="1:26" ht="15" x14ac:dyDescent="0.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189"/>
      <c r="W406" s="189"/>
      <c r="X406" s="189"/>
      <c r="Y406" s="189"/>
      <c r="Z406" s="189"/>
    </row>
    <row r="407" spans="1:26" ht="15" x14ac:dyDescent="0.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189"/>
      <c r="W407" s="189"/>
      <c r="X407" s="189"/>
      <c r="Y407" s="189"/>
      <c r="Z407" s="189"/>
    </row>
    <row r="408" spans="1:26" ht="15" x14ac:dyDescent="0.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189"/>
      <c r="W408" s="189"/>
      <c r="X408" s="189"/>
      <c r="Y408" s="189"/>
      <c r="Z408" s="189"/>
    </row>
    <row r="409" spans="1:26" ht="15" x14ac:dyDescent="0.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189"/>
      <c r="W409" s="189"/>
      <c r="X409" s="189"/>
      <c r="Y409" s="189"/>
      <c r="Z409" s="189"/>
    </row>
    <row r="410" spans="1:26" ht="15" x14ac:dyDescent="0.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189"/>
      <c r="W410" s="189"/>
      <c r="X410" s="189"/>
      <c r="Y410" s="189"/>
      <c r="Z410" s="189"/>
    </row>
    <row r="411" spans="1:26" ht="15" x14ac:dyDescent="0.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189"/>
      <c r="W411" s="189"/>
      <c r="X411" s="189"/>
      <c r="Y411" s="189"/>
      <c r="Z411" s="189"/>
    </row>
    <row r="412" spans="1:26" ht="15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189"/>
      <c r="W412" s="189"/>
      <c r="X412" s="189"/>
      <c r="Y412" s="189"/>
      <c r="Z412" s="189"/>
    </row>
    <row r="413" spans="1:26" ht="15" x14ac:dyDescent="0.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189"/>
      <c r="W413" s="189"/>
      <c r="X413" s="189"/>
      <c r="Y413" s="189"/>
      <c r="Z413" s="189"/>
    </row>
    <row r="414" spans="1:26" ht="15" x14ac:dyDescent="0.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189"/>
      <c r="W414" s="189"/>
      <c r="X414" s="189"/>
      <c r="Y414" s="189"/>
      <c r="Z414" s="189"/>
    </row>
    <row r="415" spans="1:26" ht="15" x14ac:dyDescent="0.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189"/>
      <c r="W415" s="189"/>
      <c r="X415" s="189"/>
      <c r="Y415" s="189"/>
      <c r="Z415" s="189"/>
    </row>
    <row r="416" spans="1:26" ht="15" x14ac:dyDescent="0.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189"/>
      <c r="W416" s="189"/>
      <c r="X416" s="189"/>
      <c r="Y416" s="189"/>
      <c r="Z416" s="189"/>
    </row>
    <row r="417" spans="1:26" ht="15" x14ac:dyDescent="0.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189"/>
      <c r="W417" s="189"/>
      <c r="X417" s="189"/>
      <c r="Y417" s="189"/>
      <c r="Z417" s="189"/>
    </row>
    <row r="418" spans="1:26" ht="15" x14ac:dyDescent="0.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189"/>
      <c r="W418" s="189"/>
      <c r="X418" s="189"/>
      <c r="Y418" s="189"/>
      <c r="Z418" s="189"/>
    </row>
    <row r="419" spans="1:26" ht="15" x14ac:dyDescent="0.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189"/>
      <c r="W419" s="189"/>
      <c r="X419" s="189"/>
      <c r="Y419" s="189"/>
      <c r="Z419" s="189"/>
    </row>
    <row r="420" spans="1:26" ht="15" x14ac:dyDescent="0.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189"/>
      <c r="W420" s="189"/>
      <c r="X420" s="189"/>
      <c r="Y420" s="189"/>
      <c r="Z420" s="189"/>
    </row>
    <row r="421" spans="1:26" ht="15" x14ac:dyDescent="0.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189"/>
      <c r="W421" s="189"/>
      <c r="X421" s="189"/>
      <c r="Y421" s="189"/>
      <c r="Z421" s="189"/>
    </row>
    <row r="422" spans="1:26" ht="15" x14ac:dyDescent="0.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189"/>
      <c r="W422" s="189"/>
      <c r="X422" s="189"/>
      <c r="Y422" s="189"/>
      <c r="Z422" s="189"/>
    </row>
    <row r="423" spans="1:26" ht="15" x14ac:dyDescent="0.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189"/>
      <c r="W423" s="189"/>
      <c r="X423" s="189"/>
      <c r="Y423" s="189"/>
      <c r="Z423" s="189"/>
    </row>
    <row r="424" spans="1:26" ht="15" x14ac:dyDescent="0.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189"/>
      <c r="W424" s="189"/>
      <c r="X424" s="189"/>
      <c r="Y424" s="189"/>
      <c r="Z424" s="189"/>
    </row>
    <row r="425" spans="1:26" ht="15" x14ac:dyDescent="0.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189"/>
      <c r="W425" s="189"/>
      <c r="X425" s="189"/>
      <c r="Y425" s="189"/>
      <c r="Z425" s="189"/>
    </row>
    <row r="426" spans="1:26" ht="15" x14ac:dyDescent="0.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189"/>
      <c r="W426" s="189"/>
      <c r="X426" s="189"/>
      <c r="Y426" s="189"/>
      <c r="Z426" s="189"/>
    </row>
    <row r="427" spans="1:26" ht="15" x14ac:dyDescent="0.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189"/>
      <c r="W427" s="189"/>
      <c r="X427" s="189"/>
      <c r="Y427" s="189"/>
      <c r="Z427" s="189"/>
    </row>
    <row r="428" spans="1:26" ht="15" x14ac:dyDescent="0.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189"/>
      <c r="W428" s="189"/>
      <c r="X428" s="189"/>
      <c r="Y428" s="189"/>
      <c r="Z428" s="189"/>
    </row>
    <row r="429" spans="1:26" ht="15" x14ac:dyDescent="0.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189"/>
      <c r="W429" s="189"/>
      <c r="X429" s="189"/>
      <c r="Y429" s="189"/>
      <c r="Z429" s="189"/>
    </row>
    <row r="430" spans="1:26" ht="15" x14ac:dyDescent="0.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189"/>
      <c r="W430" s="189"/>
      <c r="X430" s="189"/>
      <c r="Y430" s="189"/>
      <c r="Z430" s="189"/>
    </row>
    <row r="431" spans="1:26" ht="15" x14ac:dyDescent="0.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189"/>
      <c r="W431" s="189"/>
      <c r="X431" s="189"/>
      <c r="Y431" s="189"/>
      <c r="Z431" s="189"/>
    </row>
    <row r="432" spans="1:26" ht="15" x14ac:dyDescent="0.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189"/>
      <c r="W432" s="189"/>
      <c r="X432" s="189"/>
      <c r="Y432" s="189"/>
      <c r="Z432" s="189"/>
    </row>
    <row r="433" spans="1:26" ht="15" x14ac:dyDescent="0.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189"/>
      <c r="W433" s="189"/>
      <c r="X433" s="189"/>
      <c r="Y433" s="189"/>
      <c r="Z433" s="189"/>
    </row>
    <row r="434" spans="1:26" ht="15" x14ac:dyDescent="0.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189"/>
      <c r="W434" s="189"/>
      <c r="X434" s="189"/>
      <c r="Y434" s="189"/>
      <c r="Z434" s="189"/>
    </row>
    <row r="435" spans="1:26" ht="15" x14ac:dyDescent="0.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189"/>
      <c r="W435" s="189"/>
      <c r="X435" s="189"/>
      <c r="Y435" s="189"/>
      <c r="Z435" s="189"/>
    </row>
    <row r="436" spans="1:26" ht="15" x14ac:dyDescent="0.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189"/>
      <c r="W436" s="189"/>
      <c r="X436" s="189"/>
      <c r="Y436" s="189"/>
      <c r="Z436" s="189"/>
    </row>
    <row r="437" spans="1:26" ht="15" x14ac:dyDescent="0.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189"/>
      <c r="W437" s="189"/>
      <c r="X437" s="189"/>
      <c r="Y437" s="189"/>
      <c r="Z437" s="189"/>
    </row>
    <row r="438" spans="1:26" ht="15" x14ac:dyDescent="0.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189"/>
      <c r="W438" s="189"/>
      <c r="X438" s="189"/>
      <c r="Y438" s="189"/>
      <c r="Z438" s="189"/>
    </row>
    <row r="439" spans="1:26" ht="15" x14ac:dyDescent="0.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189"/>
      <c r="W439" s="189"/>
      <c r="X439" s="189"/>
      <c r="Y439" s="189"/>
      <c r="Z439" s="189"/>
    </row>
    <row r="440" spans="1:26" ht="15" x14ac:dyDescent="0.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189"/>
      <c r="W440" s="189"/>
      <c r="X440" s="189"/>
      <c r="Y440" s="189"/>
      <c r="Z440" s="189"/>
    </row>
    <row r="441" spans="1:26" ht="15" x14ac:dyDescent="0.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189"/>
      <c r="W441" s="189"/>
      <c r="X441" s="189"/>
      <c r="Y441" s="189"/>
      <c r="Z441" s="189"/>
    </row>
    <row r="442" spans="1:26" ht="15" x14ac:dyDescent="0.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189"/>
      <c r="W442" s="189"/>
      <c r="X442" s="189"/>
      <c r="Y442" s="189"/>
      <c r="Z442" s="189"/>
    </row>
    <row r="443" spans="1:26" ht="15" x14ac:dyDescent="0.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189"/>
      <c r="W443" s="189"/>
      <c r="X443" s="189"/>
      <c r="Y443" s="189"/>
      <c r="Z443" s="189"/>
    </row>
    <row r="444" spans="1:26" ht="15" x14ac:dyDescent="0.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189"/>
      <c r="W444" s="189"/>
      <c r="X444" s="189"/>
      <c r="Y444" s="189"/>
      <c r="Z444" s="189"/>
    </row>
    <row r="445" spans="1:26" ht="15" x14ac:dyDescent="0.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189"/>
      <c r="W445" s="189"/>
      <c r="X445" s="189"/>
      <c r="Y445" s="189"/>
      <c r="Z445" s="189"/>
    </row>
    <row r="446" spans="1:26" ht="15" x14ac:dyDescent="0.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189"/>
      <c r="W446" s="189"/>
      <c r="X446" s="189"/>
      <c r="Y446" s="189"/>
      <c r="Z446" s="189"/>
    </row>
    <row r="447" spans="1:26" ht="15" x14ac:dyDescent="0.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189"/>
      <c r="W447" s="189"/>
      <c r="X447" s="189"/>
      <c r="Y447" s="189"/>
      <c r="Z447" s="189"/>
    </row>
    <row r="448" spans="1:26" ht="15" x14ac:dyDescent="0.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189"/>
      <c r="W448" s="189"/>
      <c r="X448" s="189"/>
      <c r="Y448" s="189"/>
      <c r="Z448" s="189"/>
    </row>
    <row r="449" spans="1:26" ht="15" x14ac:dyDescent="0.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189"/>
      <c r="W449" s="189"/>
      <c r="X449" s="189"/>
      <c r="Y449" s="189"/>
      <c r="Z449" s="189"/>
    </row>
    <row r="450" spans="1:26" ht="15" x14ac:dyDescent="0.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189"/>
      <c r="W450" s="189"/>
      <c r="X450" s="189"/>
      <c r="Y450" s="189"/>
      <c r="Z450" s="189"/>
    </row>
    <row r="451" spans="1:26" ht="15" x14ac:dyDescent="0.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189"/>
      <c r="W451" s="189"/>
      <c r="X451" s="189"/>
      <c r="Y451" s="189"/>
      <c r="Z451" s="189"/>
    </row>
    <row r="452" spans="1:26" ht="15" x14ac:dyDescent="0.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189"/>
      <c r="W452" s="189"/>
      <c r="X452" s="189"/>
      <c r="Y452" s="189"/>
      <c r="Z452" s="189"/>
    </row>
    <row r="453" spans="1:26" ht="15" x14ac:dyDescent="0.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189"/>
      <c r="W453" s="189"/>
      <c r="X453" s="189"/>
      <c r="Y453" s="189"/>
      <c r="Z453" s="189"/>
    </row>
    <row r="454" spans="1:26" ht="15" x14ac:dyDescent="0.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189"/>
      <c r="W454" s="189"/>
      <c r="X454" s="189"/>
      <c r="Y454" s="189"/>
      <c r="Z454" s="189"/>
    </row>
    <row r="455" spans="1:26" ht="15" x14ac:dyDescent="0.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189"/>
      <c r="W455" s="189"/>
      <c r="X455" s="189"/>
      <c r="Y455" s="189"/>
      <c r="Z455" s="189"/>
    </row>
    <row r="456" spans="1:26" ht="15" x14ac:dyDescent="0.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189"/>
      <c r="W456" s="189"/>
      <c r="X456" s="189"/>
      <c r="Y456" s="189"/>
      <c r="Z456" s="189"/>
    </row>
    <row r="457" spans="1:26" ht="15" x14ac:dyDescent="0.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189"/>
      <c r="W457" s="189"/>
      <c r="X457" s="189"/>
      <c r="Y457" s="189"/>
      <c r="Z457" s="189"/>
    </row>
    <row r="458" spans="1:26" ht="15" x14ac:dyDescent="0.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189"/>
      <c r="W458" s="189"/>
      <c r="X458" s="189"/>
      <c r="Y458" s="189"/>
      <c r="Z458" s="189"/>
    </row>
    <row r="459" spans="1:26" ht="15" x14ac:dyDescent="0.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189"/>
      <c r="W459" s="189"/>
      <c r="X459" s="189"/>
      <c r="Y459" s="189"/>
      <c r="Z459" s="189"/>
    </row>
    <row r="460" spans="1:26" ht="15" x14ac:dyDescent="0.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189"/>
      <c r="W460" s="189"/>
      <c r="X460" s="189"/>
      <c r="Y460" s="189"/>
      <c r="Z460" s="189"/>
    </row>
    <row r="461" spans="1:26" ht="15" x14ac:dyDescent="0.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189"/>
      <c r="W461" s="189"/>
      <c r="X461" s="189"/>
      <c r="Y461" s="189"/>
      <c r="Z461" s="189"/>
    </row>
    <row r="462" spans="1:26" ht="15" x14ac:dyDescent="0.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189"/>
      <c r="W462" s="189"/>
      <c r="X462" s="189"/>
      <c r="Y462" s="189"/>
      <c r="Z462" s="189"/>
    </row>
    <row r="463" spans="1:26" ht="15" x14ac:dyDescent="0.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189"/>
      <c r="W463" s="189"/>
      <c r="X463" s="189"/>
      <c r="Y463" s="189"/>
      <c r="Z463" s="189"/>
    </row>
    <row r="464" spans="1:26" ht="15" x14ac:dyDescent="0.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189"/>
      <c r="W464" s="189"/>
      <c r="X464" s="189"/>
      <c r="Y464" s="189"/>
      <c r="Z464" s="189"/>
    </row>
    <row r="465" spans="1:26" ht="15" x14ac:dyDescent="0.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189"/>
      <c r="W465" s="189"/>
      <c r="X465" s="189"/>
      <c r="Y465" s="189"/>
      <c r="Z465" s="189"/>
    </row>
    <row r="466" spans="1:26" ht="15" x14ac:dyDescent="0.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189"/>
      <c r="W466" s="189"/>
      <c r="X466" s="189"/>
      <c r="Y466" s="189"/>
      <c r="Z466" s="189"/>
    </row>
    <row r="467" spans="1:26" ht="15" x14ac:dyDescent="0.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189"/>
      <c r="W467" s="189"/>
      <c r="X467" s="189"/>
      <c r="Y467" s="189"/>
      <c r="Z467" s="189"/>
    </row>
    <row r="468" spans="1:26" ht="15" x14ac:dyDescent="0.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189"/>
      <c r="W468" s="189"/>
      <c r="X468" s="189"/>
      <c r="Y468" s="189"/>
      <c r="Z468" s="189"/>
    </row>
    <row r="469" spans="1:26" ht="15" x14ac:dyDescent="0.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189"/>
      <c r="W469" s="189"/>
      <c r="X469" s="189"/>
      <c r="Y469" s="189"/>
      <c r="Z469" s="189"/>
    </row>
    <row r="470" spans="1:26" ht="15" x14ac:dyDescent="0.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189"/>
      <c r="W470" s="189"/>
      <c r="X470" s="189"/>
      <c r="Y470" s="189"/>
      <c r="Z470" s="189"/>
    </row>
    <row r="471" spans="1:26" ht="15" x14ac:dyDescent="0.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189"/>
      <c r="W471" s="189"/>
      <c r="X471" s="189"/>
      <c r="Y471" s="189"/>
      <c r="Z471" s="189"/>
    </row>
    <row r="472" spans="1:26" ht="15" x14ac:dyDescent="0.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189"/>
      <c r="W472" s="189"/>
      <c r="X472" s="189"/>
      <c r="Y472" s="189"/>
      <c r="Z472" s="189"/>
    </row>
    <row r="473" spans="1:26" ht="15" x14ac:dyDescent="0.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189"/>
      <c r="W473" s="189"/>
      <c r="X473" s="189"/>
      <c r="Y473" s="189"/>
      <c r="Z473" s="189"/>
    </row>
    <row r="474" spans="1:26" ht="15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189"/>
      <c r="W474" s="189"/>
      <c r="X474" s="189"/>
      <c r="Y474" s="189"/>
      <c r="Z474" s="189"/>
    </row>
    <row r="475" spans="1:26" ht="15" x14ac:dyDescent="0.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189"/>
      <c r="W475" s="189"/>
      <c r="X475" s="189"/>
      <c r="Y475" s="189"/>
      <c r="Z475" s="189"/>
    </row>
    <row r="476" spans="1:26" ht="15" x14ac:dyDescent="0.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189"/>
      <c r="W476" s="189"/>
      <c r="X476" s="189"/>
      <c r="Y476" s="189"/>
      <c r="Z476" s="189"/>
    </row>
    <row r="477" spans="1:26" ht="15" x14ac:dyDescent="0.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189"/>
      <c r="W477" s="189"/>
      <c r="X477" s="189"/>
      <c r="Y477" s="189"/>
      <c r="Z477" s="189"/>
    </row>
    <row r="478" spans="1:26" ht="15" x14ac:dyDescent="0.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189"/>
      <c r="W478" s="189"/>
      <c r="X478" s="189"/>
      <c r="Y478" s="189"/>
      <c r="Z478" s="189"/>
    </row>
    <row r="479" spans="1:26" ht="15" x14ac:dyDescent="0.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189"/>
      <c r="W479" s="189"/>
      <c r="X479" s="189"/>
      <c r="Y479" s="189"/>
      <c r="Z479" s="189"/>
    </row>
    <row r="480" spans="1:26" ht="15" x14ac:dyDescent="0.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189"/>
      <c r="W480" s="189"/>
      <c r="X480" s="189"/>
      <c r="Y480" s="189"/>
      <c r="Z480" s="189"/>
    </row>
    <row r="481" spans="1:26" ht="15" x14ac:dyDescent="0.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189"/>
      <c r="W481" s="189"/>
      <c r="X481" s="189"/>
      <c r="Y481" s="189"/>
      <c r="Z481" s="189"/>
    </row>
    <row r="482" spans="1:26" ht="15" x14ac:dyDescent="0.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189"/>
      <c r="W482" s="189"/>
      <c r="X482" s="189"/>
      <c r="Y482" s="189"/>
      <c r="Z482" s="189"/>
    </row>
    <row r="483" spans="1:26" ht="15" x14ac:dyDescent="0.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189"/>
      <c r="W483" s="189"/>
      <c r="X483" s="189"/>
      <c r="Y483" s="189"/>
      <c r="Z483" s="189"/>
    </row>
    <row r="484" spans="1:26" ht="15" x14ac:dyDescent="0.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189"/>
      <c r="W484" s="189"/>
      <c r="X484" s="189"/>
      <c r="Y484" s="189"/>
      <c r="Z484" s="189"/>
    </row>
    <row r="485" spans="1:26" ht="15" x14ac:dyDescent="0.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189"/>
      <c r="W485" s="189"/>
      <c r="X485" s="189"/>
      <c r="Y485" s="189"/>
      <c r="Z485" s="189"/>
    </row>
    <row r="486" spans="1:26" ht="15" x14ac:dyDescent="0.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189"/>
      <c r="W486" s="189"/>
      <c r="X486" s="189"/>
      <c r="Y486" s="189"/>
      <c r="Z486" s="189"/>
    </row>
    <row r="487" spans="1:26" ht="15" x14ac:dyDescent="0.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189"/>
      <c r="W487" s="189"/>
      <c r="X487" s="189"/>
      <c r="Y487" s="189"/>
      <c r="Z487" s="189"/>
    </row>
    <row r="488" spans="1:26" ht="15" x14ac:dyDescent="0.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189"/>
      <c r="W488" s="189"/>
      <c r="X488" s="189"/>
      <c r="Y488" s="189"/>
      <c r="Z488" s="189"/>
    </row>
    <row r="489" spans="1:26" ht="15" x14ac:dyDescent="0.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189"/>
      <c r="W489" s="189"/>
      <c r="X489" s="189"/>
      <c r="Y489" s="189"/>
      <c r="Z489" s="189"/>
    </row>
    <row r="490" spans="1:26" ht="15" x14ac:dyDescent="0.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189"/>
      <c r="W490" s="189"/>
      <c r="X490" s="189"/>
      <c r="Y490" s="189"/>
      <c r="Z490" s="189"/>
    </row>
    <row r="491" spans="1:26" ht="15" x14ac:dyDescent="0.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189"/>
      <c r="W491" s="189"/>
      <c r="X491" s="189"/>
      <c r="Y491" s="189"/>
      <c r="Z491" s="189"/>
    </row>
    <row r="492" spans="1:26" ht="15" x14ac:dyDescent="0.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189"/>
      <c r="W492" s="189"/>
      <c r="X492" s="189"/>
      <c r="Y492" s="189"/>
      <c r="Z492" s="189"/>
    </row>
    <row r="493" spans="1:26" ht="15" x14ac:dyDescent="0.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189"/>
      <c r="W493" s="189"/>
      <c r="X493" s="189"/>
      <c r="Y493" s="189"/>
      <c r="Z493" s="189"/>
    </row>
    <row r="494" spans="1:26" ht="15" x14ac:dyDescent="0.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189"/>
      <c r="W494" s="189"/>
      <c r="X494" s="189"/>
      <c r="Y494" s="189"/>
      <c r="Z494" s="189"/>
    </row>
    <row r="495" spans="1:26" ht="15" x14ac:dyDescent="0.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189"/>
      <c r="W495" s="189"/>
      <c r="X495" s="189"/>
      <c r="Y495" s="189"/>
      <c r="Z495" s="189"/>
    </row>
    <row r="496" spans="1:26" ht="15" x14ac:dyDescent="0.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189"/>
      <c r="W496" s="189"/>
      <c r="X496" s="189"/>
      <c r="Y496" s="189"/>
      <c r="Z496" s="189"/>
    </row>
    <row r="497" spans="1:26" ht="15" x14ac:dyDescent="0.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189"/>
      <c r="W497" s="189"/>
      <c r="X497" s="189"/>
      <c r="Y497" s="189"/>
      <c r="Z497" s="189"/>
    </row>
    <row r="498" spans="1:26" ht="15" x14ac:dyDescent="0.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189"/>
      <c r="W498" s="189"/>
      <c r="X498" s="189"/>
      <c r="Y498" s="189"/>
      <c r="Z498" s="189"/>
    </row>
    <row r="499" spans="1:26" ht="15" x14ac:dyDescent="0.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189"/>
      <c r="W499" s="189"/>
      <c r="X499" s="189"/>
      <c r="Y499" s="189"/>
      <c r="Z499" s="189"/>
    </row>
    <row r="500" spans="1:26" ht="15" x14ac:dyDescent="0.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189"/>
      <c r="W500" s="189"/>
      <c r="X500" s="189"/>
      <c r="Y500" s="189"/>
      <c r="Z500" s="189"/>
    </row>
    <row r="501" spans="1:26" ht="15" x14ac:dyDescent="0.2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189"/>
      <c r="W501" s="189"/>
      <c r="X501" s="189"/>
      <c r="Y501" s="189"/>
      <c r="Z501" s="189"/>
    </row>
    <row r="502" spans="1:26" ht="15" x14ac:dyDescent="0.2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189"/>
      <c r="W502" s="189"/>
      <c r="X502" s="189"/>
      <c r="Y502" s="189"/>
      <c r="Z502" s="189"/>
    </row>
    <row r="503" spans="1:26" ht="15" x14ac:dyDescent="0.2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189"/>
      <c r="W503" s="189"/>
      <c r="X503" s="189"/>
      <c r="Y503" s="189"/>
      <c r="Z503" s="189"/>
    </row>
    <row r="504" spans="1:26" ht="15" x14ac:dyDescent="0.2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189"/>
      <c r="W504" s="189"/>
      <c r="X504" s="189"/>
      <c r="Y504" s="189"/>
      <c r="Z504" s="189"/>
    </row>
    <row r="505" spans="1:26" ht="15" x14ac:dyDescent="0.2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189"/>
      <c r="W505" s="189"/>
      <c r="X505" s="189"/>
      <c r="Y505" s="189"/>
      <c r="Z505" s="189"/>
    </row>
    <row r="506" spans="1:26" ht="15" x14ac:dyDescent="0.2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189"/>
      <c r="W506" s="189"/>
      <c r="X506" s="189"/>
      <c r="Y506" s="189"/>
      <c r="Z506" s="189"/>
    </row>
    <row r="507" spans="1:26" ht="15" x14ac:dyDescent="0.2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189"/>
      <c r="W507" s="189"/>
      <c r="X507" s="189"/>
      <c r="Y507" s="189"/>
      <c r="Z507" s="189"/>
    </row>
    <row r="508" spans="1:26" ht="12.75" x14ac:dyDescent="0.2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</row>
    <row r="509" spans="1:26" ht="12.75" x14ac:dyDescent="0.2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</row>
    <row r="510" spans="1:26" ht="12.75" x14ac:dyDescent="0.2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</row>
    <row r="511" spans="1:26" ht="12.75" x14ac:dyDescent="0.2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</row>
    <row r="512" spans="1:26" ht="12.75" x14ac:dyDescent="0.2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</row>
    <row r="513" spans="1:26" ht="12.75" x14ac:dyDescent="0.2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</row>
    <row r="514" spans="1:26" ht="12.75" x14ac:dyDescent="0.2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</row>
    <row r="515" spans="1:26" ht="12.75" x14ac:dyDescent="0.2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</row>
    <row r="516" spans="1:26" ht="12.75" x14ac:dyDescent="0.2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</row>
    <row r="517" spans="1:26" ht="12.75" x14ac:dyDescent="0.2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</row>
    <row r="518" spans="1:26" ht="12.75" x14ac:dyDescent="0.2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</row>
    <row r="519" spans="1:26" ht="12.75" x14ac:dyDescent="0.2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</row>
    <row r="520" spans="1:26" ht="12.75" x14ac:dyDescent="0.2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</row>
    <row r="521" spans="1:26" ht="12.75" x14ac:dyDescent="0.2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</row>
    <row r="522" spans="1:26" ht="12.75" x14ac:dyDescent="0.2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</row>
    <row r="523" spans="1:26" ht="12.75" x14ac:dyDescent="0.2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</row>
    <row r="524" spans="1:26" ht="12.75" x14ac:dyDescent="0.2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</row>
    <row r="525" spans="1:26" ht="12.75" x14ac:dyDescent="0.2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</row>
    <row r="526" spans="1:26" ht="12.75" x14ac:dyDescent="0.2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</row>
    <row r="527" spans="1:26" ht="12.75" x14ac:dyDescent="0.2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</row>
    <row r="528" spans="1:26" ht="12.75" x14ac:dyDescent="0.2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</row>
    <row r="529" spans="1:26" ht="12.75" x14ac:dyDescent="0.2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</row>
    <row r="530" spans="1:26" ht="12.75" x14ac:dyDescent="0.2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</row>
    <row r="531" spans="1:26" ht="12.75" x14ac:dyDescent="0.2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</row>
    <row r="532" spans="1:26" ht="12.75" x14ac:dyDescent="0.2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</row>
    <row r="533" spans="1:26" ht="12.75" x14ac:dyDescent="0.2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</row>
    <row r="534" spans="1:26" ht="12.75" x14ac:dyDescent="0.2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</row>
    <row r="535" spans="1:26" ht="12.75" x14ac:dyDescent="0.2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</row>
    <row r="536" spans="1:26" ht="12.75" x14ac:dyDescent="0.2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</row>
    <row r="537" spans="1:26" ht="12.75" x14ac:dyDescent="0.2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</row>
    <row r="538" spans="1:26" ht="12.75" x14ac:dyDescent="0.2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</row>
    <row r="539" spans="1:26" ht="12.75" x14ac:dyDescent="0.2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</row>
    <row r="540" spans="1:26" ht="12.75" x14ac:dyDescent="0.2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</row>
    <row r="541" spans="1:26" ht="12.75" x14ac:dyDescent="0.2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</row>
    <row r="542" spans="1:26" ht="12.75" x14ac:dyDescent="0.2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</row>
    <row r="543" spans="1:26" ht="12.75" x14ac:dyDescent="0.2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</row>
    <row r="544" spans="1:26" ht="12.75" x14ac:dyDescent="0.2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</row>
    <row r="545" spans="1:26" ht="12.75" x14ac:dyDescent="0.2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</row>
    <row r="546" spans="1:26" ht="12.75" x14ac:dyDescent="0.2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</row>
    <row r="547" spans="1:26" ht="12.75" x14ac:dyDescent="0.2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</row>
    <row r="548" spans="1:26" ht="12.75" x14ac:dyDescent="0.2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</row>
    <row r="549" spans="1:26" ht="12.75" x14ac:dyDescent="0.2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</row>
    <row r="550" spans="1:26" ht="12.75" x14ac:dyDescent="0.2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</row>
    <row r="551" spans="1:26" ht="12.75" x14ac:dyDescent="0.2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</row>
    <row r="552" spans="1:26" ht="12.75" x14ac:dyDescent="0.2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</row>
    <row r="553" spans="1:26" ht="12.75" x14ac:dyDescent="0.2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</row>
    <row r="554" spans="1:26" ht="12.75" x14ac:dyDescent="0.2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</row>
    <row r="555" spans="1:26" ht="12.75" x14ac:dyDescent="0.2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</row>
    <row r="556" spans="1:26" ht="12.75" x14ac:dyDescent="0.2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</row>
    <row r="557" spans="1:26" ht="12.75" x14ac:dyDescent="0.2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</row>
    <row r="558" spans="1:26" ht="12.75" x14ac:dyDescent="0.2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</row>
    <row r="559" spans="1:26" ht="12.75" x14ac:dyDescent="0.2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</row>
    <row r="560" spans="1:26" ht="12.75" x14ac:dyDescent="0.2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</row>
    <row r="561" spans="1:26" ht="12.75" x14ac:dyDescent="0.2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</row>
    <row r="562" spans="1:26" ht="12.75" x14ac:dyDescent="0.2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</row>
    <row r="563" spans="1:26" ht="12.75" x14ac:dyDescent="0.2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</row>
    <row r="564" spans="1:26" ht="12.75" x14ac:dyDescent="0.2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</row>
    <row r="565" spans="1:26" ht="12.75" x14ac:dyDescent="0.2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</row>
    <row r="566" spans="1:26" ht="12.75" x14ac:dyDescent="0.2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</row>
    <row r="567" spans="1:26" ht="12.75" x14ac:dyDescent="0.2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</row>
    <row r="568" spans="1:26" ht="12.75" x14ac:dyDescent="0.2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</row>
    <row r="569" spans="1:26" ht="12.75" x14ac:dyDescent="0.2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</row>
    <row r="570" spans="1:26" ht="12.75" x14ac:dyDescent="0.2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</row>
    <row r="571" spans="1:26" ht="12.75" x14ac:dyDescent="0.2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</row>
    <row r="572" spans="1:26" ht="12.75" x14ac:dyDescent="0.2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</row>
    <row r="573" spans="1:26" ht="12.75" x14ac:dyDescent="0.2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</row>
    <row r="574" spans="1:26" ht="12.75" x14ac:dyDescent="0.2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</row>
    <row r="575" spans="1:26" ht="12.75" x14ac:dyDescent="0.2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</row>
    <row r="576" spans="1:26" ht="12.75" x14ac:dyDescent="0.2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</row>
    <row r="577" spans="1:26" ht="12.75" x14ac:dyDescent="0.2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</row>
    <row r="578" spans="1:26" ht="12.75" x14ac:dyDescent="0.2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</row>
    <row r="579" spans="1:26" ht="12.75" x14ac:dyDescent="0.2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</row>
    <row r="580" spans="1:26" ht="12.75" x14ac:dyDescent="0.2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</row>
    <row r="581" spans="1:26" ht="12.75" x14ac:dyDescent="0.2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</row>
    <row r="582" spans="1:26" ht="12.75" x14ac:dyDescent="0.2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</row>
    <row r="583" spans="1:26" ht="12.75" x14ac:dyDescent="0.2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</row>
    <row r="584" spans="1:26" ht="12.75" x14ac:dyDescent="0.2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</row>
    <row r="585" spans="1:26" ht="12.75" x14ac:dyDescent="0.2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</row>
    <row r="586" spans="1:26" ht="12.75" x14ac:dyDescent="0.2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</row>
    <row r="587" spans="1:26" ht="12.75" x14ac:dyDescent="0.2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</row>
    <row r="588" spans="1:26" ht="12.75" x14ac:dyDescent="0.2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</row>
    <row r="589" spans="1:26" ht="12.75" x14ac:dyDescent="0.2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</row>
    <row r="590" spans="1:26" ht="12.75" x14ac:dyDescent="0.2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</row>
    <row r="591" spans="1:26" ht="12.75" x14ac:dyDescent="0.2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</row>
    <row r="592" spans="1:26" ht="12.75" x14ac:dyDescent="0.2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</row>
    <row r="593" spans="1:26" ht="12.75" x14ac:dyDescent="0.2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</row>
    <row r="594" spans="1:26" ht="12.75" x14ac:dyDescent="0.2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</row>
    <row r="595" spans="1:26" ht="12.75" x14ac:dyDescent="0.2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</row>
    <row r="596" spans="1:26" ht="12.75" x14ac:dyDescent="0.2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</row>
    <row r="597" spans="1:26" ht="12.75" x14ac:dyDescent="0.2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</row>
    <row r="598" spans="1:26" ht="12.75" x14ac:dyDescent="0.2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</row>
    <row r="599" spans="1:26" ht="12.75" x14ac:dyDescent="0.2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</row>
    <row r="600" spans="1:26" ht="12.75" x14ac:dyDescent="0.2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</row>
    <row r="601" spans="1:26" ht="12.75" x14ac:dyDescent="0.2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</row>
    <row r="602" spans="1:26" ht="12.75" x14ac:dyDescent="0.2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</row>
    <row r="603" spans="1:26" ht="12.75" x14ac:dyDescent="0.2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</row>
    <row r="604" spans="1:26" ht="12.75" x14ac:dyDescent="0.2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</row>
    <row r="605" spans="1:26" ht="12.75" x14ac:dyDescent="0.2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</row>
    <row r="606" spans="1:26" ht="12.75" x14ac:dyDescent="0.2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</row>
    <row r="607" spans="1:26" ht="12.75" x14ac:dyDescent="0.2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</row>
    <row r="608" spans="1:26" ht="12.75" x14ac:dyDescent="0.2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</row>
    <row r="609" spans="1:26" ht="12.75" x14ac:dyDescent="0.2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</row>
    <row r="610" spans="1:26" ht="12.75" x14ac:dyDescent="0.2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</row>
    <row r="611" spans="1:26" ht="12.75" x14ac:dyDescent="0.2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</row>
    <row r="612" spans="1:26" ht="12.75" x14ac:dyDescent="0.2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</row>
    <row r="613" spans="1:26" ht="12.75" x14ac:dyDescent="0.2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</row>
    <row r="614" spans="1:26" ht="12.75" x14ac:dyDescent="0.2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</row>
    <row r="615" spans="1:26" ht="12.75" x14ac:dyDescent="0.2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</row>
    <row r="616" spans="1:26" ht="12.75" x14ac:dyDescent="0.2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</row>
    <row r="617" spans="1:26" ht="12.75" x14ac:dyDescent="0.2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</row>
    <row r="618" spans="1:26" ht="12.75" x14ac:dyDescent="0.2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</row>
    <row r="619" spans="1:26" ht="12.75" x14ac:dyDescent="0.2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</row>
    <row r="620" spans="1:26" ht="12.75" x14ac:dyDescent="0.2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</row>
    <row r="621" spans="1:26" ht="12.75" x14ac:dyDescent="0.2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</row>
    <row r="622" spans="1:26" ht="12.75" x14ac:dyDescent="0.2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</row>
    <row r="623" spans="1:26" ht="12.75" x14ac:dyDescent="0.2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</row>
    <row r="624" spans="1:26" ht="12.75" x14ac:dyDescent="0.2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</row>
    <row r="625" spans="1:26" ht="12.75" x14ac:dyDescent="0.2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</row>
    <row r="626" spans="1:26" ht="12.75" x14ac:dyDescent="0.2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</row>
    <row r="627" spans="1:26" ht="12.75" x14ac:dyDescent="0.2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</row>
    <row r="628" spans="1:26" ht="12.75" x14ac:dyDescent="0.2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</row>
    <row r="629" spans="1:26" ht="12.75" x14ac:dyDescent="0.2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</row>
    <row r="630" spans="1:26" ht="12.75" x14ac:dyDescent="0.2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</row>
    <row r="631" spans="1:26" ht="12.75" x14ac:dyDescent="0.2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</row>
    <row r="632" spans="1:26" ht="12.75" x14ac:dyDescent="0.2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</row>
    <row r="633" spans="1:26" ht="12.75" x14ac:dyDescent="0.2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</row>
    <row r="634" spans="1:26" ht="12.75" x14ac:dyDescent="0.2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</row>
    <row r="635" spans="1:26" ht="12.75" x14ac:dyDescent="0.2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</row>
    <row r="636" spans="1:26" ht="12.75" x14ac:dyDescent="0.2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</row>
    <row r="637" spans="1:26" ht="12.75" x14ac:dyDescent="0.2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</row>
    <row r="638" spans="1:26" ht="12.75" x14ac:dyDescent="0.2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</row>
    <row r="639" spans="1:26" ht="12.75" x14ac:dyDescent="0.2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</row>
    <row r="640" spans="1:26" ht="12.75" x14ac:dyDescent="0.2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</row>
    <row r="641" spans="1:26" ht="12.75" x14ac:dyDescent="0.2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</row>
    <row r="642" spans="1:26" ht="12.75" x14ac:dyDescent="0.2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</row>
    <row r="643" spans="1:26" ht="12.75" x14ac:dyDescent="0.2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</row>
    <row r="644" spans="1:26" ht="12.75" x14ac:dyDescent="0.2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</row>
    <row r="645" spans="1:26" ht="12.75" x14ac:dyDescent="0.2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</row>
    <row r="646" spans="1:26" ht="12.75" x14ac:dyDescent="0.2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</row>
    <row r="647" spans="1:26" ht="12.75" x14ac:dyDescent="0.2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</row>
    <row r="648" spans="1:26" ht="12.75" x14ac:dyDescent="0.2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</row>
    <row r="649" spans="1:26" ht="12.75" x14ac:dyDescent="0.2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</row>
    <row r="650" spans="1:26" ht="12.75" x14ac:dyDescent="0.2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</row>
    <row r="651" spans="1:26" ht="12.75" x14ac:dyDescent="0.2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</row>
    <row r="652" spans="1:26" ht="12.75" x14ac:dyDescent="0.2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</row>
    <row r="653" spans="1:26" ht="12.75" x14ac:dyDescent="0.2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</row>
    <row r="654" spans="1:26" ht="12.75" x14ac:dyDescent="0.2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</row>
    <row r="655" spans="1:26" ht="12.75" x14ac:dyDescent="0.2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</row>
    <row r="656" spans="1:26" ht="12.75" x14ac:dyDescent="0.2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</row>
    <row r="657" spans="1:26" ht="12.75" x14ac:dyDescent="0.2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</row>
    <row r="658" spans="1:26" ht="12.75" x14ac:dyDescent="0.2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</row>
    <row r="659" spans="1:26" ht="12.75" x14ac:dyDescent="0.2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</row>
    <row r="660" spans="1:26" ht="12.75" x14ac:dyDescent="0.2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</row>
    <row r="661" spans="1:26" ht="12.75" x14ac:dyDescent="0.2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</row>
    <row r="662" spans="1:26" ht="12.75" x14ac:dyDescent="0.2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</row>
    <row r="663" spans="1:26" ht="12.75" x14ac:dyDescent="0.2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</row>
    <row r="664" spans="1:26" ht="12.75" x14ac:dyDescent="0.2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</row>
    <row r="665" spans="1:26" ht="12.75" x14ac:dyDescent="0.2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</row>
    <row r="666" spans="1:26" ht="12.75" x14ac:dyDescent="0.2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</row>
    <row r="667" spans="1:26" ht="12.75" x14ac:dyDescent="0.2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</row>
    <row r="668" spans="1:26" ht="12.75" x14ac:dyDescent="0.2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</row>
    <row r="669" spans="1:26" ht="12.75" x14ac:dyDescent="0.2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</row>
    <row r="670" spans="1:26" ht="12.75" x14ac:dyDescent="0.2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</row>
    <row r="671" spans="1:26" ht="12.75" x14ac:dyDescent="0.2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</row>
    <row r="672" spans="1:26" ht="12.75" x14ac:dyDescent="0.2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</row>
    <row r="673" spans="1:26" ht="12.75" x14ac:dyDescent="0.2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</row>
    <row r="674" spans="1:26" ht="12.75" x14ac:dyDescent="0.2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</row>
    <row r="675" spans="1:26" ht="12.75" x14ac:dyDescent="0.2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</row>
    <row r="676" spans="1:26" ht="12.75" x14ac:dyDescent="0.2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</row>
    <row r="677" spans="1:26" ht="12.75" x14ac:dyDescent="0.2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</row>
    <row r="678" spans="1:26" ht="12.75" x14ac:dyDescent="0.2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</row>
    <row r="679" spans="1:26" ht="12.75" x14ac:dyDescent="0.2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</row>
    <row r="680" spans="1:26" ht="12.75" x14ac:dyDescent="0.2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</row>
    <row r="681" spans="1:26" ht="12.75" x14ac:dyDescent="0.2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</row>
    <row r="682" spans="1:26" ht="12.75" x14ac:dyDescent="0.2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</row>
    <row r="683" spans="1:26" ht="12.75" x14ac:dyDescent="0.2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</row>
    <row r="684" spans="1:26" ht="12.75" x14ac:dyDescent="0.2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</row>
    <row r="685" spans="1:26" ht="12.75" x14ac:dyDescent="0.2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</row>
    <row r="686" spans="1:26" ht="12.75" x14ac:dyDescent="0.2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</row>
    <row r="687" spans="1:26" ht="12.75" x14ac:dyDescent="0.2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</row>
    <row r="688" spans="1:26" ht="12.75" x14ac:dyDescent="0.2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</row>
    <row r="689" spans="1:26" ht="12.75" x14ac:dyDescent="0.2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</row>
    <row r="690" spans="1:26" ht="12.75" x14ac:dyDescent="0.2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</row>
    <row r="691" spans="1:26" ht="12.75" x14ac:dyDescent="0.2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</row>
    <row r="692" spans="1:26" ht="12.75" x14ac:dyDescent="0.2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</row>
    <row r="693" spans="1:26" ht="12.75" x14ac:dyDescent="0.2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</row>
    <row r="694" spans="1:26" ht="12.75" x14ac:dyDescent="0.2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</row>
    <row r="695" spans="1:26" ht="12.75" x14ac:dyDescent="0.2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</row>
    <row r="696" spans="1:26" ht="12.75" x14ac:dyDescent="0.2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</row>
    <row r="697" spans="1:26" ht="12.75" x14ac:dyDescent="0.2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</row>
    <row r="698" spans="1:26" ht="12.75" x14ac:dyDescent="0.2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</row>
    <row r="699" spans="1:26" ht="12.75" x14ac:dyDescent="0.2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</row>
    <row r="700" spans="1:26" ht="12.75" x14ac:dyDescent="0.2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</row>
    <row r="701" spans="1:26" ht="12.75" x14ac:dyDescent="0.2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</row>
    <row r="702" spans="1:26" ht="12.75" x14ac:dyDescent="0.2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</row>
    <row r="703" spans="1:26" ht="12.75" x14ac:dyDescent="0.2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</row>
    <row r="704" spans="1:26" ht="12.75" x14ac:dyDescent="0.2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</row>
    <row r="705" spans="1:26" ht="12.75" x14ac:dyDescent="0.2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</row>
    <row r="706" spans="1:26" ht="12.75" x14ac:dyDescent="0.2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</row>
    <row r="707" spans="1:26" ht="12.75" x14ac:dyDescent="0.2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</row>
    <row r="708" spans="1:26" ht="12.75" x14ac:dyDescent="0.2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</row>
    <row r="709" spans="1:26" ht="12.75" x14ac:dyDescent="0.2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</row>
    <row r="710" spans="1:26" ht="12.75" x14ac:dyDescent="0.2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</row>
    <row r="711" spans="1:26" ht="12.75" x14ac:dyDescent="0.2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</row>
    <row r="712" spans="1:26" ht="12.75" x14ac:dyDescent="0.2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</row>
    <row r="713" spans="1:26" ht="12.75" x14ac:dyDescent="0.2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</row>
    <row r="714" spans="1:26" ht="12.75" x14ac:dyDescent="0.2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</row>
    <row r="715" spans="1:26" ht="12.75" x14ac:dyDescent="0.2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</row>
    <row r="716" spans="1:26" ht="12.75" x14ac:dyDescent="0.2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</row>
    <row r="717" spans="1:26" ht="12.75" x14ac:dyDescent="0.2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</row>
    <row r="718" spans="1:26" ht="12.75" x14ac:dyDescent="0.2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</row>
    <row r="719" spans="1:26" ht="12.75" x14ac:dyDescent="0.2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</row>
    <row r="720" spans="1:26" ht="12.75" x14ac:dyDescent="0.2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</row>
    <row r="721" spans="1:26" ht="12.75" x14ac:dyDescent="0.2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</row>
    <row r="722" spans="1:26" ht="12.75" x14ac:dyDescent="0.2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</row>
    <row r="723" spans="1:26" ht="12.75" x14ac:dyDescent="0.2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</row>
    <row r="724" spans="1:26" ht="12.75" x14ac:dyDescent="0.2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</row>
    <row r="725" spans="1:26" ht="12.75" x14ac:dyDescent="0.2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</row>
    <row r="726" spans="1:26" ht="12.75" x14ac:dyDescent="0.2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</row>
    <row r="727" spans="1:26" ht="12.75" x14ac:dyDescent="0.2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</row>
    <row r="728" spans="1:26" ht="12.75" x14ac:dyDescent="0.2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</row>
    <row r="729" spans="1:26" ht="12.75" x14ac:dyDescent="0.2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</row>
    <row r="730" spans="1:26" ht="12.75" x14ac:dyDescent="0.2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</row>
    <row r="731" spans="1:26" ht="12.75" x14ac:dyDescent="0.2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</row>
    <row r="732" spans="1:26" ht="12.75" x14ac:dyDescent="0.2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</row>
    <row r="733" spans="1:26" ht="12.75" x14ac:dyDescent="0.2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</row>
    <row r="734" spans="1:26" ht="12.75" x14ac:dyDescent="0.2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</row>
    <row r="735" spans="1:26" ht="12.75" x14ac:dyDescent="0.2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</row>
    <row r="736" spans="1:26" ht="12.75" x14ac:dyDescent="0.2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</row>
    <row r="737" spans="1:26" ht="12.75" x14ac:dyDescent="0.2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</row>
    <row r="738" spans="1:26" ht="12.75" x14ac:dyDescent="0.2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</row>
    <row r="739" spans="1:26" ht="12.75" x14ac:dyDescent="0.2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</row>
    <row r="740" spans="1:26" ht="12.75" x14ac:dyDescent="0.2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</row>
    <row r="741" spans="1:26" ht="12.75" x14ac:dyDescent="0.2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</row>
    <row r="742" spans="1:26" ht="12.75" x14ac:dyDescent="0.2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</row>
    <row r="743" spans="1:26" ht="12.75" x14ac:dyDescent="0.2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</row>
    <row r="744" spans="1:26" ht="12.75" x14ac:dyDescent="0.2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</row>
    <row r="745" spans="1:26" ht="12.75" x14ac:dyDescent="0.2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</row>
    <row r="746" spans="1:26" ht="12.75" x14ac:dyDescent="0.2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</row>
    <row r="747" spans="1:26" ht="12.75" x14ac:dyDescent="0.2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</row>
    <row r="748" spans="1:26" ht="12.75" x14ac:dyDescent="0.2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</row>
    <row r="749" spans="1:26" ht="12.75" x14ac:dyDescent="0.2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</row>
    <row r="750" spans="1:26" ht="12.75" x14ac:dyDescent="0.2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</row>
    <row r="751" spans="1:26" ht="12.75" x14ac:dyDescent="0.2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</row>
    <row r="752" spans="1:26" ht="12.75" x14ac:dyDescent="0.2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</row>
    <row r="753" spans="1:26" ht="12.75" x14ac:dyDescent="0.2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</row>
    <row r="754" spans="1:26" ht="12.75" x14ac:dyDescent="0.2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</row>
    <row r="755" spans="1:26" ht="12.75" x14ac:dyDescent="0.2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</row>
    <row r="756" spans="1:26" ht="12.75" x14ac:dyDescent="0.2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</row>
    <row r="757" spans="1:26" ht="12.75" x14ac:dyDescent="0.2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</row>
    <row r="758" spans="1:26" ht="12.75" x14ac:dyDescent="0.2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</row>
    <row r="759" spans="1:26" ht="12.75" x14ac:dyDescent="0.2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</row>
    <row r="760" spans="1:26" ht="12.75" x14ac:dyDescent="0.2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</row>
    <row r="761" spans="1:26" ht="12.75" x14ac:dyDescent="0.2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</row>
    <row r="762" spans="1:26" ht="12.75" x14ac:dyDescent="0.2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</row>
    <row r="763" spans="1:26" ht="12.75" x14ac:dyDescent="0.2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</row>
    <row r="764" spans="1:26" ht="12.75" x14ac:dyDescent="0.2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</row>
    <row r="765" spans="1:26" ht="12.75" x14ac:dyDescent="0.2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</row>
    <row r="766" spans="1:26" ht="12.75" x14ac:dyDescent="0.2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</row>
    <row r="767" spans="1:26" ht="12.75" x14ac:dyDescent="0.2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</row>
    <row r="768" spans="1:26" ht="12.75" x14ac:dyDescent="0.2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</row>
    <row r="769" spans="1:26" ht="12.75" x14ac:dyDescent="0.2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</row>
    <row r="770" spans="1:26" ht="12.75" x14ac:dyDescent="0.2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</row>
    <row r="771" spans="1:26" ht="12.75" x14ac:dyDescent="0.2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</row>
    <row r="772" spans="1:26" ht="12.75" x14ac:dyDescent="0.2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</row>
    <row r="773" spans="1:26" ht="12.75" x14ac:dyDescent="0.2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</row>
    <row r="774" spans="1:26" ht="12.75" x14ac:dyDescent="0.2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</row>
    <row r="775" spans="1:26" ht="12.75" x14ac:dyDescent="0.2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</row>
    <row r="776" spans="1:26" ht="12.75" x14ac:dyDescent="0.2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</row>
    <row r="777" spans="1:26" ht="12.75" x14ac:dyDescent="0.2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</row>
    <row r="778" spans="1:26" ht="12.75" x14ac:dyDescent="0.2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</row>
    <row r="779" spans="1:26" ht="12.75" x14ac:dyDescent="0.2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</row>
    <row r="780" spans="1:26" ht="12.75" x14ac:dyDescent="0.2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</row>
    <row r="781" spans="1:26" ht="12.75" x14ac:dyDescent="0.2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</row>
    <row r="782" spans="1:26" ht="12.75" x14ac:dyDescent="0.2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</row>
    <row r="783" spans="1:26" ht="12.75" x14ac:dyDescent="0.2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</row>
    <row r="784" spans="1:26" ht="12.75" x14ac:dyDescent="0.2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</row>
    <row r="785" spans="1:26" ht="12.75" x14ac:dyDescent="0.2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</row>
    <row r="786" spans="1:26" ht="12.75" x14ac:dyDescent="0.2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</row>
    <row r="787" spans="1:26" ht="12.75" x14ac:dyDescent="0.2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</row>
    <row r="788" spans="1:26" ht="12.75" x14ac:dyDescent="0.2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</row>
    <row r="789" spans="1:26" ht="12.75" x14ac:dyDescent="0.2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</row>
    <row r="790" spans="1:26" ht="12.75" x14ac:dyDescent="0.2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</row>
    <row r="791" spans="1:26" ht="12.75" x14ac:dyDescent="0.2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</row>
    <row r="792" spans="1:26" ht="12.75" x14ac:dyDescent="0.2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</row>
    <row r="793" spans="1:26" ht="12.75" x14ac:dyDescent="0.2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</row>
    <row r="794" spans="1:26" ht="12.75" x14ac:dyDescent="0.2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</row>
    <row r="795" spans="1:26" ht="12.75" x14ac:dyDescent="0.2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</row>
    <row r="796" spans="1:26" ht="12.75" x14ac:dyDescent="0.2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</row>
    <row r="797" spans="1:26" ht="12.75" x14ac:dyDescent="0.2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</row>
    <row r="798" spans="1:26" ht="12.75" x14ac:dyDescent="0.2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</row>
    <row r="799" spans="1:26" ht="12.75" x14ac:dyDescent="0.2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</row>
    <row r="800" spans="1:26" ht="12.75" x14ac:dyDescent="0.2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</row>
    <row r="801" spans="1:26" ht="12.75" x14ac:dyDescent="0.2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</row>
    <row r="802" spans="1:26" ht="12.75" x14ac:dyDescent="0.2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</row>
    <row r="803" spans="1:26" ht="12.75" x14ac:dyDescent="0.2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</row>
    <row r="804" spans="1:26" ht="12.75" x14ac:dyDescent="0.2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</row>
    <row r="805" spans="1:26" ht="12.75" x14ac:dyDescent="0.2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</row>
    <row r="806" spans="1:26" ht="12.75" x14ac:dyDescent="0.2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</row>
    <row r="807" spans="1:26" ht="12.75" x14ac:dyDescent="0.2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</row>
    <row r="808" spans="1:26" ht="12.75" x14ac:dyDescent="0.2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</row>
    <row r="809" spans="1:26" ht="12.75" x14ac:dyDescent="0.2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</row>
    <row r="810" spans="1:26" ht="12.75" x14ac:dyDescent="0.2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</row>
    <row r="811" spans="1:26" ht="12.75" x14ac:dyDescent="0.2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</row>
    <row r="812" spans="1:26" ht="12.75" x14ac:dyDescent="0.2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</row>
    <row r="813" spans="1:26" ht="12.75" x14ac:dyDescent="0.2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</row>
    <row r="814" spans="1:26" ht="12.75" x14ac:dyDescent="0.2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</row>
    <row r="815" spans="1:26" ht="12.75" x14ac:dyDescent="0.2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</row>
    <row r="816" spans="1:26" ht="12.75" x14ac:dyDescent="0.2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</row>
    <row r="817" spans="1:26" ht="12.75" x14ac:dyDescent="0.2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</row>
    <row r="818" spans="1:26" ht="12.75" x14ac:dyDescent="0.2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</row>
    <row r="819" spans="1:26" ht="12.75" x14ac:dyDescent="0.2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</row>
    <row r="820" spans="1:26" ht="12.75" x14ac:dyDescent="0.2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</row>
    <row r="821" spans="1:26" ht="12.75" x14ac:dyDescent="0.2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</row>
    <row r="822" spans="1:26" ht="12.75" x14ac:dyDescent="0.2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</row>
    <row r="823" spans="1:26" ht="12.75" x14ac:dyDescent="0.2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</row>
    <row r="824" spans="1:26" ht="12.75" x14ac:dyDescent="0.2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</row>
    <row r="825" spans="1:26" ht="12.75" x14ac:dyDescent="0.2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</row>
    <row r="826" spans="1:26" ht="12.75" x14ac:dyDescent="0.2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</row>
    <row r="827" spans="1:26" ht="12.75" x14ac:dyDescent="0.2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</row>
    <row r="828" spans="1:26" ht="12.75" x14ac:dyDescent="0.2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</row>
    <row r="829" spans="1:26" ht="12.75" x14ac:dyDescent="0.2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</row>
    <row r="830" spans="1:26" ht="12.75" x14ac:dyDescent="0.2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</row>
    <row r="831" spans="1:26" ht="12.75" x14ac:dyDescent="0.2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</row>
    <row r="832" spans="1:26" ht="12.75" x14ac:dyDescent="0.2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</row>
    <row r="833" spans="1:26" ht="12.75" x14ac:dyDescent="0.2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</row>
    <row r="834" spans="1:26" ht="12.75" x14ac:dyDescent="0.2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</row>
    <row r="835" spans="1:26" ht="12.75" x14ac:dyDescent="0.2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</row>
    <row r="836" spans="1:26" ht="12.75" x14ac:dyDescent="0.2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</row>
    <row r="837" spans="1:26" ht="12.75" x14ac:dyDescent="0.2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</row>
    <row r="838" spans="1:26" ht="12.75" x14ac:dyDescent="0.2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</row>
    <row r="839" spans="1:26" ht="12.75" x14ac:dyDescent="0.2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</row>
    <row r="840" spans="1:26" ht="12.75" x14ac:dyDescent="0.2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</row>
    <row r="841" spans="1:26" ht="12.75" x14ac:dyDescent="0.2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</row>
    <row r="842" spans="1:26" ht="12.75" x14ac:dyDescent="0.2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</row>
    <row r="843" spans="1:26" ht="12.75" x14ac:dyDescent="0.2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</row>
    <row r="844" spans="1:26" ht="12.75" x14ac:dyDescent="0.2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</row>
    <row r="845" spans="1:26" ht="12.75" x14ac:dyDescent="0.2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</row>
    <row r="846" spans="1:26" ht="12.75" x14ac:dyDescent="0.2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</row>
    <row r="847" spans="1:26" ht="12.75" x14ac:dyDescent="0.2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</row>
    <row r="848" spans="1:26" ht="12.75" x14ac:dyDescent="0.2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</row>
    <row r="849" spans="1:26" ht="12.75" x14ac:dyDescent="0.2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</row>
    <row r="850" spans="1:26" ht="12.75" x14ac:dyDescent="0.2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</row>
    <row r="851" spans="1:26" ht="12.75" x14ac:dyDescent="0.2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</row>
    <row r="852" spans="1:26" ht="12.75" x14ac:dyDescent="0.2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</row>
    <row r="853" spans="1:26" ht="12.75" x14ac:dyDescent="0.2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</row>
    <row r="854" spans="1:26" ht="12.75" x14ac:dyDescent="0.2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</row>
    <row r="855" spans="1:26" ht="12.75" x14ac:dyDescent="0.2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</row>
    <row r="856" spans="1:26" ht="12.75" x14ac:dyDescent="0.2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</row>
    <row r="857" spans="1:26" ht="12.75" x14ac:dyDescent="0.2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</row>
    <row r="858" spans="1:26" ht="12.75" x14ac:dyDescent="0.2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</row>
    <row r="859" spans="1:26" ht="12.75" x14ac:dyDescent="0.2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</row>
    <row r="860" spans="1:26" ht="12.75" x14ac:dyDescent="0.2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</row>
    <row r="861" spans="1:26" ht="12.75" x14ac:dyDescent="0.2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</row>
    <row r="862" spans="1:26" ht="12.75" x14ac:dyDescent="0.2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</row>
    <row r="863" spans="1:26" ht="12.75" x14ac:dyDescent="0.2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</row>
    <row r="864" spans="1:26" ht="12.75" x14ac:dyDescent="0.2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</row>
    <row r="865" spans="1:26" ht="12.75" x14ac:dyDescent="0.2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</row>
    <row r="866" spans="1:26" ht="12.75" x14ac:dyDescent="0.2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</row>
    <row r="867" spans="1:26" ht="12.75" x14ac:dyDescent="0.2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</row>
    <row r="868" spans="1:26" ht="12.75" x14ac:dyDescent="0.2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</row>
    <row r="869" spans="1:26" ht="12.75" x14ac:dyDescent="0.2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</row>
    <row r="870" spans="1:26" ht="12.75" x14ac:dyDescent="0.2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</row>
    <row r="871" spans="1:26" ht="12.75" x14ac:dyDescent="0.2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</row>
    <row r="872" spans="1:26" ht="12.75" x14ac:dyDescent="0.2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</row>
    <row r="873" spans="1:26" ht="12.75" x14ac:dyDescent="0.2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</row>
    <row r="874" spans="1:26" ht="12.75" x14ac:dyDescent="0.2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</row>
    <row r="875" spans="1:26" ht="12.75" x14ac:dyDescent="0.2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</row>
    <row r="876" spans="1:26" ht="12.75" x14ac:dyDescent="0.2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</row>
    <row r="877" spans="1:26" ht="12.75" x14ac:dyDescent="0.2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</row>
    <row r="878" spans="1:26" ht="12.75" x14ac:dyDescent="0.2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</row>
    <row r="879" spans="1:26" ht="12.75" x14ac:dyDescent="0.2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</row>
    <row r="880" spans="1:26" ht="12.75" x14ac:dyDescent="0.2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</row>
    <row r="881" spans="1:26" ht="12.75" x14ac:dyDescent="0.2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</row>
    <row r="882" spans="1:26" ht="12.75" x14ac:dyDescent="0.2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</row>
    <row r="883" spans="1:26" ht="12.75" x14ac:dyDescent="0.2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</row>
    <row r="884" spans="1:26" ht="12.75" x14ac:dyDescent="0.2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</row>
    <row r="885" spans="1:26" ht="12.75" x14ac:dyDescent="0.2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</row>
    <row r="886" spans="1:26" ht="12.75" x14ac:dyDescent="0.2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</row>
    <row r="887" spans="1:26" ht="12.75" x14ac:dyDescent="0.2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</row>
    <row r="888" spans="1:26" ht="12.75" x14ac:dyDescent="0.2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</row>
    <row r="889" spans="1:26" ht="12.75" x14ac:dyDescent="0.2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</row>
    <row r="890" spans="1:26" ht="12.75" x14ac:dyDescent="0.2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</row>
    <row r="891" spans="1:26" ht="12.75" x14ac:dyDescent="0.2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</row>
    <row r="892" spans="1:26" ht="12.75" x14ac:dyDescent="0.2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</row>
    <row r="893" spans="1:26" ht="12.75" x14ac:dyDescent="0.2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</row>
    <row r="894" spans="1:26" ht="12.75" x14ac:dyDescent="0.2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</row>
    <row r="895" spans="1:26" ht="12.75" x14ac:dyDescent="0.2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</row>
    <row r="896" spans="1:26" ht="12.75" x14ac:dyDescent="0.2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</row>
    <row r="897" spans="1:26" ht="12.75" x14ac:dyDescent="0.2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</row>
    <row r="898" spans="1:26" ht="12.75" x14ac:dyDescent="0.2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</row>
    <row r="899" spans="1:26" ht="12.75" x14ac:dyDescent="0.2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</row>
    <row r="900" spans="1:26" ht="12.75" x14ac:dyDescent="0.2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</row>
    <row r="901" spans="1:26" ht="12.75" x14ac:dyDescent="0.2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</row>
    <row r="902" spans="1:26" ht="12.75" x14ac:dyDescent="0.2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</row>
    <row r="903" spans="1:26" ht="12.75" x14ac:dyDescent="0.2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</row>
    <row r="904" spans="1:26" ht="12.75" x14ac:dyDescent="0.2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</row>
    <row r="905" spans="1:26" ht="12.75" x14ac:dyDescent="0.2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</row>
    <row r="906" spans="1:26" ht="12.75" x14ac:dyDescent="0.2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</row>
    <row r="907" spans="1:26" ht="12.75" x14ac:dyDescent="0.2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</row>
    <row r="908" spans="1:26" ht="12.75" x14ac:dyDescent="0.2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</row>
    <row r="909" spans="1:26" ht="12.75" x14ac:dyDescent="0.2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</row>
    <row r="910" spans="1:26" ht="12.75" x14ac:dyDescent="0.2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</row>
    <row r="911" spans="1:26" ht="12.75" x14ac:dyDescent="0.2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</row>
    <row r="912" spans="1:26" ht="12.75" x14ac:dyDescent="0.2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</row>
    <row r="913" spans="1:26" ht="12.75" x14ac:dyDescent="0.2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</row>
    <row r="914" spans="1:26" ht="12.75" x14ac:dyDescent="0.2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</row>
    <row r="915" spans="1:26" ht="12.75" x14ac:dyDescent="0.2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</row>
    <row r="916" spans="1:26" ht="12.75" x14ac:dyDescent="0.2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</row>
    <row r="917" spans="1:26" ht="12.75" x14ac:dyDescent="0.2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</row>
    <row r="918" spans="1:26" ht="12.75" x14ac:dyDescent="0.2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</row>
    <row r="919" spans="1:26" ht="12.75" x14ac:dyDescent="0.2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</row>
    <row r="920" spans="1:26" ht="12.75" x14ac:dyDescent="0.2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</row>
    <row r="921" spans="1:26" ht="12.75" x14ac:dyDescent="0.2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</row>
    <row r="922" spans="1:26" ht="12.75" x14ac:dyDescent="0.2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</row>
    <row r="923" spans="1:26" ht="12.75" x14ac:dyDescent="0.2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</row>
    <row r="924" spans="1:26" ht="12.75" x14ac:dyDescent="0.2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</row>
    <row r="925" spans="1:26" ht="12.75" x14ac:dyDescent="0.2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</row>
    <row r="926" spans="1:26" ht="12.75" x14ac:dyDescent="0.2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</row>
    <row r="927" spans="1:26" ht="12.75" x14ac:dyDescent="0.2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</row>
    <row r="928" spans="1:26" ht="12.75" x14ac:dyDescent="0.2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</row>
    <row r="929" spans="1:26" ht="12.75" x14ac:dyDescent="0.2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</row>
    <row r="930" spans="1:26" ht="12.75" x14ac:dyDescent="0.2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</row>
    <row r="931" spans="1:26" ht="12.75" x14ac:dyDescent="0.2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</row>
    <row r="932" spans="1:26" ht="12.75" x14ac:dyDescent="0.2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</row>
    <row r="933" spans="1:26" ht="12.75" x14ac:dyDescent="0.2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</row>
    <row r="934" spans="1:26" ht="12.75" x14ac:dyDescent="0.2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</row>
    <row r="935" spans="1:26" ht="12.75" x14ac:dyDescent="0.2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</row>
    <row r="936" spans="1:26" ht="12.75" x14ac:dyDescent="0.2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</row>
    <row r="937" spans="1:26" ht="12.75" x14ac:dyDescent="0.2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</row>
    <row r="938" spans="1:26" ht="12.75" x14ac:dyDescent="0.2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</row>
    <row r="939" spans="1:26" ht="12.75" x14ac:dyDescent="0.2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</row>
    <row r="940" spans="1:26" ht="12.75" x14ac:dyDescent="0.2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</row>
    <row r="941" spans="1:26" ht="12.75" x14ac:dyDescent="0.2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</row>
    <row r="942" spans="1:26" ht="12.75" x14ac:dyDescent="0.2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</row>
    <row r="943" spans="1:26" ht="12.75" x14ac:dyDescent="0.2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</row>
    <row r="944" spans="1:26" ht="12.75" x14ac:dyDescent="0.2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</row>
    <row r="945" spans="1:26" ht="12.75" x14ac:dyDescent="0.2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</row>
    <row r="946" spans="1:26" ht="12.75" x14ac:dyDescent="0.2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</row>
    <row r="947" spans="1:26" ht="12.75" x14ac:dyDescent="0.2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</row>
    <row r="948" spans="1:26" ht="12.75" x14ac:dyDescent="0.2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</row>
    <row r="949" spans="1:26" ht="12.75" x14ac:dyDescent="0.2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</row>
    <row r="950" spans="1:26" ht="12.75" x14ac:dyDescent="0.2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</row>
    <row r="951" spans="1:26" ht="12.75" x14ac:dyDescent="0.2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</row>
    <row r="952" spans="1:26" ht="12.75" x14ac:dyDescent="0.2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</row>
    <row r="953" spans="1:26" ht="12.75" x14ac:dyDescent="0.2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</row>
    <row r="954" spans="1:26" ht="12.75" x14ac:dyDescent="0.2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</row>
    <row r="955" spans="1:26" ht="12.75" x14ac:dyDescent="0.2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</row>
    <row r="956" spans="1:26" ht="12.75" x14ac:dyDescent="0.2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</row>
    <row r="957" spans="1:26" ht="12.75" x14ac:dyDescent="0.2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</row>
    <row r="958" spans="1:26" ht="12.75" x14ac:dyDescent="0.2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</row>
    <row r="959" spans="1:26" ht="12.75" x14ac:dyDescent="0.2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</row>
    <row r="960" spans="1:26" ht="12.75" x14ac:dyDescent="0.2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</row>
    <row r="961" spans="1:26" ht="12.75" x14ac:dyDescent="0.2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</row>
    <row r="962" spans="1:26" ht="12.75" x14ac:dyDescent="0.2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</row>
    <row r="963" spans="1:26" ht="12.75" x14ac:dyDescent="0.2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</row>
    <row r="964" spans="1:26" ht="12.75" x14ac:dyDescent="0.2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</row>
    <row r="965" spans="1:26" ht="12.75" x14ac:dyDescent="0.2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</row>
    <row r="966" spans="1:26" ht="12.75" x14ac:dyDescent="0.2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</row>
    <row r="967" spans="1:26" ht="12.75" x14ac:dyDescent="0.2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</row>
    <row r="968" spans="1:26" ht="12.75" x14ac:dyDescent="0.2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</row>
    <row r="969" spans="1:26" ht="12.75" x14ac:dyDescent="0.2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</row>
    <row r="970" spans="1:26" ht="12.75" x14ac:dyDescent="0.2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</row>
    <row r="971" spans="1:26" ht="12.75" x14ac:dyDescent="0.2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</row>
    <row r="972" spans="1:26" ht="12.75" x14ac:dyDescent="0.2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</row>
    <row r="973" spans="1:26" ht="12.75" x14ac:dyDescent="0.2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</row>
    <row r="974" spans="1:26" ht="12.75" x14ac:dyDescent="0.2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</row>
    <row r="975" spans="1:26" ht="12.75" x14ac:dyDescent="0.2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</row>
    <row r="976" spans="1:26" ht="12.75" x14ac:dyDescent="0.2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</row>
    <row r="977" spans="1:26" ht="12.75" x14ac:dyDescent="0.2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</row>
    <row r="978" spans="1:26" ht="12.75" x14ac:dyDescent="0.2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</row>
    <row r="979" spans="1:26" ht="12.75" x14ac:dyDescent="0.2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</row>
    <row r="980" spans="1:26" ht="12.75" x14ac:dyDescent="0.2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</row>
    <row r="981" spans="1:26" ht="12.75" x14ac:dyDescent="0.2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</row>
    <row r="982" spans="1:26" ht="12.75" x14ac:dyDescent="0.2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</row>
    <row r="983" spans="1:26" ht="12.75" x14ac:dyDescent="0.2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</row>
    <row r="984" spans="1:26" ht="12.75" x14ac:dyDescent="0.2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</row>
    <row r="985" spans="1:26" ht="12.75" x14ac:dyDescent="0.2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</row>
    <row r="986" spans="1:26" ht="12.75" x14ac:dyDescent="0.2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</row>
    <row r="987" spans="1:26" ht="12.75" x14ac:dyDescent="0.2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</row>
    <row r="988" spans="1:26" ht="12.75" x14ac:dyDescent="0.2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  <c r="Z988" s="189"/>
    </row>
    <row r="989" spans="1:26" ht="12.75" x14ac:dyDescent="0.2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  <c r="Z989" s="189"/>
    </row>
    <row r="990" spans="1:26" ht="12.75" x14ac:dyDescent="0.2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  <c r="Z990" s="189"/>
    </row>
    <row r="991" spans="1:26" ht="12.75" x14ac:dyDescent="0.2">
      <c r="A991" s="189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89"/>
      <c r="V991" s="189"/>
      <c r="W991" s="189"/>
      <c r="X991" s="189"/>
      <c r="Y991" s="189"/>
      <c r="Z991" s="189"/>
    </row>
    <row r="992" spans="1:26" ht="12.75" x14ac:dyDescent="0.2">
      <c r="A992" s="189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89"/>
      <c r="V992" s="189"/>
      <c r="W992" s="189"/>
      <c r="X992" s="189"/>
      <c r="Y992" s="189"/>
      <c r="Z992" s="189"/>
    </row>
    <row r="993" spans="1:26" ht="12.75" x14ac:dyDescent="0.2">
      <c r="A993" s="189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89"/>
      <c r="V993" s="189"/>
      <c r="W993" s="189"/>
      <c r="X993" s="189"/>
      <c r="Y993" s="189"/>
      <c r="Z993" s="189"/>
    </row>
    <row r="994" spans="1:26" ht="12.75" x14ac:dyDescent="0.2">
      <c r="A994" s="189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89"/>
      <c r="V994" s="189"/>
      <c r="W994" s="189"/>
      <c r="X994" s="189"/>
      <c r="Y994" s="189"/>
      <c r="Z994" s="189"/>
    </row>
    <row r="995" spans="1:26" ht="12.75" x14ac:dyDescent="0.2">
      <c r="A995" s="189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89"/>
      <c r="V995" s="189"/>
      <c r="W995" s="189"/>
      <c r="X995" s="189"/>
      <c r="Y995" s="189"/>
      <c r="Z995" s="189"/>
    </row>
    <row r="996" spans="1:26" ht="12.75" x14ac:dyDescent="0.2">
      <c r="A996" s="189"/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89"/>
      <c r="V996" s="189"/>
      <c r="W996" s="189"/>
      <c r="X996" s="189"/>
      <c r="Y996" s="189"/>
      <c r="Z996" s="189"/>
    </row>
    <row r="997" spans="1:26" ht="12.75" x14ac:dyDescent="0.2">
      <c r="A997" s="189"/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89"/>
      <c r="V997" s="189"/>
      <c r="W997" s="189"/>
      <c r="X997" s="189"/>
      <c r="Y997" s="189"/>
      <c r="Z997" s="189"/>
    </row>
    <row r="998" spans="1:26" ht="12.75" x14ac:dyDescent="0.2">
      <c r="A998" s="189"/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89"/>
      <c r="V998" s="189"/>
      <c r="W998" s="189"/>
      <c r="X998" s="189"/>
      <c r="Y998" s="189"/>
      <c r="Z998" s="189"/>
    </row>
    <row r="999" spans="1:26" ht="12.75" x14ac:dyDescent="0.2">
      <c r="A999" s="189"/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89"/>
      <c r="V999" s="189"/>
      <c r="W999" s="189"/>
      <c r="X999" s="189"/>
      <c r="Y999" s="189"/>
      <c r="Z999" s="189"/>
    </row>
    <row r="1000" spans="1:26" ht="12.75" x14ac:dyDescent="0.2">
      <c r="A1000" s="189"/>
      <c r="B1000" s="189"/>
      <c r="C1000" s="189"/>
      <c r="D1000" s="189"/>
      <c r="E1000" s="189"/>
      <c r="F1000" s="189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89"/>
      <c r="V1000" s="189"/>
      <c r="W1000" s="189"/>
      <c r="X1000" s="189"/>
      <c r="Y1000" s="189"/>
      <c r="Z1000" s="189"/>
    </row>
  </sheetData>
  <customSheetViews>
    <customSheetView guid="{1D15EA2E-9342-4DBA-97D9-116A23B5C1DC}" filter="1" showAutoFilter="1">
      <pageMargins left="0.7" right="0.7" top="0.75" bottom="0.75" header="0.3" footer="0.3"/>
      <autoFilter ref="A1:U507" xr:uid="{BC2CA58E-053F-4E38-91E6-B1CA3D71A361}"/>
    </customSheetView>
  </customSheetViews>
  <hyperlinks>
    <hyperlink ref="Y2" r:id="rId1" display="https://watabou.github.io/city-generator/?name=Heartwell&amp;population=100109&amp;size=74&amp;seed=3550748350006&amp;river=1&amp;coast=1&amp;farms=0&amp;citadel=1&amp;urban_castle=1&amp;hub=false&amp;plaza=1&amp;temple=1&amp;walls=1&amp;shantytown=1&amp;gates=-1&amp;sea=0.67" xr:uid="{00000000-0004-0000-1800-000000000000}"/>
    <hyperlink ref="Y3" r:id="rId2" display="https://watabou.github.io/city-generator/?name=Shimerme&amp;population=3360&amp;size=20&amp;seed=3550748350019&amp;river=1&amp;coast=1&amp;farms=0&amp;citadel=1&amp;urban_castle=0&amp;hub=false&amp;plaza=0&amp;temple=0&amp;walls=1&amp;shantytown=0&amp;gates=-1&amp;sea=1.23" xr:uid="{00000000-0004-0000-1800-000001000000}"/>
    <hyperlink ref="Y4" r:id="rId3" display="https://watabou.github.io/city-generator/?name=Timbergro&amp;population=6916&amp;size=27&amp;seed=3550748350022&amp;river=0&amp;coast=0&amp;farms=0&amp;citadel=1&amp;urban_castle=1&amp;hub=false&amp;plaza=0&amp;temple=0&amp;walls=0&amp;shantytown=0&amp;gates=-1" xr:uid="{00000000-0004-0000-1800-000002000000}"/>
    <hyperlink ref="Y5" r:id="rId4" display="https://watabou.github.io/village-generator/?pop=1652&amp;name=&amp;seed=3550748350033&amp;width=1600&amp;height=727&amp;tags=highway%2Cno+square%2Cdense" xr:uid="{00000000-0004-0000-1800-000003000000}"/>
    <hyperlink ref="Y6" r:id="rId5" display="https://watabou.github.io/city-generator/?name=Banashel%27lalos&amp;population=5892&amp;size=25&amp;seed=3550748350039&amp;river=1&amp;coast=0&amp;farms=0&amp;citadel=1&amp;urban_castle=0&amp;hub=false&amp;plaza=0&amp;temple=0&amp;walls=0&amp;shantytown=0&amp;gates=-1" xr:uid="{00000000-0004-0000-1800-000004000000}"/>
    <hyperlink ref="Y7" r:id="rId6" display="https://watabou.github.io/city-generator/?name=Whitmegulch&amp;population=16601&amp;size=37&amp;seed=3550748350043&amp;river=0&amp;coast=0&amp;farms=1&amp;citadel=1&amp;urban_castle=0&amp;hub=false&amp;plaza=0&amp;temple=0&amp;walls=0&amp;shantytown=0&amp;gates=-1" xr:uid="{00000000-0004-0000-1800-000005000000}"/>
    <hyperlink ref="Y8" r:id="rId7" display="https://watabou.github.io/city-generator/?name=Oaledale&amp;population=18598&amp;size=39&amp;seed=3550748350047&amp;river=1&amp;coast=0&amp;farms=0&amp;citadel=0&amp;urban_castle=0&amp;hub=false&amp;plaza=0&amp;temple=0&amp;walls=1&amp;shantytown=0&amp;gates=-1" xr:uid="{00000000-0004-0000-1800-000006000000}"/>
    <hyperlink ref="Y9" r:id="rId8" display="https://watabou.github.io/village-generator/?pop=1727&amp;name=&amp;seed=3550748350052&amp;width=1600&amp;height=727&amp;tags=dead+end%2Cuncultivated%2Cno+square%2Cdense" xr:uid="{00000000-0004-0000-1800-000007000000}"/>
    <hyperlink ref="Y10" r:id="rId9" display="https://watabou.github.io/city-generator/?name=Dogport&amp;population=14433&amp;size=36&amp;seed=3550748350058&amp;river=0&amp;coast=0&amp;farms=1&amp;citadel=1&amp;urban_castle=1&amp;hub=false&amp;plaza=1&amp;temple=0&amp;walls=0&amp;shantytown=0&amp;gates=-1" xr:uid="{00000000-0004-0000-1800-000008000000}"/>
    <hyperlink ref="Y11" r:id="rId10" display="https://watabou.github.io/city-generator/?name=Drelme&amp;population=11053&amp;size=32&amp;seed=3550748350065&amp;river=0&amp;coast=0&amp;farms=1&amp;citadel=0&amp;urban_castle=0&amp;hub=false&amp;plaza=1&amp;temple=0&amp;walls=1&amp;shantytown=0&amp;gates=-1" xr:uid="{00000000-0004-0000-1800-000009000000}"/>
    <hyperlink ref="Y12" r:id="rId11" display="https://watabou.github.io/city-generator/?name=Sirong&amp;population=29657&amp;size=47&amp;seed=3550748350070&amp;river=0&amp;coast=1&amp;farms=0&amp;citadel=1&amp;urban_castle=1&amp;hub=false&amp;plaza=0&amp;temple=0&amp;walls=0&amp;shantytown=0&amp;gates=-1&amp;sea=0.79" xr:uid="{00000000-0004-0000-1800-00000A000000}"/>
    <hyperlink ref="Y13" r:id="rId12" display="https://watabou.github.io/city-generator/?name=Mistmorest&amp;population=1773&amp;size=16&amp;seed=3550748350074&amp;river=1&amp;coast=0&amp;farms=1&amp;citadel=1&amp;urban_castle=1&amp;hub=false&amp;plaza=0&amp;temple=0&amp;walls=0&amp;shantytown=0&amp;gates=-1" xr:uid="{00000000-0004-0000-1800-00000B000000}"/>
    <hyperlink ref="Y14" r:id="rId13" display="https://watabou.github.io/city-generator/?name=Moonpasshi&amp;population=9554&amp;size=30&amp;seed=3550748350078&amp;river=0&amp;coast=0&amp;farms=0&amp;citadel=0&amp;urban_castle=0&amp;hub=false&amp;plaza=1&amp;temple=0&amp;walls=0&amp;shantytown=0&amp;gates=-1" xr:uid="{00000000-0004-0000-1800-00000C000000}"/>
    <hyperlink ref="Y15" r:id="rId14" display="https://watabou.github.io/city-generator/?name=Griteshield&amp;population=1705&amp;size=16&amp;seed=3550748350086&amp;river=1&amp;coast=0&amp;farms=1&amp;citadel=1&amp;urban_castle=1&amp;hub=false&amp;plaza=0&amp;temple=0&amp;walls=0&amp;shantytown=0&amp;gates=-1" xr:uid="{00000000-0004-0000-1800-00000D000000}"/>
    <hyperlink ref="Y16" r:id="rId15" display="https://watabou.github.io/city-generator/?name=Cademire&amp;population=14383&amp;size=36&amp;seed=3550748350087&amp;river=0&amp;coast=1&amp;farms=1&amp;citadel=1&amp;urban_castle=0&amp;hub=false&amp;plaza=0&amp;temple=0&amp;walls=1&amp;shantytown=0&amp;gates=-1&amp;sea=0.18" xr:uid="{00000000-0004-0000-1800-00000E000000}"/>
    <hyperlink ref="Y17" r:id="rId16" display="https://watabou.github.io/city-generator/?name=Quickwatch&amp;population=6128&amp;size=26&amp;seed=3550748350099&amp;river=1&amp;coast=0&amp;farms=1&amp;citadel=1&amp;urban_castle=0&amp;hub=false&amp;plaza=0&amp;temple=0&amp;walls=1&amp;shantytown=0&amp;gates=-1" xr:uid="{00000000-0004-0000-1800-00000F000000}"/>
    <hyperlink ref="Y18" r:id="rId17" display="https://watabou.github.io/city-generator/?name=Westleden&amp;population=1956&amp;size=17&amp;seed=3550748350100&amp;river=0&amp;coast=0&amp;farms=1&amp;citadel=1&amp;urban_castle=1&amp;hub=false&amp;plaza=0&amp;temple=0&amp;walls=0&amp;shantytown=0&amp;gates=-1" xr:uid="{00000000-0004-0000-1800-000010000000}"/>
    <hyperlink ref="Y19" r:id="rId18" display="https://watabou.github.io/city-generator/?name=Draven&amp;population=3268&amp;size=20&amp;seed=3550748350103&amp;river=1&amp;coast=1&amp;farms=0&amp;citadel=1&amp;urban_castle=0&amp;hub=false&amp;plaza=0&amp;temple=0&amp;walls=1&amp;shantytown=0&amp;gates=-1&amp;sea=0.69" xr:uid="{00000000-0004-0000-1800-000011000000}"/>
    <hyperlink ref="Y20" r:id="rId19" display="https://watabou.github.io/city-generator/?name=Shroutumn&amp;population=4134&amp;size=22&amp;seed=3550748350108&amp;river=0&amp;coast=1&amp;farms=0&amp;citadel=1&amp;urban_castle=1&amp;hub=false&amp;plaza=0&amp;temple=0&amp;walls=0&amp;shantytown=0&amp;gates=-1&amp;sea=1.06" xr:uid="{00000000-0004-0000-1800-000012000000}"/>
    <hyperlink ref="Y21" r:id="rId20" display="https://watabou.github.io/city-generator/?name=Shaledasinf&amp;population=4744&amp;size=23&amp;seed=3550748350115&amp;river=0&amp;coast=0&amp;farms=1&amp;citadel=1&amp;urban_castle=0&amp;hub=false&amp;plaza=0&amp;temple=0&amp;walls=0&amp;shantytown=0&amp;gates=-1" xr:uid="{00000000-0004-0000-1800-000013000000}"/>
    <hyperlink ref="Y22" r:id="rId21" display="https://watabou.github.io/city-generator/?name=Pearldfair&amp;population=7044&amp;size=27&amp;seed=3550748350117&amp;river=0&amp;coast=1&amp;farms=0&amp;citadel=0&amp;urban_castle=0&amp;hub=false&amp;plaza=1&amp;temple=0&amp;walls=0&amp;shantytown=0&amp;gates=-1&amp;sea=1.93" xr:uid="{00000000-0004-0000-1800-000014000000}"/>
    <hyperlink ref="Y23" r:id="rId22" display="https://watabou.github.io/city-generator/?name=Bearsimeg&amp;population=1784&amp;size=16&amp;seed=3550748350121&amp;river=0&amp;coast=0&amp;farms=1&amp;citadel=1&amp;urban_castle=0&amp;hub=false&amp;plaza=0&amp;temple=0&amp;walls=0&amp;shantytown=0&amp;gates=-1" xr:uid="{00000000-0004-0000-1800-000015000000}"/>
    <hyperlink ref="Y24" r:id="rId23" display="https://watabou.github.io/city-generator/?name=Wingmire&amp;population=3608&amp;size=21&amp;seed=3550748350122&amp;river=1&amp;coast=0&amp;farms=0&amp;citadel=1&amp;urban_castle=1&amp;hub=false&amp;plaza=1&amp;temple=0&amp;walls=0&amp;shantytown=0&amp;gates=-1" xr:uid="{00000000-0004-0000-1800-000016000000}"/>
    <hyperlink ref="Y25" r:id="rId24" display="https://watabou.github.io/city-generator/?name=Cadeband&amp;population=8105&amp;size=29&amp;seed=3550748350135&amp;river=0&amp;coast=0&amp;farms=1&amp;citadel=0&amp;urban_castle=0&amp;hub=false&amp;plaza=1&amp;temple=0&amp;walls=0&amp;shantytown=0&amp;gates=-1" xr:uid="{00000000-0004-0000-1800-000017000000}"/>
    <hyperlink ref="Y26" r:id="rId25" display="https://watabou.github.io/city-generator/?name=Wildcall&amp;population=24844&amp;size=44&amp;seed=3550748350141&amp;river=0&amp;coast=0&amp;farms=0&amp;citadel=0&amp;urban_castle=0&amp;hub=false&amp;plaza=1&amp;temple=1&amp;walls=1&amp;shantytown=0&amp;gates=-1" xr:uid="{00000000-0004-0000-1800-000018000000}"/>
    <hyperlink ref="Y27" r:id="rId26" display="https://watabou.github.io/city-generator/?name=Nehalle&amp;population=11784&amp;size=33&amp;seed=3550748350143&amp;river=0&amp;coast=0&amp;farms=1&amp;citadel=1&amp;urban_castle=0&amp;hub=false&amp;plaza=0&amp;temple=0&amp;walls=1&amp;shantytown=0&amp;gates=-1" xr:uid="{00000000-0004-0000-1800-000019000000}"/>
    <hyperlink ref="Y28" r:id="rId27" display="https://watabou.github.io/city-generator/?name=Dawnsites&amp;population=11553&amp;size=33&amp;seed=3550748350156&amp;river=0&amp;coast=1&amp;farms=1&amp;citadel=0&amp;urban_castle=0&amp;hub=false&amp;plaza=0&amp;temple=0&amp;walls=0&amp;shantytown=0&amp;gates=-1&amp;sea=1.52" xr:uid="{00000000-0004-0000-1800-00001A000000}"/>
    <hyperlink ref="Y29" r:id="rId28" display="https://watabou.github.io/city-generator/?name=Sirongrasp&amp;population=4343&amp;size=23&amp;seed=3550748350157&amp;river=0&amp;coast=0&amp;farms=1&amp;citadel=0&amp;urban_castle=0&amp;hub=false&amp;plaza=0&amp;temple=0&amp;walls=0&amp;shantytown=0&amp;gates=-1" xr:uid="{00000000-0004-0000-1800-00001B000000}"/>
    <hyperlink ref="Y30" r:id="rId29" display="https://watabou.github.io/city-generator/?name=Dreghold&amp;population=32035&amp;size=48&amp;seed=3550748350169&amp;river=0&amp;coast=1&amp;farms=1&amp;citadel=1&amp;urban_castle=0&amp;hub=false&amp;plaza=1&amp;temple=0&amp;walls=0&amp;shantytown=0&amp;gates=-1&amp;sea=1.68" xr:uid="{00000000-0004-0000-1800-00001C000000}"/>
    <hyperlink ref="Y31" r:id="rId30" display="https://watabou.github.io/city-generator/?name=Westle&amp;population=19230&amp;size=40&amp;seed=3550748350178&amp;river=0&amp;coast=1&amp;farms=1&amp;citadel=1&amp;urban_castle=1&amp;hub=false&amp;plaza=1&amp;temple=0&amp;walls=1&amp;shantytown=0&amp;gates=-1&amp;sea=1.65" xr:uid="{00000000-0004-0000-1800-00001D000000}"/>
    <hyperlink ref="Y32" r:id="rId31" display="https://watabou.github.io/city-generator/?name=Heartmorest&amp;population=8500&amp;size=29&amp;seed=3550748350182&amp;river=1&amp;coast=0&amp;farms=1&amp;citadel=1&amp;urban_castle=1&amp;hub=false&amp;plaza=1&amp;temple=0&amp;walls=0&amp;shantytown=0&amp;gates=-1" xr:uid="{00000000-0004-0000-1800-00001E000000}"/>
    <hyperlink ref="Y33" r:id="rId32" display="https://watabou.github.io/city-generator/?name=Eagportford&amp;population=14971&amp;size=36&amp;seed=3550748350192&amp;river=0&amp;coast=0&amp;farms=1&amp;citadel=1&amp;urban_castle=1&amp;hub=false&amp;plaza=1&amp;temple=0&amp;walls=1&amp;shantytown=0&amp;gates=-1" xr:uid="{00000000-0004-0000-1800-00001F000000}"/>
    <hyperlink ref="Y34" r:id="rId33" display="https://watabou.github.io/village-generator/?pop=1784&amp;name=&amp;seed=3550748350195&amp;width=1600&amp;height=727&amp;tags=highway%2Cuncultivated%2Cdense" xr:uid="{00000000-0004-0000-1800-000020000000}"/>
    <hyperlink ref="Y35" r:id="rId34" display="https://watabou.github.io/city-generator/?name=Eldefones&amp;population=4216&amp;size=22&amp;seed=3550748350208&amp;river=0&amp;coast=0&amp;farms=1&amp;citadel=1&amp;urban_castle=1&amp;hub=false&amp;plaza=0&amp;temple=0&amp;walls=0&amp;shantytown=0&amp;gates=-1" xr:uid="{00000000-0004-0000-1800-000021000000}"/>
    <hyperlink ref="Y36" r:id="rId35" display="https://watabou.github.io/village-generator/?pop=1856&amp;name=&amp;seed=3550748350209&amp;width=1600&amp;height=727&amp;tags=river%2Chighway%2Cno+square%2Cdense" xr:uid="{00000000-0004-0000-1800-000022000000}"/>
    <hyperlink ref="Y37" r:id="rId36" display="https://watabou.github.io/city-generator/?name=Autumngulf&amp;population=4057&amp;size=22&amp;seed=3550748350210&amp;river=0&amp;coast=1&amp;farms=0&amp;citadel=0&amp;urban_castle=0&amp;hub=false&amp;plaza=0&amp;temple=0&amp;walls=0&amp;shantytown=0&amp;gates=-1&amp;sea=1.85" xr:uid="{00000000-0004-0000-1800-000023000000}"/>
    <hyperlink ref="Y38" r:id="rId37" display="https://watabou.github.io/city-generator/?name=Mudband&amp;population=4433&amp;size=23&amp;seed=3550748350211&amp;river=0&amp;coast=0&amp;farms=1&amp;citadel=1&amp;urban_castle=0&amp;hub=false&amp;plaza=0&amp;temple=0&amp;walls=0&amp;shantytown=0&amp;gates=-1" xr:uid="{00000000-0004-0000-1800-000024000000}"/>
    <hyperlink ref="Y39" r:id="rId38" display="https://watabou.github.io/city-generator/?name=Drakefair&amp;population=2200&amp;size=17&amp;seed=3550748350222&amp;river=1&amp;coast=0&amp;farms=1&amp;citadel=1&amp;urban_castle=1&amp;hub=false&amp;plaza=1&amp;temple=0&amp;walls=0&amp;shantytown=0&amp;gates=-1" xr:uid="{00000000-0004-0000-1800-000025000000}"/>
    <hyperlink ref="Y40" r:id="rId39" display="https://watabou.github.io/city-generator/?name=Casthclif&amp;population=18673&amp;size=39&amp;seed=3550748350226&amp;river=1&amp;coast=0&amp;farms=1&amp;citadel=1&amp;urban_castle=1&amp;hub=false&amp;plaza=0&amp;temple=0&amp;walls=0&amp;shantytown=0&amp;gates=-1" xr:uid="{00000000-0004-0000-1800-000026000000}"/>
    <hyperlink ref="Y41" r:id="rId40" display="https://watabou.github.io/city-generator/?name=Shaterse&amp;population=2831&amp;size=19&amp;seed=3550748350236&amp;river=0&amp;coast=1&amp;farms=1&amp;citadel=1&amp;urban_castle=1&amp;hub=false&amp;plaza=1&amp;temple=0&amp;walls=1&amp;shantytown=0&amp;gates=-1&amp;sea=1.57" xr:uid="{00000000-0004-0000-1800-000027000000}"/>
    <hyperlink ref="Y42" r:id="rId41" display="https://watabou.github.io/city-generator/?name=Rorestle&amp;population=1788&amp;size=16&amp;seed=3550748350246&amp;river=0&amp;coast=0&amp;farms=1&amp;citadel=1&amp;urban_castle=1&amp;hub=false&amp;plaza=0&amp;temple=0&amp;walls=1&amp;shantytown=0&amp;gates=-1" xr:uid="{00000000-0004-0000-1800-000028000000}"/>
    <hyperlink ref="Y43" r:id="rId42" display="https://watabou.github.io/city-generator/?name=Pondhol&amp;population=23261&amp;size=43&amp;seed=3550748350247&amp;river=0&amp;coast=0&amp;farms=1&amp;citadel=0&amp;urban_castle=0&amp;hub=false&amp;plaza=0&amp;temple=1&amp;walls=1&amp;shantytown=0&amp;gates=-1" xr:uid="{00000000-0004-0000-1800-000029000000}"/>
    <hyperlink ref="Y44" r:id="rId43" display="https://watabou.github.io/village-generator/?pop=1875&amp;name=&amp;seed=3550748350260&amp;width=1600&amp;height=727&amp;tags=highway%2Cdense" xr:uid="{00000000-0004-0000-1800-00002A000000}"/>
    <hyperlink ref="Y45" r:id="rId44" display="https://watabou.github.io/city-generator/?name=Deercross&amp;population=2192&amp;size=17&amp;seed=3550748350261&amp;river=1&amp;coast=0&amp;farms=1&amp;citadel=1&amp;urban_castle=0&amp;hub=false&amp;plaza=0&amp;temple=0&amp;walls=1&amp;shantytown=0&amp;gates=-1" xr:uid="{00000000-0004-0000-1800-00002B000000}"/>
    <hyperlink ref="Y46" r:id="rId45" display="https://watabou.github.io/city-generator/?name=Shaken&amp;population=8656&amp;size=29&amp;seed=3550748350262&amp;river=1&amp;coast=0&amp;farms=0&amp;citadel=1&amp;urban_castle=1&amp;hub=false&amp;plaza=0&amp;temple=0&amp;walls=0&amp;shantytown=0&amp;gates=-1" xr:uid="{00000000-0004-0000-1800-00002C000000}"/>
    <hyperlink ref="Y47" r:id="rId46" display="https://watabou.github.io/city-generator/?name=Clifrost&amp;population=1634&amp;size=16&amp;seed=3550748350263&amp;river=0&amp;coast=0&amp;farms=0&amp;citadel=1&amp;urban_castle=0&amp;hub=false&amp;plaza=1&amp;temple=0&amp;walls=0&amp;shantytown=0&amp;gates=-1" xr:uid="{00000000-0004-0000-1800-00002D000000}"/>
    <hyperlink ref="Y48" r:id="rId47" display="https://watabou.github.io/city-generator/?name=Direlight&amp;population=1895&amp;size=17&amp;seed=3550748350271&amp;river=0&amp;coast=0&amp;farms=1&amp;citadel=1&amp;urban_castle=0&amp;hub=false&amp;plaza=0&amp;temple=0&amp;walls=0&amp;shantytown=0&amp;gates=-1" xr:uid="{00000000-0004-0000-1800-00002E000000}"/>
    <hyperlink ref="Y49" r:id="rId48" display="https://watabou.github.io/city-generator/?name=Clearmire&amp;population=5319&amp;size=24&amp;seed=3550748350281&amp;river=0&amp;coast=0&amp;farms=0&amp;citadel=1&amp;urban_castle=0&amp;hub=false&amp;plaza=0&amp;temple=0&amp;walls=0&amp;shantytown=0&amp;gates=-1" xr:uid="{00000000-0004-0000-1800-00002F000000}"/>
    <hyperlink ref="Y50" r:id="rId49" display="https://watabou.github.io/city-generator/?name=Scorchill&amp;population=2212&amp;size=18&amp;seed=3550748350282&amp;river=0&amp;coast=0&amp;farms=0&amp;citadel=1&amp;urban_castle=1&amp;hub=false&amp;plaza=1&amp;temple=0&amp;walls=0&amp;shantytown=0&amp;gates=-1" xr:uid="{00000000-0004-0000-1800-000030000000}"/>
    <hyperlink ref="Y51" r:id="rId50" display="https://watabou.github.io/city-generator/?name=Brittvault&amp;population=19837&amp;size=40&amp;seed=3550748350283&amp;river=1&amp;coast=0&amp;farms=0&amp;citadel=0&amp;urban_castle=0&amp;hub=false&amp;plaza=0&amp;temple=0&amp;walls=0&amp;shantytown=0&amp;gates=-1" xr:uid="{00000000-0004-0000-1800-000031000000}"/>
    <hyperlink ref="Y52" r:id="rId51" display="https://watabou.github.io/city-generator/?name=Eguard&amp;population=31105&amp;size=48&amp;seed=3550748350297&amp;river=1&amp;coast=1&amp;farms=1&amp;citadel=0&amp;urban_castle=0&amp;hub=false&amp;plaza=1&amp;temple=1&amp;walls=1&amp;shantytown=1&amp;gates=-1&amp;sea=1.7" xr:uid="{00000000-0004-0000-1800-000032000000}"/>
    <hyperlink ref="Y53" r:id="rId52" display="https://watabou.github.io/city-generator/?name=Borehelmber&amp;population=10757&amp;size=32&amp;seed=3550748350305&amp;river=0&amp;coast=0&amp;farms=1&amp;citadel=1&amp;urban_castle=0&amp;hub=false&amp;plaza=1&amp;temple=0&amp;walls=1&amp;shantytown=0&amp;gates=-1" xr:uid="{00000000-0004-0000-1800-000033000000}"/>
    <hyperlink ref="Y54" r:id="rId53" display="https://watabou.github.io/city-generator/?name=Grideborn&amp;population=1850&amp;size=16&amp;seed=3550748350315&amp;river=0&amp;coast=0&amp;farms=0&amp;citadel=1&amp;urban_castle=0&amp;hub=false&amp;plaza=0&amp;temple=0&amp;walls=0&amp;shantytown=0&amp;gates=-1" xr:uid="{00000000-0004-0000-1800-000034000000}"/>
    <hyperlink ref="Y55" r:id="rId54" display="https://watabou.github.io/city-generator/?name=Gnilaurthi&amp;population=9267&amp;size=30&amp;seed=3550748350326&amp;river=0&amp;coast=1&amp;farms=1&amp;citadel=0&amp;urban_castle=0&amp;hub=false&amp;plaza=0&amp;temple=0&amp;walls=0&amp;shantytown=0&amp;gates=-1&amp;sea=0.99" xr:uid="{00000000-0004-0000-1800-000035000000}"/>
    <hyperlink ref="Y56" r:id="rId55" display="https://watabou.github.io/city-generator/?name=Goldbrook&amp;population=2822&amp;size=19&amp;seed=3550748350349&amp;river=0&amp;coast=1&amp;farms=1&amp;citadel=1&amp;urban_castle=0&amp;hub=false&amp;plaza=1&amp;temple=0&amp;walls=0&amp;shantytown=0&amp;gates=-1&amp;sea=0.01" xr:uid="{00000000-0004-0000-1800-000036000000}"/>
    <hyperlink ref="Y57" r:id="rId56" display="https://watabou.github.io/city-generator/?name=Barondrith&amp;population=8507&amp;size=29&amp;seed=3550748350351&amp;river=0&amp;coast=0&amp;farms=1&amp;citadel=0&amp;urban_castle=0&amp;hub=false&amp;plaza=0&amp;temple=0&amp;walls=0&amp;shantytown=0&amp;gates=-1" xr:uid="{00000000-0004-0000-1800-000037000000}"/>
    <hyperlink ref="Y58" r:id="rId57" display="https://watabou.github.io/city-generator/?name=Pearlpass&amp;population=23705&amp;size=43&amp;seed=3550748350376&amp;river=0&amp;coast=0&amp;farms=1&amp;citadel=1&amp;urban_castle=1&amp;hub=false&amp;plaza=1&amp;temple=0&amp;walls=0&amp;shantytown=0&amp;gates=-1" xr:uid="{00000000-0004-0000-1800-000038000000}"/>
    <hyperlink ref="Y59" r:id="rId58" display="https://watabou.github.io/city-generator/?name=Clifgasinf&amp;population=2932&amp;size=19&amp;seed=3550748350378&amp;river=0&amp;coast=1&amp;farms=1&amp;citadel=0&amp;urban_castle=0&amp;hub=false&amp;plaza=0&amp;temple=0&amp;walls=0&amp;shantytown=0&amp;gates=-1&amp;sea=1.85" xr:uid="{00000000-0004-0000-1800-000039000000}"/>
    <hyperlink ref="Y60" r:id="rId59" display="https://watabou.github.io/city-generator/?name=Bugausth%27vhala&amp;population=32536&amp;size=48&amp;seed=3550748350380&amp;river=0&amp;coast=0&amp;farms=1&amp;citadel=1&amp;urban_castle=1&amp;hub=false&amp;plaza=1&amp;temple=0&amp;walls=1&amp;shantytown=0&amp;gates=-1" xr:uid="{00000000-0004-0000-1800-00003A000000}"/>
    <hyperlink ref="Y61" r:id="rId60" display="https://watabou.github.io/village-generator/?pop=1799&amp;name=&amp;seed=3550748350381&amp;width=1600&amp;height=727&amp;tags=dead+end%2Cno+square%2Cdense" xr:uid="{00000000-0004-0000-1800-00003B000000}"/>
    <hyperlink ref="Y62" r:id="rId61" display="https://watabou.github.io/city-generator/?name=Boceans&amp;population=5387&amp;size=24&amp;seed=3550748350396&amp;river=1&amp;coast=0&amp;farms=1&amp;citadel=1&amp;urban_castle=1&amp;hub=false&amp;plaza=0&amp;temple=0&amp;walls=0&amp;shantytown=0&amp;gates=-1" xr:uid="{00000000-0004-0000-1800-00003C000000}"/>
    <hyperlink ref="Y63" r:id="rId62" display="https://watabou.github.io/village-generator/?pop=1924&amp;name=&amp;seed=3550748350397&amp;width=1600&amp;height=727&amp;tags=dead+end%2Cuncultivated%2Cdense" xr:uid="{00000000-0004-0000-1800-00003D000000}"/>
    <hyperlink ref="Y64" r:id="rId63" display="https://watabou.github.io/city-generator/?name=Blackstone&amp;population=22577&amp;size=42&amp;seed=3550748350398&amp;river=0&amp;coast=0&amp;farms=0&amp;citadel=1&amp;urban_castle=1&amp;hub=false&amp;plaza=1&amp;temple=0&amp;walls=0&amp;shantytown=0&amp;gates=-1" xr:uid="{00000000-0004-0000-1800-00003E000000}"/>
    <hyperlink ref="Y65" r:id="rId64" display="https://watabou.github.io/village-generator/?pop=1801&amp;name=&amp;seed=3550748350400&amp;width=1600&amp;height=727&amp;tags=highway%2Cuncultivated%2Cdense" xr:uid="{00000000-0004-0000-1800-00003F000000}"/>
    <hyperlink ref="Y66" r:id="rId65" display="https://watabou.github.io/city-generator/?name=Stovehaven&amp;population=1811&amp;size=16&amp;seed=3550748350401&amp;river=0&amp;coast=0&amp;farms=0&amp;citadel=1&amp;urban_castle=0&amp;hub=false&amp;plaza=1&amp;temple=0&amp;walls=0&amp;shantytown=0&amp;gates=-1" xr:uid="{00000000-0004-0000-1800-000040000000}"/>
    <hyperlink ref="Y67" r:id="rId66" display="https://watabou.github.io/city-generator/?name=Wolfpasstar&amp;population=1905&amp;size=17&amp;seed=3550748350414&amp;river=0&amp;coast=0&amp;farms=1&amp;citadel=0&amp;urban_castle=0&amp;hub=false&amp;plaza=0&amp;temple=0&amp;walls=1&amp;shantytown=0&amp;gates=-1" xr:uid="{00000000-0004-0000-1800-000041000000}"/>
    <hyperlink ref="Y68" r:id="rId67" display="https://watabou.github.io/city-generator/?name=Lastshell&amp;population=10701&amp;size=32&amp;seed=3550748350434&amp;river=0&amp;coast=0&amp;farms=0&amp;citadel=1&amp;urban_castle=1&amp;hub=false&amp;plaza=1&amp;temple=0&amp;walls=0&amp;shantytown=0&amp;gates=-1" xr:uid="{00000000-0004-0000-1800-000042000000}"/>
    <hyperlink ref="Y69" r:id="rId68" display="https://watabou.github.io/city-generator/?name=Clifrostle&amp;population=5619&amp;size=25&amp;seed=3550748350449&amp;river=0&amp;coast=0&amp;farms=1&amp;citadel=0&amp;urban_castle=0&amp;hub=false&amp;plaza=0&amp;temple=0&amp;walls=0&amp;shantytown=0&amp;gates=-1" xr:uid="{00000000-0004-0000-1800-000043000000}"/>
    <hyperlink ref="Y70" r:id="rId69" display="https://watabou.github.io/city-generator/?name=Cryspide&amp;population=4150&amp;size=22&amp;seed=3550748350450&amp;river=0&amp;coast=0&amp;farms=1&amp;citadel=1&amp;urban_castle=1&amp;hub=false&amp;plaza=1&amp;temple=0&amp;walls=0&amp;shantytown=0&amp;gates=-1" xr:uid="{00000000-0004-0000-1800-000044000000}"/>
    <hyperlink ref="Y71" r:id="rId70" display="https://watabou.github.io/city-generator/?name=Emouth&amp;population=2171&amp;size=17&amp;seed=3550748350451&amp;river=0&amp;coast=0&amp;farms=1&amp;citadel=0&amp;urban_castle=0&amp;hub=false&amp;plaza=0&amp;temple=0&amp;walls=0&amp;shantytown=0&amp;gates=-1" xr:uid="{00000000-0004-0000-1800-000045000000}"/>
    <hyperlink ref="Y72" r:id="rId71" display="https://watabou.github.io/city-generator/?name=Bearowbay&amp;population=1931&amp;size=17&amp;seed=3550748350453&amp;river=0&amp;coast=0&amp;farms=0&amp;citadel=1&amp;urban_castle=0&amp;hub=false&amp;plaza=0&amp;temple=0&amp;walls=0&amp;shantytown=0&amp;gates=-1" xr:uid="{00000000-0004-0000-1800-000046000000}"/>
    <hyperlink ref="Y73" r:id="rId72" display="https://watabou.github.io/city-generator/?name=Deepmoor&amp;population=1923&amp;size=17&amp;seed=3550748350454&amp;river=0&amp;coast=0&amp;farms=0&amp;citadel=1&amp;urban_castle=1&amp;hub=false&amp;plaza=0&amp;temple=0&amp;walls=0&amp;shantytown=0&amp;gates=-1" xr:uid="{00000000-0004-0000-1800-000047000000}"/>
    <hyperlink ref="Y74" r:id="rId73" display="https://watabou.github.io/city-generator/?name=Gonagithmorso&amp;population=18184&amp;size=39&amp;seed=3550748350462&amp;river=0&amp;coast=1&amp;farms=1&amp;citadel=0&amp;urban_castle=0&amp;hub=false&amp;plaza=1&amp;temple=0&amp;walls=0&amp;shantytown=0&amp;gates=-1&amp;sea=1.57" xr:uid="{00000000-0004-0000-1800-000048000000}"/>
    <hyperlink ref="Y75" r:id="rId74" display="https://watabou.github.io/city-generator/?name=Wilvernyard&amp;population=9340&amp;size=30&amp;seed=3550748350464&amp;river=0&amp;coast=0&amp;farms=1&amp;citadel=1&amp;urban_castle=1&amp;hub=false&amp;plaza=0&amp;temple=0&amp;walls=0&amp;shantytown=0&amp;gates=-1" xr:uid="{00000000-0004-0000-1800-000049000000}"/>
    <hyperlink ref="Y76" r:id="rId75" display="https://watabou.github.io/city-generator/?name=Flakechpost&amp;population=23430&amp;size=43&amp;seed=3550748350492&amp;river=1&amp;coast=0&amp;farms=0&amp;citadel=1&amp;urban_castle=1&amp;hub=false&amp;plaza=1&amp;temple=0&amp;walls=1&amp;shantytown=0&amp;gates=-1" xr:uid="{00000000-0004-0000-1800-00004A000000}"/>
    <hyperlink ref="Y77" r:id="rId76" display="https://watabou.github.io/city-generator/?name=Sungelrock&amp;population=17058&amp;size=38&amp;seed=3550748350493&amp;river=1&amp;coast=0&amp;farms=1&amp;citadel=1&amp;urban_castle=0&amp;hub=false&amp;plaza=0&amp;temple=0&amp;walls=0&amp;shantytown=0&amp;gates=-1" xr:uid="{00000000-0004-0000-1800-00004B000000}"/>
    <hyperlink ref="Y78" r:id="rId77" display="https://watabou.github.io/city-generator/?name=Mythsplain&amp;population=17983&amp;size=39&amp;seed=3550748350494&amp;river=0&amp;coast=0&amp;farms=0&amp;citadel=1&amp;urban_castle=1&amp;hub=false&amp;plaza=1&amp;temple=0&amp;walls=0&amp;shantytown=0&amp;gates=-1" xr:uid="{00000000-0004-0000-1800-00004C000000}"/>
    <hyperlink ref="Y79" r:id="rId78" display="https://watabou.github.io/city-generator/?name=Houndreach&amp;population=3698&amp;size=21&amp;seed=3550748350504&amp;river=0&amp;coast=1&amp;farms=1&amp;citadel=1&amp;urban_castle=1&amp;hub=false&amp;plaza=0&amp;temple=0&amp;walls=0&amp;shantytown=0&amp;gates=-1&amp;sea=0.12" xr:uid="{00000000-0004-0000-1800-00004D000000}"/>
    <hyperlink ref="Y80" r:id="rId79" display="https://watabou.github.io/village-generator/?pop=1974&amp;name=&amp;seed=3550748350522&amp;width=1600&amp;height=727&amp;tags=dead+end%2Cuncultivated%2Cdense" xr:uid="{00000000-0004-0000-1800-00004E000000}"/>
    <hyperlink ref="Y81" r:id="rId80" display="https://watabou.github.io/city-generator/?name=Raterehall&amp;population=2083&amp;size=17&amp;seed=3550748350536&amp;river=0&amp;coast=0&amp;farms=1&amp;citadel=1&amp;urban_castle=1&amp;hub=false&amp;plaza=0&amp;temple=0&amp;walls=0&amp;shantytown=0&amp;gates=-1" xr:uid="{00000000-0004-0000-1800-00004F000000}"/>
    <hyperlink ref="Y82" r:id="rId81" display="https://watabou.github.io/city-generator/?name=Shadowtown&amp;population=2159&amp;size=17&amp;seed=3550748350538&amp;river=0&amp;coast=0&amp;farms=1&amp;citadel=1&amp;urban_castle=1&amp;hub=false&amp;plaza=0&amp;temple=0&amp;walls=0&amp;shantytown=0&amp;gates=-1" xr:uid="{00000000-0004-0000-1800-000050000000}"/>
    <hyperlink ref="Y83" r:id="rId82" display="https://watabou.github.io/city-generator/?name=Swangeld&amp;population=13762&amp;size=35&amp;seed=3550748350541&amp;river=0&amp;coast=0&amp;farms=0&amp;citadel=1&amp;urban_castle=0&amp;hub=false&amp;plaza=0&amp;temple=0&amp;walls=1&amp;shantytown=0&amp;gates=-1" xr:uid="{00000000-0004-0000-1800-000051000000}"/>
    <hyperlink ref="Y84" r:id="rId83" display="https://watabou.github.io/city-generator/?name=Roremice&amp;population=10379&amp;size=31&amp;seed=3550748350542&amp;river=0&amp;coast=0&amp;farms=1&amp;citadel=1&amp;urban_castle=1&amp;hub=false&amp;plaza=0&amp;temple=0&amp;walls=1&amp;shantytown=0&amp;gates=-1" xr:uid="{00000000-0004-0000-1800-000052000000}"/>
    <hyperlink ref="Y85" r:id="rId84" display="https://watabou.github.io/city-generator/?name=Jaallugausthei&amp;population=25544&amp;size=44&amp;seed=3550748350543&amp;river=0&amp;coast=0&amp;farms=1&amp;citadel=1&amp;urban_castle=0&amp;hub=false&amp;plaza=0&amp;temple=1&amp;walls=1&amp;shantytown=1&amp;gates=-1" xr:uid="{00000000-0004-0000-1800-000053000000}"/>
    <hyperlink ref="Y86" r:id="rId85" display="https://watabou.github.io/city-generator/?name=Eldhembenlean&amp;population=12339&amp;size=34&amp;seed=3550748350544&amp;river=1&amp;coast=1&amp;farms=0&amp;citadel=1&amp;urban_castle=1&amp;hub=false&amp;plaza=1&amp;temple=0&amp;walls=0&amp;shantytown=0&amp;gates=-1&amp;sea=0.71" xr:uid="{00000000-0004-0000-1800-000054000000}"/>
    <hyperlink ref="Y87" r:id="rId86" display="https://watabou.github.io/city-generator/?name=Storewell&amp;population=11612&amp;size=33&amp;seed=3550748350563&amp;river=0&amp;coast=0&amp;farms=1&amp;citadel=0&amp;urban_castle=0&amp;hub=false&amp;plaza=1&amp;temple=0&amp;walls=0&amp;shantytown=0&amp;gates=-1" xr:uid="{00000000-0004-0000-1800-000055000000}"/>
    <hyperlink ref="Y88" r:id="rId87" display="https://watabou.github.io/city-generator/?name=Steamhorn&amp;population=16032&amp;size=37&amp;seed=3550748350564&amp;river=0&amp;coast=0&amp;farms=1&amp;citadel=1&amp;urban_castle=1&amp;hub=false&amp;plaza=0&amp;temple=0&amp;walls=0&amp;shantytown=0&amp;gates=-1" xr:uid="{00000000-0004-0000-1800-000056000000}"/>
    <hyperlink ref="Y89" r:id="rId88" display="https://watabou.github.io/city-generator/?name=Heartle&amp;population=25350&amp;size=44&amp;seed=3550748350581&amp;river=1&amp;coast=0&amp;farms=1&amp;citadel=0&amp;urban_castle=0&amp;hub=false&amp;plaza=1&amp;temple=0&amp;walls=1&amp;shantytown=0&amp;gates=-1" xr:uid="{00000000-0004-0000-1800-000057000000}"/>
    <hyperlink ref="Y90" r:id="rId89" display="https://watabou.github.io/city-generator/?name=Eagrasp&amp;population=33357&amp;size=49&amp;seed=3550748350583&amp;river=0&amp;coast=0&amp;farms=0&amp;citadel=1&amp;urban_castle=0&amp;hub=false&amp;plaza=1&amp;temple=0&amp;walls=1&amp;shantytown=1&amp;gates=-1" xr:uid="{00000000-0004-0000-1800-000058000000}"/>
    <hyperlink ref="Y91" r:id="rId90" display="https://watabou.github.io/city-generator/?name=Feargarun&amp;population=6268&amp;size=26&amp;seed=3550748350584&amp;river=0&amp;coast=0&amp;farms=1&amp;citadel=0&amp;urban_castle=0&amp;hub=false&amp;plaza=0&amp;temple=0&amp;walls=0&amp;shantytown=0&amp;gates=-1" xr:uid="{00000000-0004-0000-1800-000059000000}"/>
    <hyperlink ref="Y92" r:id="rId91" display="https://watabou.github.io/city-generator/?name=Lirelona&amp;population=4459&amp;size=23&amp;seed=3550748350587&amp;river=0&amp;coast=0&amp;farms=1&amp;citadel=0&amp;urban_castle=0&amp;hub=false&amp;plaza=1&amp;temple=0&amp;walls=0&amp;shantytown=0&amp;gates=-1" xr:uid="{00000000-0004-0000-1800-00005A000000}"/>
    <hyperlink ref="Y93" r:id="rId92" display="https://watabou.github.io/city-generator/?name=Rorehold&amp;population=2675&amp;size=19&amp;seed=3550748350603&amp;river=0&amp;coast=0&amp;farms=1&amp;citadel=1&amp;urban_castle=0&amp;hub=false&amp;plaza=0&amp;temple=0&amp;walls=0&amp;shantytown=0&amp;gates=-1" xr:uid="{00000000-0004-0000-1800-00005B000000}"/>
    <hyperlink ref="Y94" r:id="rId93" display="https://watabou.github.io/city-generator/?name=Houndwell&amp;population=1954&amp;size=17&amp;seed=3550748350604&amp;river=0&amp;coast=0&amp;farms=1&amp;citadel=1&amp;urban_castle=1&amp;hub=false&amp;plaza=1&amp;temple=0&amp;walls=0&amp;shantytown=0&amp;gates=-1" xr:uid="{00000000-0004-0000-1800-00005C000000}"/>
    <hyperlink ref="Y95" r:id="rId94" display="https://watabou.github.io/city-generator/?name=Brookward&amp;population=53796&amp;size=59&amp;seed=3550748350620&amp;river=0&amp;coast=1&amp;farms=1&amp;citadel=1&amp;urban_castle=1&amp;hub=false&amp;plaza=1&amp;temple=0&amp;walls=0&amp;shantytown=0&amp;gates=-1&amp;sea=1.39" xr:uid="{00000000-0004-0000-1800-00005D000000}"/>
    <hyperlink ref="Y96" r:id="rId95" display="https://watabou.github.io/city-generator/?name=Rusthtown&amp;population=16602&amp;size=37&amp;seed=3550748350624&amp;river=0&amp;coast=0&amp;farms=1&amp;citadel=1&amp;urban_castle=1&amp;hub=false&amp;plaza=1&amp;temple=0&amp;walls=0&amp;shantytown=0&amp;gates=-1" xr:uid="{00000000-0004-0000-1800-00005E000000}"/>
    <hyperlink ref="Y97" r:id="rId96" display="https://watabou.github.io/city-generator/?name=Chaunzandyn&amp;population=4974&amp;size=24&amp;seed=3550748350625&amp;river=0&amp;coast=0&amp;farms=1&amp;citadel=0&amp;urban_castle=0&amp;hub=false&amp;plaza=0&amp;temple=0&amp;walls=1&amp;shantytown=0&amp;gates=-1" xr:uid="{00000000-0004-0000-1800-00005F000000}"/>
    <hyperlink ref="Y98" r:id="rId97" display="https://watabou.github.io/city-generator/?name=Earthtligh&amp;population=13225&amp;size=34&amp;seed=3550748350646&amp;river=1&amp;coast=0&amp;farms=1&amp;citadel=0&amp;urban_castle=0&amp;hub=false&amp;plaza=0&amp;temple=0&amp;walls=0&amp;shantytown=0&amp;gates=-1" xr:uid="{00000000-0004-0000-1800-000060000000}"/>
    <hyperlink ref="Y99" r:id="rId98" display="https://watabou.github.io/city-generator/?name=Dewgronac&amp;population=17676&amp;size=38&amp;seed=3550748350647&amp;river=0&amp;coast=0&amp;farms=1&amp;citadel=0&amp;urban_castle=0&amp;hub=false&amp;plaza=0&amp;temple=0&amp;walls=1&amp;shantytown=0&amp;gates=-1" xr:uid="{00000000-0004-0000-1800-000061000000}"/>
    <hyperlink ref="Y100" r:id="rId99" display="https://watabou.github.io/city-generator/?name=Metagith&amp;population=1958&amp;size=17&amp;seed=3550748350658&amp;river=0&amp;coast=0&amp;farms=1&amp;citadel=0&amp;urban_castle=0&amp;hub=false&amp;plaza=1&amp;temple=0&amp;walls=1&amp;shantytown=0&amp;gates=-1" xr:uid="{00000000-0004-0000-1800-000062000000}"/>
    <hyperlink ref="Y101" r:id="rId100" display="https://watabou.github.io/city-generator/?name=Dewbaymond&amp;population=12334&amp;size=33&amp;seed=3550748350660&amp;river=0&amp;coast=0&amp;farms=0&amp;citadel=1&amp;urban_castle=1&amp;hub=false&amp;plaza=0&amp;temple=0&amp;walls=0&amp;shantytown=0&amp;gates=-1" xr:uid="{00000000-0004-0000-1800-000063000000}"/>
    <hyperlink ref="Y102" r:id="rId101" display="https://watabou.github.io/city-generator/?name=Curcairn&amp;population=19353&amp;size=40&amp;seed=3550748350662&amp;river=0&amp;coast=0&amp;farms=0&amp;citadel=1&amp;urban_castle=1&amp;hub=false&amp;plaza=0&amp;temple=0&amp;walls=1&amp;shantytown=0&amp;gates=-1" xr:uid="{00000000-0004-0000-1800-000064000000}"/>
    <hyperlink ref="Y103" r:id="rId102" display="https://watabou.github.io/city-generator/?name=Belldyard&amp;population=2101&amp;size=17&amp;seed=3550748350682&amp;river=0&amp;coast=0&amp;farms=0&amp;citadel=1&amp;urban_castle=1&amp;hub=false&amp;plaza=0&amp;temple=0&amp;walls=0&amp;shantytown=0&amp;gates=-1" xr:uid="{00000000-0004-0000-1800-000065000000}"/>
    <hyperlink ref="Y104" r:id="rId103" display="https://watabou.github.io/city-generator/?name=Efallshield&amp;population=26830&amp;size=45&amp;seed=3550748350692&amp;river=1&amp;coast=0&amp;farms=1&amp;citadel=0&amp;urban_castle=0&amp;hub=false&amp;plaza=0&amp;temple=0&amp;walls=1&amp;shantytown=0&amp;gates=-1" xr:uid="{00000000-0004-0000-1800-000066000000}"/>
    <hyperlink ref="Y105" r:id="rId104" display="https://watabou.github.io/city-generator/?name=Snowstorm&amp;population=12238&amp;size=33&amp;seed=3550748350720&amp;river=0&amp;coast=0&amp;farms=1&amp;citadel=0&amp;urban_castle=0&amp;hub=false&amp;plaza=0&amp;temple=0&amp;walls=0&amp;shantytown=0&amp;gates=-1" xr:uid="{00000000-0004-0000-1800-000067000000}"/>
    <hyperlink ref="Y106" r:id="rId105" display="https://watabou.github.io/city-generator/?name=Vidanntyr&amp;population=2191&amp;size=17&amp;seed=3550748350721&amp;river=1&amp;coast=0&amp;farms=1&amp;citadel=1&amp;urban_castle=0&amp;hub=false&amp;plaza=0&amp;temple=0&amp;walls=0&amp;shantytown=0&amp;gates=-1" xr:uid="{00000000-0004-0000-1800-000068000000}"/>
    <hyperlink ref="Y107" r:id="rId106" display="https://watabou.github.io/city-generator/?name=Mondbaymond&amp;population=11279&amp;size=32&amp;seed=3550748350734&amp;river=0&amp;coast=0&amp;farms=0&amp;citadel=0&amp;urban_castle=0&amp;hub=false&amp;plaza=0&amp;temple=0&amp;walls=1&amp;shantytown=0&amp;gates=-1" xr:uid="{00000000-0004-0000-1800-000069000000}"/>
    <hyperlink ref="Y108" r:id="rId107" display="https://watabou.github.io/city-generator/?name=Lastspell&amp;population=15815&amp;size=37&amp;seed=3550748350735&amp;river=1&amp;coast=0&amp;farms=0&amp;citadel=1&amp;urban_castle=0&amp;hub=false&amp;plaza=0&amp;temple=0&amp;walls=1&amp;shantytown=0&amp;gates=-1" xr:uid="{00000000-0004-0000-1800-00006A000000}"/>
    <hyperlink ref="Y109" r:id="rId108" display="https://watabou.github.io/city-generator/?name=Houndford&amp;population=2220&amp;size=18&amp;seed=3550748350736&amp;river=0&amp;coast=0&amp;farms=0&amp;citadel=0&amp;urban_castle=0&amp;hub=false&amp;plaza=0&amp;temple=0&amp;walls=0&amp;shantytown=0&amp;gates=-1" xr:uid="{00000000-0004-0000-1800-00006B000000}"/>
    <hyperlink ref="Y110" r:id="rId109" display="https://watabou.github.io/city-generator/?name=Silcairn&amp;population=19306&amp;size=40&amp;seed=3550748350737&amp;river=0&amp;coast=0&amp;farms=0&amp;citadel=1&amp;urban_castle=0&amp;hub=false&amp;plaza=1&amp;temple=0&amp;walls=0&amp;shantytown=0&amp;gates=-1" xr:uid="{00000000-0004-0000-1800-00006C000000}"/>
    <hyperlink ref="Y111" r:id="rId110" display="https://watabou.github.io/city-generator/?name=Mudfpasstal&amp;population=4936&amp;size=24&amp;seed=3550748350738&amp;river=0&amp;coast=0&amp;farms=1&amp;citadel=0&amp;urban_castle=0&amp;hub=false&amp;plaza=0&amp;temple=0&amp;walls=1&amp;shantytown=0&amp;gates=-1" xr:uid="{00000000-0004-0000-1800-00006D000000}"/>
    <hyperlink ref="Y112" r:id="rId111" display="https://watabou.github.io/village-generator/?pop=1961&amp;name=&amp;seed=3550748350739&amp;width=1600&amp;height=727&amp;tags=highway%2Cno+square%2Cdense" xr:uid="{00000000-0004-0000-1800-00006E000000}"/>
    <hyperlink ref="Y113" r:id="rId112" display="https://watabou.github.io/city-generator/?name=Nauthmorcane&amp;population=12031&amp;size=33&amp;seed=3550748350751&amp;river=0&amp;coast=0&amp;farms=1&amp;citadel=1&amp;urban_castle=0&amp;hub=false&amp;plaza=0&amp;temple=0&amp;walls=0&amp;shantytown=0&amp;gates=-1" xr:uid="{00000000-0004-0000-1800-00006F000000}"/>
    <hyperlink ref="Y114" r:id="rId113" display="https://watabou.github.io/city-generator/?name=Southtligh&amp;population=2121&amp;size=17&amp;seed=3550748350758&amp;river=0&amp;coast=0&amp;farms=1&amp;citadel=1&amp;urban_castle=1&amp;hub=false&amp;plaza=1&amp;temple=0&amp;walls=0&amp;shantytown=0&amp;gates=-1" xr:uid="{00000000-0004-0000-1800-000070000000}"/>
    <hyperlink ref="Y115" r:id="rId114" display="https://watabou.github.io/city-generator/?name=Bronholrock&amp;population=3795&amp;size=21&amp;seed=3550748350759&amp;river=0&amp;coast=0&amp;farms=0&amp;citadel=1&amp;urban_castle=0&amp;hub=false&amp;plaza=0&amp;temple=0&amp;walls=0&amp;shantytown=0&amp;gates=-1" xr:uid="{00000000-0004-0000-1800-000071000000}"/>
    <hyperlink ref="Y116" r:id="rId115" display="https://watabou.github.io/city-generator/?name=Saltvaven&amp;population=2514&amp;size=18&amp;seed=3550748350760&amp;river=0&amp;coast=0&amp;farms=1&amp;citadel=1&amp;urban_castle=1&amp;hub=false&amp;plaza=0&amp;temple=0&amp;walls=0&amp;shantytown=0&amp;gates=-1" xr:uid="{00000000-0004-0000-1800-000072000000}"/>
    <hyperlink ref="Y117" r:id="rId116" display="https://watabou.github.io/city-generator/?name=Sunrun&amp;population=2154&amp;size=17&amp;seed=3550748350761&amp;river=1&amp;coast=0&amp;farms=1&amp;citadel=0&amp;urban_castle=0&amp;hub=false&amp;plaza=0&amp;temple=0&amp;walls=0&amp;shantytown=0&amp;gates=-1" xr:uid="{00000000-0004-0000-1800-000073000000}"/>
    <hyperlink ref="Y118" r:id="rId117" display="https://watabou.github.io/city-generator/?name=Shaven&amp;population=1971&amp;size=17&amp;seed=3550748350763&amp;river=0&amp;coast=0&amp;farms=1&amp;citadel=1&amp;urban_castle=0&amp;hub=false&amp;plaza=0&amp;temple=0&amp;walls=0&amp;shantytown=0&amp;gates=-1" xr:uid="{00000000-0004-0000-1800-000074000000}"/>
    <hyperlink ref="Y119" r:id="rId118" display="https://watabou.github.io/city-generator/?name=Dawngview&amp;population=11051&amp;size=32&amp;seed=3550748350780&amp;river=1&amp;coast=0&amp;farms=0&amp;citadel=1&amp;urban_castle=1&amp;hub=false&amp;plaza=0&amp;temple=0&amp;walls=1&amp;shantytown=0&amp;gates=-1" xr:uid="{00000000-0004-0000-1800-000075000000}"/>
    <hyperlink ref="Y120" r:id="rId119" display="https://watabou.github.io/city-generator/?name=Shameverun&amp;population=14779&amp;size=36&amp;seed=3550748350782&amp;river=0&amp;coast=0&amp;farms=1&amp;citadel=0&amp;urban_castle=0&amp;hub=false&amp;plaza=0&amp;temple=0&amp;walls=1&amp;shantytown=0&amp;gates=-1" xr:uid="{00000000-0004-0000-1800-000076000000}"/>
    <hyperlink ref="Y121" r:id="rId120" display="https://watabou.github.io/city-generator/?name=Earthilld&amp;population=1968&amp;size=17&amp;seed=3550748350783&amp;river=0&amp;coast=0&amp;farms=1&amp;citadel=1&amp;urban_castle=0&amp;hub=false&amp;plaza=0&amp;temple=0&amp;walls=0&amp;shantytown=0&amp;gates=-1" xr:uid="{00000000-0004-0000-1800-000077000000}"/>
    <hyperlink ref="Y122" r:id="rId121" display="https://watabou.github.io/city-generator/?name=Bridtown&amp;population=13504&amp;size=35&amp;seed=3550748350803&amp;river=1&amp;coast=0&amp;farms=1&amp;citadel=0&amp;urban_castle=0&amp;hub=false&amp;plaza=1&amp;temple=0&amp;walls=0&amp;shantytown=0&amp;gates=-1" xr:uid="{00000000-0004-0000-1800-000078000000}"/>
    <hyperlink ref="Y123" r:id="rId122" display="https://watabou.github.io/city-generator/?name=Smallverne&amp;population=14884&amp;size=36&amp;seed=3550748350804&amp;river=1&amp;coast=0&amp;farms=1&amp;citadel=1&amp;urban_castle=1&amp;hub=false&amp;plaza=0&amp;temple=0&amp;walls=1&amp;shantytown=0&amp;gates=-1" xr:uid="{00000000-0004-0000-1800-000079000000}"/>
    <hyperlink ref="Y124" r:id="rId123" display="https://watabou.github.io/city-generator/?name=Houndtownfo&amp;population=6371&amp;size=26&amp;seed=3550748350805&amp;river=1&amp;coast=0&amp;farms=1&amp;citadel=1&amp;urban_castle=0&amp;hub=false&amp;plaza=0&amp;temple=0&amp;walls=1&amp;shantytown=0&amp;gates=-1" xr:uid="{00000000-0004-0000-1800-00007A000000}"/>
    <hyperlink ref="Y125" r:id="rId124" display="https://watabou.github.io/city-generator/?name=Elreach&amp;population=10378&amp;size=31&amp;seed=3550748350826&amp;river=0&amp;coast=0&amp;farms=0&amp;citadel=1&amp;urban_castle=1&amp;hub=false&amp;plaza=0&amp;temple=0&amp;walls=0&amp;shantytown=0&amp;gates=-1" xr:uid="{00000000-0004-0000-1800-00007B000000}"/>
    <hyperlink ref="Y126" r:id="rId125" display="https://watabou.github.io/city-generator/?name=Utheinar&amp;population=3202&amp;size=20&amp;seed=3550748350828&amp;river=0&amp;coast=1&amp;farms=1&amp;citadel=1&amp;urban_castle=1&amp;hub=false&amp;plaza=1&amp;temple=0&amp;walls=0&amp;shantytown=0&amp;gates=-1&amp;sea=1.66" xr:uid="{00000000-0004-0000-1800-00007C000000}"/>
    <hyperlink ref="Y127" r:id="rId126" display="https://watabou.github.io/city-generator/?name=Swiftme&amp;population=15417&amp;size=36&amp;seed=3550748350847&amp;river=1&amp;coast=0&amp;farms=1&amp;citadel=1&amp;urban_castle=0&amp;hub=false&amp;plaza=0&amp;temple=0&amp;walls=0&amp;shantytown=0&amp;gates=-1" xr:uid="{00000000-0004-0000-1800-00007D000000}"/>
    <hyperlink ref="Y128" r:id="rId127" display="https://watabou.github.io/city-generator/?name=Lostswindge&amp;population=2156&amp;size=17&amp;seed=3550748350848&amp;river=0&amp;coast=0&amp;farms=1&amp;citadel=1&amp;urban_castle=1&amp;hub=false&amp;plaza=1&amp;temple=0&amp;walls=0&amp;shantytown=0&amp;gates=-1" xr:uid="{00000000-0004-0000-1800-00007E000000}"/>
    <hyperlink ref="Y129" r:id="rId128" display="https://watabou.github.io/city-generator/?name=Mudfair&amp;population=10742&amp;size=32&amp;seed=3550748350849&amp;river=0&amp;coast=0&amp;farms=0&amp;citadel=1&amp;urban_castle=0&amp;hub=false&amp;plaza=0&amp;temple=0&amp;walls=0&amp;shantytown=0&amp;gates=-1" xr:uid="{00000000-0004-0000-1800-00007F000000}"/>
    <hyperlink ref="Y130" r:id="rId129" display="https://watabou.github.io/city-generator/?name=Anhelm&amp;population=14188&amp;size=35&amp;seed=3550748350850&amp;river=1&amp;coast=0&amp;farms=1&amp;citadel=1&amp;urban_castle=1&amp;hub=false&amp;plaza=1&amp;temple=0&amp;walls=0&amp;shantytown=0&amp;gates=-1" xr:uid="{00000000-0004-0000-1800-000080000000}"/>
    <hyperlink ref="Y131" r:id="rId130" display="https://watabou.github.io/city-generator/?name=Mondhol&amp;population=14504&amp;size=36&amp;seed=3550748350851&amp;river=0&amp;coast=0&amp;farms=1&amp;citadel=1&amp;urban_castle=0&amp;hub=false&amp;plaza=0&amp;temple=0&amp;walls=0&amp;shantytown=0&amp;gates=-1" xr:uid="{00000000-0004-0000-1800-000081000000}"/>
    <hyperlink ref="Y132" r:id="rId131" display="https://watabou.github.io/city-generator/?name=Dewgcoast&amp;population=22642&amp;size=42&amp;seed=3550748350852&amp;river=1&amp;coast=0&amp;farms=1&amp;citadel=1&amp;urban_castle=1&amp;hub=false&amp;plaza=0&amp;temple=1&amp;walls=1&amp;shantytown=0&amp;gates=-1" xr:uid="{00000000-0004-0000-1800-000082000000}"/>
    <hyperlink ref="Y133" r:id="rId132" display="https://watabou.github.io/city-generator/?name=Scorcross&amp;population=17781&amp;size=38&amp;seed=3550748350853&amp;river=0&amp;coast=0&amp;farms=1&amp;citadel=0&amp;urban_castle=0&amp;hub=false&amp;plaza=0&amp;temple=0&amp;walls=1&amp;shantytown=0&amp;gates=-1" xr:uid="{00000000-0004-0000-1800-000083000000}"/>
    <hyperlink ref="Y134" r:id="rId133" display="https://watabou.github.io/city-generator/?name=Mondbaypond&amp;population=2093&amp;size=17&amp;seed=3550748350873&amp;river=0&amp;coast=0&amp;farms=1&amp;citadel=0&amp;urban_castle=0&amp;hub=false&amp;plaza=0&amp;temple=0&amp;walls=1&amp;shantytown=0&amp;gates=-1" xr:uid="{00000000-0004-0000-1800-000084000000}"/>
    <hyperlink ref="Y135" r:id="rId134" display="https://watabou.github.io/city-generator/?name=Vojhamenz&amp;population=9654&amp;size=31&amp;seed=3550748350892&amp;river=0&amp;coast=1&amp;farms=1&amp;citadel=0&amp;urban_castle=0&amp;hub=false&amp;plaza=0&amp;temple=0&amp;walls=0&amp;shantytown=0&amp;gates=-1&amp;sea=1.5" xr:uid="{00000000-0004-0000-1800-000085000000}"/>
    <hyperlink ref="Y136" r:id="rId135" display="https://watabou.github.io/city-generator/?name=Brimegcoast&amp;population=21754&amp;size=42&amp;seed=3550748350899&amp;river=0&amp;coast=0&amp;farms=0&amp;citadel=1&amp;urban_castle=0&amp;hub=false&amp;plaza=0&amp;temple=1&amp;walls=1&amp;shantytown=0&amp;gates=-1" xr:uid="{00000000-0004-0000-1800-000086000000}"/>
    <hyperlink ref="Y137" r:id="rId136" display="https://watabou.github.io/city-generator/?name=Clifpass&amp;population=27069&amp;size=45&amp;seed=3550748350920&amp;river=0&amp;coast=0&amp;farms=0&amp;citadel=0&amp;urban_castle=0&amp;hub=false&amp;plaza=1&amp;temple=0&amp;walls=1&amp;shantytown=0&amp;gates=-1" xr:uid="{00000000-0004-0000-1800-000087000000}"/>
    <hyperlink ref="Y138" r:id="rId137" display="https://watabou.github.io/city-generator/?name=Swangarmire&amp;population=24215&amp;size=43&amp;seed=3550748350923&amp;river=0&amp;coast=0&amp;farms=1&amp;citadel=0&amp;urban_castle=0&amp;hub=false&amp;plaza=1&amp;temple=1&amp;walls=1&amp;shantytown=0&amp;gates=-1" xr:uid="{00000000-0004-0000-1800-000088000000}"/>
    <hyperlink ref="Y139" r:id="rId138" display="https://watabou.github.io/city-generator/?name=Mightfall&amp;population=5362&amp;size=24&amp;seed=3550748350924&amp;river=0&amp;coast=0&amp;farms=0&amp;citadel=1&amp;urban_castle=1&amp;hub=false&amp;plaza=0&amp;temple=0&amp;walls=0&amp;shantytown=0&amp;gates=-1" xr:uid="{00000000-0004-0000-1800-000089000000}"/>
    <hyperlink ref="Y140" r:id="rId139" display="https://watabou.github.io/city-generator/?name=Shimhand&amp;population=10406&amp;size=31&amp;seed=3550748350925&amp;river=0&amp;coast=0&amp;farms=1&amp;citadel=0&amp;urban_castle=0&amp;hub=false&amp;plaza=0&amp;temple=0&amp;walls=0&amp;shantytown=0&amp;gates=-1" xr:uid="{00000000-0004-0000-1800-00008A000000}"/>
    <hyperlink ref="Y141" r:id="rId140" display="https://watabou.github.io/city-generator/?name=Swanhall&amp;population=19219&amp;size=40&amp;seed=3550748350926&amp;river=0&amp;coast=1&amp;farms=1&amp;citadel=1&amp;urban_castle=1&amp;hub=false&amp;plaza=1&amp;temple=0&amp;walls=1&amp;shantytown=0&amp;gates=-1&amp;sea=0.81" xr:uid="{00000000-0004-0000-1800-00008B000000}"/>
    <hyperlink ref="Y142" r:id="rId141" display="https://watabou.github.io/city-generator/?name=Dregrefrant&amp;population=6191&amp;size=26&amp;seed=3550748350927&amp;river=0&amp;coast=0&amp;farms=1&amp;citadel=1&amp;urban_castle=0&amp;hub=false&amp;plaza=1&amp;temple=0&amp;walls=1&amp;shantytown=0&amp;gates=-1" xr:uid="{00000000-0004-0000-1800-00008C000000}"/>
    <hyperlink ref="Y143" r:id="rId142" display="https://watabou.github.io/city-generator/?name=Snagonb&amp;population=18741&amp;size=39&amp;seed=3550748350953&amp;river=0&amp;coast=0&amp;farms=0&amp;citadel=0&amp;urban_castle=0&amp;hub=false&amp;plaza=0&amp;temple=0&amp;walls=0&amp;shantytown=0&amp;gates=-1" xr:uid="{00000000-0004-0000-1800-00008D000000}"/>
    <hyperlink ref="Y144" r:id="rId143" display="https://watabou.github.io/city-generator/?name=Sprinkeep&amp;population=19714&amp;size=40&amp;seed=3550748350955&amp;river=0&amp;coast=0&amp;farms=0&amp;citadel=0&amp;urban_castle=0&amp;hub=false&amp;plaza=1&amp;temple=0&amp;walls=1&amp;shantytown=0&amp;gates=-1" xr:uid="{00000000-0004-0000-1800-00008E000000}"/>
    <hyperlink ref="Y145" r:id="rId144" display="https://watabou.github.io/city-generator/?name=Drymond&amp;population=16708&amp;size=38&amp;seed=3550748350956&amp;river=0&amp;coast=0&amp;farms=1&amp;citadel=0&amp;urban_castle=0&amp;hub=false&amp;plaza=0&amp;temple=0&amp;walls=0&amp;shantytown=0&amp;gates=-1" xr:uid="{00000000-0004-0000-1800-00008F000000}"/>
    <hyperlink ref="Y146" r:id="rId145" display="https://watabou.github.io/city-generator/?name=Dogport&amp;population=2286&amp;size=18&amp;seed=3550748350979&amp;river=0&amp;coast=0&amp;farms=0&amp;citadel=0&amp;urban_castle=0&amp;hub=false&amp;plaza=0&amp;temple=0&amp;walls=0&amp;shantytown=0&amp;gates=-1" xr:uid="{00000000-0004-0000-1800-000090000000}"/>
    <hyperlink ref="Y147" r:id="rId146" display="https://watabou.github.io/city-generator/?name=Shrourestar&amp;population=10356&amp;size=31&amp;seed=3550748350984&amp;river=0&amp;coast=0&amp;farms=0&amp;citadel=0&amp;urban_castle=0&amp;hub=false&amp;plaza=0&amp;temple=0&amp;walls=0&amp;shantytown=0&amp;gates=-1" xr:uid="{00000000-0004-0000-1800-000091000000}"/>
    <hyperlink ref="Y148" r:id="rId147" display="https://watabou.github.io/city-generator/?name=Dryvaterga&amp;population=34107&amp;size=49&amp;seed=3550748350985&amp;river=1&amp;coast=1&amp;farms=1&amp;citadel=0&amp;urban_castle=0&amp;hub=false&amp;plaza=1&amp;temple=0&amp;walls=1&amp;shantytown=1&amp;gates=-1&amp;sea=1.81" xr:uid="{00000000-0004-0000-1800-000092000000}"/>
    <hyperlink ref="Y149" r:id="rId148" display="https://watabou.github.io/city-generator/?name=Vhalthin&amp;population=2535&amp;size=18&amp;seed=3550748350987&amp;river=1&amp;coast=0&amp;farms=1&amp;citadel=0&amp;urban_castle=0&amp;hub=false&amp;plaza=1&amp;temple=0&amp;walls=0&amp;shantytown=0&amp;gates=-1" xr:uid="{00000000-0004-0000-1800-000093000000}"/>
    <hyperlink ref="Y150" r:id="rId149" display="https://watabou.github.io/city-generator/?name=Edenhelmer&amp;population=5151&amp;size=24&amp;seed=3550748351011&amp;river=0&amp;coast=0&amp;farms=1&amp;citadel=0&amp;urban_castle=0&amp;hub=false&amp;plaza=0&amp;temple=0&amp;walls=0&amp;shantytown=0&amp;gates=-1" xr:uid="{00000000-0004-0000-1800-000094000000}"/>
    <hyperlink ref="Y151" r:id="rId150" display="https://watabou.github.io/city-generator/?name=Mythspell&amp;population=13544&amp;size=35&amp;seed=3550748351012&amp;river=1&amp;coast=0&amp;farms=0&amp;citadel=0&amp;urban_castle=0&amp;hub=false&amp;plaza=1&amp;temple=0&amp;walls=1&amp;shantytown=0&amp;gates=-1" xr:uid="{00000000-0004-0000-1800-000095000000}"/>
    <hyperlink ref="Y152" r:id="rId151" display="https://watabou.github.io/city-generator/?name=Grirevein&amp;population=2337&amp;size=18&amp;seed=3550748351013&amp;river=1&amp;coast=0&amp;farms=1&amp;citadel=0&amp;urban_castle=0&amp;hub=false&amp;plaza=0&amp;temple=0&amp;walls=0&amp;shantytown=0&amp;gates=-1" xr:uid="{00000000-0004-0000-1800-000096000000}"/>
    <hyperlink ref="Y153" r:id="rId152" display="https://watabou.github.io/city-generator/?name=Deadford&amp;population=6982&amp;size=27&amp;seed=3550748351014&amp;river=0&amp;coast=0&amp;farms=1&amp;citadel=1&amp;urban_castle=1&amp;hub=false&amp;plaza=1&amp;temple=0&amp;walls=0&amp;shantytown=0&amp;gates=-1" xr:uid="{00000000-0004-0000-1800-000097000000}"/>
    <hyperlink ref="Y154" r:id="rId153" display="https://watabou.github.io/city-generator/?name=Oatercoast&amp;population=9448&amp;size=30&amp;seed=3550748351015&amp;river=0&amp;coast=0&amp;farms=1&amp;citadel=0&amp;urban_castle=0&amp;hub=false&amp;plaza=0&amp;temple=0&amp;walls=0&amp;shantytown=0&amp;gates=-1" xr:uid="{00000000-0004-0000-1800-000098000000}"/>
    <hyperlink ref="Y155" r:id="rId154" display="https://watabou.github.io/city-generator/?name=Slutiarm&amp;population=20004&amp;size=40&amp;seed=3550748351039&amp;river=0&amp;coast=0&amp;farms=0&amp;citadel=1&amp;urban_castle=0&amp;hub=false&amp;plaza=1&amp;temple=0&amp;walls=1&amp;shantytown=1&amp;gates=-1" xr:uid="{00000000-0004-0000-1800-000099000000}"/>
    <hyperlink ref="Y156" r:id="rId155" display="https://watabou.github.io/village-generator/?pop=1115&amp;name=&amp;seed=3550748351040&amp;width=1400&amp;height=636&amp;tags=highway%2Cuncultivated%2Cno+orchards%2Cno+square%2Cdense" xr:uid="{00000000-0004-0000-1800-00009A000000}"/>
    <hyperlink ref="Y157" r:id="rId156" display="https://watabou.github.io/city-generator/?name=Thornwell&amp;population=3288&amp;size=20&amp;seed=3550748351041&amp;river=0&amp;coast=0&amp;farms=0&amp;citadel=1&amp;urban_castle=0&amp;hub=false&amp;plaza=0&amp;temple=0&amp;walls=0&amp;shantytown=0&amp;gates=-1" xr:uid="{00000000-0004-0000-1800-00009B000000}"/>
    <hyperlink ref="Y158" r:id="rId157" display="https://watabou.github.io/city-generator/?name=Brimegrore&amp;population=3294&amp;size=20&amp;seed=3550748351042&amp;river=0&amp;coast=0&amp;farms=0&amp;citadel=0&amp;urban_castle=0&amp;hub=false&amp;plaza=1&amp;temple=0&amp;walls=1&amp;shantytown=0&amp;gates=-1" xr:uid="{00000000-0004-0000-1800-00009C000000}"/>
    <hyperlink ref="Y159" r:id="rId158" display="https://watabou.github.io/city-generator/?name=Khuld&amp;population=1472&amp;size=15&amp;seed=3550748351043&amp;river=0&amp;coast=0&amp;farms=0&amp;citadel=1&amp;urban_castle=0&amp;hub=false&amp;plaza=0&amp;temple=0&amp;walls=0&amp;shantytown=0&amp;gates=-1" xr:uid="{00000000-0004-0000-1800-00009D000000}"/>
    <hyperlink ref="Y160" r:id="rId159" display="https://watabou.github.io/city-generator/?name=Nilbog&amp;population=2947&amp;size=20&amp;seed=3550748351044&amp;river=1&amp;coast=0&amp;farms=1&amp;citadel=0&amp;urban_castle=0&amp;hub=false&amp;plaza=1&amp;temple=0&amp;walls=0&amp;shantytown=0&amp;gates=-1" xr:uid="{00000000-0004-0000-1800-00009E000000}"/>
    <hyperlink ref="Y161" r:id="rId160" display="https://watabou.github.io/city-generator/?name=Newtown&amp;population=3250&amp;size=20&amp;seed=3550748351045&amp;river=1&amp;coast=0&amp;farms=1&amp;citadel=1&amp;urban_castle=0&amp;hub=false&amp;plaza=1&amp;temple=0&amp;walls=0&amp;shantytown=0&amp;gates=-1" xr:uid="{00000000-0004-0000-1800-00009F000000}"/>
    <hyperlink ref="Y162" r:id="rId161" display="https://watabou.github.io/city-generator/?name=Rordgoz&amp;population=1849&amp;size=16&amp;seed=3550748351046&amp;river=0&amp;coast=0&amp;farms=0&amp;citadel=1&amp;urban_castle=1&amp;hub=false&amp;plaza=0&amp;temple=0&amp;walls=1&amp;shantytown=0&amp;gates=-1" xr:uid="{00000000-0004-0000-1800-0000A0000000}"/>
    <hyperlink ref="Y163" r:id="rId162" display="https://watabou.github.io/city-generator/?name=Persterton&amp;population=1174&amp;size=14&amp;seed=3550748351047&amp;river=0&amp;coast=0&amp;farms=0&amp;citadel=0&amp;urban_castle=0&amp;hub=false&amp;plaza=0&amp;temple=0&amp;walls=1&amp;shantytown=0&amp;gates=-1" xr:uid="{00000000-0004-0000-1800-0000A1000000}"/>
    <hyperlink ref="Y164" r:id="rId163" display="https://watabou.github.io/village-generator/?pop=1857&amp;name=&amp;seed=3550748351048&amp;width=1600&amp;height=727&amp;tags=dead+end%2Cuncultivated%2Cno+orchards%2Cno+square%2Cdense" xr:uid="{00000000-0004-0000-1800-0000A2000000}"/>
    <hyperlink ref="Y165" r:id="rId164" display="https://watabou.github.io/village-generator/?pop=1506&amp;name=&amp;seed=3550748351049&amp;width=1600&amp;height=727&amp;tags=dead+end%2Cuncultivated%2Cno+orchards%2Cno+square%2Cdense" xr:uid="{00000000-0004-0000-1800-0000A3000000}"/>
    <hyperlink ref="Y166" r:id="rId165" display="https://watabou.github.io/village-generator/?pop=1867&amp;name=&amp;seed=3550748351050&amp;width=1600&amp;height=727&amp;tags=dead+end%2Cuncultivated%2Cno+square%2Cdense" xr:uid="{00000000-0004-0000-1800-0000A4000000}"/>
  </hyperlinks>
  <pageMargins left="0.7" right="0.7" top="0.75" bottom="0.75" header="0.3" footer="0.3"/>
  <tableParts count="1">
    <tablePart r:id="rId166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8" max="8" width="13.42578125" customWidth="1"/>
  </cols>
  <sheetData>
    <row r="1" spans="1:26" ht="45" customHeight="1" x14ac:dyDescent="0.2">
      <c r="A1" s="191" t="s">
        <v>241</v>
      </c>
      <c r="B1" s="191" t="s">
        <v>242</v>
      </c>
      <c r="C1" s="191" t="s">
        <v>243</v>
      </c>
      <c r="D1" s="191" t="s">
        <v>244</v>
      </c>
      <c r="E1" s="191" t="s">
        <v>245</v>
      </c>
      <c r="F1" s="191" t="s">
        <v>246</v>
      </c>
      <c r="G1" s="191" t="s">
        <v>1466</v>
      </c>
      <c r="H1" s="191" t="s">
        <v>1468</v>
      </c>
      <c r="I1" s="191" t="s">
        <v>1471</v>
      </c>
      <c r="J1" s="191" t="s">
        <v>1472</v>
      </c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38.25" customHeight="1" x14ac:dyDescent="0.2">
      <c r="A2" s="192"/>
      <c r="B2" s="192"/>
      <c r="C2" s="192"/>
      <c r="D2" s="192"/>
      <c r="E2" s="192"/>
      <c r="F2" s="192"/>
      <c r="G2" s="192">
        <v>0.15</v>
      </c>
      <c r="H2" s="192">
        <v>0.5</v>
      </c>
      <c r="I2" s="192">
        <v>0.02</v>
      </c>
      <c r="J2" s="192">
        <v>0.2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38.25" customHeight="1" x14ac:dyDescent="0.2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38.25" customHeight="1" x14ac:dyDescent="0.2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38.25" customHeight="1" x14ac:dyDescent="0.2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38.25" customHeight="1" x14ac:dyDescent="0.2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38.25" customHeight="1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38.25" customHeight="1" x14ac:dyDescent="0.2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38.25" customHeight="1" x14ac:dyDescent="0.2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38.25" customHeight="1" x14ac:dyDescent="0.2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38.25" customHeight="1" x14ac:dyDescent="0.2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38.25" customHeight="1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38.25" customHeight="1" x14ac:dyDescent="0.2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38.25" customHeight="1" x14ac:dyDescent="0.2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38.25" customHeight="1" x14ac:dyDescent="0.2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38.25" customHeight="1" x14ac:dyDescent="0.2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38.25" customHeight="1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38.25" customHeight="1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38.25" customHeight="1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38.25" customHeight="1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38.25" customHeight="1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38.25" customHeight="1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38.25" customHeight="1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38.25" customHeight="1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38.25" customHeight="1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38.25" customHeight="1" x14ac:dyDescent="0.2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38.25" customHeight="1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38.25" customHeight="1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38.25" customHeight="1" x14ac:dyDescent="0.2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38.25" customHeight="1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38.25" customHeight="1" x14ac:dyDescent="0.2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38.25" customHeight="1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38.25" customHeight="1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38.25" customHeight="1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38.25" customHeight="1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38.25" customHeight="1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38.25" customHeight="1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38.25" customHeight="1" x14ac:dyDescent="0.2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38.25" customHeight="1" x14ac:dyDescent="0.2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38.25" customHeight="1" x14ac:dyDescent="0.2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38.25" customHeight="1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38.25" customHeight="1" x14ac:dyDescent="0.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38.25" customHeight="1" x14ac:dyDescent="0.2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38.25" customHeight="1" x14ac:dyDescent="0.2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38.25" customHeight="1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38.25" customHeight="1" x14ac:dyDescent="0.2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38.25" customHeight="1" x14ac:dyDescent="0.2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38.25" customHeight="1" x14ac:dyDescent="0.2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38.25" customHeight="1" x14ac:dyDescent="0.2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38.25" customHeight="1" x14ac:dyDescent="0.2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38.25" customHeight="1" x14ac:dyDescent="0.2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38.25" customHeight="1" x14ac:dyDescent="0.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38.25" customHeight="1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38.25" customHeight="1" x14ac:dyDescent="0.2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38.25" customHeight="1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38.25" customHeight="1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38.25" customHeight="1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38.25" customHeight="1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38.25" customHeight="1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38.25" customHeight="1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38.25" customHeight="1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38.25" customHeight="1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38.25" customHeight="1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38.25" customHeight="1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38.25" customHeight="1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38.25" customHeight="1" x14ac:dyDescent="0.2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38.25" customHeight="1" x14ac:dyDescent="0.2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38.25" customHeight="1" x14ac:dyDescent="0.2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38.25" customHeight="1" x14ac:dyDescent="0.2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38.25" customHeight="1" x14ac:dyDescent="0.2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38.25" customHeight="1" x14ac:dyDescent="0.2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38.25" customHeight="1" x14ac:dyDescent="0.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38.25" customHeight="1" x14ac:dyDescent="0.2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38.25" customHeight="1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38.25" customHeight="1" x14ac:dyDescent="0.2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38.25" customHeight="1" x14ac:dyDescent="0.2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38.25" customHeight="1" x14ac:dyDescent="0.2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38.25" customHeight="1" x14ac:dyDescent="0.2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38.25" customHeight="1" x14ac:dyDescent="0.2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38.25" customHeight="1" x14ac:dyDescent="0.2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38.25" customHeight="1" x14ac:dyDescent="0.2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38.25" customHeight="1" x14ac:dyDescent="0.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38.25" customHeight="1" x14ac:dyDescent="0.2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38.25" customHeight="1" x14ac:dyDescent="0.2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38.25" customHeight="1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38.25" customHeight="1" x14ac:dyDescent="0.2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38.25" customHeight="1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38.25" customHeight="1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38.25" customHeight="1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38.25" customHeight="1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38.25" customHeight="1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38.25" customHeight="1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38.25" customHeight="1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38.25" customHeight="1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38.25" customHeight="1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38.25" customHeight="1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38.25" customHeight="1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38.25" customHeight="1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38.25" customHeight="1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38.25" customHeight="1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38.25" customHeight="1" x14ac:dyDescent="0.2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38.25" customHeight="1" x14ac:dyDescent="0.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38.25" customHeight="1" x14ac:dyDescent="0.2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38.25" customHeight="1" x14ac:dyDescent="0.2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38.25" customHeight="1" x14ac:dyDescent="0.2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38.25" customHeight="1" x14ac:dyDescent="0.2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38.25" customHeight="1" x14ac:dyDescent="0.2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38.25" customHeight="1" x14ac:dyDescent="0.2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38.25" customHeight="1" x14ac:dyDescent="0.2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38.25" customHeight="1" x14ac:dyDescent="0.2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38.25" customHeight="1" x14ac:dyDescent="0.2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38.25" customHeight="1" x14ac:dyDescent="0.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38.25" customHeight="1" x14ac:dyDescent="0.2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38.25" customHeight="1" x14ac:dyDescent="0.2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38.25" customHeight="1" x14ac:dyDescent="0.2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38.25" customHeight="1" x14ac:dyDescent="0.2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38.25" customHeight="1" x14ac:dyDescent="0.2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38.25" customHeight="1" x14ac:dyDescent="0.2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38.25" customHeight="1" x14ac:dyDescent="0.2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38.25" customHeight="1" x14ac:dyDescent="0.2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38.25" customHeight="1" x14ac:dyDescent="0.2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38.25" customHeight="1" x14ac:dyDescent="0.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38.25" customHeight="1" x14ac:dyDescent="0.2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38.25" customHeight="1" x14ac:dyDescent="0.2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38.25" customHeight="1" x14ac:dyDescent="0.2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38.25" customHeight="1" x14ac:dyDescent="0.2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38.25" customHeight="1" x14ac:dyDescent="0.2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38.25" customHeight="1" x14ac:dyDescent="0.2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38.25" customHeight="1" x14ac:dyDescent="0.2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38.25" customHeight="1" x14ac:dyDescent="0.2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38.25" customHeight="1" x14ac:dyDescent="0.2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38.25" customHeight="1" x14ac:dyDescent="0.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38.25" customHeight="1" x14ac:dyDescent="0.2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38.25" customHeight="1" x14ac:dyDescent="0.2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38.25" customHeight="1" x14ac:dyDescent="0.2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38.25" customHeight="1" x14ac:dyDescent="0.2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38.25" customHeight="1" x14ac:dyDescent="0.2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38.25" customHeight="1" x14ac:dyDescent="0.2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38.25" customHeight="1" x14ac:dyDescent="0.2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38.25" customHeight="1" x14ac:dyDescent="0.2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38.25" customHeight="1" x14ac:dyDescent="0.2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38.25" customHeight="1" x14ac:dyDescent="0.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38.25" customHeight="1" x14ac:dyDescent="0.2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38.25" customHeight="1" x14ac:dyDescent="0.2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38.25" customHeight="1" x14ac:dyDescent="0.2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38.25" customHeight="1" x14ac:dyDescent="0.2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38.25" customHeight="1" x14ac:dyDescent="0.2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38.25" customHeight="1" x14ac:dyDescent="0.2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38.25" customHeight="1" x14ac:dyDescent="0.2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38.25" customHeight="1" x14ac:dyDescent="0.2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38.25" customHeight="1" x14ac:dyDescent="0.2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38.25" customHeight="1" x14ac:dyDescent="0.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38.25" customHeight="1" x14ac:dyDescent="0.2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38.25" customHeight="1" x14ac:dyDescent="0.2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38.25" customHeight="1" x14ac:dyDescent="0.2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38.25" customHeight="1" x14ac:dyDescent="0.2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38.25" customHeight="1" x14ac:dyDescent="0.2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38.25" customHeight="1" x14ac:dyDescent="0.2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38.25" customHeight="1" x14ac:dyDescent="0.2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38.25" customHeight="1" x14ac:dyDescent="0.2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38.25" customHeight="1" x14ac:dyDescent="0.2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38.25" customHeight="1" x14ac:dyDescent="0.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38.25" customHeight="1" x14ac:dyDescent="0.2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38.25" customHeight="1" x14ac:dyDescent="0.2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38.25" customHeight="1" x14ac:dyDescent="0.2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38.25" customHeight="1" x14ac:dyDescent="0.2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38.25" customHeight="1" x14ac:dyDescent="0.2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38.25" customHeight="1" x14ac:dyDescent="0.2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38.25" customHeight="1" x14ac:dyDescent="0.2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38.25" customHeight="1" x14ac:dyDescent="0.2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38.25" customHeight="1" x14ac:dyDescent="0.2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38.25" customHeight="1" x14ac:dyDescent="0.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38.25" customHeight="1" x14ac:dyDescent="0.2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38.25" customHeight="1" x14ac:dyDescent="0.2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38.25" customHeight="1" x14ac:dyDescent="0.2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38.25" customHeight="1" x14ac:dyDescent="0.2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38.25" customHeight="1" x14ac:dyDescent="0.2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38.25" customHeight="1" x14ac:dyDescent="0.2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38.25" customHeight="1" x14ac:dyDescent="0.2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38.25" customHeight="1" x14ac:dyDescent="0.2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38.25" customHeight="1" x14ac:dyDescent="0.2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38.25" customHeight="1" x14ac:dyDescent="0.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38.25" customHeight="1" x14ac:dyDescent="0.2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38.25" customHeight="1" x14ac:dyDescent="0.2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38.25" customHeight="1" x14ac:dyDescent="0.2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38.25" customHeight="1" x14ac:dyDescent="0.2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38.25" customHeight="1" x14ac:dyDescent="0.2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38.25" customHeight="1" x14ac:dyDescent="0.2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38.25" customHeight="1" x14ac:dyDescent="0.2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38.25" customHeight="1" x14ac:dyDescent="0.2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38.25" customHeight="1" x14ac:dyDescent="0.2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38.25" customHeight="1" x14ac:dyDescent="0.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38.25" customHeight="1" x14ac:dyDescent="0.2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38.25" customHeight="1" x14ac:dyDescent="0.2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38.25" customHeight="1" x14ac:dyDescent="0.2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38.25" customHeight="1" x14ac:dyDescent="0.2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38.25" customHeight="1" x14ac:dyDescent="0.2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38.25" customHeight="1" x14ac:dyDescent="0.2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38.25" customHeight="1" x14ac:dyDescent="0.2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38.25" customHeight="1" x14ac:dyDescent="0.2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38.25" customHeight="1" x14ac:dyDescent="0.2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38.25" customHeight="1" x14ac:dyDescent="0.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38.25" customHeight="1" x14ac:dyDescent="0.2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38.25" customHeight="1" x14ac:dyDescent="0.2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38.25" customHeight="1" x14ac:dyDescent="0.2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38.25" customHeight="1" x14ac:dyDescent="0.2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38.25" customHeight="1" x14ac:dyDescent="0.2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38.25" customHeight="1" x14ac:dyDescent="0.2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38.25" customHeight="1" x14ac:dyDescent="0.2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38.25" customHeight="1" x14ac:dyDescent="0.2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38.25" customHeight="1" x14ac:dyDescent="0.2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38.25" customHeight="1" x14ac:dyDescent="0.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38.25" customHeight="1" x14ac:dyDescent="0.2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38.25" customHeight="1" x14ac:dyDescent="0.2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38.25" customHeight="1" x14ac:dyDescent="0.2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38.25" customHeight="1" x14ac:dyDescent="0.2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38.25" customHeight="1" x14ac:dyDescent="0.2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38.25" customHeight="1" x14ac:dyDescent="0.2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38.25" customHeight="1" x14ac:dyDescent="0.2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38.25" customHeight="1" x14ac:dyDescent="0.2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38.25" customHeight="1" x14ac:dyDescent="0.2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38.25" customHeight="1" x14ac:dyDescent="0.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38.25" customHeight="1" x14ac:dyDescent="0.2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38.25" customHeight="1" x14ac:dyDescent="0.2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38.25" customHeight="1" x14ac:dyDescent="0.2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38.25" customHeight="1" x14ac:dyDescent="0.2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38.25" customHeight="1" x14ac:dyDescent="0.2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38.25" customHeight="1" x14ac:dyDescent="0.2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38.25" customHeight="1" x14ac:dyDescent="0.2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38.25" customHeight="1" x14ac:dyDescent="0.2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38.25" customHeight="1" x14ac:dyDescent="0.2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38.25" customHeight="1" x14ac:dyDescent="0.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38.25" customHeight="1" x14ac:dyDescent="0.2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38.25" customHeight="1" x14ac:dyDescent="0.2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38.25" customHeight="1" x14ac:dyDescent="0.2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38.25" customHeight="1" x14ac:dyDescent="0.2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38.25" customHeight="1" x14ac:dyDescent="0.2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38.25" customHeight="1" x14ac:dyDescent="0.2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38.25" customHeight="1" x14ac:dyDescent="0.2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38.25" customHeight="1" x14ac:dyDescent="0.2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38.25" customHeight="1" x14ac:dyDescent="0.2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38.25" customHeight="1" x14ac:dyDescent="0.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38.25" customHeight="1" x14ac:dyDescent="0.2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38.25" customHeight="1" x14ac:dyDescent="0.2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38.25" customHeight="1" x14ac:dyDescent="0.2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38.25" customHeight="1" x14ac:dyDescent="0.2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38.25" customHeight="1" x14ac:dyDescent="0.2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38.25" customHeight="1" x14ac:dyDescent="0.2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38.25" customHeight="1" x14ac:dyDescent="0.2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38.25" customHeight="1" x14ac:dyDescent="0.2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38.25" customHeight="1" x14ac:dyDescent="0.2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38.25" customHeight="1" x14ac:dyDescent="0.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38.25" customHeight="1" x14ac:dyDescent="0.2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38.25" customHeight="1" x14ac:dyDescent="0.2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38.25" customHeight="1" x14ac:dyDescent="0.2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38.25" customHeight="1" x14ac:dyDescent="0.2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38.25" customHeight="1" x14ac:dyDescent="0.2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38.25" customHeight="1" x14ac:dyDescent="0.2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38.25" customHeight="1" x14ac:dyDescent="0.2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38.25" customHeight="1" x14ac:dyDescent="0.2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38.25" customHeight="1" x14ac:dyDescent="0.2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38.25" customHeight="1" x14ac:dyDescent="0.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38.25" customHeight="1" x14ac:dyDescent="0.2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38.25" customHeight="1" x14ac:dyDescent="0.2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38.25" customHeight="1" x14ac:dyDescent="0.2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38.25" customHeight="1" x14ac:dyDescent="0.2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38.25" customHeight="1" x14ac:dyDescent="0.2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38.25" customHeight="1" x14ac:dyDescent="0.2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38.25" customHeight="1" x14ac:dyDescent="0.2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38.25" customHeight="1" x14ac:dyDescent="0.2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38.25" customHeight="1" x14ac:dyDescent="0.2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38.25" customHeight="1" x14ac:dyDescent="0.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38.25" customHeight="1" x14ac:dyDescent="0.2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38.25" customHeight="1" x14ac:dyDescent="0.2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38.25" customHeight="1" x14ac:dyDescent="0.2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38.25" customHeight="1" x14ac:dyDescent="0.2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38.25" customHeight="1" x14ac:dyDescent="0.2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38.25" customHeight="1" x14ac:dyDescent="0.2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38.25" customHeight="1" x14ac:dyDescent="0.2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38.25" customHeight="1" x14ac:dyDescent="0.2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38.25" customHeight="1" x14ac:dyDescent="0.2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38.25" customHeight="1" x14ac:dyDescent="0.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38.25" customHeight="1" x14ac:dyDescent="0.2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38.25" customHeight="1" x14ac:dyDescent="0.2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38.25" customHeight="1" x14ac:dyDescent="0.2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38.25" customHeight="1" x14ac:dyDescent="0.2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38.25" customHeight="1" x14ac:dyDescent="0.2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38.25" customHeight="1" x14ac:dyDescent="0.2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38.25" customHeight="1" x14ac:dyDescent="0.2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38.25" customHeight="1" x14ac:dyDescent="0.2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38.25" customHeight="1" x14ac:dyDescent="0.2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38.25" customHeight="1" x14ac:dyDescent="0.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38.25" customHeight="1" x14ac:dyDescent="0.2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38.25" customHeight="1" x14ac:dyDescent="0.2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38.25" customHeight="1" x14ac:dyDescent="0.2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38.25" customHeight="1" x14ac:dyDescent="0.2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38.25" customHeight="1" x14ac:dyDescent="0.2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38.25" customHeight="1" x14ac:dyDescent="0.2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38.25" customHeight="1" x14ac:dyDescent="0.2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38.25" customHeight="1" x14ac:dyDescent="0.2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38.25" customHeight="1" x14ac:dyDescent="0.2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38.25" customHeight="1" x14ac:dyDescent="0.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38.25" customHeight="1" x14ac:dyDescent="0.2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38.25" customHeight="1" x14ac:dyDescent="0.2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38.25" customHeight="1" x14ac:dyDescent="0.2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38.25" customHeight="1" x14ac:dyDescent="0.2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38.25" customHeight="1" x14ac:dyDescent="0.2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38.25" customHeight="1" x14ac:dyDescent="0.2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38.25" customHeight="1" x14ac:dyDescent="0.2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38.25" customHeight="1" x14ac:dyDescent="0.2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38.25" customHeight="1" x14ac:dyDescent="0.2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38.25" customHeight="1" x14ac:dyDescent="0.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38.25" customHeight="1" x14ac:dyDescent="0.2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38.25" customHeight="1" x14ac:dyDescent="0.2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38.25" customHeight="1" x14ac:dyDescent="0.2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38.25" customHeight="1" x14ac:dyDescent="0.2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38.25" customHeight="1" x14ac:dyDescent="0.2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38.25" customHeight="1" x14ac:dyDescent="0.2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38.25" customHeight="1" x14ac:dyDescent="0.2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38.25" customHeight="1" x14ac:dyDescent="0.2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38.25" customHeight="1" x14ac:dyDescent="0.2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38.25" customHeight="1" x14ac:dyDescent="0.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38.25" customHeight="1" x14ac:dyDescent="0.2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38.25" customHeight="1" x14ac:dyDescent="0.2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38.25" customHeight="1" x14ac:dyDescent="0.2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38.25" customHeight="1" x14ac:dyDescent="0.2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38.25" customHeight="1" x14ac:dyDescent="0.2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38.25" customHeight="1" x14ac:dyDescent="0.2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38.25" customHeight="1" x14ac:dyDescent="0.2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38.25" customHeight="1" x14ac:dyDescent="0.2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38.25" customHeight="1" x14ac:dyDescent="0.2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38.25" customHeight="1" x14ac:dyDescent="0.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38.25" customHeight="1" x14ac:dyDescent="0.2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38.25" customHeight="1" x14ac:dyDescent="0.2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38.25" customHeight="1" x14ac:dyDescent="0.2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38.25" customHeight="1" x14ac:dyDescent="0.2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38.25" customHeight="1" x14ac:dyDescent="0.2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38.25" customHeight="1" x14ac:dyDescent="0.2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38.25" customHeight="1" x14ac:dyDescent="0.2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38.25" customHeight="1" x14ac:dyDescent="0.2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38.25" customHeight="1" x14ac:dyDescent="0.2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38.25" customHeight="1" x14ac:dyDescent="0.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38.25" customHeight="1" x14ac:dyDescent="0.2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38.25" customHeight="1" x14ac:dyDescent="0.2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38.25" customHeight="1" x14ac:dyDescent="0.2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38.25" customHeight="1" x14ac:dyDescent="0.2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38.25" customHeight="1" x14ac:dyDescent="0.2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38.25" customHeight="1" x14ac:dyDescent="0.2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38.25" customHeight="1" x14ac:dyDescent="0.2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38.25" customHeight="1" x14ac:dyDescent="0.2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38.25" customHeight="1" x14ac:dyDescent="0.2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38.25" customHeight="1" x14ac:dyDescent="0.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38.25" customHeight="1" x14ac:dyDescent="0.2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38.25" customHeight="1" x14ac:dyDescent="0.2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38.25" customHeight="1" x14ac:dyDescent="0.2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38.25" customHeight="1" x14ac:dyDescent="0.2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38.25" customHeight="1" x14ac:dyDescent="0.2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38.25" customHeight="1" x14ac:dyDescent="0.2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38.25" customHeight="1" x14ac:dyDescent="0.2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38.25" customHeight="1" x14ac:dyDescent="0.2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38.25" customHeight="1" x14ac:dyDescent="0.2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38.25" customHeight="1" x14ac:dyDescent="0.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38.25" customHeight="1" x14ac:dyDescent="0.2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38.25" customHeight="1" x14ac:dyDescent="0.2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38.25" customHeight="1" x14ac:dyDescent="0.2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38.25" customHeight="1" x14ac:dyDescent="0.2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38.25" customHeight="1" x14ac:dyDescent="0.2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38.25" customHeight="1" x14ac:dyDescent="0.2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38.25" customHeight="1" x14ac:dyDescent="0.2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38.25" customHeight="1" x14ac:dyDescent="0.2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38.25" customHeight="1" x14ac:dyDescent="0.2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38.25" customHeight="1" x14ac:dyDescent="0.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38.25" customHeight="1" x14ac:dyDescent="0.2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38.25" customHeight="1" x14ac:dyDescent="0.2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38.25" customHeight="1" x14ac:dyDescent="0.2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38.25" customHeight="1" x14ac:dyDescent="0.2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38.25" customHeight="1" x14ac:dyDescent="0.2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38.25" customHeight="1" x14ac:dyDescent="0.2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38.25" customHeight="1" x14ac:dyDescent="0.2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38.25" customHeight="1" x14ac:dyDescent="0.2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38.25" customHeight="1" x14ac:dyDescent="0.2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38.25" customHeight="1" x14ac:dyDescent="0.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38.25" customHeight="1" x14ac:dyDescent="0.2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38.25" customHeight="1" x14ac:dyDescent="0.2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38.25" customHeight="1" x14ac:dyDescent="0.2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38.25" customHeight="1" x14ac:dyDescent="0.2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38.25" customHeight="1" x14ac:dyDescent="0.2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38.25" customHeight="1" x14ac:dyDescent="0.2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38.25" customHeight="1" x14ac:dyDescent="0.2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38.25" customHeight="1" x14ac:dyDescent="0.2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38.25" customHeight="1" x14ac:dyDescent="0.2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38.25" customHeight="1" x14ac:dyDescent="0.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38.25" customHeight="1" x14ac:dyDescent="0.2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38.25" customHeight="1" x14ac:dyDescent="0.2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38.25" customHeight="1" x14ac:dyDescent="0.2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38.25" customHeight="1" x14ac:dyDescent="0.2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38.25" customHeight="1" x14ac:dyDescent="0.2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38.25" customHeight="1" x14ac:dyDescent="0.2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38.25" customHeight="1" x14ac:dyDescent="0.2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38.25" customHeight="1" x14ac:dyDescent="0.2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38.25" customHeight="1" x14ac:dyDescent="0.2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38.25" customHeight="1" x14ac:dyDescent="0.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38.25" customHeight="1" x14ac:dyDescent="0.2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38.25" customHeight="1" x14ac:dyDescent="0.2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38.25" customHeight="1" x14ac:dyDescent="0.2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38.25" customHeight="1" x14ac:dyDescent="0.2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38.25" customHeight="1" x14ac:dyDescent="0.2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38.25" customHeight="1" x14ac:dyDescent="0.2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38.25" customHeight="1" x14ac:dyDescent="0.2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38.25" customHeight="1" x14ac:dyDescent="0.2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38.25" customHeight="1" x14ac:dyDescent="0.2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38.25" customHeight="1" x14ac:dyDescent="0.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38.25" customHeight="1" x14ac:dyDescent="0.2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38.25" customHeight="1" x14ac:dyDescent="0.2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38.25" customHeight="1" x14ac:dyDescent="0.2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38.25" customHeight="1" x14ac:dyDescent="0.2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38.25" customHeight="1" x14ac:dyDescent="0.2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38.25" customHeight="1" x14ac:dyDescent="0.2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38.25" customHeight="1" x14ac:dyDescent="0.2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38.25" customHeight="1" x14ac:dyDescent="0.2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38.25" customHeight="1" x14ac:dyDescent="0.2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38.25" customHeight="1" x14ac:dyDescent="0.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38.25" customHeight="1" x14ac:dyDescent="0.2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38.25" customHeight="1" x14ac:dyDescent="0.2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38.25" customHeight="1" x14ac:dyDescent="0.2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38.25" customHeight="1" x14ac:dyDescent="0.2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38.25" customHeight="1" x14ac:dyDescent="0.2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38.25" customHeight="1" x14ac:dyDescent="0.2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38.25" customHeight="1" x14ac:dyDescent="0.2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38.25" customHeight="1" x14ac:dyDescent="0.2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38.25" customHeight="1" x14ac:dyDescent="0.2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38.25" customHeight="1" x14ac:dyDescent="0.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38.25" customHeight="1" x14ac:dyDescent="0.2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38.25" customHeight="1" x14ac:dyDescent="0.2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38.25" customHeight="1" x14ac:dyDescent="0.2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38.25" customHeight="1" x14ac:dyDescent="0.2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38.25" customHeight="1" x14ac:dyDescent="0.2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38.25" customHeight="1" x14ac:dyDescent="0.2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38.25" customHeight="1" x14ac:dyDescent="0.2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38.25" customHeight="1" x14ac:dyDescent="0.2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38.25" customHeight="1" x14ac:dyDescent="0.2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38.25" customHeight="1" x14ac:dyDescent="0.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38.25" customHeight="1" x14ac:dyDescent="0.2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38.25" customHeight="1" x14ac:dyDescent="0.2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38.25" customHeight="1" x14ac:dyDescent="0.2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38.25" customHeight="1" x14ac:dyDescent="0.2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38.25" customHeight="1" x14ac:dyDescent="0.2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38.25" customHeight="1" x14ac:dyDescent="0.2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38.25" customHeight="1" x14ac:dyDescent="0.2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38.25" customHeight="1" x14ac:dyDescent="0.2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38.25" customHeight="1" x14ac:dyDescent="0.2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38.25" customHeight="1" x14ac:dyDescent="0.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38.25" customHeight="1" x14ac:dyDescent="0.2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38.25" customHeight="1" x14ac:dyDescent="0.2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38.25" customHeight="1" x14ac:dyDescent="0.2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38.25" customHeight="1" x14ac:dyDescent="0.2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38.25" customHeight="1" x14ac:dyDescent="0.2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38.25" customHeight="1" x14ac:dyDescent="0.2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38.25" customHeight="1" x14ac:dyDescent="0.2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38.25" customHeight="1" x14ac:dyDescent="0.2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38.25" customHeight="1" x14ac:dyDescent="0.2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38.25" customHeight="1" x14ac:dyDescent="0.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38.25" customHeight="1" x14ac:dyDescent="0.2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38.25" customHeight="1" x14ac:dyDescent="0.2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38.25" customHeight="1" x14ac:dyDescent="0.2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38.25" customHeight="1" x14ac:dyDescent="0.2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38.25" customHeight="1" x14ac:dyDescent="0.2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38.25" customHeight="1" x14ac:dyDescent="0.2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38.25" customHeight="1" x14ac:dyDescent="0.2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38.25" customHeight="1" x14ac:dyDescent="0.2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38.25" customHeight="1" x14ac:dyDescent="0.2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38.25" customHeight="1" x14ac:dyDescent="0.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38.25" customHeight="1" x14ac:dyDescent="0.2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38.25" customHeight="1" x14ac:dyDescent="0.2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38.25" customHeight="1" x14ac:dyDescent="0.2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38.25" customHeight="1" x14ac:dyDescent="0.2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38.25" customHeight="1" x14ac:dyDescent="0.2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38.25" customHeight="1" x14ac:dyDescent="0.2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38.25" customHeight="1" x14ac:dyDescent="0.2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38.25" customHeight="1" x14ac:dyDescent="0.2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38.25" customHeight="1" x14ac:dyDescent="0.2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38.25" customHeight="1" x14ac:dyDescent="0.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38.25" customHeight="1" x14ac:dyDescent="0.2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38.25" customHeight="1" x14ac:dyDescent="0.2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38.25" customHeight="1" x14ac:dyDescent="0.2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38.25" customHeight="1" x14ac:dyDescent="0.2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38.25" customHeight="1" x14ac:dyDescent="0.2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38.25" customHeight="1" x14ac:dyDescent="0.2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38.25" customHeight="1" x14ac:dyDescent="0.2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38.25" customHeight="1" x14ac:dyDescent="0.2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38.25" customHeight="1" x14ac:dyDescent="0.2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38.25" customHeight="1" x14ac:dyDescent="0.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38.25" customHeight="1" x14ac:dyDescent="0.2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38.25" customHeight="1" x14ac:dyDescent="0.2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38.25" customHeight="1" x14ac:dyDescent="0.2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38.25" customHeight="1" x14ac:dyDescent="0.2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38.25" customHeight="1" x14ac:dyDescent="0.2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38.25" customHeight="1" x14ac:dyDescent="0.2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38.25" customHeight="1" x14ac:dyDescent="0.2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38.25" customHeight="1" x14ac:dyDescent="0.2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38.25" customHeight="1" x14ac:dyDescent="0.2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38.25" customHeight="1" x14ac:dyDescent="0.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38.25" customHeight="1" x14ac:dyDescent="0.2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38.25" customHeight="1" x14ac:dyDescent="0.2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38.25" customHeight="1" x14ac:dyDescent="0.2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38.25" customHeight="1" x14ac:dyDescent="0.2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38.25" customHeight="1" x14ac:dyDescent="0.2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38.25" customHeight="1" x14ac:dyDescent="0.2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38.25" customHeight="1" x14ac:dyDescent="0.2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38.25" customHeight="1" x14ac:dyDescent="0.2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38.25" customHeight="1" x14ac:dyDescent="0.2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38.25" customHeight="1" x14ac:dyDescent="0.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38.25" customHeight="1" x14ac:dyDescent="0.2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38.25" customHeight="1" x14ac:dyDescent="0.2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38.25" customHeight="1" x14ac:dyDescent="0.2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38.25" customHeight="1" x14ac:dyDescent="0.2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38.25" customHeight="1" x14ac:dyDescent="0.2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38.25" customHeight="1" x14ac:dyDescent="0.2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38.25" customHeight="1" x14ac:dyDescent="0.2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38.25" customHeight="1" x14ac:dyDescent="0.2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38.25" customHeight="1" x14ac:dyDescent="0.2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38.25" customHeight="1" x14ac:dyDescent="0.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38.25" customHeight="1" x14ac:dyDescent="0.2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38.25" customHeight="1" x14ac:dyDescent="0.2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38.25" customHeight="1" x14ac:dyDescent="0.2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38.25" customHeight="1" x14ac:dyDescent="0.2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38.25" customHeight="1" x14ac:dyDescent="0.2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38.25" customHeight="1" x14ac:dyDescent="0.2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38.25" customHeight="1" x14ac:dyDescent="0.2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38.25" customHeight="1" x14ac:dyDescent="0.2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38.25" customHeight="1" x14ac:dyDescent="0.2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38.25" customHeight="1" x14ac:dyDescent="0.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38.25" customHeight="1" x14ac:dyDescent="0.2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38.25" customHeight="1" x14ac:dyDescent="0.2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38.25" customHeight="1" x14ac:dyDescent="0.2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38.25" customHeight="1" x14ac:dyDescent="0.2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38.25" customHeight="1" x14ac:dyDescent="0.2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38.25" customHeight="1" x14ac:dyDescent="0.2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38.25" customHeight="1" x14ac:dyDescent="0.2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38.25" customHeight="1" x14ac:dyDescent="0.2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38.25" customHeight="1" x14ac:dyDescent="0.2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38.25" customHeight="1" x14ac:dyDescent="0.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38.25" customHeight="1" x14ac:dyDescent="0.2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38.25" customHeight="1" x14ac:dyDescent="0.2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38.25" customHeight="1" x14ac:dyDescent="0.2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38.25" customHeight="1" x14ac:dyDescent="0.2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38.25" customHeight="1" x14ac:dyDescent="0.2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38.25" customHeight="1" x14ac:dyDescent="0.2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38.25" customHeight="1" x14ac:dyDescent="0.2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38.25" customHeight="1" x14ac:dyDescent="0.2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38.25" customHeight="1" x14ac:dyDescent="0.2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38.25" customHeight="1" x14ac:dyDescent="0.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38.25" customHeight="1" x14ac:dyDescent="0.2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38.25" customHeight="1" x14ac:dyDescent="0.2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38.25" customHeight="1" x14ac:dyDescent="0.2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38.25" customHeight="1" x14ac:dyDescent="0.2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38.25" customHeight="1" x14ac:dyDescent="0.2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38.25" customHeight="1" x14ac:dyDescent="0.2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38.25" customHeight="1" x14ac:dyDescent="0.2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38.25" customHeight="1" x14ac:dyDescent="0.2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38.25" customHeight="1" x14ac:dyDescent="0.2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38.25" customHeight="1" x14ac:dyDescent="0.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38.25" customHeight="1" x14ac:dyDescent="0.2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38.25" customHeight="1" x14ac:dyDescent="0.2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38.25" customHeight="1" x14ac:dyDescent="0.2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38.25" customHeight="1" x14ac:dyDescent="0.2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38.25" customHeight="1" x14ac:dyDescent="0.2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38.25" customHeight="1" x14ac:dyDescent="0.2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38.25" customHeight="1" x14ac:dyDescent="0.2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38.25" customHeight="1" x14ac:dyDescent="0.2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38.25" customHeight="1" x14ac:dyDescent="0.2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38.25" customHeight="1" x14ac:dyDescent="0.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38.25" customHeight="1" x14ac:dyDescent="0.2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38.25" customHeight="1" x14ac:dyDescent="0.2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38.25" customHeight="1" x14ac:dyDescent="0.2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38.25" customHeight="1" x14ac:dyDescent="0.2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38.25" customHeight="1" x14ac:dyDescent="0.2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38.25" customHeight="1" x14ac:dyDescent="0.2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38.25" customHeight="1" x14ac:dyDescent="0.2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38.25" customHeight="1" x14ac:dyDescent="0.2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38.25" customHeight="1" x14ac:dyDescent="0.2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38.25" customHeight="1" x14ac:dyDescent="0.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38.25" customHeight="1" x14ac:dyDescent="0.2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38.25" customHeight="1" x14ac:dyDescent="0.2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38.25" customHeight="1" x14ac:dyDescent="0.2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38.25" customHeight="1" x14ac:dyDescent="0.2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38.25" customHeight="1" x14ac:dyDescent="0.2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38.25" customHeight="1" x14ac:dyDescent="0.2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38.25" customHeight="1" x14ac:dyDescent="0.2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38.25" customHeight="1" x14ac:dyDescent="0.2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38.25" customHeight="1" x14ac:dyDescent="0.2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38.25" customHeight="1" x14ac:dyDescent="0.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38.25" customHeight="1" x14ac:dyDescent="0.2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38.25" customHeight="1" x14ac:dyDescent="0.2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38.25" customHeight="1" x14ac:dyDescent="0.2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38.25" customHeight="1" x14ac:dyDescent="0.2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38.25" customHeight="1" x14ac:dyDescent="0.2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38.25" customHeight="1" x14ac:dyDescent="0.2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38.25" customHeight="1" x14ac:dyDescent="0.2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38.25" customHeight="1" x14ac:dyDescent="0.2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38.25" customHeight="1" x14ac:dyDescent="0.2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38.25" customHeight="1" x14ac:dyDescent="0.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38.25" customHeight="1" x14ac:dyDescent="0.2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38.25" customHeight="1" x14ac:dyDescent="0.2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38.25" customHeight="1" x14ac:dyDescent="0.2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38.25" customHeight="1" x14ac:dyDescent="0.2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38.25" customHeight="1" x14ac:dyDescent="0.2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38.25" customHeight="1" x14ac:dyDescent="0.2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38.25" customHeight="1" x14ac:dyDescent="0.2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38.25" customHeight="1" x14ac:dyDescent="0.2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38.25" customHeight="1" x14ac:dyDescent="0.2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38.25" customHeight="1" x14ac:dyDescent="0.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38.25" customHeight="1" x14ac:dyDescent="0.2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38.25" customHeight="1" x14ac:dyDescent="0.2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38.25" customHeight="1" x14ac:dyDescent="0.2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38.25" customHeight="1" x14ac:dyDescent="0.2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38.25" customHeight="1" x14ac:dyDescent="0.2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38.25" customHeight="1" x14ac:dyDescent="0.2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38.25" customHeight="1" x14ac:dyDescent="0.2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38.25" customHeight="1" x14ac:dyDescent="0.2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38.25" customHeight="1" x14ac:dyDescent="0.2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38.25" customHeight="1" x14ac:dyDescent="0.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38.25" customHeight="1" x14ac:dyDescent="0.2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38.25" customHeight="1" x14ac:dyDescent="0.2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38.25" customHeight="1" x14ac:dyDescent="0.2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38.25" customHeight="1" x14ac:dyDescent="0.2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38.25" customHeight="1" x14ac:dyDescent="0.2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38.25" customHeight="1" x14ac:dyDescent="0.2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38.25" customHeight="1" x14ac:dyDescent="0.2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38.25" customHeight="1" x14ac:dyDescent="0.2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38.25" customHeight="1" x14ac:dyDescent="0.2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38.25" customHeight="1" x14ac:dyDescent="0.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38.25" customHeight="1" x14ac:dyDescent="0.2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38.25" customHeight="1" x14ac:dyDescent="0.2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38.25" customHeight="1" x14ac:dyDescent="0.2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38.25" customHeight="1" x14ac:dyDescent="0.2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38.25" customHeight="1" x14ac:dyDescent="0.2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38.25" customHeight="1" x14ac:dyDescent="0.2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38.25" customHeight="1" x14ac:dyDescent="0.2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38.25" customHeight="1" x14ac:dyDescent="0.2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38.25" customHeight="1" x14ac:dyDescent="0.2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38.25" customHeight="1" x14ac:dyDescent="0.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38.25" customHeight="1" x14ac:dyDescent="0.2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38.25" customHeight="1" x14ac:dyDescent="0.2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38.25" customHeight="1" x14ac:dyDescent="0.2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38.25" customHeight="1" x14ac:dyDescent="0.2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38.25" customHeight="1" x14ac:dyDescent="0.2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38.25" customHeight="1" x14ac:dyDescent="0.2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38.25" customHeight="1" x14ac:dyDescent="0.2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38.25" customHeight="1" x14ac:dyDescent="0.2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38.25" customHeight="1" x14ac:dyDescent="0.2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38.25" customHeight="1" x14ac:dyDescent="0.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38.25" customHeight="1" x14ac:dyDescent="0.2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38.25" customHeight="1" x14ac:dyDescent="0.2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38.25" customHeight="1" x14ac:dyDescent="0.2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38.25" customHeight="1" x14ac:dyDescent="0.2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38.25" customHeight="1" x14ac:dyDescent="0.2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38.25" customHeight="1" x14ac:dyDescent="0.2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38.25" customHeight="1" x14ac:dyDescent="0.2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38.25" customHeight="1" x14ac:dyDescent="0.2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38.25" customHeight="1" x14ac:dyDescent="0.2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38.25" customHeight="1" x14ac:dyDescent="0.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38.25" customHeight="1" x14ac:dyDescent="0.2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38.25" customHeight="1" x14ac:dyDescent="0.2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38.25" customHeight="1" x14ac:dyDescent="0.2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38.25" customHeight="1" x14ac:dyDescent="0.2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38.25" customHeight="1" x14ac:dyDescent="0.2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38.25" customHeight="1" x14ac:dyDescent="0.2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38.25" customHeight="1" x14ac:dyDescent="0.2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38.25" customHeight="1" x14ac:dyDescent="0.2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38.25" customHeight="1" x14ac:dyDescent="0.2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38.25" customHeight="1" x14ac:dyDescent="0.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38.25" customHeight="1" x14ac:dyDescent="0.2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38.25" customHeight="1" x14ac:dyDescent="0.2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38.25" customHeight="1" x14ac:dyDescent="0.2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38.25" customHeight="1" x14ac:dyDescent="0.2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38.25" customHeight="1" x14ac:dyDescent="0.2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38.25" customHeight="1" x14ac:dyDescent="0.2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38.25" customHeight="1" x14ac:dyDescent="0.2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38.25" customHeight="1" x14ac:dyDescent="0.2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38.25" customHeight="1" x14ac:dyDescent="0.2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38.25" customHeight="1" x14ac:dyDescent="0.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38.25" customHeight="1" x14ac:dyDescent="0.2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38.25" customHeight="1" x14ac:dyDescent="0.2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38.25" customHeight="1" x14ac:dyDescent="0.2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38.25" customHeight="1" x14ac:dyDescent="0.2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38.25" customHeight="1" x14ac:dyDescent="0.2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38.25" customHeight="1" x14ac:dyDescent="0.2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38.25" customHeight="1" x14ac:dyDescent="0.2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38.25" customHeight="1" x14ac:dyDescent="0.2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38.25" customHeight="1" x14ac:dyDescent="0.2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38.25" customHeight="1" x14ac:dyDescent="0.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38.25" customHeight="1" x14ac:dyDescent="0.2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38.25" customHeight="1" x14ac:dyDescent="0.2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38.25" customHeight="1" x14ac:dyDescent="0.2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38.25" customHeight="1" x14ac:dyDescent="0.2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38.25" customHeight="1" x14ac:dyDescent="0.2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38.25" customHeight="1" x14ac:dyDescent="0.2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38.25" customHeight="1" x14ac:dyDescent="0.2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38.25" customHeight="1" x14ac:dyDescent="0.2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38.25" customHeight="1" x14ac:dyDescent="0.2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38.25" customHeight="1" x14ac:dyDescent="0.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38.25" customHeight="1" x14ac:dyDescent="0.2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38.25" customHeight="1" x14ac:dyDescent="0.2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38.25" customHeight="1" x14ac:dyDescent="0.2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38.25" customHeight="1" x14ac:dyDescent="0.2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38.25" customHeight="1" x14ac:dyDescent="0.2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38.25" customHeight="1" x14ac:dyDescent="0.2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38.25" customHeight="1" x14ac:dyDescent="0.2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38.25" customHeight="1" x14ac:dyDescent="0.2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38.25" customHeight="1" x14ac:dyDescent="0.2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38.25" customHeight="1" x14ac:dyDescent="0.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38.25" customHeight="1" x14ac:dyDescent="0.2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38.25" customHeight="1" x14ac:dyDescent="0.2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38.25" customHeight="1" x14ac:dyDescent="0.2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38.25" customHeight="1" x14ac:dyDescent="0.2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38.25" customHeight="1" x14ac:dyDescent="0.2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38.25" customHeight="1" x14ac:dyDescent="0.2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38.25" customHeight="1" x14ac:dyDescent="0.2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38.25" customHeight="1" x14ac:dyDescent="0.2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38.25" customHeight="1" x14ac:dyDescent="0.2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38.25" customHeight="1" x14ac:dyDescent="0.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38.25" customHeight="1" x14ac:dyDescent="0.2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38.25" customHeight="1" x14ac:dyDescent="0.2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38.25" customHeight="1" x14ac:dyDescent="0.2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38.25" customHeight="1" x14ac:dyDescent="0.2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38.25" customHeight="1" x14ac:dyDescent="0.2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38.25" customHeight="1" x14ac:dyDescent="0.2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38.25" customHeight="1" x14ac:dyDescent="0.2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38.25" customHeight="1" x14ac:dyDescent="0.2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38.25" customHeight="1" x14ac:dyDescent="0.2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38.25" customHeight="1" x14ac:dyDescent="0.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38.25" customHeight="1" x14ac:dyDescent="0.2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38.25" customHeight="1" x14ac:dyDescent="0.2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38.25" customHeight="1" x14ac:dyDescent="0.2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38.25" customHeight="1" x14ac:dyDescent="0.2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38.25" customHeight="1" x14ac:dyDescent="0.2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38.25" customHeight="1" x14ac:dyDescent="0.2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38.25" customHeight="1" x14ac:dyDescent="0.2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38.25" customHeight="1" x14ac:dyDescent="0.2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38.25" customHeight="1" x14ac:dyDescent="0.2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38.25" customHeight="1" x14ac:dyDescent="0.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38.25" customHeight="1" x14ac:dyDescent="0.2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38.25" customHeight="1" x14ac:dyDescent="0.2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38.25" customHeight="1" x14ac:dyDescent="0.2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38.25" customHeight="1" x14ac:dyDescent="0.2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38.25" customHeight="1" x14ac:dyDescent="0.2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38.25" customHeight="1" x14ac:dyDescent="0.2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38.25" customHeight="1" x14ac:dyDescent="0.2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38.25" customHeight="1" x14ac:dyDescent="0.2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38.25" customHeight="1" x14ac:dyDescent="0.2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38.25" customHeight="1" x14ac:dyDescent="0.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38.25" customHeight="1" x14ac:dyDescent="0.2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38.25" customHeight="1" x14ac:dyDescent="0.2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38.25" customHeight="1" x14ac:dyDescent="0.2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38.25" customHeight="1" x14ac:dyDescent="0.2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38.25" customHeight="1" x14ac:dyDescent="0.2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38.25" customHeight="1" x14ac:dyDescent="0.2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38.25" customHeight="1" x14ac:dyDescent="0.2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38.25" customHeight="1" x14ac:dyDescent="0.2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38.25" customHeight="1" x14ac:dyDescent="0.2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38.25" customHeight="1" x14ac:dyDescent="0.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38.25" customHeight="1" x14ac:dyDescent="0.2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38.25" customHeight="1" x14ac:dyDescent="0.2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38.25" customHeight="1" x14ac:dyDescent="0.2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38.25" customHeight="1" x14ac:dyDescent="0.2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38.25" customHeight="1" x14ac:dyDescent="0.2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38.25" customHeight="1" x14ac:dyDescent="0.2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38.25" customHeight="1" x14ac:dyDescent="0.2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38.25" customHeight="1" x14ac:dyDescent="0.2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38.25" customHeight="1" x14ac:dyDescent="0.2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38.25" customHeight="1" x14ac:dyDescent="0.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38.25" customHeight="1" x14ac:dyDescent="0.2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38.25" customHeight="1" x14ac:dyDescent="0.2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38.25" customHeight="1" x14ac:dyDescent="0.2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38.25" customHeight="1" x14ac:dyDescent="0.2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38.25" customHeight="1" x14ac:dyDescent="0.2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38.25" customHeight="1" x14ac:dyDescent="0.2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38.25" customHeight="1" x14ac:dyDescent="0.2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38.25" customHeight="1" x14ac:dyDescent="0.2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38.25" customHeight="1" x14ac:dyDescent="0.2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38.25" customHeight="1" x14ac:dyDescent="0.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38.25" customHeight="1" x14ac:dyDescent="0.2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38.25" customHeight="1" x14ac:dyDescent="0.2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38.25" customHeight="1" x14ac:dyDescent="0.2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38.25" customHeight="1" x14ac:dyDescent="0.2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38.25" customHeight="1" x14ac:dyDescent="0.2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38.25" customHeight="1" x14ac:dyDescent="0.2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38.25" customHeight="1" x14ac:dyDescent="0.2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38.25" customHeight="1" x14ac:dyDescent="0.2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38.25" customHeight="1" x14ac:dyDescent="0.2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38.25" customHeight="1" x14ac:dyDescent="0.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38.25" customHeight="1" x14ac:dyDescent="0.2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38.25" customHeight="1" x14ac:dyDescent="0.2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38.25" customHeight="1" x14ac:dyDescent="0.2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38.25" customHeight="1" x14ac:dyDescent="0.2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38.25" customHeight="1" x14ac:dyDescent="0.2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38.25" customHeight="1" x14ac:dyDescent="0.2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38.25" customHeight="1" x14ac:dyDescent="0.2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38.25" customHeight="1" x14ac:dyDescent="0.2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38.25" customHeight="1" x14ac:dyDescent="0.2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38.25" customHeight="1" x14ac:dyDescent="0.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38.25" customHeight="1" x14ac:dyDescent="0.2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38.25" customHeight="1" x14ac:dyDescent="0.2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38.25" customHeight="1" x14ac:dyDescent="0.2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38.25" customHeight="1" x14ac:dyDescent="0.2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38.25" customHeight="1" x14ac:dyDescent="0.2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38.25" customHeight="1" x14ac:dyDescent="0.2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38.25" customHeight="1" x14ac:dyDescent="0.2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38.25" customHeight="1" x14ac:dyDescent="0.2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38.25" customHeight="1" x14ac:dyDescent="0.2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38.25" customHeight="1" x14ac:dyDescent="0.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38.25" customHeight="1" x14ac:dyDescent="0.2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38.25" customHeight="1" x14ac:dyDescent="0.2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38.25" customHeight="1" x14ac:dyDescent="0.2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38.25" customHeight="1" x14ac:dyDescent="0.2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38.25" customHeight="1" x14ac:dyDescent="0.2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38.25" customHeight="1" x14ac:dyDescent="0.2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38.25" customHeight="1" x14ac:dyDescent="0.2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38.25" customHeight="1" x14ac:dyDescent="0.2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38.25" customHeight="1" x14ac:dyDescent="0.2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38.25" customHeight="1" x14ac:dyDescent="0.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38.25" customHeight="1" x14ac:dyDescent="0.2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38.25" customHeight="1" x14ac:dyDescent="0.2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38.25" customHeight="1" x14ac:dyDescent="0.2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38.25" customHeight="1" x14ac:dyDescent="0.2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38.25" customHeight="1" x14ac:dyDescent="0.2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38.25" customHeight="1" x14ac:dyDescent="0.2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38.25" customHeight="1" x14ac:dyDescent="0.2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38.25" customHeight="1" x14ac:dyDescent="0.2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38.25" customHeight="1" x14ac:dyDescent="0.2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38.25" customHeight="1" x14ac:dyDescent="0.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38.25" customHeight="1" x14ac:dyDescent="0.2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38.25" customHeight="1" x14ac:dyDescent="0.2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38.25" customHeight="1" x14ac:dyDescent="0.2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38.25" customHeight="1" x14ac:dyDescent="0.2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38.25" customHeight="1" x14ac:dyDescent="0.2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38.25" customHeight="1" x14ac:dyDescent="0.2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38.25" customHeight="1" x14ac:dyDescent="0.2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38.25" customHeight="1" x14ac:dyDescent="0.2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38.25" customHeight="1" x14ac:dyDescent="0.2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38.25" customHeight="1" x14ac:dyDescent="0.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38.25" customHeight="1" x14ac:dyDescent="0.2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38.25" customHeight="1" x14ac:dyDescent="0.2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38.25" customHeight="1" x14ac:dyDescent="0.2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38.25" customHeight="1" x14ac:dyDescent="0.2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38.25" customHeight="1" x14ac:dyDescent="0.2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38.25" customHeight="1" x14ac:dyDescent="0.2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38.25" customHeight="1" x14ac:dyDescent="0.2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38.25" customHeight="1" x14ac:dyDescent="0.2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38.25" customHeight="1" x14ac:dyDescent="0.2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38.25" customHeight="1" x14ac:dyDescent="0.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38.25" customHeight="1" x14ac:dyDescent="0.2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38.25" customHeight="1" x14ac:dyDescent="0.2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38.25" customHeight="1" x14ac:dyDescent="0.2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38.25" customHeight="1" x14ac:dyDescent="0.2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38.25" customHeight="1" x14ac:dyDescent="0.2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38.25" customHeight="1" x14ac:dyDescent="0.2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38.25" customHeight="1" x14ac:dyDescent="0.2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38.25" customHeight="1" x14ac:dyDescent="0.2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38.25" customHeight="1" x14ac:dyDescent="0.2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38.25" customHeight="1" x14ac:dyDescent="0.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38.25" customHeight="1" x14ac:dyDescent="0.2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38.25" customHeight="1" x14ac:dyDescent="0.2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38.25" customHeight="1" x14ac:dyDescent="0.2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38.25" customHeight="1" x14ac:dyDescent="0.2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38.25" customHeight="1" x14ac:dyDescent="0.2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38.25" customHeight="1" x14ac:dyDescent="0.2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38.25" customHeight="1" x14ac:dyDescent="0.2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38.25" customHeight="1" x14ac:dyDescent="0.2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38.25" customHeight="1" x14ac:dyDescent="0.2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38.25" customHeight="1" x14ac:dyDescent="0.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38.25" customHeight="1" x14ac:dyDescent="0.2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38.25" customHeight="1" x14ac:dyDescent="0.2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38.25" customHeight="1" x14ac:dyDescent="0.2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38.25" customHeight="1" x14ac:dyDescent="0.2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38.25" customHeight="1" x14ac:dyDescent="0.2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38.25" customHeight="1" x14ac:dyDescent="0.2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38.25" customHeight="1" x14ac:dyDescent="0.2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38.25" customHeight="1" x14ac:dyDescent="0.2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38.25" customHeight="1" x14ac:dyDescent="0.2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38.25" customHeight="1" x14ac:dyDescent="0.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38.25" customHeight="1" x14ac:dyDescent="0.2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38.25" customHeight="1" x14ac:dyDescent="0.2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38.25" customHeight="1" x14ac:dyDescent="0.2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38.25" customHeight="1" x14ac:dyDescent="0.2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38.25" customHeight="1" x14ac:dyDescent="0.2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38.25" customHeight="1" x14ac:dyDescent="0.2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38.25" customHeight="1" x14ac:dyDescent="0.2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38.25" customHeight="1" x14ac:dyDescent="0.2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38.25" customHeight="1" x14ac:dyDescent="0.2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38.25" customHeight="1" x14ac:dyDescent="0.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38.25" customHeight="1" x14ac:dyDescent="0.2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38.25" customHeight="1" x14ac:dyDescent="0.2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38.25" customHeight="1" x14ac:dyDescent="0.2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38.25" customHeight="1" x14ac:dyDescent="0.2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38.25" customHeight="1" x14ac:dyDescent="0.2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38.25" customHeight="1" x14ac:dyDescent="0.2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38.25" customHeight="1" x14ac:dyDescent="0.2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38.25" customHeight="1" x14ac:dyDescent="0.2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38.25" customHeight="1" x14ac:dyDescent="0.2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38.25" customHeight="1" x14ac:dyDescent="0.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38.25" customHeight="1" x14ac:dyDescent="0.2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38.25" customHeight="1" x14ac:dyDescent="0.2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38.25" customHeight="1" x14ac:dyDescent="0.2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38.25" customHeight="1" x14ac:dyDescent="0.2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38.25" customHeight="1" x14ac:dyDescent="0.2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38.25" customHeight="1" x14ac:dyDescent="0.2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38.25" customHeight="1" x14ac:dyDescent="0.2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38.25" customHeight="1" x14ac:dyDescent="0.2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38.25" customHeight="1" x14ac:dyDescent="0.2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38.25" customHeight="1" x14ac:dyDescent="0.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38.25" customHeight="1" x14ac:dyDescent="0.2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38.25" customHeight="1" x14ac:dyDescent="0.2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38.25" customHeight="1" x14ac:dyDescent="0.2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38.25" customHeight="1" x14ac:dyDescent="0.2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38.25" customHeight="1" x14ac:dyDescent="0.2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38.25" customHeight="1" x14ac:dyDescent="0.2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38.25" customHeight="1" x14ac:dyDescent="0.2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38.25" customHeight="1" x14ac:dyDescent="0.2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38.25" customHeight="1" x14ac:dyDescent="0.2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38.25" customHeight="1" x14ac:dyDescent="0.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38.25" customHeight="1" x14ac:dyDescent="0.2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38.25" customHeight="1" x14ac:dyDescent="0.2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38.25" customHeight="1" x14ac:dyDescent="0.2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38.25" customHeight="1" x14ac:dyDescent="0.2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38.25" customHeight="1" x14ac:dyDescent="0.2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38.25" customHeight="1" x14ac:dyDescent="0.2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38.25" customHeight="1" x14ac:dyDescent="0.2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38.25" customHeight="1" x14ac:dyDescent="0.2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38.25" customHeight="1" x14ac:dyDescent="0.2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38.25" customHeight="1" x14ac:dyDescent="0.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38.25" customHeight="1" x14ac:dyDescent="0.2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38.25" customHeight="1" x14ac:dyDescent="0.2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38.25" customHeight="1" x14ac:dyDescent="0.2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38.25" customHeight="1" x14ac:dyDescent="0.2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38.25" customHeight="1" x14ac:dyDescent="0.2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38.25" customHeight="1" x14ac:dyDescent="0.2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38.25" customHeight="1" x14ac:dyDescent="0.2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38.25" customHeight="1" x14ac:dyDescent="0.2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38.25" customHeight="1" x14ac:dyDescent="0.2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38.25" customHeight="1" x14ac:dyDescent="0.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38.25" customHeight="1" x14ac:dyDescent="0.2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38.25" customHeight="1" x14ac:dyDescent="0.2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38.25" customHeight="1" x14ac:dyDescent="0.2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38.25" customHeight="1" x14ac:dyDescent="0.2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38.25" customHeight="1" x14ac:dyDescent="0.2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38.25" customHeight="1" x14ac:dyDescent="0.2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38.25" customHeight="1" x14ac:dyDescent="0.2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38.25" customHeight="1" x14ac:dyDescent="0.2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38.25" customHeight="1" x14ac:dyDescent="0.2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38.25" customHeight="1" x14ac:dyDescent="0.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38.25" customHeight="1" x14ac:dyDescent="0.2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38.25" customHeight="1" x14ac:dyDescent="0.2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38.25" customHeight="1" x14ac:dyDescent="0.2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38.25" customHeight="1" x14ac:dyDescent="0.2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38.25" customHeight="1" x14ac:dyDescent="0.2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38.25" customHeight="1" x14ac:dyDescent="0.2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38.25" customHeight="1" x14ac:dyDescent="0.2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38.25" customHeight="1" x14ac:dyDescent="0.2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38.25" customHeight="1" x14ac:dyDescent="0.2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38.25" customHeight="1" x14ac:dyDescent="0.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38.25" customHeight="1" x14ac:dyDescent="0.2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38.25" customHeight="1" x14ac:dyDescent="0.2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38.25" customHeight="1" x14ac:dyDescent="0.2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38.25" customHeight="1" x14ac:dyDescent="0.2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38.25" customHeight="1" x14ac:dyDescent="0.2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38.25" customHeight="1" x14ac:dyDescent="0.2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38.25" customHeight="1" x14ac:dyDescent="0.2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38.25" customHeight="1" x14ac:dyDescent="0.2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38.25" customHeight="1" x14ac:dyDescent="0.2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38.25" customHeight="1" x14ac:dyDescent="0.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38.25" customHeight="1" x14ac:dyDescent="0.2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38.25" customHeight="1" x14ac:dyDescent="0.2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38.25" customHeight="1" x14ac:dyDescent="0.2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38.25" customHeight="1" x14ac:dyDescent="0.2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38.25" customHeight="1" x14ac:dyDescent="0.2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38.25" customHeight="1" x14ac:dyDescent="0.2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38.25" customHeight="1" x14ac:dyDescent="0.2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38.25" customHeight="1" x14ac:dyDescent="0.2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38.25" customHeight="1" x14ac:dyDescent="0.2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38.25" customHeight="1" x14ac:dyDescent="0.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38.25" customHeight="1" x14ac:dyDescent="0.2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38.25" customHeight="1" x14ac:dyDescent="0.2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38.25" customHeight="1" x14ac:dyDescent="0.2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38.25" customHeight="1" x14ac:dyDescent="0.2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38.25" customHeight="1" x14ac:dyDescent="0.2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38.25" customHeight="1" x14ac:dyDescent="0.2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38.25" customHeight="1" x14ac:dyDescent="0.2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38.25" customHeight="1" x14ac:dyDescent="0.2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38.25" customHeight="1" x14ac:dyDescent="0.2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38.25" customHeight="1" x14ac:dyDescent="0.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38.25" customHeight="1" x14ac:dyDescent="0.2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38.25" customHeight="1" x14ac:dyDescent="0.2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38.25" customHeight="1" x14ac:dyDescent="0.2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38.25" customHeight="1" x14ac:dyDescent="0.2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38.25" customHeight="1" x14ac:dyDescent="0.2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38.25" customHeight="1" x14ac:dyDescent="0.2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38.25" customHeight="1" x14ac:dyDescent="0.2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38.25" customHeight="1" x14ac:dyDescent="0.2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Y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25" x14ac:dyDescent="0.2">
      <c r="A1" s="3" t="s">
        <v>417</v>
      </c>
      <c r="B1" s="3" t="s">
        <v>525</v>
      </c>
      <c r="C1" s="3" t="s">
        <v>17</v>
      </c>
      <c r="D1" s="3" t="s">
        <v>526</v>
      </c>
      <c r="E1" s="3" t="s">
        <v>420</v>
      </c>
      <c r="F1" s="3" t="s">
        <v>527</v>
      </c>
      <c r="G1" s="3" t="s">
        <v>238</v>
      </c>
      <c r="H1" s="3" t="s">
        <v>239</v>
      </c>
      <c r="I1" s="3" t="s">
        <v>240</v>
      </c>
      <c r="J1" s="3" t="s">
        <v>528</v>
      </c>
      <c r="K1" s="3" t="s">
        <v>529</v>
      </c>
      <c r="L1" s="3" t="s">
        <v>530</v>
      </c>
      <c r="M1" s="3" t="s">
        <v>531</v>
      </c>
      <c r="N1" s="3" t="s">
        <v>532</v>
      </c>
      <c r="O1" s="3" t="s">
        <v>533</v>
      </c>
      <c r="P1" s="3" t="s">
        <v>534</v>
      </c>
      <c r="Q1" s="3" t="s">
        <v>11</v>
      </c>
      <c r="R1" s="3" t="s">
        <v>241</v>
      </c>
      <c r="S1" s="3" t="s">
        <v>242</v>
      </c>
      <c r="T1" s="3" t="s">
        <v>243</v>
      </c>
      <c r="U1" s="3" t="s">
        <v>244</v>
      </c>
      <c r="V1" s="3" t="s">
        <v>245</v>
      </c>
      <c r="W1" s="3" t="s">
        <v>246</v>
      </c>
      <c r="X1" s="3" t="s">
        <v>535</v>
      </c>
      <c r="Y1" s="3" t="s">
        <v>536</v>
      </c>
    </row>
    <row r="2" spans="1:25" x14ac:dyDescent="0.2">
      <c r="A2" s="35">
        <v>16</v>
      </c>
      <c r="B2" s="35" t="s">
        <v>939</v>
      </c>
      <c r="C2" s="35" t="s">
        <v>253</v>
      </c>
      <c r="D2" s="35" t="s">
        <v>253</v>
      </c>
      <c r="E2" s="35" t="s">
        <v>940</v>
      </c>
      <c r="F2" s="35" t="s">
        <v>941</v>
      </c>
      <c r="G2" s="35" t="s">
        <v>340</v>
      </c>
      <c r="H2" s="35" t="s">
        <v>521</v>
      </c>
      <c r="I2" s="35">
        <v>7775</v>
      </c>
      <c r="J2" s="35">
        <v>1237</v>
      </c>
      <c r="K2" s="35">
        <v>783</v>
      </c>
      <c r="L2" s="35">
        <v>-32.450000000000003</v>
      </c>
      <c r="M2" s="35">
        <v>14.95</v>
      </c>
      <c r="N2" s="35">
        <v>1447</v>
      </c>
      <c r="O2" s="35" t="s">
        <v>538</v>
      </c>
      <c r="P2" s="35" t="s">
        <v>539</v>
      </c>
      <c r="Q2" s="35" t="s">
        <v>332</v>
      </c>
      <c r="R2" s="35" t="s">
        <v>259</v>
      </c>
      <c r="S2" s="35" t="s">
        <v>253</v>
      </c>
      <c r="T2" s="35" t="s">
        <v>253</v>
      </c>
      <c r="U2" s="35" t="s">
        <v>253</v>
      </c>
      <c r="V2" s="35" t="s">
        <v>253</v>
      </c>
      <c r="W2" s="35" t="s">
        <v>253</v>
      </c>
      <c r="X2" s="35" t="s">
        <v>942</v>
      </c>
      <c r="Y2" s="35" t="s">
        <v>943</v>
      </c>
    </row>
    <row r="3" spans="1:25" x14ac:dyDescent="0.2">
      <c r="A3" s="35">
        <v>41</v>
      </c>
      <c r="B3" s="35" t="s">
        <v>944</v>
      </c>
      <c r="C3" s="35" t="s">
        <v>253</v>
      </c>
      <c r="D3" s="35" t="s">
        <v>253</v>
      </c>
      <c r="E3" s="35" t="s">
        <v>940</v>
      </c>
      <c r="F3" s="35" t="s">
        <v>941</v>
      </c>
      <c r="G3" s="35" t="s">
        <v>522</v>
      </c>
      <c r="H3" s="35" t="s">
        <v>521</v>
      </c>
      <c r="I3" s="35">
        <v>3712</v>
      </c>
      <c r="J3" s="35">
        <v>1358.6172172521201</v>
      </c>
      <c r="K3" s="35">
        <v>364.82425891513901</v>
      </c>
      <c r="L3" s="35">
        <v>-18.91</v>
      </c>
      <c r="M3" s="35">
        <v>18.88</v>
      </c>
      <c r="N3" s="35">
        <v>554</v>
      </c>
      <c r="O3" s="35" t="s">
        <v>945</v>
      </c>
      <c r="P3" s="35" t="s">
        <v>946</v>
      </c>
      <c r="Q3" s="35" t="s">
        <v>253</v>
      </c>
      <c r="R3" s="35" t="s">
        <v>253</v>
      </c>
      <c r="S3" s="35" t="s">
        <v>257</v>
      </c>
      <c r="T3" s="35" t="s">
        <v>253</v>
      </c>
      <c r="U3" s="35" t="s">
        <v>253</v>
      </c>
      <c r="V3" s="35" t="s">
        <v>253</v>
      </c>
      <c r="W3" s="35" t="s">
        <v>253</v>
      </c>
      <c r="X3" s="35" t="s">
        <v>947</v>
      </c>
      <c r="Y3" s="35" t="s">
        <v>948</v>
      </c>
    </row>
    <row r="4" spans="1:25" x14ac:dyDescent="0.2">
      <c r="A4" s="35">
        <v>48</v>
      </c>
      <c r="B4" s="35" t="s">
        <v>949</v>
      </c>
      <c r="C4" s="35" t="s">
        <v>253</v>
      </c>
      <c r="D4" s="35" t="s">
        <v>253</v>
      </c>
      <c r="E4" s="35" t="s">
        <v>940</v>
      </c>
      <c r="F4" s="35" t="s">
        <v>941</v>
      </c>
      <c r="G4" s="35" t="s">
        <v>260</v>
      </c>
      <c r="H4" s="35" t="s">
        <v>521</v>
      </c>
      <c r="I4" s="35">
        <v>1592</v>
      </c>
      <c r="J4" s="35">
        <v>1327.1085618961699</v>
      </c>
      <c r="K4" s="35">
        <v>668.62296806057805</v>
      </c>
      <c r="L4" s="35">
        <v>-28.75</v>
      </c>
      <c r="M4" s="35">
        <v>17.87</v>
      </c>
      <c r="N4" s="35">
        <v>1184</v>
      </c>
      <c r="O4" s="35" t="s">
        <v>554</v>
      </c>
      <c r="P4" s="35" t="s">
        <v>555</v>
      </c>
      <c r="Q4" s="35" t="s">
        <v>253</v>
      </c>
      <c r="R4" s="35" t="s">
        <v>253</v>
      </c>
      <c r="S4" s="35" t="s">
        <v>253</v>
      </c>
      <c r="T4" s="35" t="s">
        <v>261</v>
      </c>
      <c r="U4" s="35" t="s">
        <v>253</v>
      </c>
      <c r="V4" s="35" t="s">
        <v>253</v>
      </c>
      <c r="W4" s="35" t="s">
        <v>253</v>
      </c>
      <c r="X4" s="35" t="s">
        <v>950</v>
      </c>
      <c r="Y4" s="35" t="s">
        <v>951</v>
      </c>
    </row>
    <row r="5" spans="1:25" x14ac:dyDescent="0.2">
      <c r="A5" s="35">
        <v>51</v>
      </c>
      <c r="B5" s="35" t="s">
        <v>952</v>
      </c>
      <c r="C5" s="35" t="s">
        <v>253</v>
      </c>
      <c r="D5" s="35" t="s">
        <v>253</v>
      </c>
      <c r="E5" s="35" t="s">
        <v>940</v>
      </c>
      <c r="F5" s="35" t="s">
        <v>941</v>
      </c>
      <c r="G5" s="35" t="s">
        <v>522</v>
      </c>
      <c r="H5" s="35" t="s">
        <v>521</v>
      </c>
      <c r="I5" s="35">
        <v>1661</v>
      </c>
      <c r="J5" s="35">
        <v>1393.7263057401699</v>
      </c>
      <c r="K5" s="35">
        <v>529.95763797337395</v>
      </c>
      <c r="L5" s="35">
        <v>-24.26</v>
      </c>
      <c r="M5" s="35">
        <v>20.02</v>
      </c>
      <c r="N5" s="35">
        <v>1447</v>
      </c>
      <c r="O5" s="35" t="s">
        <v>550</v>
      </c>
      <c r="P5" s="35" t="s">
        <v>551</v>
      </c>
      <c r="Q5" s="35" t="s">
        <v>253</v>
      </c>
      <c r="R5" s="35" t="s">
        <v>253</v>
      </c>
      <c r="S5" s="35" t="s">
        <v>253</v>
      </c>
      <c r="T5" s="35" t="s">
        <v>253</v>
      </c>
      <c r="U5" s="35" t="s">
        <v>258</v>
      </c>
      <c r="V5" s="35" t="s">
        <v>253</v>
      </c>
      <c r="W5" s="35" t="s">
        <v>253</v>
      </c>
      <c r="X5" s="35" t="s">
        <v>953</v>
      </c>
      <c r="Y5" s="35" t="s">
        <v>954</v>
      </c>
    </row>
    <row r="6" spans="1:25" x14ac:dyDescent="0.2">
      <c r="A6" s="35">
        <v>57</v>
      </c>
      <c r="B6" s="35" t="s">
        <v>955</v>
      </c>
      <c r="C6" s="35" t="s">
        <v>253</v>
      </c>
      <c r="D6" s="35" t="s">
        <v>253</v>
      </c>
      <c r="E6" s="35" t="s">
        <v>940</v>
      </c>
      <c r="F6" s="35" t="s">
        <v>941</v>
      </c>
      <c r="G6" s="35" t="s">
        <v>340</v>
      </c>
      <c r="H6" s="35" t="s">
        <v>521</v>
      </c>
      <c r="I6" s="35">
        <v>1660</v>
      </c>
      <c r="J6" s="35">
        <v>1349.27555290941</v>
      </c>
      <c r="K6" s="35">
        <v>76.867455550891094</v>
      </c>
      <c r="L6" s="35">
        <v>-9.59</v>
      </c>
      <c r="M6" s="35">
        <v>18.579999999999998</v>
      </c>
      <c r="N6" s="35">
        <v>266</v>
      </c>
      <c r="O6" s="35" t="s">
        <v>956</v>
      </c>
      <c r="P6" s="35" t="s">
        <v>957</v>
      </c>
      <c r="Q6" s="35" t="s">
        <v>253</v>
      </c>
      <c r="R6" s="35" t="s">
        <v>253</v>
      </c>
      <c r="S6" s="35" t="s">
        <v>257</v>
      </c>
      <c r="T6" s="35" t="s">
        <v>261</v>
      </c>
      <c r="U6" s="35" t="s">
        <v>258</v>
      </c>
      <c r="V6" s="35" t="s">
        <v>253</v>
      </c>
      <c r="W6" s="35" t="s">
        <v>253</v>
      </c>
      <c r="X6" s="35" t="s">
        <v>958</v>
      </c>
      <c r="Y6" s="35" t="s">
        <v>959</v>
      </c>
    </row>
    <row r="7" spans="1:25" x14ac:dyDescent="0.2">
      <c r="A7" s="35">
        <v>61</v>
      </c>
      <c r="B7" s="35" t="s">
        <v>960</v>
      </c>
      <c r="C7" s="35" t="s">
        <v>253</v>
      </c>
      <c r="D7" s="35" t="s">
        <v>253</v>
      </c>
      <c r="E7" s="35" t="s">
        <v>940</v>
      </c>
      <c r="F7" s="35" t="s">
        <v>941</v>
      </c>
      <c r="G7" s="35" t="s">
        <v>340</v>
      </c>
      <c r="H7" s="35" t="s">
        <v>521</v>
      </c>
      <c r="I7" s="35">
        <v>1543</v>
      </c>
      <c r="J7" s="35">
        <v>1477.45097241177</v>
      </c>
      <c r="K7" s="35">
        <v>507.96580316656099</v>
      </c>
      <c r="L7" s="35">
        <v>-23.55</v>
      </c>
      <c r="M7" s="35">
        <v>22.72</v>
      </c>
      <c r="N7" s="35">
        <v>161</v>
      </c>
      <c r="O7" s="35" t="s">
        <v>602</v>
      </c>
      <c r="P7" s="35" t="s">
        <v>603</v>
      </c>
      <c r="Q7" s="35" t="s">
        <v>253</v>
      </c>
      <c r="R7" s="35" t="s">
        <v>253</v>
      </c>
      <c r="S7" s="35" t="s">
        <v>253</v>
      </c>
      <c r="T7" s="35" t="s">
        <v>253</v>
      </c>
      <c r="U7" s="35" t="s">
        <v>253</v>
      </c>
      <c r="V7" s="35" t="s">
        <v>253</v>
      </c>
      <c r="W7" s="35" t="s">
        <v>253</v>
      </c>
      <c r="X7" s="35" t="s">
        <v>961</v>
      </c>
      <c r="Y7" s="35" t="s">
        <v>962</v>
      </c>
    </row>
    <row r="8" spans="1:25" x14ac:dyDescent="0.2">
      <c r="A8" s="35">
        <v>83</v>
      </c>
      <c r="B8" s="35" t="s">
        <v>963</v>
      </c>
      <c r="C8" s="35" t="s">
        <v>253</v>
      </c>
      <c r="D8" s="35" t="s">
        <v>253</v>
      </c>
      <c r="E8" s="35" t="s">
        <v>940</v>
      </c>
      <c r="F8" s="35" t="s">
        <v>941</v>
      </c>
      <c r="G8" s="35" t="s">
        <v>340</v>
      </c>
      <c r="H8" s="35" t="s">
        <v>521</v>
      </c>
      <c r="I8" s="35">
        <v>1546</v>
      </c>
      <c r="J8" s="35">
        <v>1346.70659521516</v>
      </c>
      <c r="K8" s="35">
        <v>804.69987865281996</v>
      </c>
      <c r="L8" s="35">
        <v>-33.159999999999997</v>
      </c>
      <c r="M8" s="35">
        <v>18.5</v>
      </c>
      <c r="N8" s="35">
        <v>266</v>
      </c>
      <c r="O8" s="35" t="s">
        <v>542</v>
      </c>
      <c r="P8" s="35" t="s">
        <v>543</v>
      </c>
      <c r="Q8" s="35" t="s">
        <v>253</v>
      </c>
      <c r="R8" s="35" t="s">
        <v>253</v>
      </c>
      <c r="S8" s="35" t="s">
        <v>257</v>
      </c>
      <c r="T8" s="35" t="s">
        <v>253</v>
      </c>
      <c r="U8" s="35" t="s">
        <v>253</v>
      </c>
      <c r="V8" s="35" t="s">
        <v>253</v>
      </c>
      <c r="W8" s="35" t="s">
        <v>253</v>
      </c>
      <c r="X8" s="35" t="s">
        <v>964</v>
      </c>
      <c r="Y8" s="35" t="s">
        <v>965</v>
      </c>
    </row>
    <row r="9" spans="1:25" x14ac:dyDescent="0.2">
      <c r="A9" s="35">
        <v>85</v>
      </c>
      <c r="B9" s="35" t="s">
        <v>966</v>
      </c>
      <c r="C9" s="35" t="s">
        <v>253</v>
      </c>
      <c r="D9" s="35" t="s">
        <v>253</v>
      </c>
      <c r="E9" s="35" t="s">
        <v>940</v>
      </c>
      <c r="F9" s="35" t="s">
        <v>941</v>
      </c>
      <c r="G9" s="35" t="s">
        <v>340</v>
      </c>
      <c r="H9" s="35" t="s">
        <v>521</v>
      </c>
      <c r="I9" s="35">
        <v>2353</v>
      </c>
      <c r="J9" s="35">
        <v>1433.56461180171</v>
      </c>
      <c r="K9" s="35">
        <v>415.055166557956</v>
      </c>
      <c r="L9" s="35">
        <v>-20.54</v>
      </c>
      <c r="M9" s="35">
        <v>21.3</v>
      </c>
      <c r="N9" s="35">
        <v>52</v>
      </c>
      <c r="O9" s="35" t="s">
        <v>967</v>
      </c>
      <c r="P9" s="35" t="s">
        <v>968</v>
      </c>
      <c r="Q9" s="35" t="s">
        <v>253</v>
      </c>
      <c r="R9" s="35" t="s">
        <v>253</v>
      </c>
      <c r="S9" s="35" t="s">
        <v>253</v>
      </c>
      <c r="T9" s="35" t="s">
        <v>253</v>
      </c>
      <c r="U9" s="35" t="s">
        <v>253</v>
      </c>
      <c r="V9" s="35" t="s">
        <v>253</v>
      </c>
      <c r="W9" s="35" t="s">
        <v>253</v>
      </c>
      <c r="X9" s="35" t="s">
        <v>969</v>
      </c>
      <c r="Y9" s="35" t="s">
        <v>970</v>
      </c>
    </row>
    <row r="10" spans="1:25" x14ac:dyDescent="0.2">
      <c r="A10" s="35">
        <v>93</v>
      </c>
      <c r="B10" s="35" t="s">
        <v>971</v>
      </c>
      <c r="C10" s="35" t="s">
        <v>253</v>
      </c>
      <c r="D10" s="35" t="s">
        <v>253</v>
      </c>
      <c r="E10" s="35" t="s">
        <v>940</v>
      </c>
      <c r="F10" s="35" t="s">
        <v>941</v>
      </c>
      <c r="G10" s="35" t="s">
        <v>340</v>
      </c>
      <c r="H10" s="35" t="s">
        <v>521</v>
      </c>
      <c r="I10" s="35">
        <v>11494</v>
      </c>
      <c r="J10" s="35">
        <v>1456.1597624306601</v>
      </c>
      <c r="K10" s="35">
        <v>348.90450593109199</v>
      </c>
      <c r="L10" s="35">
        <v>-18.399999999999999</v>
      </c>
      <c r="M10" s="35">
        <v>22.03</v>
      </c>
      <c r="N10" s="35">
        <v>397</v>
      </c>
      <c r="O10" s="35" t="s">
        <v>967</v>
      </c>
      <c r="P10" s="35" t="s">
        <v>968</v>
      </c>
      <c r="Q10" s="35" t="s">
        <v>253</v>
      </c>
      <c r="R10" s="35" t="s">
        <v>253</v>
      </c>
      <c r="S10" s="35" t="s">
        <v>257</v>
      </c>
      <c r="T10" s="35" t="s">
        <v>261</v>
      </c>
      <c r="U10" s="35" t="s">
        <v>258</v>
      </c>
      <c r="V10" s="35" t="s">
        <v>253</v>
      </c>
      <c r="W10" s="35" t="s">
        <v>253</v>
      </c>
      <c r="X10" s="35" t="s">
        <v>972</v>
      </c>
      <c r="Y10" s="35" t="s">
        <v>973</v>
      </c>
    </row>
    <row r="11" spans="1:25" x14ac:dyDescent="0.2">
      <c r="A11" s="35">
        <v>104</v>
      </c>
      <c r="B11" s="35" t="s">
        <v>974</v>
      </c>
      <c r="C11" s="35" t="s">
        <v>253</v>
      </c>
      <c r="D11" s="35" t="s">
        <v>253</v>
      </c>
      <c r="E11" s="35" t="s">
        <v>940</v>
      </c>
      <c r="F11" s="35" t="s">
        <v>941</v>
      </c>
      <c r="G11" s="35" t="s">
        <v>260</v>
      </c>
      <c r="H11" s="35" t="s">
        <v>521</v>
      </c>
      <c r="I11" s="35">
        <v>21171</v>
      </c>
      <c r="J11" s="35">
        <v>1378.6823337882499</v>
      </c>
      <c r="K11" s="35">
        <v>702.70058111078004</v>
      </c>
      <c r="L11" s="35">
        <v>-29.85</v>
      </c>
      <c r="M11" s="35">
        <v>19.53</v>
      </c>
      <c r="N11" s="35">
        <v>82</v>
      </c>
      <c r="O11" s="35" t="s">
        <v>550</v>
      </c>
      <c r="P11" s="35" t="s">
        <v>551</v>
      </c>
      <c r="Q11" s="35" t="s">
        <v>253</v>
      </c>
      <c r="R11" s="35" t="s">
        <v>253</v>
      </c>
      <c r="S11" s="35" t="s">
        <v>253</v>
      </c>
      <c r="T11" s="35" t="s">
        <v>261</v>
      </c>
      <c r="U11" s="35" t="s">
        <v>258</v>
      </c>
      <c r="V11" s="35" t="s">
        <v>253</v>
      </c>
      <c r="W11" s="35" t="s">
        <v>253</v>
      </c>
      <c r="X11" s="35" t="s">
        <v>975</v>
      </c>
      <c r="Y11" s="35" t="s">
        <v>976</v>
      </c>
    </row>
    <row r="12" spans="1:25" x14ac:dyDescent="0.2">
      <c r="A12" s="35">
        <v>105</v>
      </c>
      <c r="B12" s="35" t="s">
        <v>977</v>
      </c>
      <c r="C12" s="35" t="s">
        <v>253</v>
      </c>
      <c r="D12" s="35" t="s">
        <v>253</v>
      </c>
      <c r="E12" s="35" t="s">
        <v>940</v>
      </c>
      <c r="F12" s="35" t="s">
        <v>941</v>
      </c>
      <c r="G12" s="35" t="s">
        <v>340</v>
      </c>
      <c r="H12" s="35" t="s">
        <v>521</v>
      </c>
      <c r="I12" s="35">
        <v>3083</v>
      </c>
      <c r="J12" s="35">
        <v>1312.43436415782</v>
      </c>
      <c r="K12" s="35">
        <v>844.69387912007699</v>
      </c>
      <c r="L12" s="35">
        <v>-34.450000000000003</v>
      </c>
      <c r="M12" s="35">
        <v>17.39</v>
      </c>
      <c r="N12" s="35">
        <v>328</v>
      </c>
      <c r="O12" s="35" t="s">
        <v>542</v>
      </c>
      <c r="P12" s="35" t="s">
        <v>543</v>
      </c>
      <c r="Q12" s="35" t="s">
        <v>253</v>
      </c>
      <c r="R12" s="35" t="s">
        <v>253</v>
      </c>
      <c r="S12" s="35" t="s">
        <v>253</v>
      </c>
      <c r="T12" s="35" t="s">
        <v>261</v>
      </c>
      <c r="U12" s="35" t="s">
        <v>253</v>
      </c>
      <c r="V12" s="35" t="s">
        <v>253</v>
      </c>
      <c r="W12" s="35" t="s">
        <v>253</v>
      </c>
      <c r="X12" s="35" t="s">
        <v>978</v>
      </c>
      <c r="Y12" s="35" t="s">
        <v>979</v>
      </c>
    </row>
    <row r="13" spans="1:25" x14ac:dyDescent="0.2">
      <c r="A13" s="35">
        <v>116</v>
      </c>
      <c r="B13" s="35" t="s">
        <v>980</v>
      </c>
      <c r="C13" s="35" t="s">
        <v>253</v>
      </c>
      <c r="D13" s="35" t="s">
        <v>253</v>
      </c>
      <c r="E13" s="35" t="s">
        <v>940</v>
      </c>
      <c r="F13" s="35" t="s">
        <v>941</v>
      </c>
      <c r="G13" s="35" t="s">
        <v>522</v>
      </c>
      <c r="H13" s="35" t="s">
        <v>521</v>
      </c>
      <c r="I13" s="35">
        <v>11733</v>
      </c>
      <c r="J13" s="35">
        <v>1403.0485082821699</v>
      </c>
      <c r="K13" s="35">
        <v>679.79404167041002</v>
      </c>
      <c r="L13" s="35">
        <v>-29.11</v>
      </c>
      <c r="M13" s="35">
        <v>20.32</v>
      </c>
      <c r="N13" s="35">
        <v>82</v>
      </c>
      <c r="O13" s="35" t="s">
        <v>550</v>
      </c>
      <c r="P13" s="35" t="s">
        <v>551</v>
      </c>
      <c r="Q13" s="35" t="s">
        <v>253</v>
      </c>
      <c r="R13" s="35" t="s">
        <v>253</v>
      </c>
      <c r="S13" s="35" t="s">
        <v>257</v>
      </c>
      <c r="T13" s="35" t="s">
        <v>261</v>
      </c>
      <c r="U13" s="35" t="s">
        <v>258</v>
      </c>
      <c r="V13" s="35" t="s">
        <v>253</v>
      </c>
      <c r="W13" s="35" t="s">
        <v>253</v>
      </c>
      <c r="X13" s="35" t="s">
        <v>981</v>
      </c>
      <c r="Y13" s="35" t="s">
        <v>982</v>
      </c>
    </row>
    <row r="14" spans="1:25" x14ac:dyDescent="0.2">
      <c r="A14" s="35">
        <v>123</v>
      </c>
      <c r="B14" s="35" t="s">
        <v>983</v>
      </c>
      <c r="C14" s="35" t="s">
        <v>253</v>
      </c>
      <c r="D14" s="35" t="s">
        <v>253</v>
      </c>
      <c r="E14" s="35" t="s">
        <v>940</v>
      </c>
      <c r="F14" s="35" t="s">
        <v>941</v>
      </c>
      <c r="G14" s="35" t="s">
        <v>340</v>
      </c>
      <c r="H14" s="35" t="s">
        <v>521</v>
      </c>
      <c r="I14" s="35">
        <v>15115</v>
      </c>
      <c r="J14" s="35">
        <v>1370.58622469123</v>
      </c>
      <c r="K14" s="35">
        <v>853.39330403923202</v>
      </c>
      <c r="L14" s="35">
        <v>-34.729999999999997</v>
      </c>
      <c r="M14" s="35">
        <v>19.27</v>
      </c>
      <c r="N14" s="35">
        <v>266</v>
      </c>
      <c r="O14" s="35" t="s">
        <v>542</v>
      </c>
      <c r="P14" s="35" t="s">
        <v>543</v>
      </c>
      <c r="Q14" s="35" t="s">
        <v>253</v>
      </c>
      <c r="R14" s="35" t="s">
        <v>253</v>
      </c>
      <c r="S14" s="35" t="s">
        <v>257</v>
      </c>
      <c r="T14" s="35" t="s">
        <v>261</v>
      </c>
      <c r="U14" s="35" t="s">
        <v>253</v>
      </c>
      <c r="V14" s="35" t="s">
        <v>253</v>
      </c>
      <c r="W14" s="35" t="s">
        <v>253</v>
      </c>
      <c r="X14" s="35" t="s">
        <v>984</v>
      </c>
      <c r="Y14" s="35" t="s">
        <v>985</v>
      </c>
    </row>
    <row r="15" spans="1:25" x14ac:dyDescent="0.2">
      <c r="A15" s="35">
        <v>139</v>
      </c>
      <c r="B15" s="35" t="s">
        <v>986</v>
      </c>
      <c r="C15" s="35" t="s">
        <v>253</v>
      </c>
      <c r="D15" s="35" t="s">
        <v>253</v>
      </c>
      <c r="E15" s="35" t="s">
        <v>940</v>
      </c>
      <c r="F15" s="35" t="s">
        <v>941</v>
      </c>
      <c r="G15" s="35" t="s">
        <v>522</v>
      </c>
      <c r="H15" s="35" t="s">
        <v>521</v>
      </c>
      <c r="I15" s="35">
        <v>12163</v>
      </c>
      <c r="J15" s="35">
        <v>1241.69071856245</v>
      </c>
      <c r="K15" s="35">
        <v>12.565665991856401</v>
      </c>
      <c r="L15" s="35">
        <v>-7.51</v>
      </c>
      <c r="M15" s="35">
        <v>15.11</v>
      </c>
      <c r="N15" s="35">
        <v>643</v>
      </c>
      <c r="O15" s="35" t="s">
        <v>987</v>
      </c>
      <c r="P15" s="35" t="s">
        <v>988</v>
      </c>
      <c r="Q15" s="35" t="s">
        <v>253</v>
      </c>
      <c r="R15" s="35" t="s">
        <v>253</v>
      </c>
      <c r="S15" s="35" t="s">
        <v>257</v>
      </c>
      <c r="T15" s="35" t="s">
        <v>261</v>
      </c>
      <c r="U15" s="35" t="s">
        <v>258</v>
      </c>
      <c r="V15" s="35" t="s">
        <v>253</v>
      </c>
      <c r="W15" s="35" t="s">
        <v>253</v>
      </c>
      <c r="X15" s="35" t="s">
        <v>989</v>
      </c>
      <c r="Y15" s="35" t="s">
        <v>990</v>
      </c>
    </row>
    <row r="16" spans="1:25" x14ac:dyDescent="0.2">
      <c r="A16" s="35">
        <v>151</v>
      </c>
      <c r="B16" s="35" t="s">
        <v>991</v>
      </c>
      <c r="C16" s="35" t="s">
        <v>253</v>
      </c>
      <c r="D16" s="35" t="s">
        <v>253</v>
      </c>
      <c r="E16" s="35" t="s">
        <v>940</v>
      </c>
      <c r="F16" s="35" t="s">
        <v>941</v>
      </c>
      <c r="G16" s="35" t="s">
        <v>522</v>
      </c>
      <c r="H16" s="35" t="s">
        <v>521</v>
      </c>
      <c r="I16" s="35">
        <v>5646</v>
      </c>
      <c r="J16" s="35">
        <v>1399.03937733509</v>
      </c>
      <c r="K16" s="35">
        <v>410.67626139730697</v>
      </c>
      <c r="L16" s="35">
        <v>-20.399999999999999</v>
      </c>
      <c r="M16" s="35">
        <v>20.190000000000001</v>
      </c>
      <c r="N16" s="35">
        <v>328</v>
      </c>
      <c r="O16" s="35" t="s">
        <v>967</v>
      </c>
      <c r="P16" s="35" t="s">
        <v>968</v>
      </c>
      <c r="Q16" s="35" t="s">
        <v>253</v>
      </c>
      <c r="R16" s="35" t="s">
        <v>253</v>
      </c>
      <c r="S16" s="35" t="s">
        <v>253</v>
      </c>
      <c r="T16" s="35" t="s">
        <v>253</v>
      </c>
      <c r="U16" s="35" t="s">
        <v>258</v>
      </c>
      <c r="V16" s="35" t="s">
        <v>253</v>
      </c>
      <c r="W16" s="35" t="s">
        <v>253</v>
      </c>
      <c r="X16" s="35" t="s">
        <v>992</v>
      </c>
      <c r="Y16" s="35" t="s">
        <v>993</v>
      </c>
    </row>
    <row r="17" spans="1:25" x14ac:dyDescent="0.2">
      <c r="A17" s="35">
        <v>158</v>
      </c>
      <c r="B17" s="35" t="s">
        <v>994</v>
      </c>
      <c r="C17" s="35" t="s">
        <v>253</v>
      </c>
      <c r="D17" s="35" t="s">
        <v>253</v>
      </c>
      <c r="E17" s="35" t="s">
        <v>940</v>
      </c>
      <c r="F17" s="35" t="s">
        <v>941</v>
      </c>
      <c r="G17" s="35" t="s">
        <v>340</v>
      </c>
      <c r="H17" s="35" t="s">
        <v>521</v>
      </c>
      <c r="I17" s="35">
        <v>1669</v>
      </c>
      <c r="J17" s="35">
        <v>1291.4156193867</v>
      </c>
      <c r="K17" s="35">
        <v>826.01055043464305</v>
      </c>
      <c r="L17" s="35">
        <v>-33.85</v>
      </c>
      <c r="M17" s="35">
        <v>16.71</v>
      </c>
      <c r="N17" s="35">
        <v>554</v>
      </c>
      <c r="O17" s="35" t="s">
        <v>542</v>
      </c>
      <c r="P17" s="35" t="s">
        <v>543</v>
      </c>
      <c r="Q17" s="35" t="s">
        <v>253</v>
      </c>
      <c r="R17" s="35" t="s">
        <v>253</v>
      </c>
      <c r="S17" s="35" t="s">
        <v>257</v>
      </c>
      <c r="T17" s="35" t="s">
        <v>253</v>
      </c>
      <c r="U17" s="35" t="s">
        <v>253</v>
      </c>
      <c r="V17" s="35" t="s">
        <v>253</v>
      </c>
      <c r="W17" s="35" t="s">
        <v>253</v>
      </c>
      <c r="X17" s="35" t="s">
        <v>995</v>
      </c>
      <c r="Y17" s="35" t="s">
        <v>996</v>
      </c>
    </row>
    <row r="18" spans="1:25" x14ac:dyDescent="0.2">
      <c r="A18" s="35">
        <v>166</v>
      </c>
      <c r="B18" s="35" t="s">
        <v>997</v>
      </c>
      <c r="C18" s="35" t="s">
        <v>253</v>
      </c>
      <c r="D18" s="35" t="s">
        <v>253</v>
      </c>
      <c r="E18" s="35" t="s">
        <v>940</v>
      </c>
      <c r="F18" s="35" t="s">
        <v>941</v>
      </c>
      <c r="G18" s="35" t="s">
        <v>522</v>
      </c>
      <c r="H18" s="35" t="s">
        <v>521</v>
      </c>
      <c r="I18" s="35">
        <v>12723</v>
      </c>
      <c r="J18" s="35">
        <v>1365.2731530963099</v>
      </c>
      <c r="K18" s="35">
        <v>646.45597704733905</v>
      </c>
      <c r="L18" s="35">
        <v>-28.03</v>
      </c>
      <c r="M18" s="35">
        <v>19.100000000000001</v>
      </c>
      <c r="N18" s="35">
        <v>82</v>
      </c>
      <c r="O18" s="35" t="s">
        <v>564</v>
      </c>
      <c r="P18" s="35" t="s">
        <v>565</v>
      </c>
      <c r="Q18" s="35" t="s">
        <v>253</v>
      </c>
      <c r="R18" s="35" t="s">
        <v>253</v>
      </c>
      <c r="S18" s="35" t="s">
        <v>257</v>
      </c>
      <c r="T18" s="35" t="s">
        <v>253</v>
      </c>
      <c r="U18" s="35" t="s">
        <v>253</v>
      </c>
      <c r="V18" s="35" t="s">
        <v>253</v>
      </c>
      <c r="W18" s="35" t="s">
        <v>253</v>
      </c>
      <c r="X18" s="35" t="s">
        <v>998</v>
      </c>
      <c r="Y18" s="35" t="s">
        <v>999</v>
      </c>
    </row>
    <row r="19" spans="1:25" x14ac:dyDescent="0.2">
      <c r="A19" s="35">
        <v>180</v>
      </c>
      <c r="B19" s="35" t="s">
        <v>519</v>
      </c>
      <c r="C19" s="35" t="s">
        <v>253</v>
      </c>
      <c r="D19" s="35" t="s">
        <v>253</v>
      </c>
      <c r="E19" s="35" t="s">
        <v>940</v>
      </c>
      <c r="F19" s="35" t="s">
        <v>941</v>
      </c>
      <c r="G19" s="35" t="s">
        <v>522</v>
      </c>
      <c r="H19" s="35" t="s">
        <v>521</v>
      </c>
      <c r="I19" s="35">
        <v>6527</v>
      </c>
      <c r="J19" s="35">
        <v>1448.9783579672001</v>
      </c>
      <c r="K19" s="35">
        <v>223.60943293440201</v>
      </c>
      <c r="L19" s="35">
        <v>-14.34</v>
      </c>
      <c r="M19" s="35">
        <v>21.8</v>
      </c>
      <c r="N19" s="35">
        <v>328</v>
      </c>
      <c r="O19" s="35" t="s">
        <v>929</v>
      </c>
      <c r="P19" s="35" t="s">
        <v>930</v>
      </c>
      <c r="Q19" s="35" t="s">
        <v>253</v>
      </c>
      <c r="R19" s="35" t="s">
        <v>253</v>
      </c>
      <c r="S19" s="35" t="s">
        <v>257</v>
      </c>
      <c r="T19" s="35" t="s">
        <v>253</v>
      </c>
      <c r="U19" s="35" t="s">
        <v>258</v>
      </c>
      <c r="V19" s="35" t="s">
        <v>253</v>
      </c>
      <c r="W19" s="35" t="s">
        <v>253</v>
      </c>
      <c r="X19" s="35" t="s">
        <v>1000</v>
      </c>
      <c r="Y19" s="35" t="s">
        <v>1001</v>
      </c>
    </row>
    <row r="20" spans="1:25" x14ac:dyDescent="0.2">
      <c r="A20" s="35">
        <v>181</v>
      </c>
      <c r="B20" s="35" t="s">
        <v>1002</v>
      </c>
      <c r="C20" s="35" t="s">
        <v>253</v>
      </c>
      <c r="D20" s="35" t="s">
        <v>253</v>
      </c>
      <c r="E20" s="35" t="s">
        <v>940</v>
      </c>
      <c r="F20" s="35" t="s">
        <v>941</v>
      </c>
      <c r="G20" s="35" t="s">
        <v>340</v>
      </c>
      <c r="H20" s="35" t="s">
        <v>521</v>
      </c>
      <c r="I20" s="35">
        <v>5408</v>
      </c>
      <c r="J20" s="35">
        <v>1490.00383387229</v>
      </c>
      <c r="K20" s="35">
        <v>258.77690682458802</v>
      </c>
      <c r="L20" s="35">
        <v>-15.48</v>
      </c>
      <c r="M20" s="35">
        <v>23.13</v>
      </c>
      <c r="N20" s="35">
        <v>52</v>
      </c>
      <c r="O20" s="35" t="s">
        <v>918</v>
      </c>
      <c r="P20" s="35" t="s">
        <v>919</v>
      </c>
      <c r="Q20" s="35" t="s">
        <v>253</v>
      </c>
      <c r="R20" s="35" t="s">
        <v>253</v>
      </c>
      <c r="S20" s="35" t="s">
        <v>253</v>
      </c>
      <c r="T20" s="35" t="s">
        <v>253</v>
      </c>
      <c r="U20" s="35" t="s">
        <v>253</v>
      </c>
      <c r="V20" s="35" t="s">
        <v>253</v>
      </c>
      <c r="W20" s="35" t="s">
        <v>253</v>
      </c>
      <c r="X20" s="35" t="s">
        <v>1003</v>
      </c>
      <c r="Y20" s="35" t="s">
        <v>1004</v>
      </c>
    </row>
    <row r="21" spans="1:25" x14ac:dyDescent="0.2">
      <c r="A21" s="35">
        <v>183</v>
      </c>
      <c r="B21" s="35" t="s">
        <v>1005</v>
      </c>
      <c r="C21" s="35" t="s">
        <v>253</v>
      </c>
      <c r="D21" s="35" t="s">
        <v>253</v>
      </c>
      <c r="E21" s="35" t="s">
        <v>940</v>
      </c>
      <c r="F21" s="35" t="s">
        <v>941</v>
      </c>
      <c r="G21" s="35" t="s">
        <v>340</v>
      </c>
      <c r="H21" s="35" t="s">
        <v>256</v>
      </c>
      <c r="I21" s="35">
        <v>2589</v>
      </c>
      <c r="J21" s="35">
        <v>1195</v>
      </c>
      <c r="K21" s="35">
        <v>863.5</v>
      </c>
      <c r="L21" s="35">
        <v>-35.06</v>
      </c>
      <c r="M21" s="35">
        <v>13.6</v>
      </c>
      <c r="N21" s="35">
        <v>52</v>
      </c>
      <c r="O21" s="35" t="s">
        <v>542</v>
      </c>
      <c r="P21" s="35" t="s">
        <v>543</v>
      </c>
      <c r="Q21" s="35" t="s">
        <v>253</v>
      </c>
      <c r="R21" s="35" t="s">
        <v>259</v>
      </c>
      <c r="S21" s="35" t="s">
        <v>253</v>
      </c>
      <c r="T21" s="35" t="s">
        <v>253</v>
      </c>
      <c r="U21" s="35" t="s">
        <v>258</v>
      </c>
      <c r="V21" s="35" t="s">
        <v>253</v>
      </c>
      <c r="W21" s="35" t="s">
        <v>253</v>
      </c>
      <c r="X21" s="35" t="s">
        <v>1006</v>
      </c>
      <c r="Y21" s="35" t="s">
        <v>1007</v>
      </c>
    </row>
    <row r="22" spans="1:25" x14ac:dyDescent="0.2">
      <c r="A22" s="35">
        <v>193</v>
      </c>
      <c r="B22" s="35" t="s">
        <v>1008</v>
      </c>
      <c r="C22" s="35" t="s">
        <v>253</v>
      </c>
      <c r="D22" s="35" t="s">
        <v>253</v>
      </c>
      <c r="E22" s="35" t="s">
        <v>940</v>
      </c>
      <c r="F22" s="35" t="s">
        <v>941</v>
      </c>
      <c r="G22" s="35" t="s">
        <v>522</v>
      </c>
      <c r="H22" s="35" t="s">
        <v>521</v>
      </c>
      <c r="I22" s="35">
        <v>17664</v>
      </c>
      <c r="J22" s="35">
        <v>1407.2911808378201</v>
      </c>
      <c r="K22" s="35">
        <v>644.52925877665405</v>
      </c>
      <c r="L22" s="35">
        <v>-27.97</v>
      </c>
      <c r="M22" s="35">
        <v>20.46</v>
      </c>
      <c r="N22" s="35">
        <v>52</v>
      </c>
      <c r="O22" s="35" t="s">
        <v>564</v>
      </c>
      <c r="P22" s="35" t="s">
        <v>565</v>
      </c>
      <c r="Q22" s="35" t="s">
        <v>253</v>
      </c>
      <c r="R22" s="35" t="s">
        <v>253</v>
      </c>
      <c r="S22" s="35" t="s">
        <v>257</v>
      </c>
      <c r="T22" s="35" t="s">
        <v>261</v>
      </c>
      <c r="U22" s="35" t="s">
        <v>253</v>
      </c>
      <c r="V22" s="35" t="s">
        <v>253</v>
      </c>
      <c r="W22" s="35" t="s">
        <v>253</v>
      </c>
      <c r="X22" s="35" t="s">
        <v>1009</v>
      </c>
      <c r="Y22" s="35" t="s">
        <v>1010</v>
      </c>
    </row>
    <row r="23" spans="1:25" x14ac:dyDescent="0.2">
      <c r="A23" s="35">
        <v>213</v>
      </c>
      <c r="B23" s="35" t="s">
        <v>1011</v>
      </c>
      <c r="C23" s="35" t="s">
        <v>253</v>
      </c>
      <c r="D23" s="35" t="s">
        <v>253</v>
      </c>
      <c r="E23" s="35" t="s">
        <v>940</v>
      </c>
      <c r="F23" s="35" t="s">
        <v>941</v>
      </c>
      <c r="G23" s="35" t="s">
        <v>522</v>
      </c>
      <c r="H23" s="35" t="s">
        <v>521</v>
      </c>
      <c r="I23" s="35">
        <v>7276</v>
      </c>
      <c r="J23" s="35">
        <v>1404.0410601185899</v>
      </c>
      <c r="K23" s="35">
        <v>161.13705264248301</v>
      </c>
      <c r="L23" s="35">
        <v>-12.32</v>
      </c>
      <c r="M23" s="35">
        <v>20.350000000000001</v>
      </c>
      <c r="N23" s="35">
        <v>643</v>
      </c>
      <c r="O23" s="35" t="s">
        <v>929</v>
      </c>
      <c r="P23" s="35" t="s">
        <v>930</v>
      </c>
      <c r="Q23" s="35" t="s">
        <v>253</v>
      </c>
      <c r="R23" s="35" t="s">
        <v>253</v>
      </c>
      <c r="S23" s="35" t="s">
        <v>253</v>
      </c>
      <c r="T23" s="35" t="s">
        <v>253</v>
      </c>
      <c r="U23" s="35" t="s">
        <v>253</v>
      </c>
      <c r="V23" s="35" t="s">
        <v>253</v>
      </c>
      <c r="W23" s="35" t="s">
        <v>253</v>
      </c>
      <c r="X23" s="35" t="s">
        <v>1012</v>
      </c>
      <c r="Y23" s="35" t="s">
        <v>1013</v>
      </c>
    </row>
    <row r="24" spans="1:25" x14ac:dyDescent="0.2">
      <c r="A24" s="35">
        <v>219</v>
      </c>
      <c r="B24" s="35" t="s">
        <v>1014</v>
      </c>
      <c r="C24" s="35" t="s">
        <v>253</v>
      </c>
      <c r="D24" s="35" t="s">
        <v>253</v>
      </c>
      <c r="E24" s="35" t="s">
        <v>940</v>
      </c>
      <c r="F24" s="35" t="s">
        <v>941</v>
      </c>
      <c r="G24" s="35" t="s">
        <v>340</v>
      </c>
      <c r="H24" s="35" t="s">
        <v>521</v>
      </c>
      <c r="I24" s="35">
        <v>1675</v>
      </c>
      <c r="J24" s="35">
        <v>1424.3786418647101</v>
      </c>
      <c r="K24" s="35">
        <v>132.800670802908</v>
      </c>
      <c r="L24" s="35">
        <v>-11.4</v>
      </c>
      <c r="M24" s="35">
        <v>21.01</v>
      </c>
      <c r="N24" s="35">
        <v>738</v>
      </c>
      <c r="O24" s="35" t="s">
        <v>904</v>
      </c>
      <c r="P24" s="35" t="s">
        <v>905</v>
      </c>
      <c r="Q24" s="35" t="s">
        <v>253</v>
      </c>
      <c r="R24" s="35" t="s">
        <v>253</v>
      </c>
      <c r="S24" s="35" t="s">
        <v>253</v>
      </c>
      <c r="T24" s="35" t="s">
        <v>261</v>
      </c>
      <c r="U24" s="35" t="s">
        <v>253</v>
      </c>
      <c r="V24" s="35" t="s">
        <v>253</v>
      </c>
      <c r="W24" s="35" t="s">
        <v>253</v>
      </c>
      <c r="X24" s="35" t="s">
        <v>1015</v>
      </c>
      <c r="Y24" s="35" t="s">
        <v>1016</v>
      </c>
    </row>
    <row r="25" spans="1:25" x14ac:dyDescent="0.2">
      <c r="A25" s="35">
        <v>221</v>
      </c>
      <c r="B25" s="35" t="s">
        <v>1017</v>
      </c>
      <c r="C25" s="35" t="s">
        <v>253</v>
      </c>
      <c r="D25" s="35" t="s">
        <v>253</v>
      </c>
      <c r="E25" s="35" t="s">
        <v>940</v>
      </c>
      <c r="F25" s="35" t="s">
        <v>941</v>
      </c>
      <c r="G25" s="35" t="s">
        <v>340</v>
      </c>
      <c r="H25" s="35" t="s">
        <v>521</v>
      </c>
      <c r="I25" s="35">
        <v>1538</v>
      </c>
      <c r="J25" s="35">
        <v>1439.1696104073401</v>
      </c>
      <c r="K25" s="35">
        <v>847.92453803859996</v>
      </c>
      <c r="L25" s="35">
        <v>-34.56</v>
      </c>
      <c r="M25" s="35">
        <v>21.48</v>
      </c>
      <c r="N25" s="35">
        <v>328</v>
      </c>
      <c r="O25" s="35" t="s">
        <v>542</v>
      </c>
      <c r="P25" s="35" t="s">
        <v>543</v>
      </c>
      <c r="Q25" s="35" t="s">
        <v>253</v>
      </c>
      <c r="R25" s="35" t="s">
        <v>253</v>
      </c>
      <c r="S25" s="35" t="s">
        <v>257</v>
      </c>
      <c r="T25" s="35" t="s">
        <v>253</v>
      </c>
      <c r="U25" s="35" t="s">
        <v>258</v>
      </c>
      <c r="V25" s="35" t="s">
        <v>253</v>
      </c>
      <c r="W25" s="35" t="s">
        <v>253</v>
      </c>
      <c r="X25" s="35" t="s">
        <v>1018</v>
      </c>
      <c r="Y25" s="35" t="s">
        <v>1019</v>
      </c>
    </row>
    <row r="26" spans="1:25" x14ac:dyDescent="0.2">
      <c r="A26" s="35">
        <v>243</v>
      </c>
      <c r="B26" s="35" t="s">
        <v>1020</v>
      </c>
      <c r="C26" s="35" t="s">
        <v>253</v>
      </c>
      <c r="D26" s="35" t="s">
        <v>253</v>
      </c>
      <c r="E26" s="35" t="s">
        <v>940</v>
      </c>
      <c r="F26" s="35" t="s">
        <v>941</v>
      </c>
      <c r="G26" s="35" t="s">
        <v>340</v>
      </c>
      <c r="H26" s="35" t="s">
        <v>521</v>
      </c>
      <c r="I26" s="35">
        <v>1610</v>
      </c>
      <c r="J26" s="35">
        <v>1514.60354997478</v>
      </c>
      <c r="K26" s="35">
        <v>241.41698058770601</v>
      </c>
      <c r="L26" s="35">
        <v>-14.92</v>
      </c>
      <c r="M26" s="35">
        <v>23.92</v>
      </c>
      <c r="N26" s="35">
        <v>210</v>
      </c>
      <c r="O26" s="35" t="s">
        <v>929</v>
      </c>
      <c r="P26" s="35" t="s">
        <v>930</v>
      </c>
      <c r="Q26" s="35" t="s">
        <v>253</v>
      </c>
      <c r="R26" s="35" t="s">
        <v>253</v>
      </c>
      <c r="S26" s="35" t="s">
        <v>257</v>
      </c>
      <c r="T26" s="35" t="s">
        <v>253</v>
      </c>
      <c r="U26" s="35" t="s">
        <v>253</v>
      </c>
      <c r="V26" s="35" t="s">
        <v>253</v>
      </c>
      <c r="W26" s="35" t="s">
        <v>253</v>
      </c>
      <c r="X26" s="35" t="s">
        <v>1021</v>
      </c>
      <c r="Y26" s="35" t="s">
        <v>1022</v>
      </c>
    </row>
    <row r="27" spans="1:25" x14ac:dyDescent="0.2">
      <c r="A27" s="35">
        <v>253</v>
      </c>
      <c r="B27" s="35" t="s">
        <v>1023</v>
      </c>
      <c r="C27" s="35" t="s">
        <v>253</v>
      </c>
      <c r="D27" s="35" t="s">
        <v>253</v>
      </c>
      <c r="E27" s="35" t="s">
        <v>940</v>
      </c>
      <c r="F27" s="35" t="s">
        <v>941</v>
      </c>
      <c r="G27" s="35" t="s">
        <v>340</v>
      </c>
      <c r="H27" s="35" t="s">
        <v>521</v>
      </c>
      <c r="I27" s="35">
        <v>14387</v>
      </c>
      <c r="J27" s="35">
        <v>1426.11074212825</v>
      </c>
      <c r="K27" s="35">
        <v>791.54370137016099</v>
      </c>
      <c r="L27" s="35">
        <v>-32.729999999999997</v>
      </c>
      <c r="M27" s="35">
        <v>21.06</v>
      </c>
      <c r="N27" s="35">
        <v>266</v>
      </c>
      <c r="O27" s="35" t="s">
        <v>554</v>
      </c>
      <c r="P27" s="35" t="s">
        <v>555</v>
      </c>
      <c r="Q27" s="35" t="s">
        <v>253</v>
      </c>
      <c r="R27" s="35" t="s">
        <v>253</v>
      </c>
      <c r="S27" s="35" t="s">
        <v>257</v>
      </c>
      <c r="T27" s="35" t="s">
        <v>253</v>
      </c>
      <c r="U27" s="35" t="s">
        <v>258</v>
      </c>
      <c r="V27" s="35" t="s">
        <v>253</v>
      </c>
      <c r="W27" s="35" t="s">
        <v>253</v>
      </c>
      <c r="X27" s="35" t="s">
        <v>1024</v>
      </c>
      <c r="Y27" s="35" t="s">
        <v>1025</v>
      </c>
    </row>
    <row r="28" spans="1:25" x14ac:dyDescent="0.2">
      <c r="A28" s="35">
        <v>258</v>
      </c>
      <c r="B28" s="35" t="s">
        <v>1026</v>
      </c>
      <c r="C28" s="35" t="s">
        <v>253</v>
      </c>
      <c r="D28" s="35" t="s">
        <v>253</v>
      </c>
      <c r="E28" s="35" t="s">
        <v>940</v>
      </c>
      <c r="F28" s="35" t="s">
        <v>941</v>
      </c>
      <c r="G28" s="35" t="s">
        <v>522</v>
      </c>
      <c r="H28" s="35" t="s">
        <v>521</v>
      </c>
      <c r="I28" s="35">
        <v>1784</v>
      </c>
      <c r="J28" s="35">
        <v>1385.86373825172</v>
      </c>
      <c r="K28" s="35">
        <v>362.19691581875003</v>
      </c>
      <c r="L28" s="35">
        <v>-18.829999999999998</v>
      </c>
      <c r="M28" s="35">
        <v>19.760000000000002</v>
      </c>
      <c r="N28" s="35">
        <v>554</v>
      </c>
      <c r="O28" s="35" t="s">
        <v>945</v>
      </c>
      <c r="P28" s="35" t="s">
        <v>946</v>
      </c>
      <c r="Q28" s="35" t="s">
        <v>253</v>
      </c>
      <c r="R28" s="35" t="s">
        <v>253</v>
      </c>
      <c r="S28" s="35" t="s">
        <v>253</v>
      </c>
      <c r="T28" s="35" t="s">
        <v>253</v>
      </c>
      <c r="U28" s="35" t="s">
        <v>253</v>
      </c>
      <c r="V28" s="35" t="s">
        <v>253</v>
      </c>
      <c r="W28" s="35" t="s">
        <v>253</v>
      </c>
      <c r="X28" s="35" t="s">
        <v>1027</v>
      </c>
      <c r="Y28" s="35" t="s">
        <v>1028</v>
      </c>
    </row>
    <row r="29" spans="1:25" x14ac:dyDescent="0.2">
      <c r="A29" s="35">
        <v>292</v>
      </c>
      <c r="B29" s="35" t="s">
        <v>1029</v>
      </c>
      <c r="C29" s="35" t="s">
        <v>253</v>
      </c>
      <c r="D29" s="35" t="s">
        <v>253</v>
      </c>
      <c r="E29" s="35" t="s">
        <v>940</v>
      </c>
      <c r="F29" s="35" t="s">
        <v>941</v>
      </c>
      <c r="G29" s="35" t="s">
        <v>340</v>
      </c>
      <c r="H29" s="35" t="s">
        <v>521</v>
      </c>
      <c r="I29" s="35">
        <v>1715</v>
      </c>
      <c r="J29" s="35">
        <v>1518.75</v>
      </c>
      <c r="K29" s="35">
        <v>408</v>
      </c>
      <c r="L29" s="35">
        <v>-20.309999999999999</v>
      </c>
      <c r="M29" s="35">
        <v>24.06</v>
      </c>
      <c r="N29" s="35">
        <v>210</v>
      </c>
      <c r="O29" s="35" t="s">
        <v>967</v>
      </c>
      <c r="P29" s="35" t="s">
        <v>968</v>
      </c>
      <c r="Q29" s="35" t="s">
        <v>253</v>
      </c>
      <c r="R29" s="35" t="s">
        <v>253</v>
      </c>
      <c r="S29" s="35" t="s">
        <v>253</v>
      </c>
      <c r="T29" s="35" t="s">
        <v>261</v>
      </c>
      <c r="U29" s="35" t="s">
        <v>253</v>
      </c>
      <c r="V29" s="35" t="s">
        <v>253</v>
      </c>
      <c r="W29" s="35" t="s">
        <v>253</v>
      </c>
      <c r="X29" s="35" t="s">
        <v>1030</v>
      </c>
      <c r="Y29" s="35" t="s">
        <v>1031</v>
      </c>
    </row>
    <row r="30" spans="1:25" x14ac:dyDescent="0.2">
      <c r="A30" s="35">
        <v>294</v>
      </c>
      <c r="B30" s="35" t="s">
        <v>1032</v>
      </c>
      <c r="C30" s="35" t="s">
        <v>253</v>
      </c>
      <c r="D30" s="35" t="s">
        <v>253</v>
      </c>
      <c r="E30" s="35" t="s">
        <v>940</v>
      </c>
      <c r="F30" s="35" t="s">
        <v>941</v>
      </c>
      <c r="G30" s="35" t="s">
        <v>522</v>
      </c>
      <c r="H30" s="35" t="s">
        <v>521</v>
      </c>
      <c r="I30" s="35">
        <v>4961</v>
      </c>
      <c r="J30" s="35">
        <v>1390.8264974337801</v>
      </c>
      <c r="K30" s="35">
        <v>625.826468290506</v>
      </c>
      <c r="L30" s="35">
        <v>-27.36</v>
      </c>
      <c r="M30" s="35">
        <v>19.920000000000002</v>
      </c>
      <c r="N30" s="35">
        <v>52</v>
      </c>
      <c r="O30" s="35" t="s">
        <v>564</v>
      </c>
      <c r="P30" s="35" t="s">
        <v>565</v>
      </c>
      <c r="Q30" s="35" t="s">
        <v>253</v>
      </c>
      <c r="R30" s="35" t="s">
        <v>253</v>
      </c>
      <c r="S30" s="35" t="s">
        <v>253</v>
      </c>
      <c r="T30" s="35" t="s">
        <v>253</v>
      </c>
      <c r="U30" s="35" t="s">
        <v>253</v>
      </c>
      <c r="V30" s="35" t="s">
        <v>253</v>
      </c>
      <c r="W30" s="35" t="s">
        <v>253</v>
      </c>
      <c r="X30" s="35" t="s">
        <v>1033</v>
      </c>
      <c r="Y30" s="35" t="s">
        <v>1034</v>
      </c>
    </row>
    <row r="31" spans="1:25" x14ac:dyDescent="0.2">
      <c r="A31" s="35">
        <v>296</v>
      </c>
      <c r="B31" s="35" t="s">
        <v>1035</v>
      </c>
      <c r="C31" s="35" t="s">
        <v>253</v>
      </c>
      <c r="D31" s="35" t="s">
        <v>253</v>
      </c>
      <c r="E31" s="35" t="s">
        <v>940</v>
      </c>
      <c r="F31" s="35" t="s">
        <v>941</v>
      </c>
      <c r="G31" s="35" t="s">
        <v>340</v>
      </c>
      <c r="H31" s="35" t="s">
        <v>521</v>
      </c>
      <c r="I31" s="35">
        <v>3083</v>
      </c>
      <c r="J31" s="35">
        <v>1397</v>
      </c>
      <c r="K31" s="35">
        <v>722</v>
      </c>
      <c r="L31" s="35">
        <v>-30.48</v>
      </c>
      <c r="M31" s="35">
        <v>20.12</v>
      </c>
      <c r="N31" s="35">
        <v>13</v>
      </c>
      <c r="O31" s="35" t="s">
        <v>550</v>
      </c>
      <c r="P31" s="35" t="s">
        <v>551</v>
      </c>
      <c r="Q31" s="35" t="s">
        <v>253</v>
      </c>
      <c r="R31" s="35" t="s">
        <v>259</v>
      </c>
      <c r="S31" s="35" t="s">
        <v>253</v>
      </c>
      <c r="T31" s="35" t="s">
        <v>261</v>
      </c>
      <c r="U31" s="35" t="s">
        <v>258</v>
      </c>
      <c r="V31" s="35" t="s">
        <v>253</v>
      </c>
      <c r="W31" s="35" t="s">
        <v>253</v>
      </c>
      <c r="X31" s="35" t="s">
        <v>1036</v>
      </c>
      <c r="Y31" s="35" t="s">
        <v>1037</v>
      </c>
    </row>
    <row r="32" spans="1:25" x14ac:dyDescent="0.2">
      <c r="A32" s="35">
        <v>314</v>
      </c>
      <c r="B32" s="35" t="s">
        <v>1038</v>
      </c>
      <c r="C32" s="35" t="s">
        <v>253</v>
      </c>
      <c r="D32" s="35" t="s">
        <v>253</v>
      </c>
      <c r="E32" s="35" t="s">
        <v>940</v>
      </c>
      <c r="F32" s="35" t="s">
        <v>941</v>
      </c>
      <c r="G32" s="35" t="s">
        <v>340</v>
      </c>
      <c r="H32" s="35" t="s">
        <v>521</v>
      </c>
      <c r="I32" s="35">
        <v>5643</v>
      </c>
      <c r="J32" s="35">
        <v>1461</v>
      </c>
      <c r="K32" s="35">
        <v>443.5</v>
      </c>
      <c r="L32" s="35">
        <v>-21.46</v>
      </c>
      <c r="M32" s="35">
        <v>22.19</v>
      </c>
      <c r="N32" s="35">
        <v>52</v>
      </c>
      <c r="O32" s="35" t="s">
        <v>945</v>
      </c>
      <c r="P32" s="35" t="s">
        <v>946</v>
      </c>
      <c r="Q32" s="35" t="s">
        <v>253</v>
      </c>
      <c r="R32" s="35" t="s">
        <v>259</v>
      </c>
      <c r="S32" s="35" t="s">
        <v>257</v>
      </c>
      <c r="T32" s="35" t="s">
        <v>253</v>
      </c>
      <c r="U32" s="35" t="s">
        <v>253</v>
      </c>
      <c r="V32" s="35" t="s">
        <v>253</v>
      </c>
      <c r="W32" s="35" t="s">
        <v>253</v>
      </c>
      <c r="X32" s="35" t="s">
        <v>1039</v>
      </c>
      <c r="Y32" s="35" t="s">
        <v>1040</v>
      </c>
    </row>
    <row r="33" spans="1:25" x14ac:dyDescent="0.2">
      <c r="A33" s="35">
        <v>316</v>
      </c>
      <c r="B33" s="35" t="s">
        <v>283</v>
      </c>
      <c r="C33" s="35" t="s">
        <v>253</v>
      </c>
      <c r="D33" s="35" t="s">
        <v>253</v>
      </c>
      <c r="E33" s="35" t="s">
        <v>940</v>
      </c>
      <c r="F33" s="35" t="s">
        <v>941</v>
      </c>
      <c r="G33" s="35" t="s">
        <v>340</v>
      </c>
      <c r="H33" s="35" t="s">
        <v>521</v>
      </c>
      <c r="I33" s="35">
        <v>1618</v>
      </c>
      <c r="J33" s="35">
        <v>1416.1852237641201</v>
      </c>
      <c r="K33" s="35">
        <v>799.62034866646798</v>
      </c>
      <c r="L33" s="35">
        <v>-32.99</v>
      </c>
      <c r="M33" s="35">
        <v>20.74</v>
      </c>
      <c r="N33" s="35">
        <v>840</v>
      </c>
      <c r="O33" s="35" t="s">
        <v>542</v>
      </c>
      <c r="P33" s="35" t="s">
        <v>543</v>
      </c>
      <c r="Q33" s="35" t="s">
        <v>253</v>
      </c>
      <c r="R33" s="35" t="s">
        <v>253</v>
      </c>
      <c r="S33" s="35" t="s">
        <v>253</v>
      </c>
      <c r="T33" s="35" t="s">
        <v>253</v>
      </c>
      <c r="U33" s="35" t="s">
        <v>253</v>
      </c>
      <c r="V33" s="35" t="s">
        <v>253</v>
      </c>
      <c r="W33" s="35" t="s">
        <v>253</v>
      </c>
      <c r="X33" s="35" t="s">
        <v>1041</v>
      </c>
      <c r="Y33" s="35" t="s">
        <v>1042</v>
      </c>
    </row>
    <row r="34" spans="1:25" x14ac:dyDescent="0.2">
      <c r="A34" s="35">
        <v>321</v>
      </c>
      <c r="B34" s="35" t="s">
        <v>1043</v>
      </c>
      <c r="C34" s="35" t="s">
        <v>253</v>
      </c>
      <c r="D34" s="35" t="s">
        <v>253</v>
      </c>
      <c r="E34" s="35" t="s">
        <v>940</v>
      </c>
      <c r="F34" s="35" t="s">
        <v>941</v>
      </c>
      <c r="G34" s="35" t="s">
        <v>340</v>
      </c>
      <c r="H34" s="35" t="s">
        <v>521</v>
      </c>
      <c r="I34" s="35">
        <v>16553</v>
      </c>
      <c r="J34" s="35">
        <v>1435.29671206526</v>
      </c>
      <c r="K34" s="35">
        <v>430.83868693700498</v>
      </c>
      <c r="L34" s="35">
        <v>-21.05</v>
      </c>
      <c r="M34" s="35">
        <v>21.36</v>
      </c>
      <c r="N34" s="35">
        <v>52</v>
      </c>
      <c r="O34" s="35" t="s">
        <v>945</v>
      </c>
      <c r="P34" s="35" t="s">
        <v>946</v>
      </c>
      <c r="Q34" s="35" t="s">
        <v>253</v>
      </c>
      <c r="R34" s="35" t="s">
        <v>253</v>
      </c>
      <c r="S34" s="35" t="s">
        <v>253</v>
      </c>
      <c r="T34" s="35" t="s">
        <v>253</v>
      </c>
      <c r="U34" s="35" t="s">
        <v>258</v>
      </c>
      <c r="V34" s="35" t="s">
        <v>253</v>
      </c>
      <c r="W34" s="35" t="s">
        <v>253</v>
      </c>
      <c r="X34" s="35" t="s">
        <v>1044</v>
      </c>
      <c r="Y34" s="35" t="s">
        <v>1045</v>
      </c>
    </row>
    <row r="35" spans="1:25" x14ac:dyDescent="0.2">
      <c r="A35" s="35">
        <v>322</v>
      </c>
      <c r="B35" s="35" t="s">
        <v>1046</v>
      </c>
      <c r="C35" s="35" t="s">
        <v>253</v>
      </c>
      <c r="D35" s="35" t="s">
        <v>253</v>
      </c>
      <c r="E35" s="35" t="s">
        <v>940</v>
      </c>
      <c r="F35" s="35" t="s">
        <v>941</v>
      </c>
      <c r="G35" s="35" t="s">
        <v>340</v>
      </c>
      <c r="H35" s="35" t="s">
        <v>521</v>
      </c>
      <c r="I35" s="35">
        <v>15249</v>
      </c>
      <c r="J35" s="35">
        <v>1415</v>
      </c>
      <c r="K35" s="35">
        <v>909.5</v>
      </c>
      <c r="L35" s="35">
        <v>-36.549999999999997</v>
      </c>
      <c r="M35" s="35">
        <v>20.7</v>
      </c>
      <c r="N35" s="35">
        <v>52</v>
      </c>
      <c r="O35" s="35" t="s">
        <v>542</v>
      </c>
      <c r="P35" s="35" t="s">
        <v>543</v>
      </c>
      <c r="Q35" s="35" t="s">
        <v>253</v>
      </c>
      <c r="R35" s="35" t="s">
        <v>259</v>
      </c>
      <c r="S35" s="35" t="s">
        <v>253</v>
      </c>
      <c r="T35" s="35" t="s">
        <v>253</v>
      </c>
      <c r="U35" s="35" t="s">
        <v>258</v>
      </c>
      <c r="V35" s="35" t="s">
        <v>253</v>
      </c>
      <c r="W35" s="35" t="s">
        <v>253</v>
      </c>
      <c r="X35" s="35" t="s">
        <v>1047</v>
      </c>
      <c r="Y35" s="35" t="s">
        <v>1048</v>
      </c>
    </row>
    <row r="36" spans="1:25" x14ac:dyDescent="0.2">
      <c r="A36" s="35">
        <v>348</v>
      </c>
      <c r="B36" s="35" t="s">
        <v>1049</v>
      </c>
      <c r="C36" s="35" t="s">
        <v>253</v>
      </c>
      <c r="D36" s="35" t="s">
        <v>253</v>
      </c>
      <c r="E36" s="35" t="s">
        <v>940</v>
      </c>
      <c r="F36" s="35" t="s">
        <v>941</v>
      </c>
      <c r="G36" s="35" t="s">
        <v>340</v>
      </c>
      <c r="H36" s="35" t="s">
        <v>521</v>
      </c>
      <c r="I36" s="35">
        <v>22583</v>
      </c>
      <c r="J36" s="35">
        <v>1476.2638025682199</v>
      </c>
      <c r="K36" s="35">
        <v>830.50622639957601</v>
      </c>
      <c r="L36" s="35">
        <v>-33.99</v>
      </c>
      <c r="M36" s="35">
        <v>22.68</v>
      </c>
      <c r="N36" s="35">
        <v>210</v>
      </c>
      <c r="O36" s="35" t="s">
        <v>542</v>
      </c>
      <c r="P36" s="35" t="s">
        <v>543</v>
      </c>
      <c r="Q36" s="35" t="s">
        <v>253</v>
      </c>
      <c r="R36" s="35" t="s">
        <v>253</v>
      </c>
      <c r="S36" s="35" t="s">
        <v>253</v>
      </c>
      <c r="T36" s="35" t="s">
        <v>261</v>
      </c>
      <c r="U36" s="35" t="s">
        <v>258</v>
      </c>
      <c r="V36" s="35" t="s">
        <v>297</v>
      </c>
      <c r="W36" s="35" t="s">
        <v>266</v>
      </c>
      <c r="X36" s="35" t="s">
        <v>1050</v>
      </c>
      <c r="Y36" s="35" t="s">
        <v>1051</v>
      </c>
    </row>
    <row r="37" spans="1:25" x14ac:dyDescent="0.2">
      <c r="A37" s="35">
        <v>368</v>
      </c>
      <c r="B37" s="35" t="s">
        <v>1052</v>
      </c>
      <c r="C37" s="35" t="s">
        <v>253</v>
      </c>
      <c r="D37" s="35" t="s">
        <v>253</v>
      </c>
      <c r="E37" s="35" t="s">
        <v>940</v>
      </c>
      <c r="F37" s="35" t="s">
        <v>941</v>
      </c>
      <c r="G37" s="35" t="s">
        <v>340</v>
      </c>
      <c r="H37" s="35" t="s">
        <v>521</v>
      </c>
      <c r="I37" s="35">
        <v>11606</v>
      </c>
      <c r="J37" s="35">
        <v>1347.5239908451499</v>
      </c>
      <c r="K37" s="35">
        <v>878.77149217028</v>
      </c>
      <c r="L37" s="35">
        <v>-35.56</v>
      </c>
      <c r="M37" s="35">
        <v>18.52</v>
      </c>
      <c r="N37" s="35">
        <v>118</v>
      </c>
      <c r="O37" s="35" t="s">
        <v>542</v>
      </c>
      <c r="P37" s="35" t="s">
        <v>543</v>
      </c>
      <c r="Q37" s="35" t="s">
        <v>253</v>
      </c>
      <c r="R37" s="35" t="s">
        <v>253</v>
      </c>
      <c r="S37" s="35" t="s">
        <v>253</v>
      </c>
      <c r="T37" s="35" t="s">
        <v>253</v>
      </c>
      <c r="U37" s="35" t="s">
        <v>253</v>
      </c>
      <c r="V37" s="35" t="s">
        <v>253</v>
      </c>
      <c r="W37" s="35" t="s">
        <v>253</v>
      </c>
      <c r="X37" s="35" t="s">
        <v>1053</v>
      </c>
      <c r="Y37" s="35" t="s">
        <v>1054</v>
      </c>
    </row>
    <row r="38" spans="1:25" x14ac:dyDescent="0.2">
      <c r="A38" s="35">
        <v>371</v>
      </c>
      <c r="B38" s="35" t="s">
        <v>1055</v>
      </c>
      <c r="C38" s="35" t="s">
        <v>253</v>
      </c>
      <c r="D38" s="35" t="s">
        <v>253</v>
      </c>
      <c r="E38" s="35" t="s">
        <v>940</v>
      </c>
      <c r="F38" s="35" t="s">
        <v>941</v>
      </c>
      <c r="G38" s="35" t="s">
        <v>340</v>
      </c>
      <c r="H38" s="35" t="s">
        <v>521</v>
      </c>
      <c r="I38" s="35">
        <v>2401</v>
      </c>
      <c r="J38" s="35">
        <v>1395.28324979729</v>
      </c>
      <c r="K38" s="35">
        <v>54.739388139080397</v>
      </c>
      <c r="L38" s="35">
        <v>-8.8699999999999992</v>
      </c>
      <c r="M38" s="35">
        <v>20.07</v>
      </c>
      <c r="N38" s="35">
        <v>82</v>
      </c>
      <c r="O38" s="35" t="s">
        <v>987</v>
      </c>
      <c r="P38" s="35" t="s">
        <v>988</v>
      </c>
      <c r="Q38" s="35" t="s">
        <v>253</v>
      </c>
      <c r="R38" s="35" t="s">
        <v>253</v>
      </c>
      <c r="S38" s="35" t="s">
        <v>253</v>
      </c>
      <c r="T38" s="35" t="s">
        <v>253</v>
      </c>
      <c r="U38" s="35" t="s">
        <v>253</v>
      </c>
      <c r="V38" s="35" t="s">
        <v>253</v>
      </c>
      <c r="W38" s="35" t="s">
        <v>253</v>
      </c>
      <c r="X38" s="35" t="s">
        <v>1056</v>
      </c>
      <c r="Y38" s="35" t="s">
        <v>1057</v>
      </c>
    </row>
    <row r="39" spans="1:25" x14ac:dyDescent="0.2">
      <c r="A39" s="35">
        <v>373</v>
      </c>
      <c r="B39" s="35" t="s">
        <v>1058</v>
      </c>
      <c r="C39" s="35" t="s">
        <v>253</v>
      </c>
      <c r="D39" s="35" t="s">
        <v>253</v>
      </c>
      <c r="E39" s="35" t="s">
        <v>940</v>
      </c>
      <c r="F39" s="35" t="s">
        <v>941</v>
      </c>
      <c r="G39" s="35" t="s">
        <v>340</v>
      </c>
      <c r="H39" s="35" t="s">
        <v>521</v>
      </c>
      <c r="I39" s="35">
        <v>14365</v>
      </c>
      <c r="J39" s="35">
        <v>1413.5773424684401</v>
      </c>
      <c r="K39" s="35">
        <v>121.045743171656</v>
      </c>
      <c r="L39" s="35">
        <v>-11.02</v>
      </c>
      <c r="M39" s="35">
        <v>20.66</v>
      </c>
      <c r="N39" s="35">
        <v>840</v>
      </c>
      <c r="O39" s="35" t="s">
        <v>904</v>
      </c>
      <c r="P39" s="35" t="s">
        <v>905</v>
      </c>
      <c r="Q39" s="35" t="s">
        <v>253</v>
      </c>
      <c r="R39" s="35" t="s">
        <v>253</v>
      </c>
      <c r="S39" s="35" t="s">
        <v>257</v>
      </c>
      <c r="T39" s="35" t="s">
        <v>261</v>
      </c>
      <c r="U39" s="35" t="s">
        <v>258</v>
      </c>
      <c r="V39" s="35" t="s">
        <v>253</v>
      </c>
      <c r="W39" s="35" t="s">
        <v>253</v>
      </c>
      <c r="X39" s="35" t="s">
        <v>1059</v>
      </c>
      <c r="Y39" s="35" t="s">
        <v>1060</v>
      </c>
    </row>
    <row r="40" spans="1:25" x14ac:dyDescent="0.2">
      <c r="A40" s="35">
        <v>375</v>
      </c>
      <c r="B40" s="35" t="s">
        <v>1061</v>
      </c>
      <c r="C40" s="35" t="s">
        <v>253</v>
      </c>
      <c r="D40" s="35" t="s">
        <v>253</v>
      </c>
      <c r="E40" s="35" t="s">
        <v>940</v>
      </c>
      <c r="F40" s="35" t="s">
        <v>941</v>
      </c>
      <c r="G40" s="35" t="s">
        <v>522</v>
      </c>
      <c r="H40" s="35" t="s">
        <v>521</v>
      </c>
      <c r="I40" s="35">
        <v>14693</v>
      </c>
      <c r="J40" s="35">
        <v>1361.1861749463701</v>
      </c>
      <c r="K40" s="35">
        <v>458.99991257015301</v>
      </c>
      <c r="L40" s="35">
        <v>-21.96</v>
      </c>
      <c r="M40" s="35">
        <v>18.97</v>
      </c>
      <c r="N40" s="35">
        <v>738</v>
      </c>
      <c r="O40" s="35" t="s">
        <v>602</v>
      </c>
      <c r="P40" s="35" t="s">
        <v>603</v>
      </c>
      <c r="Q40" s="35" t="s">
        <v>253</v>
      </c>
      <c r="R40" s="35" t="s">
        <v>253</v>
      </c>
      <c r="S40" s="35" t="s">
        <v>257</v>
      </c>
      <c r="T40" s="35" t="s">
        <v>253</v>
      </c>
      <c r="U40" s="35" t="s">
        <v>253</v>
      </c>
      <c r="V40" s="35" t="s">
        <v>253</v>
      </c>
      <c r="W40" s="35" t="s">
        <v>253</v>
      </c>
      <c r="X40" s="35" t="s">
        <v>1062</v>
      </c>
      <c r="Y40" s="35" t="s">
        <v>1063</v>
      </c>
    </row>
    <row r="41" spans="1:25" x14ac:dyDescent="0.2">
      <c r="A41" s="35">
        <v>394</v>
      </c>
      <c r="B41" s="35" t="s">
        <v>1064</v>
      </c>
      <c r="C41" s="35" t="s">
        <v>253</v>
      </c>
      <c r="D41" s="35" t="s">
        <v>253</v>
      </c>
      <c r="E41" s="35" t="s">
        <v>940</v>
      </c>
      <c r="F41" s="35" t="s">
        <v>941</v>
      </c>
      <c r="G41" s="35" t="s">
        <v>340</v>
      </c>
      <c r="H41" s="35" t="s">
        <v>521</v>
      </c>
      <c r="I41" s="35">
        <v>6337</v>
      </c>
      <c r="J41" s="35">
        <v>1539.2421896787</v>
      </c>
      <c r="K41" s="35">
        <v>540.19454514893403</v>
      </c>
      <c r="L41" s="35">
        <v>-24.59</v>
      </c>
      <c r="M41" s="35">
        <v>24.72</v>
      </c>
      <c r="N41" s="35">
        <v>82</v>
      </c>
      <c r="O41" s="35" t="s">
        <v>602</v>
      </c>
      <c r="P41" s="35" t="s">
        <v>603</v>
      </c>
      <c r="Q41" s="35" t="s">
        <v>253</v>
      </c>
      <c r="R41" s="35" t="s">
        <v>253</v>
      </c>
      <c r="S41" s="35" t="s">
        <v>257</v>
      </c>
      <c r="T41" s="35" t="s">
        <v>253</v>
      </c>
      <c r="U41" s="35" t="s">
        <v>253</v>
      </c>
      <c r="V41" s="35" t="s">
        <v>253</v>
      </c>
      <c r="W41" s="35" t="s">
        <v>253</v>
      </c>
      <c r="X41" s="35" t="s">
        <v>1065</v>
      </c>
      <c r="Y41" s="35" t="s">
        <v>1066</v>
      </c>
    </row>
    <row r="42" spans="1:25" x14ac:dyDescent="0.2">
      <c r="A42" s="35">
        <v>408</v>
      </c>
      <c r="B42" s="35" t="s">
        <v>1067</v>
      </c>
      <c r="C42" s="35" t="s">
        <v>253</v>
      </c>
      <c r="D42" s="35" t="s">
        <v>253</v>
      </c>
      <c r="E42" s="35" t="s">
        <v>940</v>
      </c>
      <c r="F42" s="35" t="s">
        <v>941</v>
      </c>
      <c r="G42" s="35" t="s">
        <v>340</v>
      </c>
      <c r="H42" s="35" t="s">
        <v>521</v>
      </c>
      <c r="I42" s="35">
        <v>5290</v>
      </c>
      <c r="J42" s="35">
        <v>1438.3522147773599</v>
      </c>
      <c r="K42" s="35">
        <v>379.10922063920998</v>
      </c>
      <c r="L42" s="35">
        <v>-19.38</v>
      </c>
      <c r="M42" s="35">
        <v>21.46</v>
      </c>
      <c r="N42" s="35">
        <v>161</v>
      </c>
      <c r="O42" s="35" t="s">
        <v>967</v>
      </c>
      <c r="P42" s="35" t="s">
        <v>968</v>
      </c>
      <c r="Q42" s="35" t="s">
        <v>253</v>
      </c>
      <c r="R42" s="35" t="s">
        <v>253</v>
      </c>
      <c r="S42" s="35" t="s">
        <v>257</v>
      </c>
      <c r="T42" s="35" t="s">
        <v>253</v>
      </c>
      <c r="U42" s="35" t="s">
        <v>258</v>
      </c>
      <c r="V42" s="35" t="s">
        <v>253</v>
      </c>
      <c r="W42" s="35" t="s">
        <v>253</v>
      </c>
      <c r="X42" s="35" t="s">
        <v>1068</v>
      </c>
      <c r="Y42" s="35" t="s">
        <v>1069</v>
      </c>
    </row>
    <row r="43" spans="1:25" x14ac:dyDescent="0.2">
      <c r="A43" s="35">
        <v>424</v>
      </c>
      <c r="B43" s="35" t="s">
        <v>1070</v>
      </c>
      <c r="C43" s="35" t="s">
        <v>253</v>
      </c>
      <c r="D43" s="35" t="s">
        <v>253</v>
      </c>
      <c r="E43" s="35" t="s">
        <v>940</v>
      </c>
      <c r="F43" s="35" t="s">
        <v>941</v>
      </c>
      <c r="G43" s="35" t="s">
        <v>522</v>
      </c>
      <c r="H43" s="35" t="s">
        <v>521</v>
      </c>
      <c r="I43" s="35">
        <v>14585</v>
      </c>
      <c r="J43" s="35">
        <v>1376.8334627204199</v>
      </c>
      <c r="K43" s="35">
        <v>378.42805761421999</v>
      </c>
      <c r="L43" s="35">
        <v>-19.350000000000001</v>
      </c>
      <c r="M43" s="35">
        <v>19.47</v>
      </c>
      <c r="N43" s="35">
        <v>472</v>
      </c>
      <c r="O43" s="35" t="s">
        <v>945</v>
      </c>
      <c r="P43" s="35" t="s">
        <v>946</v>
      </c>
      <c r="Q43" s="35" t="s">
        <v>253</v>
      </c>
      <c r="R43" s="35" t="s">
        <v>253</v>
      </c>
      <c r="S43" s="35" t="s">
        <v>253</v>
      </c>
      <c r="T43" s="35" t="s">
        <v>261</v>
      </c>
      <c r="U43" s="35" t="s">
        <v>253</v>
      </c>
      <c r="V43" s="35" t="s">
        <v>253</v>
      </c>
      <c r="W43" s="35" t="s">
        <v>253</v>
      </c>
      <c r="X43" s="35" t="s">
        <v>1071</v>
      </c>
      <c r="Y43" s="35" t="s">
        <v>1072</v>
      </c>
    </row>
    <row r="44" spans="1:25" x14ac:dyDescent="0.2">
      <c r="A44" s="35">
        <v>430</v>
      </c>
      <c r="B44" s="35" t="s">
        <v>1073</v>
      </c>
      <c r="C44" s="35" t="s">
        <v>253</v>
      </c>
      <c r="D44" s="35" t="s">
        <v>253</v>
      </c>
      <c r="E44" s="35" t="s">
        <v>940</v>
      </c>
      <c r="F44" s="35" t="s">
        <v>941</v>
      </c>
      <c r="G44" s="35" t="s">
        <v>340</v>
      </c>
      <c r="H44" s="35" t="s">
        <v>521</v>
      </c>
      <c r="I44" s="35">
        <v>20955</v>
      </c>
      <c r="J44" s="35">
        <v>1501.6419906992601</v>
      </c>
      <c r="K44" s="35">
        <v>651.78851044297301</v>
      </c>
      <c r="L44" s="35">
        <v>-28.21</v>
      </c>
      <c r="M44" s="35">
        <v>23.5</v>
      </c>
      <c r="N44" s="35">
        <v>82</v>
      </c>
      <c r="O44" s="35" t="s">
        <v>564</v>
      </c>
      <c r="P44" s="35" t="s">
        <v>565</v>
      </c>
      <c r="Q44" s="35" t="s">
        <v>253</v>
      </c>
      <c r="R44" s="35" t="s">
        <v>253</v>
      </c>
      <c r="S44" s="35" t="s">
        <v>257</v>
      </c>
      <c r="T44" s="35" t="s">
        <v>261</v>
      </c>
      <c r="U44" s="35" t="s">
        <v>258</v>
      </c>
      <c r="V44" s="35" t="s">
        <v>297</v>
      </c>
      <c r="W44" s="35" t="s">
        <v>253</v>
      </c>
      <c r="X44" s="35" t="s">
        <v>1074</v>
      </c>
      <c r="Y44" s="35" t="s">
        <v>1075</v>
      </c>
    </row>
    <row r="45" spans="1:25" x14ac:dyDescent="0.2">
      <c r="A45" s="35">
        <v>446</v>
      </c>
      <c r="B45" s="35" t="s">
        <v>1076</v>
      </c>
      <c r="C45" s="35" t="s">
        <v>253</v>
      </c>
      <c r="D45" s="35" t="s">
        <v>253</v>
      </c>
      <c r="E45" s="35" t="s">
        <v>940</v>
      </c>
      <c r="F45" s="35" t="s">
        <v>941</v>
      </c>
      <c r="G45" s="35" t="s">
        <v>522</v>
      </c>
      <c r="H45" s="35" t="s">
        <v>521</v>
      </c>
      <c r="I45" s="35">
        <v>4759</v>
      </c>
      <c r="J45" s="35">
        <v>1373.71957460618</v>
      </c>
      <c r="K45" s="35">
        <v>115.88836598244799</v>
      </c>
      <c r="L45" s="35">
        <v>-10.85</v>
      </c>
      <c r="M45" s="35">
        <v>19.37</v>
      </c>
      <c r="N45" s="35">
        <v>2392</v>
      </c>
      <c r="O45" s="35" t="s">
        <v>913</v>
      </c>
      <c r="P45" s="35" t="s">
        <v>914</v>
      </c>
      <c r="Q45" s="35" t="s">
        <v>253</v>
      </c>
      <c r="R45" s="35" t="s">
        <v>253</v>
      </c>
      <c r="S45" s="35" t="s">
        <v>257</v>
      </c>
      <c r="T45" s="35" t="s">
        <v>253</v>
      </c>
      <c r="U45" s="35" t="s">
        <v>253</v>
      </c>
      <c r="V45" s="35" t="s">
        <v>253</v>
      </c>
      <c r="W45" s="35" t="s">
        <v>253</v>
      </c>
      <c r="X45" s="35" t="s">
        <v>1077</v>
      </c>
      <c r="Y45" s="35" t="s">
        <v>1078</v>
      </c>
    </row>
    <row r="46" spans="1:25" x14ac:dyDescent="0.2">
      <c r="A46" s="35">
        <v>465</v>
      </c>
      <c r="B46" s="35" t="s">
        <v>1079</v>
      </c>
      <c r="C46" s="35" t="s">
        <v>253</v>
      </c>
      <c r="D46" s="35" t="s">
        <v>253</v>
      </c>
      <c r="E46" s="35" t="s">
        <v>940</v>
      </c>
      <c r="F46" s="35" t="s">
        <v>941</v>
      </c>
      <c r="G46" s="35" t="s">
        <v>340</v>
      </c>
      <c r="H46" s="35" t="s">
        <v>521</v>
      </c>
      <c r="I46" s="35">
        <v>12579</v>
      </c>
      <c r="J46" s="35">
        <v>1414.68666510914</v>
      </c>
      <c r="K46" s="35">
        <v>892.84237408649699</v>
      </c>
      <c r="L46" s="35">
        <v>-36.01</v>
      </c>
      <c r="M46" s="35">
        <v>20.69</v>
      </c>
      <c r="N46" s="35">
        <v>82</v>
      </c>
      <c r="O46" s="35" t="s">
        <v>542</v>
      </c>
      <c r="P46" s="35" t="s">
        <v>543</v>
      </c>
      <c r="Q46" s="35" t="s">
        <v>253</v>
      </c>
      <c r="R46" s="35" t="s">
        <v>253</v>
      </c>
      <c r="S46" s="35" t="s">
        <v>257</v>
      </c>
      <c r="T46" s="35" t="s">
        <v>253</v>
      </c>
      <c r="U46" s="35" t="s">
        <v>253</v>
      </c>
      <c r="V46" s="35" t="s">
        <v>253</v>
      </c>
      <c r="W46" s="35" t="s">
        <v>253</v>
      </c>
      <c r="X46" s="35" t="s">
        <v>1080</v>
      </c>
      <c r="Y46" s="35" t="s">
        <v>1081</v>
      </c>
    </row>
    <row r="47" spans="1:25" x14ac:dyDescent="0.2">
      <c r="A47" s="35">
        <v>491</v>
      </c>
      <c r="B47" s="35" t="s">
        <v>1082</v>
      </c>
      <c r="C47" s="35" t="s">
        <v>253</v>
      </c>
      <c r="D47" s="35" t="s">
        <v>253</v>
      </c>
      <c r="E47" s="35" t="s">
        <v>940</v>
      </c>
      <c r="F47" s="35" t="s">
        <v>941</v>
      </c>
      <c r="G47" s="35" t="s">
        <v>340</v>
      </c>
      <c r="H47" s="35" t="s">
        <v>521</v>
      </c>
      <c r="I47" s="35">
        <v>8667</v>
      </c>
      <c r="J47" s="35">
        <v>1478.6965276574599</v>
      </c>
      <c r="K47" s="35">
        <v>330.39633345208398</v>
      </c>
      <c r="L47" s="35">
        <v>-17.8</v>
      </c>
      <c r="M47" s="35">
        <v>22.76</v>
      </c>
      <c r="N47" s="35">
        <v>328</v>
      </c>
      <c r="O47" s="35" t="s">
        <v>913</v>
      </c>
      <c r="P47" s="35" t="s">
        <v>914</v>
      </c>
      <c r="Q47" s="35" t="s">
        <v>253</v>
      </c>
      <c r="R47" s="35" t="s">
        <v>253</v>
      </c>
      <c r="S47" s="35" t="s">
        <v>257</v>
      </c>
      <c r="T47" s="35" t="s">
        <v>253</v>
      </c>
      <c r="U47" s="35" t="s">
        <v>253</v>
      </c>
      <c r="V47" s="35" t="s">
        <v>253</v>
      </c>
      <c r="W47" s="35" t="s">
        <v>253</v>
      </c>
      <c r="X47" s="35" t="s">
        <v>1083</v>
      </c>
      <c r="Y47" s="35" t="s">
        <v>1084</v>
      </c>
    </row>
    <row r="48" spans="1:25" x14ac:dyDescent="0.2">
      <c r="A48" s="35">
        <v>498</v>
      </c>
      <c r="B48" s="35" t="s">
        <v>1085</v>
      </c>
      <c r="C48" s="35" t="s">
        <v>253</v>
      </c>
      <c r="D48" s="35" t="s">
        <v>253</v>
      </c>
      <c r="E48" s="35" t="s">
        <v>940</v>
      </c>
      <c r="F48" s="35" t="s">
        <v>941</v>
      </c>
      <c r="G48" s="35" t="s">
        <v>522</v>
      </c>
      <c r="H48" s="35" t="s">
        <v>521</v>
      </c>
      <c r="I48" s="35">
        <v>3731</v>
      </c>
      <c r="J48" s="35">
        <v>1327.32264170402</v>
      </c>
      <c r="K48" s="35">
        <v>81.285284312967605</v>
      </c>
      <c r="L48" s="35">
        <v>-9.73</v>
      </c>
      <c r="M48" s="35">
        <v>17.87</v>
      </c>
      <c r="N48" s="35">
        <v>397</v>
      </c>
      <c r="O48" s="35" t="s">
        <v>1086</v>
      </c>
      <c r="P48" s="35" t="s">
        <v>1087</v>
      </c>
      <c r="Q48" s="35" t="s">
        <v>253</v>
      </c>
      <c r="R48" s="35" t="s">
        <v>253</v>
      </c>
      <c r="S48" s="35" t="s">
        <v>257</v>
      </c>
      <c r="T48" s="35" t="s">
        <v>261</v>
      </c>
      <c r="U48" s="35" t="s">
        <v>258</v>
      </c>
      <c r="V48" s="35" t="s">
        <v>253</v>
      </c>
      <c r="W48" s="35" t="s">
        <v>253</v>
      </c>
      <c r="X48" s="35" t="s">
        <v>1088</v>
      </c>
      <c r="Y48" s="35" t="s">
        <v>1089</v>
      </c>
    </row>
    <row r="49" spans="1:25" x14ac:dyDescent="0.2">
      <c r="A49" s="35">
        <v>501</v>
      </c>
      <c r="B49" s="35" t="s">
        <v>1090</v>
      </c>
      <c r="C49" s="35" t="s">
        <v>253</v>
      </c>
      <c r="D49" s="35" t="s">
        <v>253</v>
      </c>
      <c r="E49" s="35" t="s">
        <v>940</v>
      </c>
      <c r="F49" s="35" t="s">
        <v>941</v>
      </c>
      <c r="G49" s="35" t="s">
        <v>522</v>
      </c>
      <c r="H49" s="35" t="s">
        <v>521</v>
      </c>
      <c r="I49" s="35">
        <v>16941</v>
      </c>
      <c r="J49" s="35">
        <v>1391.17680984664</v>
      </c>
      <c r="K49" s="35">
        <v>337.324734506266</v>
      </c>
      <c r="L49" s="35">
        <v>-18.02</v>
      </c>
      <c r="M49" s="35">
        <v>19.93</v>
      </c>
      <c r="N49" s="35">
        <v>738</v>
      </c>
      <c r="O49" s="35" t="s">
        <v>967</v>
      </c>
      <c r="P49" s="35" t="s">
        <v>968</v>
      </c>
      <c r="Q49" s="35" t="s">
        <v>253</v>
      </c>
      <c r="R49" s="35" t="s">
        <v>253</v>
      </c>
      <c r="S49" s="35" t="s">
        <v>257</v>
      </c>
      <c r="T49" s="35" t="s">
        <v>261</v>
      </c>
      <c r="U49" s="35" t="s">
        <v>258</v>
      </c>
      <c r="V49" s="35" t="s">
        <v>253</v>
      </c>
      <c r="W49" s="35" t="s">
        <v>253</v>
      </c>
      <c r="X49" s="35" t="s">
        <v>1091</v>
      </c>
      <c r="Y49" s="35" t="s">
        <v>1092</v>
      </c>
    </row>
    <row r="50" spans="1:25" x14ac:dyDescent="0.2">
      <c r="A50" s="35">
        <v>517</v>
      </c>
      <c r="B50" s="35" t="s">
        <v>1093</v>
      </c>
      <c r="C50" s="35" t="s">
        <v>253</v>
      </c>
      <c r="D50" s="35" t="s">
        <v>253</v>
      </c>
      <c r="E50" s="35" t="s">
        <v>940</v>
      </c>
      <c r="F50" s="35" t="s">
        <v>941</v>
      </c>
      <c r="G50" s="35" t="s">
        <v>340</v>
      </c>
      <c r="H50" s="35" t="s">
        <v>521</v>
      </c>
      <c r="I50" s="35">
        <v>15671</v>
      </c>
      <c r="J50" s="35">
        <v>1503</v>
      </c>
      <c r="K50" s="35">
        <v>382</v>
      </c>
      <c r="L50" s="35">
        <v>-19.47</v>
      </c>
      <c r="M50" s="35">
        <v>23.55</v>
      </c>
      <c r="N50" s="35">
        <v>52</v>
      </c>
      <c r="O50" s="35" t="s">
        <v>967</v>
      </c>
      <c r="P50" s="35" t="s">
        <v>968</v>
      </c>
      <c r="Q50" s="35" t="s">
        <v>253</v>
      </c>
      <c r="R50" s="35" t="s">
        <v>259</v>
      </c>
      <c r="S50" s="35" t="s">
        <v>253</v>
      </c>
      <c r="T50" s="35" t="s">
        <v>261</v>
      </c>
      <c r="U50" s="35" t="s">
        <v>258</v>
      </c>
      <c r="V50" s="35" t="s">
        <v>253</v>
      </c>
      <c r="W50" s="35" t="s">
        <v>253</v>
      </c>
      <c r="X50" s="35" t="s">
        <v>1094</v>
      </c>
      <c r="Y50" s="35" t="s">
        <v>1095</v>
      </c>
    </row>
    <row r="51" spans="1:25" x14ac:dyDescent="0.2">
      <c r="A51" s="35">
        <v>520</v>
      </c>
      <c r="B51" s="35" t="s">
        <v>1096</v>
      </c>
      <c r="C51" s="35" t="s">
        <v>253</v>
      </c>
      <c r="D51" s="35" t="s">
        <v>253</v>
      </c>
      <c r="E51" s="35" t="s">
        <v>940</v>
      </c>
      <c r="F51" s="35" t="s">
        <v>941</v>
      </c>
      <c r="G51" s="35" t="s">
        <v>522</v>
      </c>
      <c r="H51" s="35" t="s">
        <v>521</v>
      </c>
      <c r="I51" s="35">
        <v>13036</v>
      </c>
      <c r="J51" s="35">
        <v>1398.0662872993901</v>
      </c>
      <c r="K51" s="35">
        <v>595.757986187386</v>
      </c>
      <c r="L51" s="35">
        <v>-26.39</v>
      </c>
      <c r="M51" s="35">
        <v>20.16</v>
      </c>
      <c r="N51" s="35">
        <v>2953</v>
      </c>
      <c r="O51" s="35" t="s">
        <v>538</v>
      </c>
      <c r="P51" s="35" t="s">
        <v>539</v>
      </c>
      <c r="Q51" s="35" t="s">
        <v>253</v>
      </c>
      <c r="R51" s="35" t="s">
        <v>253</v>
      </c>
      <c r="S51" s="35" t="s">
        <v>253</v>
      </c>
      <c r="T51" s="35" t="s">
        <v>253</v>
      </c>
      <c r="U51" s="35" t="s">
        <v>253</v>
      </c>
      <c r="V51" s="35" t="s">
        <v>253</v>
      </c>
      <c r="W51" s="35" t="s">
        <v>253</v>
      </c>
      <c r="X51" s="35" t="s">
        <v>1097</v>
      </c>
      <c r="Y51" s="35" t="s">
        <v>1098</v>
      </c>
    </row>
    <row r="52" spans="1:25" x14ac:dyDescent="0.2">
      <c r="A52" s="35">
        <v>534</v>
      </c>
      <c r="B52" s="35" t="s">
        <v>1099</v>
      </c>
      <c r="C52" s="35" t="s">
        <v>253</v>
      </c>
      <c r="D52" s="35" t="s">
        <v>253</v>
      </c>
      <c r="E52" s="35" t="s">
        <v>940</v>
      </c>
      <c r="F52" s="35" t="s">
        <v>941</v>
      </c>
      <c r="G52" s="35" t="s">
        <v>522</v>
      </c>
      <c r="H52" s="35" t="s">
        <v>521</v>
      </c>
      <c r="I52" s="35">
        <v>6789</v>
      </c>
      <c r="J52" s="35">
        <v>1417.5086262126699</v>
      </c>
      <c r="K52" s="35">
        <v>273.70410797222098</v>
      </c>
      <c r="L52" s="35">
        <v>-15.96</v>
      </c>
      <c r="M52" s="35">
        <v>20.79</v>
      </c>
      <c r="N52" s="35">
        <v>397</v>
      </c>
      <c r="O52" s="35" t="s">
        <v>913</v>
      </c>
      <c r="P52" s="35" t="s">
        <v>914</v>
      </c>
      <c r="Q52" s="35" t="s">
        <v>253</v>
      </c>
      <c r="R52" s="35" t="s">
        <v>253</v>
      </c>
      <c r="S52" s="35" t="s">
        <v>257</v>
      </c>
      <c r="T52" s="35" t="s">
        <v>253</v>
      </c>
      <c r="U52" s="35" t="s">
        <v>253</v>
      </c>
      <c r="V52" s="35" t="s">
        <v>253</v>
      </c>
      <c r="W52" s="35" t="s">
        <v>253</v>
      </c>
      <c r="X52" s="35" t="s">
        <v>1100</v>
      </c>
      <c r="Y52" s="35" t="s">
        <v>1101</v>
      </c>
    </row>
    <row r="53" spans="1:25" x14ac:dyDescent="0.2">
      <c r="A53" s="35">
        <v>535</v>
      </c>
      <c r="B53" s="35" t="s">
        <v>1102</v>
      </c>
      <c r="C53" s="35" t="s">
        <v>253</v>
      </c>
      <c r="D53" s="35" t="s">
        <v>253</v>
      </c>
      <c r="E53" s="35" t="s">
        <v>940</v>
      </c>
      <c r="F53" s="35" t="s">
        <v>941</v>
      </c>
      <c r="G53" s="35" t="s">
        <v>522</v>
      </c>
      <c r="H53" s="35" t="s">
        <v>521</v>
      </c>
      <c r="I53" s="35">
        <v>6760</v>
      </c>
      <c r="J53" s="35">
        <v>1391.5855076616299</v>
      </c>
      <c r="K53" s="35">
        <v>291.78412083552098</v>
      </c>
      <c r="L53" s="35">
        <v>-16.55</v>
      </c>
      <c r="M53" s="35">
        <v>19.95</v>
      </c>
      <c r="N53" s="35">
        <v>1063</v>
      </c>
      <c r="O53" s="35" t="s">
        <v>967</v>
      </c>
      <c r="P53" s="35" t="s">
        <v>968</v>
      </c>
      <c r="Q53" s="35" t="s">
        <v>253</v>
      </c>
      <c r="R53" s="35" t="s">
        <v>253</v>
      </c>
      <c r="S53" s="35" t="s">
        <v>257</v>
      </c>
      <c r="T53" s="35" t="s">
        <v>253</v>
      </c>
      <c r="U53" s="35" t="s">
        <v>253</v>
      </c>
      <c r="V53" s="35" t="s">
        <v>253</v>
      </c>
      <c r="W53" s="35" t="s">
        <v>253</v>
      </c>
      <c r="X53" s="35" t="s">
        <v>1103</v>
      </c>
      <c r="Y53" s="35" t="s">
        <v>1104</v>
      </c>
    </row>
    <row r="54" spans="1:25" x14ac:dyDescent="0.2">
      <c r="A54" s="35">
        <v>539</v>
      </c>
      <c r="B54" s="35" t="s">
        <v>1105</v>
      </c>
      <c r="C54" s="35" t="s">
        <v>253</v>
      </c>
      <c r="D54" s="35" t="s">
        <v>253</v>
      </c>
      <c r="E54" s="35" t="s">
        <v>940</v>
      </c>
      <c r="F54" s="35" t="s">
        <v>941</v>
      </c>
      <c r="G54" s="35" t="s">
        <v>340</v>
      </c>
      <c r="H54" s="35" t="s">
        <v>521</v>
      </c>
      <c r="I54" s="35">
        <v>1896</v>
      </c>
      <c r="J54" s="35">
        <v>1333.08333471536</v>
      </c>
      <c r="K54" s="35">
        <v>738.72437423238205</v>
      </c>
      <c r="L54" s="35">
        <v>-31.02</v>
      </c>
      <c r="M54" s="35">
        <v>18.059999999999999</v>
      </c>
      <c r="N54" s="35">
        <v>1447</v>
      </c>
      <c r="O54" s="35" t="s">
        <v>542</v>
      </c>
      <c r="P54" s="35" t="s">
        <v>543</v>
      </c>
      <c r="Q54" s="35" t="s">
        <v>253</v>
      </c>
      <c r="R54" s="35" t="s">
        <v>253</v>
      </c>
      <c r="S54" s="35" t="s">
        <v>253</v>
      </c>
      <c r="T54" s="35" t="s">
        <v>253</v>
      </c>
      <c r="U54" s="35" t="s">
        <v>253</v>
      </c>
      <c r="V54" s="35" t="s">
        <v>253</v>
      </c>
      <c r="W54" s="35" t="s">
        <v>253</v>
      </c>
      <c r="X54" s="35" t="s">
        <v>1106</v>
      </c>
      <c r="Y54" s="35" t="s">
        <v>1107</v>
      </c>
    </row>
    <row r="55" spans="1:25" x14ac:dyDescent="0.2">
      <c r="A55" s="35">
        <v>540</v>
      </c>
      <c r="B55" s="35" t="s">
        <v>1108</v>
      </c>
      <c r="C55" s="35" t="s">
        <v>253</v>
      </c>
      <c r="D55" s="35" t="s">
        <v>253</v>
      </c>
      <c r="E55" s="35" t="s">
        <v>940</v>
      </c>
      <c r="F55" s="35" t="s">
        <v>941</v>
      </c>
      <c r="G55" s="35" t="s">
        <v>340</v>
      </c>
      <c r="H55" s="35" t="s">
        <v>521</v>
      </c>
      <c r="I55" s="35">
        <v>19012</v>
      </c>
      <c r="J55" s="35">
        <v>1357.58574181428</v>
      </c>
      <c r="K55" s="35">
        <v>762.95431612130403</v>
      </c>
      <c r="L55" s="35">
        <v>-31.81</v>
      </c>
      <c r="M55" s="35">
        <v>18.850000000000001</v>
      </c>
      <c r="N55" s="35">
        <v>1063</v>
      </c>
      <c r="O55" s="35" t="s">
        <v>538</v>
      </c>
      <c r="P55" s="35" t="s">
        <v>539</v>
      </c>
      <c r="Q55" s="35" t="s">
        <v>253</v>
      </c>
      <c r="R55" s="35" t="s">
        <v>253</v>
      </c>
      <c r="S55" s="35" t="s">
        <v>253</v>
      </c>
      <c r="T55" s="35" t="s">
        <v>261</v>
      </c>
      <c r="U55" s="35" t="s">
        <v>258</v>
      </c>
      <c r="V55" s="35" t="s">
        <v>253</v>
      </c>
      <c r="W55" s="35" t="s">
        <v>253</v>
      </c>
      <c r="X55" s="35" t="s">
        <v>1109</v>
      </c>
      <c r="Y55" s="35" t="s">
        <v>1110</v>
      </c>
    </row>
    <row r="56" spans="1:25" x14ac:dyDescent="0.2">
      <c r="A56" s="35">
        <v>558</v>
      </c>
      <c r="B56" s="35" t="s">
        <v>1111</v>
      </c>
      <c r="C56" s="35" t="s">
        <v>253</v>
      </c>
      <c r="D56" s="35" t="s">
        <v>253</v>
      </c>
      <c r="E56" s="35" t="s">
        <v>940</v>
      </c>
      <c r="F56" s="35" t="s">
        <v>941</v>
      </c>
      <c r="G56" s="35" t="s">
        <v>340</v>
      </c>
      <c r="H56" s="35" t="s">
        <v>521</v>
      </c>
      <c r="I56" s="35">
        <v>4047</v>
      </c>
      <c r="J56" s="35">
        <v>1464.4894131362501</v>
      </c>
      <c r="K56" s="35">
        <v>206.63874271179901</v>
      </c>
      <c r="L56" s="35">
        <v>-13.79</v>
      </c>
      <c r="M56" s="35">
        <v>22.3</v>
      </c>
      <c r="N56" s="35">
        <v>472</v>
      </c>
      <c r="O56" s="35" t="s">
        <v>918</v>
      </c>
      <c r="P56" s="35" t="s">
        <v>919</v>
      </c>
      <c r="Q56" s="35" t="s">
        <v>253</v>
      </c>
      <c r="R56" s="35" t="s">
        <v>253</v>
      </c>
      <c r="S56" s="35" t="s">
        <v>253</v>
      </c>
      <c r="T56" s="35" t="s">
        <v>253</v>
      </c>
      <c r="U56" s="35" t="s">
        <v>253</v>
      </c>
      <c r="V56" s="35" t="s">
        <v>253</v>
      </c>
      <c r="W56" s="35" t="s">
        <v>253</v>
      </c>
      <c r="X56" s="35" t="s">
        <v>1112</v>
      </c>
      <c r="Y56" s="35" t="s">
        <v>1113</v>
      </c>
    </row>
    <row r="57" spans="1:25" x14ac:dyDescent="0.2">
      <c r="A57" s="35">
        <v>571</v>
      </c>
      <c r="B57" s="35" t="s">
        <v>1114</v>
      </c>
      <c r="C57" s="35" t="s">
        <v>253</v>
      </c>
      <c r="D57" s="35" t="s">
        <v>253</v>
      </c>
      <c r="E57" s="35" t="s">
        <v>940</v>
      </c>
      <c r="F57" s="35" t="s">
        <v>941</v>
      </c>
      <c r="G57" s="35" t="s">
        <v>340</v>
      </c>
      <c r="H57" s="35" t="s">
        <v>521</v>
      </c>
      <c r="I57" s="35">
        <v>13544</v>
      </c>
      <c r="J57" s="35">
        <v>1499.8320432328601</v>
      </c>
      <c r="K57" s="35">
        <v>147.24132693269101</v>
      </c>
      <c r="L57" s="35">
        <v>-11.87</v>
      </c>
      <c r="M57" s="35">
        <v>23.44</v>
      </c>
      <c r="N57" s="35">
        <v>210</v>
      </c>
      <c r="O57" s="35" t="s">
        <v>1086</v>
      </c>
      <c r="P57" s="35" t="s">
        <v>1087</v>
      </c>
      <c r="Q57" s="35" t="s">
        <v>253</v>
      </c>
      <c r="R57" s="35" t="s">
        <v>253</v>
      </c>
      <c r="S57" s="35" t="s">
        <v>253</v>
      </c>
      <c r="T57" s="35" t="s">
        <v>261</v>
      </c>
      <c r="U57" s="35" t="s">
        <v>258</v>
      </c>
      <c r="V57" s="35" t="s">
        <v>253</v>
      </c>
      <c r="W57" s="35" t="s">
        <v>253</v>
      </c>
      <c r="X57" s="35" t="s">
        <v>1115</v>
      </c>
      <c r="Y57" s="35" t="s">
        <v>1116</v>
      </c>
    </row>
    <row r="58" spans="1:25" x14ac:dyDescent="0.2">
      <c r="A58" s="35">
        <v>579</v>
      </c>
      <c r="B58" s="35" t="s">
        <v>1117</v>
      </c>
      <c r="C58" s="35" t="s">
        <v>253</v>
      </c>
      <c r="D58" s="35" t="s">
        <v>253</v>
      </c>
      <c r="E58" s="35" t="s">
        <v>940</v>
      </c>
      <c r="F58" s="35" t="s">
        <v>941</v>
      </c>
      <c r="G58" s="35" t="s">
        <v>522</v>
      </c>
      <c r="H58" s="35" t="s">
        <v>521</v>
      </c>
      <c r="I58" s="35">
        <v>1893</v>
      </c>
      <c r="J58" s="35">
        <v>1419.8440422983499</v>
      </c>
      <c r="K58" s="35">
        <v>579.37114998620302</v>
      </c>
      <c r="L58" s="35">
        <v>-25.86</v>
      </c>
      <c r="M58" s="35">
        <v>20.86</v>
      </c>
      <c r="N58" s="35">
        <v>1588</v>
      </c>
      <c r="O58" s="35" t="s">
        <v>554</v>
      </c>
      <c r="P58" s="35" t="s">
        <v>555</v>
      </c>
      <c r="Q58" s="35" t="s">
        <v>253</v>
      </c>
      <c r="R58" s="35" t="s">
        <v>253</v>
      </c>
      <c r="S58" s="35" t="s">
        <v>257</v>
      </c>
      <c r="T58" s="35" t="s">
        <v>253</v>
      </c>
      <c r="U58" s="35" t="s">
        <v>253</v>
      </c>
      <c r="V58" s="35" t="s">
        <v>253</v>
      </c>
      <c r="W58" s="35" t="s">
        <v>253</v>
      </c>
      <c r="X58" s="35" t="s">
        <v>1118</v>
      </c>
      <c r="Y58" s="35" t="s">
        <v>1119</v>
      </c>
    </row>
    <row r="59" spans="1:25" x14ac:dyDescent="0.2">
      <c r="A59" s="189">
        <v>591</v>
      </c>
      <c r="B59" s="189" t="s">
        <v>1120</v>
      </c>
      <c r="C59" s="189" t="s">
        <v>253</v>
      </c>
      <c r="D59" s="189" t="s">
        <v>253</v>
      </c>
      <c r="E59" s="189" t="s">
        <v>940</v>
      </c>
      <c r="F59" s="189" t="s">
        <v>941</v>
      </c>
      <c r="G59" s="189" t="s">
        <v>340</v>
      </c>
      <c r="H59" s="189" t="s">
        <v>521</v>
      </c>
      <c r="I59" s="189">
        <v>8852</v>
      </c>
      <c r="J59" s="189">
        <v>1403.6712859050201</v>
      </c>
      <c r="K59" s="189">
        <v>37.515694507196102</v>
      </c>
      <c r="L59" s="189">
        <v>-8.31</v>
      </c>
      <c r="M59" s="189">
        <v>20.34</v>
      </c>
      <c r="N59" s="189">
        <v>82</v>
      </c>
      <c r="O59" s="189" t="s">
        <v>987</v>
      </c>
      <c r="P59" s="189" t="s">
        <v>988</v>
      </c>
      <c r="Q59" s="189" t="s">
        <v>253</v>
      </c>
      <c r="R59" s="189" t="s">
        <v>253</v>
      </c>
      <c r="S59" s="189" t="s">
        <v>253</v>
      </c>
      <c r="T59" s="189" t="s">
        <v>253</v>
      </c>
      <c r="U59" s="189" t="s">
        <v>253</v>
      </c>
      <c r="V59" s="189" t="s">
        <v>253</v>
      </c>
      <c r="W59" s="189" t="s">
        <v>253</v>
      </c>
      <c r="X59" s="189" t="s">
        <v>1121</v>
      </c>
      <c r="Y59" s="189" t="s">
        <v>1122</v>
      </c>
    </row>
    <row r="60" spans="1:25" x14ac:dyDescent="0.2">
      <c r="A60" s="35">
        <v>592</v>
      </c>
      <c r="B60" s="35" t="s">
        <v>1123</v>
      </c>
      <c r="C60" s="35" t="s">
        <v>253</v>
      </c>
      <c r="D60" s="35" t="s">
        <v>253</v>
      </c>
      <c r="E60" s="35" t="s">
        <v>940</v>
      </c>
      <c r="F60" s="35" t="s">
        <v>941</v>
      </c>
      <c r="G60" s="35" t="s">
        <v>340</v>
      </c>
      <c r="H60" s="35" t="s">
        <v>521</v>
      </c>
      <c r="I60" s="35">
        <v>6909</v>
      </c>
      <c r="J60" s="35">
        <v>1381.8351455039201</v>
      </c>
      <c r="K60" s="35">
        <v>48.667306316314402</v>
      </c>
      <c r="L60" s="35">
        <v>-8.68</v>
      </c>
      <c r="M60" s="35">
        <v>19.63</v>
      </c>
      <c r="N60" s="35">
        <v>13</v>
      </c>
      <c r="O60" s="35" t="s">
        <v>987</v>
      </c>
      <c r="P60" s="35" t="s">
        <v>988</v>
      </c>
      <c r="Q60" s="35" t="s">
        <v>253</v>
      </c>
      <c r="R60" s="35" t="s">
        <v>253</v>
      </c>
      <c r="S60" s="35" t="s">
        <v>257</v>
      </c>
      <c r="T60" s="35" t="s">
        <v>253</v>
      </c>
      <c r="U60" s="35" t="s">
        <v>253</v>
      </c>
      <c r="V60" s="35" t="s">
        <v>253</v>
      </c>
      <c r="W60" s="35" t="s">
        <v>253</v>
      </c>
      <c r="X60" s="35" t="s">
        <v>1124</v>
      </c>
      <c r="Y60" s="35" t="s">
        <v>1125</v>
      </c>
    </row>
    <row r="61" spans="1:25" x14ac:dyDescent="0.2">
      <c r="A61" s="35">
        <v>600</v>
      </c>
      <c r="B61" s="35" t="s">
        <v>1126</v>
      </c>
      <c r="C61" s="35" t="s">
        <v>253</v>
      </c>
      <c r="D61" s="35" t="s">
        <v>253</v>
      </c>
      <c r="E61" s="35" t="s">
        <v>940</v>
      </c>
      <c r="F61" s="35" t="s">
        <v>941</v>
      </c>
      <c r="G61" s="35" t="s">
        <v>340</v>
      </c>
      <c r="H61" s="35" t="s">
        <v>521</v>
      </c>
      <c r="I61" s="35">
        <v>4011</v>
      </c>
      <c r="J61" s="35">
        <v>1484.6518386759501</v>
      </c>
      <c r="K61" s="35">
        <v>589.86106057104598</v>
      </c>
      <c r="L61" s="35">
        <v>-26.2</v>
      </c>
      <c r="M61" s="35">
        <v>22.95</v>
      </c>
      <c r="N61" s="35">
        <v>161</v>
      </c>
      <c r="O61" s="35" t="s">
        <v>568</v>
      </c>
      <c r="P61" s="35" t="s">
        <v>569</v>
      </c>
      <c r="Q61" s="35" t="s">
        <v>253</v>
      </c>
      <c r="R61" s="35" t="s">
        <v>253</v>
      </c>
      <c r="S61" s="35" t="s">
        <v>253</v>
      </c>
      <c r="T61" s="35" t="s">
        <v>253</v>
      </c>
      <c r="U61" s="35" t="s">
        <v>253</v>
      </c>
      <c r="V61" s="35" t="s">
        <v>253</v>
      </c>
      <c r="W61" s="35" t="s">
        <v>253</v>
      </c>
      <c r="X61" s="35" t="s">
        <v>1127</v>
      </c>
      <c r="Y61" s="35" t="s">
        <v>1128</v>
      </c>
    </row>
    <row r="62" spans="1:25" x14ac:dyDescent="0.2">
      <c r="A62" s="35">
        <v>601</v>
      </c>
      <c r="B62" s="35" t="s">
        <v>1129</v>
      </c>
      <c r="C62" s="35" t="s">
        <v>253</v>
      </c>
      <c r="D62" s="35" t="s">
        <v>253</v>
      </c>
      <c r="E62" s="35" t="s">
        <v>940</v>
      </c>
      <c r="F62" s="35" t="s">
        <v>941</v>
      </c>
      <c r="G62" s="35" t="s">
        <v>340</v>
      </c>
      <c r="H62" s="35" t="s">
        <v>521</v>
      </c>
      <c r="I62" s="35">
        <v>16393</v>
      </c>
      <c r="J62" s="35">
        <v>1294.84089631237</v>
      </c>
      <c r="K62" s="35">
        <v>761.82553167989295</v>
      </c>
      <c r="L62" s="35">
        <v>-31.77</v>
      </c>
      <c r="M62" s="35">
        <v>16.82</v>
      </c>
      <c r="N62" s="35">
        <v>554</v>
      </c>
      <c r="O62" s="35" t="s">
        <v>542</v>
      </c>
      <c r="P62" s="35" t="s">
        <v>543</v>
      </c>
      <c r="Q62" s="35" t="s">
        <v>253</v>
      </c>
      <c r="R62" s="35" t="s">
        <v>253</v>
      </c>
      <c r="S62" s="35" t="s">
        <v>257</v>
      </c>
      <c r="T62" s="35" t="s">
        <v>253</v>
      </c>
      <c r="U62" s="35" t="s">
        <v>258</v>
      </c>
      <c r="V62" s="35" t="s">
        <v>253</v>
      </c>
      <c r="W62" s="35" t="s">
        <v>253</v>
      </c>
      <c r="X62" s="35" t="s">
        <v>1130</v>
      </c>
      <c r="Y62" s="35" t="s">
        <v>1131</v>
      </c>
    </row>
    <row r="63" spans="1:25" x14ac:dyDescent="0.2">
      <c r="A63" s="35">
        <v>605</v>
      </c>
      <c r="B63" s="35" t="s">
        <v>1132</v>
      </c>
      <c r="C63" s="35" t="s">
        <v>253</v>
      </c>
      <c r="D63" s="35" t="s">
        <v>253</v>
      </c>
      <c r="E63" s="35" t="s">
        <v>940</v>
      </c>
      <c r="F63" s="35" t="s">
        <v>941</v>
      </c>
      <c r="G63" s="35" t="s">
        <v>340</v>
      </c>
      <c r="H63" s="35" t="s">
        <v>521</v>
      </c>
      <c r="I63" s="35">
        <v>2159</v>
      </c>
      <c r="J63" s="35">
        <v>1471.16481078115</v>
      </c>
      <c r="K63" s="35">
        <v>888.11315651299606</v>
      </c>
      <c r="L63" s="35">
        <v>-35.86</v>
      </c>
      <c r="M63" s="35">
        <v>22.52</v>
      </c>
      <c r="N63" s="35">
        <v>13</v>
      </c>
      <c r="O63" s="35" t="s">
        <v>542</v>
      </c>
      <c r="P63" s="35" t="s">
        <v>543</v>
      </c>
      <c r="Q63" s="35" t="s">
        <v>253</v>
      </c>
      <c r="R63" s="35" t="s">
        <v>253</v>
      </c>
      <c r="S63" s="35" t="s">
        <v>257</v>
      </c>
      <c r="T63" s="35" t="s">
        <v>261</v>
      </c>
      <c r="U63" s="35" t="s">
        <v>253</v>
      </c>
      <c r="V63" s="35" t="s">
        <v>253</v>
      </c>
      <c r="W63" s="35" t="s">
        <v>253</v>
      </c>
      <c r="X63" s="35" t="s">
        <v>1133</v>
      </c>
      <c r="Y63" s="35" t="s">
        <v>1134</v>
      </c>
    </row>
    <row r="64" spans="1:25" x14ac:dyDescent="0.2">
      <c r="A64" s="35">
        <v>623</v>
      </c>
      <c r="B64" s="35" t="s">
        <v>1135</v>
      </c>
      <c r="C64" s="35" t="s">
        <v>253</v>
      </c>
      <c r="D64" s="35" t="s">
        <v>253</v>
      </c>
      <c r="E64" s="35" t="s">
        <v>940</v>
      </c>
      <c r="F64" s="35" t="s">
        <v>941</v>
      </c>
      <c r="G64" s="35" t="s">
        <v>522</v>
      </c>
      <c r="H64" s="35" t="s">
        <v>521</v>
      </c>
      <c r="I64" s="35">
        <v>19351</v>
      </c>
      <c r="J64" s="35">
        <v>1420.01919850477</v>
      </c>
      <c r="K64" s="35">
        <v>713.38510970276297</v>
      </c>
      <c r="L64" s="35">
        <v>-30.2</v>
      </c>
      <c r="M64" s="35">
        <v>20.87</v>
      </c>
      <c r="N64" s="35">
        <v>52</v>
      </c>
      <c r="O64" s="35" t="s">
        <v>550</v>
      </c>
      <c r="P64" s="35" t="s">
        <v>551</v>
      </c>
      <c r="Q64" s="35" t="s">
        <v>253</v>
      </c>
      <c r="R64" s="35" t="s">
        <v>253</v>
      </c>
      <c r="S64" s="35" t="s">
        <v>257</v>
      </c>
      <c r="T64" s="35" t="s">
        <v>261</v>
      </c>
      <c r="U64" s="35" t="s">
        <v>253</v>
      </c>
      <c r="V64" s="35" t="s">
        <v>253</v>
      </c>
      <c r="W64" s="35" t="s">
        <v>253</v>
      </c>
      <c r="X64" s="35" t="s">
        <v>1136</v>
      </c>
      <c r="Y64" s="35" t="s">
        <v>1137</v>
      </c>
    </row>
    <row r="65" spans="1:25" x14ac:dyDescent="0.2">
      <c r="A65" s="35">
        <v>632</v>
      </c>
      <c r="B65" s="35" t="s">
        <v>1138</v>
      </c>
      <c r="C65" s="35" t="s">
        <v>253</v>
      </c>
      <c r="D65" s="35" t="s">
        <v>253</v>
      </c>
      <c r="E65" s="35" t="s">
        <v>940</v>
      </c>
      <c r="F65" s="35" t="s">
        <v>941</v>
      </c>
      <c r="G65" s="35" t="s">
        <v>522</v>
      </c>
      <c r="H65" s="35" t="s">
        <v>521</v>
      </c>
      <c r="I65" s="35">
        <v>6348</v>
      </c>
      <c r="J65" s="35">
        <v>1236.5722649746699</v>
      </c>
      <c r="K65" s="35">
        <v>37.068073090774398</v>
      </c>
      <c r="L65" s="35">
        <v>-8.3000000000000007</v>
      </c>
      <c r="M65" s="35">
        <v>14.94</v>
      </c>
      <c r="N65" s="35">
        <v>643</v>
      </c>
      <c r="O65" s="35" t="s">
        <v>956</v>
      </c>
      <c r="P65" s="35" t="s">
        <v>957</v>
      </c>
      <c r="Q65" s="35" t="s">
        <v>253</v>
      </c>
      <c r="R65" s="35" t="s">
        <v>253</v>
      </c>
      <c r="S65" s="35" t="s">
        <v>253</v>
      </c>
      <c r="T65" s="35" t="s">
        <v>253</v>
      </c>
      <c r="U65" s="35" t="s">
        <v>253</v>
      </c>
      <c r="V65" s="35" t="s">
        <v>253</v>
      </c>
      <c r="W65" s="35" t="s">
        <v>253</v>
      </c>
      <c r="X65" s="35" t="s">
        <v>1139</v>
      </c>
      <c r="Y65" s="35" t="s">
        <v>1140</v>
      </c>
    </row>
    <row r="66" spans="1:25" x14ac:dyDescent="0.2">
      <c r="A66" s="35">
        <v>639</v>
      </c>
      <c r="B66" s="35" t="s">
        <v>1141</v>
      </c>
      <c r="C66" s="35" t="s">
        <v>253</v>
      </c>
      <c r="D66" s="35" t="s">
        <v>253</v>
      </c>
      <c r="E66" s="35" t="s">
        <v>940</v>
      </c>
      <c r="F66" s="35" t="s">
        <v>941</v>
      </c>
      <c r="G66" s="35" t="s">
        <v>522</v>
      </c>
      <c r="H66" s="35" t="s">
        <v>521</v>
      </c>
      <c r="I66" s="35">
        <v>23709</v>
      </c>
      <c r="J66" s="35">
        <v>1327.6340305154499</v>
      </c>
      <c r="K66" s="35">
        <v>416.164489198654</v>
      </c>
      <c r="L66" s="35">
        <v>-20.58</v>
      </c>
      <c r="M66" s="35">
        <v>17.88</v>
      </c>
      <c r="N66" s="35">
        <v>210</v>
      </c>
      <c r="O66" s="35" t="s">
        <v>967</v>
      </c>
      <c r="P66" s="35" t="s">
        <v>968</v>
      </c>
      <c r="Q66" s="35" t="s">
        <v>253</v>
      </c>
      <c r="R66" s="35" t="s">
        <v>253</v>
      </c>
      <c r="S66" s="35" t="s">
        <v>253</v>
      </c>
      <c r="T66" s="35" t="s">
        <v>261</v>
      </c>
      <c r="U66" s="35" t="s">
        <v>258</v>
      </c>
      <c r="V66" s="35" t="s">
        <v>297</v>
      </c>
      <c r="W66" s="35" t="s">
        <v>253</v>
      </c>
      <c r="X66" s="35" t="s">
        <v>1142</v>
      </c>
      <c r="Y66" s="35" t="s">
        <v>1143</v>
      </c>
    </row>
    <row r="67" spans="1:25" x14ac:dyDescent="0.2">
      <c r="A67" s="35">
        <v>643</v>
      </c>
      <c r="B67" s="35" t="s">
        <v>1144</v>
      </c>
      <c r="C67" s="35" t="s">
        <v>253</v>
      </c>
      <c r="D67" s="35" t="s">
        <v>253</v>
      </c>
      <c r="E67" s="35" t="s">
        <v>940</v>
      </c>
      <c r="F67" s="35" t="s">
        <v>941</v>
      </c>
      <c r="G67" s="35" t="s">
        <v>340</v>
      </c>
      <c r="H67" s="35" t="s">
        <v>521</v>
      </c>
      <c r="I67" s="35">
        <v>13635</v>
      </c>
      <c r="J67" s="35">
        <v>1432.3969037588699</v>
      </c>
      <c r="K67" s="35">
        <v>614.86947448852698</v>
      </c>
      <c r="L67" s="35">
        <v>-27.01</v>
      </c>
      <c r="M67" s="35">
        <v>21.27</v>
      </c>
      <c r="N67" s="35">
        <v>840</v>
      </c>
      <c r="O67" s="35" t="s">
        <v>550</v>
      </c>
      <c r="P67" s="35" t="s">
        <v>551</v>
      </c>
      <c r="Q67" s="35" t="s">
        <v>253</v>
      </c>
      <c r="R67" s="35" t="s">
        <v>253</v>
      </c>
      <c r="S67" s="35" t="s">
        <v>257</v>
      </c>
      <c r="T67" s="35" t="s">
        <v>253</v>
      </c>
      <c r="U67" s="35" t="s">
        <v>253</v>
      </c>
      <c r="V67" s="35" t="s">
        <v>253</v>
      </c>
      <c r="W67" s="35" t="s">
        <v>253</v>
      </c>
      <c r="X67" s="35" t="s">
        <v>1145</v>
      </c>
      <c r="Y67" s="35" t="s">
        <v>1146</v>
      </c>
    </row>
    <row r="68" spans="1:25" x14ac:dyDescent="0.2">
      <c r="A68" s="35">
        <v>683</v>
      </c>
      <c r="B68" s="35" t="s">
        <v>1147</v>
      </c>
      <c r="C68" s="35" t="s">
        <v>253</v>
      </c>
      <c r="D68" s="35" t="s">
        <v>253</v>
      </c>
      <c r="E68" s="35" t="s">
        <v>940</v>
      </c>
      <c r="F68" s="35" t="s">
        <v>941</v>
      </c>
      <c r="G68" s="35" t="s">
        <v>340</v>
      </c>
      <c r="H68" s="35" t="s">
        <v>521</v>
      </c>
      <c r="I68" s="35">
        <v>1996</v>
      </c>
      <c r="J68" s="35">
        <v>1451.4500066578701</v>
      </c>
      <c r="K68" s="35">
        <v>810.71357507344396</v>
      </c>
      <c r="L68" s="35">
        <v>-33.35</v>
      </c>
      <c r="M68" s="35">
        <v>21.88</v>
      </c>
      <c r="N68" s="35">
        <v>13</v>
      </c>
      <c r="O68" s="35" t="s">
        <v>554</v>
      </c>
      <c r="P68" s="35" t="s">
        <v>555</v>
      </c>
      <c r="Q68" s="35" t="s">
        <v>253</v>
      </c>
      <c r="R68" s="35" t="s">
        <v>253</v>
      </c>
      <c r="S68" s="35" t="s">
        <v>253</v>
      </c>
      <c r="T68" s="35" t="s">
        <v>253</v>
      </c>
      <c r="U68" s="35" t="s">
        <v>253</v>
      </c>
      <c r="V68" s="35" t="s">
        <v>253</v>
      </c>
      <c r="W68" s="35" t="s">
        <v>253</v>
      </c>
      <c r="X68" s="35" t="s">
        <v>1148</v>
      </c>
      <c r="Y68" s="35" t="s">
        <v>1149</v>
      </c>
    </row>
    <row r="69" spans="1:25" x14ac:dyDescent="0.2">
      <c r="A69" s="35">
        <v>684</v>
      </c>
      <c r="B69" s="35" t="s">
        <v>1046</v>
      </c>
      <c r="C69" s="35" t="s">
        <v>253</v>
      </c>
      <c r="D69" s="35" t="s">
        <v>253</v>
      </c>
      <c r="E69" s="35" t="s">
        <v>940</v>
      </c>
      <c r="F69" s="35" t="s">
        <v>941</v>
      </c>
      <c r="G69" s="35" t="s">
        <v>340</v>
      </c>
      <c r="H69" s="35" t="s">
        <v>521</v>
      </c>
      <c r="I69" s="35">
        <v>1897</v>
      </c>
      <c r="J69" s="35">
        <v>1356.30126296716</v>
      </c>
      <c r="K69" s="35">
        <v>901.21094839351395</v>
      </c>
      <c r="L69" s="35">
        <v>-36.28</v>
      </c>
      <c r="M69" s="35">
        <v>18.809999999999999</v>
      </c>
      <c r="N69" s="35">
        <v>82</v>
      </c>
      <c r="O69" s="35" t="s">
        <v>542</v>
      </c>
      <c r="P69" s="35" t="s">
        <v>543</v>
      </c>
      <c r="Q69" s="35" t="s">
        <v>253</v>
      </c>
      <c r="R69" s="35" t="s">
        <v>253</v>
      </c>
      <c r="S69" s="35" t="s">
        <v>253</v>
      </c>
      <c r="T69" s="35" t="s">
        <v>253</v>
      </c>
      <c r="U69" s="35" t="s">
        <v>258</v>
      </c>
      <c r="V69" s="35" t="s">
        <v>253</v>
      </c>
      <c r="W69" s="35" t="s">
        <v>253</v>
      </c>
      <c r="X69" s="35" t="s">
        <v>1150</v>
      </c>
      <c r="Y69" s="35" t="s">
        <v>1151</v>
      </c>
    </row>
    <row r="70" spans="1:25" x14ac:dyDescent="0.2">
      <c r="A70" s="35">
        <v>686</v>
      </c>
      <c r="B70" s="35" t="s">
        <v>1152</v>
      </c>
      <c r="C70" s="35" t="s">
        <v>253</v>
      </c>
      <c r="D70" s="35" t="s">
        <v>253</v>
      </c>
      <c r="E70" s="35" t="s">
        <v>940</v>
      </c>
      <c r="F70" s="35" t="s">
        <v>941</v>
      </c>
      <c r="G70" s="35" t="s">
        <v>522</v>
      </c>
      <c r="H70" s="35" t="s">
        <v>521</v>
      </c>
      <c r="I70" s="35">
        <v>2005</v>
      </c>
      <c r="J70" s="35">
        <v>1265.3951918321</v>
      </c>
      <c r="K70" s="35">
        <v>9.2376980697636402</v>
      </c>
      <c r="L70" s="35">
        <v>-7.4</v>
      </c>
      <c r="M70" s="35">
        <v>15.87</v>
      </c>
      <c r="N70" s="35">
        <v>738</v>
      </c>
      <c r="O70" s="35" t="s">
        <v>987</v>
      </c>
      <c r="P70" s="35" t="s">
        <v>988</v>
      </c>
      <c r="Q70" s="35" t="s">
        <v>253</v>
      </c>
      <c r="R70" s="35" t="s">
        <v>253</v>
      </c>
      <c r="S70" s="35" t="s">
        <v>253</v>
      </c>
      <c r="T70" s="35" t="s">
        <v>253</v>
      </c>
      <c r="U70" s="35" t="s">
        <v>253</v>
      </c>
      <c r="V70" s="35" t="s">
        <v>253</v>
      </c>
      <c r="W70" s="35" t="s">
        <v>253</v>
      </c>
      <c r="X70" s="35" t="s">
        <v>1153</v>
      </c>
      <c r="Y70" s="35" t="s">
        <v>1154</v>
      </c>
    </row>
    <row r="71" spans="1:25" x14ac:dyDescent="0.2">
      <c r="A71" s="35">
        <v>709</v>
      </c>
      <c r="B71" s="35" t="s">
        <v>1155</v>
      </c>
      <c r="C71" s="35" t="s">
        <v>253</v>
      </c>
      <c r="D71" s="35" t="s">
        <v>253</v>
      </c>
      <c r="E71" s="35" t="s">
        <v>940</v>
      </c>
      <c r="F71" s="35" t="s">
        <v>941</v>
      </c>
      <c r="G71" s="35" t="s">
        <v>522</v>
      </c>
      <c r="H71" s="35" t="s">
        <v>521</v>
      </c>
      <c r="I71" s="35">
        <v>6531</v>
      </c>
      <c r="J71" s="35">
        <v>1309.67078845643</v>
      </c>
      <c r="K71" s="35">
        <v>95.103162819903005</v>
      </c>
      <c r="L71" s="35">
        <v>-10.18</v>
      </c>
      <c r="M71" s="35">
        <v>17.3</v>
      </c>
      <c r="N71" s="35">
        <v>948</v>
      </c>
      <c r="O71" s="35" t="s">
        <v>1086</v>
      </c>
      <c r="P71" s="35" t="s">
        <v>1087</v>
      </c>
      <c r="Q71" s="35" t="s">
        <v>253</v>
      </c>
      <c r="R71" s="35" t="s">
        <v>253</v>
      </c>
      <c r="S71" s="35" t="s">
        <v>257</v>
      </c>
      <c r="T71" s="35" t="s">
        <v>253</v>
      </c>
      <c r="U71" s="35" t="s">
        <v>253</v>
      </c>
      <c r="V71" s="35" t="s">
        <v>253</v>
      </c>
      <c r="W71" s="35" t="s">
        <v>253</v>
      </c>
      <c r="X71" s="35" t="s">
        <v>1156</v>
      </c>
      <c r="Y71" s="35" t="s">
        <v>1157</v>
      </c>
    </row>
    <row r="72" spans="1:25" x14ac:dyDescent="0.2">
      <c r="A72" s="35">
        <v>715</v>
      </c>
      <c r="B72" s="35" t="s">
        <v>1158</v>
      </c>
      <c r="C72" s="35" t="s">
        <v>253</v>
      </c>
      <c r="D72" s="35" t="s">
        <v>253</v>
      </c>
      <c r="E72" s="35" t="s">
        <v>940</v>
      </c>
      <c r="F72" s="35" t="s">
        <v>941</v>
      </c>
      <c r="G72" s="35" t="s">
        <v>340</v>
      </c>
      <c r="H72" s="35" t="s">
        <v>521</v>
      </c>
      <c r="I72" s="35">
        <v>19269</v>
      </c>
      <c r="J72" s="35">
        <v>1453.2599541242701</v>
      </c>
      <c r="K72" s="35">
        <v>248.676232254025</v>
      </c>
      <c r="L72" s="35">
        <v>-15.15</v>
      </c>
      <c r="M72" s="35">
        <v>21.94</v>
      </c>
      <c r="N72" s="35">
        <v>328</v>
      </c>
      <c r="O72" s="35" t="s">
        <v>929</v>
      </c>
      <c r="P72" s="35" t="s">
        <v>930</v>
      </c>
      <c r="Q72" s="35" t="s">
        <v>253</v>
      </c>
      <c r="R72" s="35" t="s">
        <v>253</v>
      </c>
      <c r="S72" s="35" t="s">
        <v>257</v>
      </c>
      <c r="T72" s="35" t="s">
        <v>261</v>
      </c>
      <c r="U72" s="35" t="s">
        <v>253</v>
      </c>
      <c r="V72" s="35" t="s">
        <v>253</v>
      </c>
      <c r="W72" s="35" t="s">
        <v>253</v>
      </c>
      <c r="X72" s="35" t="s">
        <v>1159</v>
      </c>
      <c r="Y72" s="35" t="s">
        <v>1160</v>
      </c>
    </row>
    <row r="73" spans="1:25" x14ac:dyDescent="0.2">
      <c r="A73" s="35">
        <v>716</v>
      </c>
      <c r="B73" s="35" t="s">
        <v>1161</v>
      </c>
      <c r="C73" s="35" t="s">
        <v>253</v>
      </c>
      <c r="D73" s="35" t="s">
        <v>253</v>
      </c>
      <c r="E73" s="35" t="s">
        <v>940</v>
      </c>
      <c r="F73" s="35" t="s">
        <v>941</v>
      </c>
      <c r="G73" s="35" t="s">
        <v>340</v>
      </c>
      <c r="H73" s="35" t="s">
        <v>521</v>
      </c>
      <c r="I73" s="35">
        <v>2948</v>
      </c>
      <c r="J73" s="35">
        <v>1505.9041250556299</v>
      </c>
      <c r="K73" s="35">
        <v>267.96287676159301</v>
      </c>
      <c r="L73" s="35">
        <v>-15.78</v>
      </c>
      <c r="M73" s="35">
        <v>23.64</v>
      </c>
      <c r="N73" s="35">
        <v>52</v>
      </c>
      <c r="O73" s="35" t="s">
        <v>918</v>
      </c>
      <c r="P73" s="35" t="s">
        <v>919</v>
      </c>
      <c r="Q73" s="35" t="s">
        <v>253</v>
      </c>
      <c r="R73" s="35" t="s">
        <v>253</v>
      </c>
      <c r="S73" s="35" t="s">
        <v>253</v>
      </c>
      <c r="T73" s="35" t="s">
        <v>253</v>
      </c>
      <c r="U73" s="35" t="s">
        <v>253</v>
      </c>
      <c r="V73" s="35" t="s">
        <v>253</v>
      </c>
      <c r="W73" s="35" t="s">
        <v>253</v>
      </c>
      <c r="X73" s="35" t="s">
        <v>1162</v>
      </c>
      <c r="Y73" s="35" t="s">
        <v>1163</v>
      </c>
    </row>
    <row r="74" spans="1:25" x14ac:dyDescent="0.2">
      <c r="A74" s="35">
        <v>731</v>
      </c>
      <c r="B74" s="35" t="s">
        <v>1164</v>
      </c>
      <c r="C74" s="35" t="s">
        <v>253</v>
      </c>
      <c r="D74" s="35" t="s">
        <v>253</v>
      </c>
      <c r="E74" s="35" t="s">
        <v>940</v>
      </c>
      <c r="F74" s="35" t="s">
        <v>941</v>
      </c>
      <c r="G74" s="35" t="s">
        <v>340</v>
      </c>
      <c r="H74" s="35" t="s">
        <v>521</v>
      </c>
      <c r="I74" s="35">
        <v>3002</v>
      </c>
      <c r="J74" s="35">
        <v>1519</v>
      </c>
      <c r="K74" s="35">
        <v>436</v>
      </c>
      <c r="L74" s="35">
        <v>-21.22</v>
      </c>
      <c r="M74" s="35">
        <v>24.06</v>
      </c>
      <c r="N74" s="35">
        <v>13</v>
      </c>
      <c r="O74" s="35" t="s">
        <v>945</v>
      </c>
      <c r="P74" s="35" t="s">
        <v>946</v>
      </c>
      <c r="Q74" s="35" t="s">
        <v>253</v>
      </c>
      <c r="R74" s="35" t="s">
        <v>259</v>
      </c>
      <c r="S74" s="35" t="s">
        <v>257</v>
      </c>
      <c r="T74" s="35" t="s">
        <v>253</v>
      </c>
      <c r="U74" s="35" t="s">
        <v>253</v>
      </c>
      <c r="V74" s="35" t="s">
        <v>253</v>
      </c>
      <c r="W74" s="35" t="s">
        <v>253</v>
      </c>
      <c r="X74" s="35" t="s">
        <v>1165</v>
      </c>
      <c r="Y74" s="35" t="s">
        <v>1166</v>
      </c>
    </row>
    <row r="75" spans="1:25" x14ac:dyDescent="0.2">
      <c r="A75" s="35">
        <v>733</v>
      </c>
      <c r="B75" s="35" t="s">
        <v>1167</v>
      </c>
      <c r="C75" s="35" t="s">
        <v>253</v>
      </c>
      <c r="D75" s="35" t="s">
        <v>253</v>
      </c>
      <c r="E75" s="35" t="s">
        <v>940</v>
      </c>
      <c r="F75" s="35" t="s">
        <v>941</v>
      </c>
      <c r="G75" s="35" t="s">
        <v>522</v>
      </c>
      <c r="H75" s="35" t="s">
        <v>521</v>
      </c>
      <c r="I75" s="35">
        <v>4069</v>
      </c>
      <c r="J75" s="35">
        <v>1395.03024638801</v>
      </c>
      <c r="K75" s="35">
        <v>640.42281882600105</v>
      </c>
      <c r="L75" s="35">
        <v>-27.84</v>
      </c>
      <c r="M75" s="35">
        <v>20.059999999999999</v>
      </c>
      <c r="N75" s="35">
        <v>118</v>
      </c>
      <c r="O75" s="35" t="s">
        <v>564</v>
      </c>
      <c r="P75" s="35" t="s">
        <v>565</v>
      </c>
      <c r="Q75" s="35" t="s">
        <v>253</v>
      </c>
      <c r="R75" s="35" t="s">
        <v>253</v>
      </c>
      <c r="S75" s="35" t="s">
        <v>257</v>
      </c>
      <c r="T75" s="35" t="s">
        <v>253</v>
      </c>
      <c r="U75" s="35" t="s">
        <v>253</v>
      </c>
      <c r="V75" s="35" t="s">
        <v>253</v>
      </c>
      <c r="W75" s="35" t="s">
        <v>253</v>
      </c>
      <c r="X75" s="35" t="s">
        <v>1168</v>
      </c>
      <c r="Y75" s="35" t="s">
        <v>1169</v>
      </c>
    </row>
    <row r="76" spans="1:25" x14ac:dyDescent="0.2">
      <c r="A76" s="35">
        <v>743</v>
      </c>
      <c r="B76" s="35" t="s">
        <v>1170</v>
      </c>
      <c r="C76" s="35" t="s">
        <v>253</v>
      </c>
      <c r="D76" s="35" t="s">
        <v>253</v>
      </c>
      <c r="E76" s="35" t="s">
        <v>940</v>
      </c>
      <c r="F76" s="35" t="s">
        <v>941</v>
      </c>
      <c r="G76" s="35" t="s">
        <v>522</v>
      </c>
      <c r="H76" s="35" t="s">
        <v>521</v>
      </c>
      <c r="I76" s="35">
        <v>18691</v>
      </c>
      <c r="J76" s="35">
        <v>1255.19720825796</v>
      </c>
      <c r="K76" s="35">
        <v>76.1279071237593</v>
      </c>
      <c r="L76" s="35">
        <v>-9.57</v>
      </c>
      <c r="M76" s="35">
        <v>15.54</v>
      </c>
      <c r="N76" s="35">
        <v>1447</v>
      </c>
      <c r="O76" s="35" t="s">
        <v>904</v>
      </c>
      <c r="P76" s="35" t="s">
        <v>905</v>
      </c>
      <c r="Q76" s="35" t="s">
        <v>253</v>
      </c>
      <c r="R76" s="35" t="s">
        <v>253</v>
      </c>
      <c r="S76" s="35" t="s">
        <v>253</v>
      </c>
      <c r="T76" s="35" t="s">
        <v>253</v>
      </c>
      <c r="U76" s="35" t="s">
        <v>258</v>
      </c>
      <c r="V76" s="35" t="s">
        <v>253</v>
      </c>
      <c r="W76" s="35" t="s">
        <v>253</v>
      </c>
      <c r="X76" s="35" t="s">
        <v>1171</v>
      </c>
      <c r="Y76" s="35" t="s">
        <v>1172</v>
      </c>
    </row>
    <row r="77" spans="1:25" x14ac:dyDescent="0.2">
      <c r="A77" s="35">
        <v>744</v>
      </c>
      <c r="B77" s="35" t="s">
        <v>1173</v>
      </c>
      <c r="C77" s="35" t="s">
        <v>253</v>
      </c>
      <c r="D77" s="35" t="s">
        <v>253</v>
      </c>
      <c r="E77" s="35" t="s">
        <v>940</v>
      </c>
      <c r="F77" s="35" t="s">
        <v>941</v>
      </c>
      <c r="G77" s="35" t="s">
        <v>522</v>
      </c>
      <c r="H77" s="35" t="s">
        <v>521</v>
      </c>
      <c r="I77" s="35">
        <v>29136</v>
      </c>
      <c r="J77" s="35">
        <v>1298.2272496365999</v>
      </c>
      <c r="K77" s="35">
        <v>116.76414701457701</v>
      </c>
      <c r="L77" s="35">
        <v>-10.88</v>
      </c>
      <c r="M77" s="35">
        <v>16.93</v>
      </c>
      <c r="N77" s="35">
        <v>2953</v>
      </c>
      <c r="O77" s="35" t="s">
        <v>967</v>
      </c>
      <c r="P77" s="35" t="s">
        <v>968</v>
      </c>
      <c r="Q77" s="35" t="s">
        <v>253</v>
      </c>
      <c r="R77" s="35" t="s">
        <v>253</v>
      </c>
      <c r="S77" s="35" t="s">
        <v>253</v>
      </c>
      <c r="T77" s="35" t="s">
        <v>261</v>
      </c>
      <c r="U77" s="35" t="s">
        <v>258</v>
      </c>
      <c r="V77" s="35" t="s">
        <v>253</v>
      </c>
      <c r="W77" s="35" t="s">
        <v>253</v>
      </c>
      <c r="X77" s="35" t="s">
        <v>1174</v>
      </c>
      <c r="Y77" s="35" t="s">
        <v>1175</v>
      </c>
    </row>
    <row r="78" spans="1:25" x14ac:dyDescent="0.2">
      <c r="A78" s="35">
        <v>762</v>
      </c>
      <c r="B78" s="35" t="s">
        <v>1176</v>
      </c>
      <c r="C78" s="35" t="s">
        <v>253</v>
      </c>
      <c r="D78" s="35" t="s">
        <v>253</v>
      </c>
      <c r="E78" s="35" t="s">
        <v>940</v>
      </c>
      <c r="F78" s="35" t="s">
        <v>941</v>
      </c>
      <c r="G78" s="35" t="s">
        <v>340</v>
      </c>
      <c r="H78" s="35" t="s">
        <v>521</v>
      </c>
      <c r="I78" s="35">
        <v>13551</v>
      </c>
      <c r="J78" s="35">
        <v>1378.8769517953899</v>
      </c>
      <c r="K78" s="35">
        <v>837.434627453757</v>
      </c>
      <c r="L78" s="35">
        <v>-34.22</v>
      </c>
      <c r="M78" s="35">
        <v>19.54</v>
      </c>
      <c r="N78" s="35">
        <v>82</v>
      </c>
      <c r="O78" s="35" t="s">
        <v>542</v>
      </c>
      <c r="P78" s="35" t="s">
        <v>543</v>
      </c>
      <c r="Q78" s="35" t="s">
        <v>253</v>
      </c>
      <c r="R78" s="35" t="s">
        <v>253</v>
      </c>
      <c r="S78" s="35" t="s">
        <v>257</v>
      </c>
      <c r="T78" s="35" t="s">
        <v>261</v>
      </c>
      <c r="U78" s="35" t="s">
        <v>258</v>
      </c>
      <c r="V78" s="35" t="s">
        <v>253</v>
      </c>
      <c r="W78" s="35" t="s">
        <v>253</v>
      </c>
      <c r="X78" s="35" t="s">
        <v>1177</v>
      </c>
      <c r="Y78" s="35" t="s">
        <v>1178</v>
      </c>
    </row>
    <row r="79" spans="1:25" x14ac:dyDescent="0.2">
      <c r="A79" s="35">
        <v>764</v>
      </c>
      <c r="B79" s="35" t="s">
        <v>1179</v>
      </c>
      <c r="C79" s="35" t="s">
        <v>253</v>
      </c>
      <c r="D79" s="35" t="s">
        <v>253</v>
      </c>
      <c r="E79" s="35" t="s">
        <v>940</v>
      </c>
      <c r="F79" s="35" t="s">
        <v>941</v>
      </c>
      <c r="G79" s="35" t="s">
        <v>340</v>
      </c>
      <c r="H79" s="35" t="s">
        <v>521</v>
      </c>
      <c r="I79" s="35">
        <v>3004</v>
      </c>
      <c r="J79" s="35">
        <v>1319.5</v>
      </c>
      <c r="K79" s="35">
        <v>897</v>
      </c>
      <c r="L79" s="35">
        <v>-36.15</v>
      </c>
      <c r="M79" s="35">
        <v>17.62</v>
      </c>
      <c r="N79" s="35">
        <v>82</v>
      </c>
      <c r="O79" s="35" t="s">
        <v>542</v>
      </c>
      <c r="P79" s="35" t="s">
        <v>543</v>
      </c>
      <c r="Q79" s="35" t="s">
        <v>253</v>
      </c>
      <c r="R79" s="35" t="s">
        <v>259</v>
      </c>
      <c r="S79" s="35" t="s">
        <v>253</v>
      </c>
      <c r="T79" s="35" t="s">
        <v>261</v>
      </c>
      <c r="U79" s="35" t="s">
        <v>253</v>
      </c>
      <c r="V79" s="35" t="s">
        <v>253</v>
      </c>
      <c r="W79" s="35" t="s">
        <v>253</v>
      </c>
      <c r="X79" s="35" t="s">
        <v>1180</v>
      </c>
      <c r="Y79" s="35" t="s">
        <v>1181</v>
      </c>
    </row>
    <row r="80" spans="1:25" x14ac:dyDescent="0.2">
      <c r="A80" s="35">
        <v>775</v>
      </c>
      <c r="B80" s="35" t="s">
        <v>1182</v>
      </c>
      <c r="C80" s="35" t="s">
        <v>253</v>
      </c>
      <c r="D80" s="35" t="s">
        <v>253</v>
      </c>
      <c r="E80" s="35" t="s">
        <v>940</v>
      </c>
      <c r="F80" s="35" t="s">
        <v>941</v>
      </c>
      <c r="G80" s="35" t="s">
        <v>340</v>
      </c>
      <c r="H80" s="35" t="s">
        <v>521</v>
      </c>
      <c r="I80" s="35">
        <v>8659</v>
      </c>
      <c r="J80" s="35">
        <v>1482.1218045831299</v>
      </c>
      <c r="K80" s="35">
        <v>492.70775140679001</v>
      </c>
      <c r="L80" s="35">
        <v>-23.05</v>
      </c>
      <c r="M80" s="35">
        <v>22.87</v>
      </c>
      <c r="N80" s="35">
        <v>13</v>
      </c>
      <c r="O80" s="35" t="s">
        <v>602</v>
      </c>
      <c r="P80" s="35" t="s">
        <v>603</v>
      </c>
      <c r="Q80" s="35" t="s">
        <v>253</v>
      </c>
      <c r="R80" s="35" t="s">
        <v>253</v>
      </c>
      <c r="S80" s="35" t="s">
        <v>257</v>
      </c>
      <c r="T80" s="35" t="s">
        <v>253</v>
      </c>
      <c r="U80" s="35" t="s">
        <v>258</v>
      </c>
      <c r="V80" s="35" t="s">
        <v>253</v>
      </c>
      <c r="W80" s="35" t="s">
        <v>253</v>
      </c>
      <c r="X80" s="35" t="s">
        <v>1183</v>
      </c>
      <c r="Y80" s="35" t="s">
        <v>1184</v>
      </c>
    </row>
    <row r="81" spans="1:25" x14ac:dyDescent="0.2">
      <c r="A81" s="35">
        <v>796</v>
      </c>
      <c r="B81" s="35" t="s">
        <v>1185</v>
      </c>
      <c r="C81" s="35" t="s">
        <v>253</v>
      </c>
      <c r="D81" s="35" t="s">
        <v>253</v>
      </c>
      <c r="E81" s="35" t="s">
        <v>940</v>
      </c>
      <c r="F81" s="35" t="s">
        <v>941</v>
      </c>
      <c r="G81" s="35" t="s">
        <v>522</v>
      </c>
      <c r="H81" s="35" t="s">
        <v>521</v>
      </c>
      <c r="I81" s="35">
        <v>18438</v>
      </c>
      <c r="J81" s="35">
        <v>1435.04370865598</v>
      </c>
      <c r="K81" s="35">
        <v>205.315340263248</v>
      </c>
      <c r="L81" s="35">
        <v>-13.75</v>
      </c>
      <c r="M81" s="35">
        <v>21.35</v>
      </c>
      <c r="N81" s="35">
        <v>266</v>
      </c>
      <c r="O81" s="35" t="s">
        <v>929</v>
      </c>
      <c r="P81" s="35" t="s">
        <v>930</v>
      </c>
      <c r="Q81" s="35" t="s">
        <v>253</v>
      </c>
      <c r="R81" s="35" t="s">
        <v>253</v>
      </c>
      <c r="S81" s="35" t="s">
        <v>257</v>
      </c>
      <c r="T81" s="35" t="s">
        <v>253</v>
      </c>
      <c r="U81" s="35" t="s">
        <v>253</v>
      </c>
      <c r="V81" s="35" t="s">
        <v>253</v>
      </c>
      <c r="W81" s="35" t="s">
        <v>253</v>
      </c>
      <c r="X81" s="35" t="s">
        <v>1186</v>
      </c>
      <c r="Y81" s="35" t="s">
        <v>1187</v>
      </c>
    </row>
    <row r="82" spans="1:25" x14ac:dyDescent="0.2">
      <c r="A82" s="35">
        <v>801</v>
      </c>
      <c r="B82" s="35" t="s">
        <v>1188</v>
      </c>
      <c r="C82" s="35" t="s">
        <v>253</v>
      </c>
      <c r="D82" s="35" t="s">
        <v>253</v>
      </c>
      <c r="E82" s="35" t="s">
        <v>940</v>
      </c>
      <c r="F82" s="35" t="s">
        <v>941</v>
      </c>
      <c r="G82" s="35" t="s">
        <v>340</v>
      </c>
      <c r="H82" s="35" t="s">
        <v>521</v>
      </c>
      <c r="I82" s="35">
        <v>1907</v>
      </c>
      <c r="J82" s="35">
        <v>1494.6357424422199</v>
      </c>
      <c r="K82" s="35">
        <v>582.19311108973204</v>
      </c>
      <c r="L82" s="35">
        <v>-25.95</v>
      </c>
      <c r="M82" s="35">
        <v>23.28</v>
      </c>
      <c r="N82" s="35">
        <v>472</v>
      </c>
      <c r="O82" s="35" t="s">
        <v>564</v>
      </c>
      <c r="P82" s="35" t="s">
        <v>565</v>
      </c>
      <c r="Q82" s="35" t="s">
        <v>253</v>
      </c>
      <c r="R82" s="35" t="s">
        <v>253</v>
      </c>
      <c r="S82" s="35" t="s">
        <v>253</v>
      </c>
      <c r="T82" s="35" t="s">
        <v>253</v>
      </c>
      <c r="U82" s="35" t="s">
        <v>253</v>
      </c>
      <c r="V82" s="35" t="s">
        <v>253</v>
      </c>
      <c r="W82" s="35" t="s">
        <v>253</v>
      </c>
      <c r="X82" s="35" t="s">
        <v>1189</v>
      </c>
      <c r="Y82" s="35" t="s">
        <v>1190</v>
      </c>
    </row>
    <row r="83" spans="1:25" x14ac:dyDescent="0.2">
      <c r="A83" s="35">
        <v>815</v>
      </c>
      <c r="B83" s="35" t="s">
        <v>1191</v>
      </c>
      <c r="C83" s="35" t="s">
        <v>253</v>
      </c>
      <c r="D83" s="35" t="s">
        <v>253</v>
      </c>
      <c r="E83" s="35" t="s">
        <v>940</v>
      </c>
      <c r="F83" s="35" t="s">
        <v>941</v>
      </c>
      <c r="G83" s="35" t="s">
        <v>522</v>
      </c>
      <c r="H83" s="35" t="s">
        <v>521</v>
      </c>
      <c r="I83" s="35">
        <v>2128</v>
      </c>
      <c r="J83" s="35">
        <v>1224.6421811369901</v>
      </c>
      <c r="K83" s="35">
        <v>50.827566195567798</v>
      </c>
      <c r="L83" s="35">
        <v>-8.75</v>
      </c>
      <c r="M83" s="35">
        <v>14.56</v>
      </c>
      <c r="N83" s="35">
        <v>738</v>
      </c>
      <c r="O83" s="35" t="s">
        <v>956</v>
      </c>
      <c r="P83" s="35" t="s">
        <v>957</v>
      </c>
      <c r="Q83" s="35" t="s">
        <v>253</v>
      </c>
      <c r="R83" s="35" t="s">
        <v>253</v>
      </c>
      <c r="S83" s="35" t="s">
        <v>257</v>
      </c>
      <c r="T83" s="35" t="s">
        <v>253</v>
      </c>
      <c r="U83" s="35" t="s">
        <v>253</v>
      </c>
      <c r="V83" s="35" t="s">
        <v>253</v>
      </c>
      <c r="W83" s="35" t="s">
        <v>253</v>
      </c>
      <c r="X83" s="35" t="s">
        <v>1192</v>
      </c>
      <c r="Y83" s="35" t="s">
        <v>1193</v>
      </c>
    </row>
    <row r="84" spans="1:25" x14ac:dyDescent="0.2">
      <c r="A84" s="35">
        <v>824</v>
      </c>
      <c r="B84" s="35" t="s">
        <v>1194</v>
      </c>
      <c r="C84" s="35" t="s">
        <v>253</v>
      </c>
      <c r="D84" s="35" t="s">
        <v>253</v>
      </c>
      <c r="E84" s="35" t="s">
        <v>940</v>
      </c>
      <c r="F84" s="35" t="s">
        <v>941</v>
      </c>
      <c r="G84" s="35" t="s">
        <v>522</v>
      </c>
      <c r="H84" s="35" t="s">
        <v>521</v>
      </c>
      <c r="I84" s="35">
        <v>7051</v>
      </c>
      <c r="J84" s="35">
        <v>1418.57902525194</v>
      </c>
      <c r="K84" s="35">
        <v>609.98456250931497</v>
      </c>
      <c r="L84" s="35">
        <v>-26.85</v>
      </c>
      <c r="M84" s="35">
        <v>20.82</v>
      </c>
      <c r="N84" s="35">
        <v>840</v>
      </c>
      <c r="O84" s="35" t="s">
        <v>564</v>
      </c>
      <c r="P84" s="35" t="s">
        <v>565</v>
      </c>
      <c r="Q84" s="35" t="s">
        <v>253</v>
      </c>
      <c r="R84" s="35" t="s">
        <v>253</v>
      </c>
      <c r="S84" s="35" t="s">
        <v>253</v>
      </c>
      <c r="T84" s="35" t="s">
        <v>261</v>
      </c>
      <c r="U84" s="35" t="s">
        <v>253</v>
      </c>
      <c r="V84" s="35" t="s">
        <v>253</v>
      </c>
      <c r="W84" s="35" t="s">
        <v>253</v>
      </c>
      <c r="X84" s="35" t="s">
        <v>1195</v>
      </c>
      <c r="Y84" s="35" t="s">
        <v>1196</v>
      </c>
    </row>
    <row r="85" spans="1:25" x14ac:dyDescent="0.2">
      <c r="A85" s="35">
        <v>827</v>
      </c>
      <c r="B85" s="35" t="s">
        <v>1197</v>
      </c>
      <c r="C85" s="35" t="s">
        <v>253</v>
      </c>
      <c r="D85" s="35" t="s">
        <v>253</v>
      </c>
      <c r="E85" s="35" t="s">
        <v>940</v>
      </c>
      <c r="F85" s="35" t="s">
        <v>941</v>
      </c>
      <c r="G85" s="35" t="s">
        <v>340</v>
      </c>
      <c r="H85" s="35" t="s">
        <v>521</v>
      </c>
      <c r="I85" s="35">
        <v>13175</v>
      </c>
      <c r="J85" s="35">
        <v>1251.8887021365799</v>
      </c>
      <c r="K85" s="35">
        <v>797.94663380506495</v>
      </c>
      <c r="L85" s="35">
        <v>-32.94</v>
      </c>
      <c r="M85" s="35">
        <v>15.44</v>
      </c>
      <c r="N85" s="35">
        <v>738</v>
      </c>
      <c r="O85" s="35" t="s">
        <v>542</v>
      </c>
      <c r="P85" s="35" t="s">
        <v>543</v>
      </c>
      <c r="Q85" s="35" t="s">
        <v>253</v>
      </c>
      <c r="R85" s="35" t="s">
        <v>253</v>
      </c>
      <c r="S85" s="35" t="s">
        <v>253</v>
      </c>
      <c r="T85" s="35" t="s">
        <v>261</v>
      </c>
      <c r="U85" s="35" t="s">
        <v>258</v>
      </c>
      <c r="V85" s="35" t="s">
        <v>253</v>
      </c>
      <c r="W85" s="35" t="s">
        <v>253</v>
      </c>
      <c r="X85" s="35" t="s">
        <v>1198</v>
      </c>
      <c r="Y85" s="35" t="s">
        <v>1199</v>
      </c>
    </row>
    <row r="86" spans="1:25" x14ac:dyDescent="0.2">
      <c r="A86" s="35">
        <v>839</v>
      </c>
      <c r="B86" s="35" t="s">
        <v>1200</v>
      </c>
      <c r="C86" s="35" t="s">
        <v>253</v>
      </c>
      <c r="D86" s="35" t="s">
        <v>253</v>
      </c>
      <c r="E86" s="35" t="s">
        <v>940</v>
      </c>
      <c r="F86" s="35" t="s">
        <v>941</v>
      </c>
      <c r="G86" s="35" t="s">
        <v>340</v>
      </c>
      <c r="H86" s="35" t="s">
        <v>521</v>
      </c>
      <c r="I86" s="35">
        <v>28252</v>
      </c>
      <c r="J86" s="35">
        <v>1430.72318889747</v>
      </c>
      <c r="K86" s="35">
        <v>36.0949830550747</v>
      </c>
      <c r="L86" s="35">
        <v>-8.27</v>
      </c>
      <c r="M86" s="35">
        <v>21.21</v>
      </c>
      <c r="N86" s="35">
        <v>82</v>
      </c>
      <c r="O86" s="35" t="s">
        <v>987</v>
      </c>
      <c r="P86" s="35" t="s">
        <v>988</v>
      </c>
      <c r="Q86" s="35" t="s">
        <v>253</v>
      </c>
      <c r="R86" s="35" t="s">
        <v>253</v>
      </c>
      <c r="S86" s="35" t="s">
        <v>253</v>
      </c>
      <c r="T86" s="35" t="s">
        <v>261</v>
      </c>
      <c r="U86" s="35" t="s">
        <v>258</v>
      </c>
      <c r="V86" s="35" t="s">
        <v>297</v>
      </c>
      <c r="W86" s="35" t="s">
        <v>266</v>
      </c>
      <c r="X86" s="35" t="s">
        <v>1201</v>
      </c>
      <c r="Y86" s="35" t="s">
        <v>1202</v>
      </c>
    </row>
    <row r="87" spans="1:25" x14ac:dyDescent="0.2">
      <c r="A87" s="35">
        <v>841</v>
      </c>
      <c r="B87" s="35" t="s">
        <v>1203</v>
      </c>
      <c r="C87" s="35" t="s">
        <v>253</v>
      </c>
      <c r="D87" s="35" t="s">
        <v>253</v>
      </c>
      <c r="E87" s="35" t="s">
        <v>940</v>
      </c>
      <c r="F87" s="35" t="s">
        <v>941</v>
      </c>
      <c r="G87" s="35" t="s">
        <v>340</v>
      </c>
      <c r="H87" s="35" t="s">
        <v>521</v>
      </c>
      <c r="I87" s="35">
        <v>2057</v>
      </c>
      <c r="J87" s="35">
        <v>1370.25537407909</v>
      </c>
      <c r="K87" s="35">
        <v>79.8256492594181</v>
      </c>
      <c r="L87" s="35">
        <v>-9.68</v>
      </c>
      <c r="M87" s="35">
        <v>19.260000000000002</v>
      </c>
      <c r="N87" s="35">
        <v>161</v>
      </c>
      <c r="O87" s="35" t="s">
        <v>956</v>
      </c>
      <c r="P87" s="35" t="s">
        <v>957</v>
      </c>
      <c r="Q87" s="35" t="s">
        <v>253</v>
      </c>
      <c r="R87" s="35" t="s">
        <v>253</v>
      </c>
      <c r="S87" s="35" t="s">
        <v>257</v>
      </c>
      <c r="T87" s="35" t="s">
        <v>253</v>
      </c>
      <c r="U87" s="35" t="s">
        <v>253</v>
      </c>
      <c r="V87" s="35" t="s">
        <v>253</v>
      </c>
      <c r="W87" s="35" t="s">
        <v>253</v>
      </c>
      <c r="X87" s="35" t="s">
        <v>1204</v>
      </c>
      <c r="Y87" s="35" t="s">
        <v>1205</v>
      </c>
    </row>
    <row r="88" spans="1:25" x14ac:dyDescent="0.2">
      <c r="A88" s="35">
        <v>844</v>
      </c>
      <c r="B88" s="35" t="s">
        <v>1206</v>
      </c>
      <c r="C88" s="35" t="s">
        <v>253</v>
      </c>
      <c r="D88" s="35" t="s">
        <v>253</v>
      </c>
      <c r="E88" s="35" t="s">
        <v>940</v>
      </c>
      <c r="F88" s="35" t="s">
        <v>941</v>
      </c>
      <c r="G88" s="35" t="s">
        <v>522</v>
      </c>
      <c r="H88" s="35" t="s">
        <v>521</v>
      </c>
      <c r="I88" s="35">
        <v>3505</v>
      </c>
      <c r="J88" s="35">
        <v>1341.4908326238101</v>
      </c>
      <c r="K88" s="35">
        <v>454.07607698951301</v>
      </c>
      <c r="L88" s="35">
        <v>-21.8</v>
      </c>
      <c r="M88" s="35">
        <v>18.329999999999998</v>
      </c>
      <c r="N88" s="35">
        <v>266</v>
      </c>
      <c r="O88" s="35" t="s">
        <v>602</v>
      </c>
      <c r="P88" s="35" t="s">
        <v>603</v>
      </c>
      <c r="Q88" s="35" t="s">
        <v>253</v>
      </c>
      <c r="R88" s="35" t="s">
        <v>253</v>
      </c>
      <c r="S88" s="35" t="s">
        <v>253</v>
      </c>
      <c r="T88" s="35" t="s">
        <v>253</v>
      </c>
      <c r="U88" s="35" t="s">
        <v>258</v>
      </c>
      <c r="V88" s="35" t="s">
        <v>253</v>
      </c>
      <c r="W88" s="35" t="s">
        <v>253</v>
      </c>
      <c r="X88" s="35" t="s">
        <v>1207</v>
      </c>
      <c r="Y88" s="35" t="s">
        <v>1208</v>
      </c>
    </row>
    <row r="89" spans="1:25" x14ac:dyDescent="0.2">
      <c r="A89" s="35">
        <v>869</v>
      </c>
      <c r="B89" s="35" t="s">
        <v>412</v>
      </c>
      <c r="C89" s="35" t="s">
        <v>253</v>
      </c>
      <c r="D89" s="35" t="s">
        <v>253</v>
      </c>
      <c r="E89" s="35" t="s">
        <v>940</v>
      </c>
      <c r="F89" s="35" t="s">
        <v>941</v>
      </c>
      <c r="G89" s="35" t="s">
        <v>340</v>
      </c>
      <c r="H89" s="35" t="s">
        <v>521</v>
      </c>
      <c r="I89" s="35">
        <v>31455</v>
      </c>
      <c r="J89" s="35">
        <v>1397.6575894844</v>
      </c>
      <c r="K89" s="35">
        <v>471.12461441497101</v>
      </c>
      <c r="L89" s="35">
        <v>-22.36</v>
      </c>
      <c r="M89" s="35">
        <v>20.14</v>
      </c>
      <c r="N89" s="35">
        <v>472</v>
      </c>
      <c r="O89" s="35" t="s">
        <v>602</v>
      </c>
      <c r="P89" s="35" t="s">
        <v>603</v>
      </c>
      <c r="Q89" s="35" t="s">
        <v>253</v>
      </c>
      <c r="R89" s="35" t="s">
        <v>253</v>
      </c>
      <c r="S89" s="35" t="s">
        <v>253</v>
      </c>
      <c r="T89" s="35" t="s">
        <v>261</v>
      </c>
      <c r="U89" s="35" t="s">
        <v>258</v>
      </c>
      <c r="V89" s="35" t="s">
        <v>297</v>
      </c>
      <c r="W89" s="35" t="s">
        <v>266</v>
      </c>
      <c r="X89" s="35" t="s">
        <v>1209</v>
      </c>
      <c r="Y89" s="35" t="s">
        <v>1210</v>
      </c>
    </row>
    <row r="90" spans="1:25" x14ac:dyDescent="0.2">
      <c r="A90" s="35">
        <v>874</v>
      </c>
      <c r="B90" s="35" t="s">
        <v>1211</v>
      </c>
      <c r="C90" s="35" t="s">
        <v>253</v>
      </c>
      <c r="D90" s="35" t="s">
        <v>253</v>
      </c>
      <c r="E90" s="35" t="s">
        <v>940</v>
      </c>
      <c r="F90" s="35" t="s">
        <v>941</v>
      </c>
      <c r="G90" s="35" t="s">
        <v>340</v>
      </c>
      <c r="H90" s="35" t="s">
        <v>521</v>
      </c>
      <c r="I90" s="35">
        <v>2117</v>
      </c>
      <c r="J90" s="35">
        <v>1260.9579012693</v>
      </c>
      <c r="K90" s="35">
        <v>839.51704013015501</v>
      </c>
      <c r="L90" s="35">
        <v>-34.28</v>
      </c>
      <c r="M90" s="35">
        <v>15.73</v>
      </c>
      <c r="N90" s="35">
        <v>328</v>
      </c>
      <c r="O90" s="35" t="s">
        <v>542</v>
      </c>
      <c r="P90" s="35" t="s">
        <v>543</v>
      </c>
      <c r="Q90" s="35" t="s">
        <v>253</v>
      </c>
      <c r="R90" s="35" t="s">
        <v>253</v>
      </c>
      <c r="S90" s="35" t="s">
        <v>253</v>
      </c>
      <c r="T90" s="35" t="s">
        <v>253</v>
      </c>
      <c r="U90" s="35" t="s">
        <v>253</v>
      </c>
      <c r="V90" s="35" t="s">
        <v>253</v>
      </c>
      <c r="W90" s="35" t="s">
        <v>253</v>
      </c>
      <c r="X90" s="35" t="s">
        <v>1212</v>
      </c>
      <c r="Y90" s="35" t="s">
        <v>1213</v>
      </c>
    </row>
    <row r="91" spans="1:25" x14ac:dyDescent="0.2">
      <c r="A91" s="35">
        <v>875</v>
      </c>
      <c r="B91" s="35" t="s">
        <v>1214</v>
      </c>
      <c r="C91" s="35" t="s">
        <v>253</v>
      </c>
      <c r="D91" s="35" t="s">
        <v>253</v>
      </c>
      <c r="E91" s="35" t="s">
        <v>940</v>
      </c>
      <c r="F91" s="35" t="s">
        <v>941</v>
      </c>
      <c r="G91" s="35" t="s">
        <v>340</v>
      </c>
      <c r="H91" s="35" t="s">
        <v>521</v>
      </c>
      <c r="I91" s="35">
        <v>15080</v>
      </c>
      <c r="J91" s="35">
        <v>1329.6580577897</v>
      </c>
      <c r="K91" s="35">
        <v>844.518722913651</v>
      </c>
      <c r="L91" s="35">
        <v>-34.450000000000003</v>
      </c>
      <c r="M91" s="35">
        <v>17.95</v>
      </c>
      <c r="N91" s="35">
        <v>643</v>
      </c>
      <c r="O91" s="35" t="s">
        <v>538</v>
      </c>
      <c r="P91" s="35" t="s">
        <v>539</v>
      </c>
      <c r="Q91" s="35" t="s">
        <v>253</v>
      </c>
      <c r="R91" s="35" t="s">
        <v>253</v>
      </c>
      <c r="S91" s="35" t="s">
        <v>257</v>
      </c>
      <c r="T91" s="35" t="s">
        <v>253</v>
      </c>
      <c r="U91" s="35" t="s">
        <v>258</v>
      </c>
      <c r="V91" s="35" t="s">
        <v>253</v>
      </c>
      <c r="W91" s="35" t="s">
        <v>253</v>
      </c>
      <c r="X91" s="35" t="s">
        <v>1215</v>
      </c>
      <c r="Y91" s="35" t="s">
        <v>1216</v>
      </c>
    </row>
    <row r="92" spans="1:25" x14ac:dyDescent="0.2">
      <c r="A92" s="35">
        <v>896</v>
      </c>
      <c r="B92" s="35" t="s">
        <v>1217</v>
      </c>
      <c r="C92" s="35" t="s">
        <v>253</v>
      </c>
      <c r="D92" s="35" t="s">
        <v>253</v>
      </c>
      <c r="E92" s="35" t="s">
        <v>940</v>
      </c>
      <c r="F92" s="35" t="s">
        <v>941</v>
      </c>
      <c r="G92" s="35" t="s">
        <v>260</v>
      </c>
      <c r="H92" s="35" t="s">
        <v>521</v>
      </c>
      <c r="I92" s="35">
        <v>10072</v>
      </c>
      <c r="J92" s="35">
        <v>1355.1530167250301</v>
      </c>
      <c r="K92" s="35">
        <v>713.85219291989802</v>
      </c>
      <c r="L92" s="35">
        <v>-30.22</v>
      </c>
      <c r="M92" s="35">
        <v>18.77</v>
      </c>
      <c r="N92" s="35">
        <v>840</v>
      </c>
      <c r="O92" s="35" t="s">
        <v>554</v>
      </c>
      <c r="P92" s="35" t="s">
        <v>555</v>
      </c>
      <c r="Q92" s="35" t="s">
        <v>253</v>
      </c>
      <c r="R92" s="35" t="s">
        <v>253</v>
      </c>
      <c r="S92" s="35" t="s">
        <v>257</v>
      </c>
      <c r="T92" s="35" t="s">
        <v>253</v>
      </c>
      <c r="U92" s="35" t="s">
        <v>258</v>
      </c>
      <c r="V92" s="35" t="s">
        <v>253</v>
      </c>
      <c r="W92" s="35" t="s">
        <v>253</v>
      </c>
      <c r="X92" s="35" t="s">
        <v>1218</v>
      </c>
      <c r="Y92" s="35" t="s">
        <v>1219</v>
      </c>
    </row>
    <row r="93" spans="1:25" x14ac:dyDescent="0.2">
      <c r="A93" s="35">
        <v>898</v>
      </c>
      <c r="B93" s="35" t="s">
        <v>405</v>
      </c>
      <c r="C93" s="35" t="s">
        <v>253</v>
      </c>
      <c r="D93" s="35" t="s">
        <v>253</v>
      </c>
      <c r="E93" s="35" t="s">
        <v>940</v>
      </c>
      <c r="F93" s="35" t="s">
        <v>941</v>
      </c>
      <c r="G93" s="35" t="s">
        <v>340</v>
      </c>
      <c r="H93" s="35" t="s">
        <v>521</v>
      </c>
      <c r="I93" s="35">
        <v>11249</v>
      </c>
      <c r="J93" s="35">
        <v>1418.96826126622</v>
      </c>
      <c r="K93" s="35">
        <v>868.70974120114499</v>
      </c>
      <c r="L93" s="35">
        <v>-35.229999999999997</v>
      </c>
      <c r="M93" s="35">
        <v>20.83</v>
      </c>
      <c r="N93" s="35">
        <v>13</v>
      </c>
      <c r="O93" s="35" t="s">
        <v>542</v>
      </c>
      <c r="P93" s="35" t="s">
        <v>543</v>
      </c>
      <c r="Q93" s="35" t="s">
        <v>253</v>
      </c>
      <c r="R93" s="35" t="s">
        <v>253</v>
      </c>
      <c r="S93" s="35" t="s">
        <v>253</v>
      </c>
      <c r="T93" s="35" t="s">
        <v>261</v>
      </c>
      <c r="U93" s="35" t="s">
        <v>253</v>
      </c>
      <c r="V93" s="35" t="s">
        <v>253</v>
      </c>
      <c r="W93" s="35" t="s">
        <v>253</v>
      </c>
      <c r="X93" s="35" t="s">
        <v>1220</v>
      </c>
      <c r="Y93" s="35" t="s">
        <v>1221</v>
      </c>
    </row>
    <row r="94" spans="1:25" x14ac:dyDescent="0.2">
      <c r="A94" s="35">
        <v>911</v>
      </c>
      <c r="B94" s="35" t="s">
        <v>1222</v>
      </c>
      <c r="C94" s="35" t="s">
        <v>253</v>
      </c>
      <c r="D94" s="35" t="s">
        <v>253</v>
      </c>
      <c r="E94" s="35" t="s">
        <v>940</v>
      </c>
      <c r="F94" s="35" t="s">
        <v>941</v>
      </c>
      <c r="G94" s="35" t="s">
        <v>340</v>
      </c>
      <c r="H94" s="35" t="s">
        <v>521</v>
      </c>
      <c r="I94" s="35">
        <v>25335</v>
      </c>
      <c r="J94" s="35">
        <v>1448.1609623372101</v>
      </c>
      <c r="K94" s="35">
        <v>152.61278392975299</v>
      </c>
      <c r="L94" s="35">
        <v>-12.04</v>
      </c>
      <c r="M94" s="35">
        <v>21.78</v>
      </c>
      <c r="N94" s="35">
        <v>266</v>
      </c>
      <c r="O94" s="35" t="s">
        <v>904</v>
      </c>
      <c r="P94" s="35" t="s">
        <v>905</v>
      </c>
      <c r="Q94" s="35" t="s">
        <v>253</v>
      </c>
      <c r="R94" s="35" t="s">
        <v>253</v>
      </c>
      <c r="S94" s="35" t="s">
        <v>257</v>
      </c>
      <c r="T94" s="35" t="s">
        <v>261</v>
      </c>
      <c r="U94" s="35" t="s">
        <v>253</v>
      </c>
      <c r="V94" s="35" t="s">
        <v>253</v>
      </c>
      <c r="W94" s="35" t="s">
        <v>266</v>
      </c>
      <c r="X94" s="35" t="s">
        <v>1223</v>
      </c>
      <c r="Y94" s="35" t="s">
        <v>1224</v>
      </c>
    </row>
    <row r="95" spans="1:25" x14ac:dyDescent="0.2">
      <c r="A95" s="35">
        <v>915</v>
      </c>
      <c r="B95" s="35" t="s">
        <v>1225</v>
      </c>
      <c r="C95" s="35" t="s">
        <v>253</v>
      </c>
      <c r="D95" s="35" t="s">
        <v>253</v>
      </c>
      <c r="E95" s="35" t="s">
        <v>940</v>
      </c>
      <c r="F95" s="35" t="s">
        <v>941</v>
      </c>
      <c r="G95" s="35" t="s">
        <v>340</v>
      </c>
      <c r="H95" s="35" t="s">
        <v>521</v>
      </c>
      <c r="I95" s="35">
        <v>10534</v>
      </c>
      <c r="J95" s="35">
        <v>1484.04852285381</v>
      </c>
      <c r="K95" s="35">
        <v>636.90023289676799</v>
      </c>
      <c r="L95" s="35">
        <v>-27.72</v>
      </c>
      <c r="M95" s="35">
        <v>22.93</v>
      </c>
      <c r="N95" s="35">
        <v>397</v>
      </c>
      <c r="O95" s="35" t="s">
        <v>550</v>
      </c>
      <c r="P95" s="35" t="s">
        <v>551</v>
      </c>
      <c r="Q95" s="35" t="s">
        <v>253</v>
      </c>
      <c r="R95" s="35" t="s">
        <v>253</v>
      </c>
      <c r="S95" s="35" t="s">
        <v>257</v>
      </c>
      <c r="T95" s="35" t="s">
        <v>253</v>
      </c>
      <c r="U95" s="35" t="s">
        <v>258</v>
      </c>
      <c r="V95" s="35" t="s">
        <v>253</v>
      </c>
      <c r="W95" s="35" t="s">
        <v>253</v>
      </c>
      <c r="X95" s="35" t="s">
        <v>1226</v>
      </c>
      <c r="Y95" s="35" t="s">
        <v>1227</v>
      </c>
    </row>
    <row r="96" spans="1:25" x14ac:dyDescent="0.2">
      <c r="A96" s="35">
        <v>919</v>
      </c>
      <c r="B96" s="35" t="s">
        <v>1228</v>
      </c>
      <c r="C96" s="35" t="s">
        <v>253</v>
      </c>
      <c r="D96" s="35" t="s">
        <v>253</v>
      </c>
      <c r="E96" s="35" t="s">
        <v>940</v>
      </c>
      <c r="F96" s="35" t="s">
        <v>941</v>
      </c>
      <c r="G96" s="35" t="s">
        <v>260</v>
      </c>
      <c r="H96" s="35" t="s">
        <v>521</v>
      </c>
      <c r="I96" s="35">
        <v>10006</v>
      </c>
      <c r="J96" s="35">
        <v>1306.0119699222</v>
      </c>
      <c r="K96" s="35">
        <v>706.55401765215095</v>
      </c>
      <c r="L96" s="35">
        <v>-29.98</v>
      </c>
      <c r="M96" s="35">
        <v>17.18</v>
      </c>
      <c r="N96" s="35">
        <v>1312</v>
      </c>
      <c r="O96" s="35" t="s">
        <v>542</v>
      </c>
      <c r="P96" s="35" t="s">
        <v>543</v>
      </c>
      <c r="Q96" s="35" t="s">
        <v>253</v>
      </c>
      <c r="R96" s="35" t="s">
        <v>253</v>
      </c>
      <c r="S96" s="35" t="s">
        <v>253</v>
      </c>
      <c r="T96" s="35" t="s">
        <v>253</v>
      </c>
      <c r="U96" s="35" t="s">
        <v>253</v>
      </c>
      <c r="V96" s="35" t="s">
        <v>253</v>
      </c>
      <c r="W96" s="35" t="s">
        <v>253</v>
      </c>
      <c r="X96" s="35" t="s">
        <v>1229</v>
      </c>
      <c r="Y96" s="35" t="s">
        <v>1230</v>
      </c>
    </row>
    <row r="97" spans="1:25" x14ac:dyDescent="0.2">
      <c r="A97" s="35">
        <v>928</v>
      </c>
      <c r="B97" s="35" t="s">
        <v>1231</v>
      </c>
      <c r="C97" s="35" t="s">
        <v>253</v>
      </c>
      <c r="D97" s="35" t="s">
        <v>253</v>
      </c>
      <c r="E97" s="35" t="s">
        <v>940</v>
      </c>
      <c r="F97" s="35" t="s">
        <v>941</v>
      </c>
      <c r="G97" s="35" t="s">
        <v>340</v>
      </c>
      <c r="H97" s="35" t="s">
        <v>521</v>
      </c>
      <c r="I97" s="35">
        <v>17256</v>
      </c>
      <c r="J97" s="35">
        <v>1398.12467270153</v>
      </c>
      <c r="K97" s="35">
        <v>902.55381264278003</v>
      </c>
      <c r="L97" s="35">
        <v>-36.33</v>
      </c>
      <c r="M97" s="35">
        <v>20.16</v>
      </c>
      <c r="N97" s="35">
        <v>210</v>
      </c>
      <c r="O97" s="35" t="s">
        <v>542</v>
      </c>
      <c r="P97" s="35" t="s">
        <v>543</v>
      </c>
      <c r="Q97" s="35" t="s">
        <v>253</v>
      </c>
      <c r="R97" s="35" t="s">
        <v>253</v>
      </c>
      <c r="S97" s="35" t="s">
        <v>257</v>
      </c>
      <c r="T97" s="35" t="s">
        <v>261</v>
      </c>
      <c r="U97" s="35" t="s">
        <v>258</v>
      </c>
      <c r="V97" s="35" t="s">
        <v>253</v>
      </c>
      <c r="W97" s="35" t="s">
        <v>253</v>
      </c>
      <c r="X97" s="35" t="s">
        <v>1232</v>
      </c>
      <c r="Y97" s="35" t="s">
        <v>1233</v>
      </c>
    </row>
    <row r="98" spans="1:25" x14ac:dyDescent="0.2">
      <c r="A98" s="35">
        <v>946</v>
      </c>
      <c r="B98" s="35" t="s">
        <v>412</v>
      </c>
      <c r="C98" s="35" t="s">
        <v>253</v>
      </c>
      <c r="D98" s="35" t="s">
        <v>253</v>
      </c>
      <c r="E98" s="35" t="s">
        <v>940</v>
      </c>
      <c r="F98" s="35" t="s">
        <v>941</v>
      </c>
      <c r="G98" s="35" t="s">
        <v>340</v>
      </c>
      <c r="H98" s="35" t="s">
        <v>521</v>
      </c>
      <c r="I98" s="35">
        <v>2067</v>
      </c>
      <c r="J98" s="35">
        <v>1530.77630636811</v>
      </c>
      <c r="K98" s="35">
        <v>275.183204826485</v>
      </c>
      <c r="L98" s="35">
        <v>-16.010000000000002</v>
      </c>
      <c r="M98" s="35">
        <v>24.44</v>
      </c>
      <c r="N98" s="35">
        <v>161</v>
      </c>
      <c r="O98" s="35" t="s">
        <v>918</v>
      </c>
      <c r="P98" s="35" t="s">
        <v>919</v>
      </c>
      <c r="Q98" s="35" t="s">
        <v>253</v>
      </c>
      <c r="R98" s="35" t="s">
        <v>253</v>
      </c>
      <c r="S98" s="35" t="s">
        <v>257</v>
      </c>
      <c r="T98" s="35" t="s">
        <v>253</v>
      </c>
      <c r="U98" s="35" t="s">
        <v>253</v>
      </c>
      <c r="V98" s="35" t="s">
        <v>253</v>
      </c>
      <c r="W98" s="35" t="s">
        <v>253</v>
      </c>
      <c r="X98" s="35" t="s">
        <v>1234</v>
      </c>
      <c r="Y98" s="35" t="s">
        <v>1235</v>
      </c>
    </row>
    <row r="99" spans="1:25" x14ac:dyDescent="0.2">
      <c r="A99" s="35">
        <v>948</v>
      </c>
      <c r="B99" s="35" t="s">
        <v>1236</v>
      </c>
      <c r="C99" s="35" t="s">
        <v>253</v>
      </c>
      <c r="D99" s="35" t="s">
        <v>253</v>
      </c>
      <c r="E99" s="35" t="s">
        <v>940</v>
      </c>
      <c r="F99" s="35" t="s">
        <v>941</v>
      </c>
      <c r="G99" s="35" t="s">
        <v>340</v>
      </c>
      <c r="H99" s="35" t="s">
        <v>521</v>
      </c>
      <c r="I99" s="35">
        <v>2068</v>
      </c>
      <c r="J99" s="35">
        <v>1463.0297780827</v>
      </c>
      <c r="K99" s="35">
        <v>388.27572877550102</v>
      </c>
      <c r="L99" s="35">
        <v>-19.670000000000002</v>
      </c>
      <c r="M99" s="35">
        <v>22.26</v>
      </c>
      <c r="N99" s="35">
        <v>52</v>
      </c>
      <c r="O99" s="35" t="s">
        <v>967</v>
      </c>
      <c r="P99" s="35" t="s">
        <v>968</v>
      </c>
      <c r="Q99" s="35" t="s">
        <v>253</v>
      </c>
      <c r="R99" s="35" t="s">
        <v>253</v>
      </c>
      <c r="S99" s="35" t="s">
        <v>257</v>
      </c>
      <c r="T99" s="35" t="s">
        <v>253</v>
      </c>
      <c r="U99" s="35" t="s">
        <v>253</v>
      </c>
      <c r="V99" s="35" t="s">
        <v>253</v>
      </c>
      <c r="W99" s="35" t="s">
        <v>253</v>
      </c>
      <c r="X99" s="35" t="s">
        <v>1237</v>
      </c>
      <c r="Y99" s="35" t="s">
        <v>1238</v>
      </c>
    </row>
    <row r="100" spans="1:25" x14ac:dyDescent="0.2">
      <c r="A100" s="35">
        <v>949</v>
      </c>
      <c r="B100" s="35" t="s">
        <v>1239</v>
      </c>
      <c r="C100" s="35" t="s">
        <v>253</v>
      </c>
      <c r="D100" s="35" t="s">
        <v>253</v>
      </c>
      <c r="E100" s="35" t="s">
        <v>940</v>
      </c>
      <c r="F100" s="35" t="s">
        <v>941</v>
      </c>
      <c r="G100" s="35" t="s">
        <v>340</v>
      </c>
      <c r="H100" s="35" t="s">
        <v>521</v>
      </c>
      <c r="I100" s="35">
        <v>2066</v>
      </c>
      <c r="J100" s="35">
        <v>1447.0516396965099</v>
      </c>
      <c r="K100" s="35">
        <v>464.85791458506498</v>
      </c>
      <c r="L100" s="35">
        <v>-22.15</v>
      </c>
      <c r="M100" s="35">
        <v>21.74</v>
      </c>
      <c r="N100" s="35">
        <v>52</v>
      </c>
      <c r="O100" s="35" t="s">
        <v>945</v>
      </c>
      <c r="P100" s="35" t="s">
        <v>946</v>
      </c>
      <c r="Q100" s="35" t="s">
        <v>253</v>
      </c>
      <c r="R100" s="35" t="s">
        <v>253</v>
      </c>
      <c r="S100" s="35" t="s">
        <v>253</v>
      </c>
      <c r="T100" s="35" t="s">
        <v>253</v>
      </c>
      <c r="U100" s="35" t="s">
        <v>253</v>
      </c>
      <c r="V100" s="35" t="s">
        <v>253</v>
      </c>
      <c r="W100" s="35" t="s">
        <v>253</v>
      </c>
      <c r="X100" s="35" t="s">
        <v>1240</v>
      </c>
      <c r="Y100" s="35" t="s">
        <v>1241</v>
      </c>
    </row>
    <row r="101" spans="1:25" x14ac:dyDescent="0.2">
      <c r="A101" s="35">
        <v>951</v>
      </c>
      <c r="B101" s="35" t="s">
        <v>1242</v>
      </c>
      <c r="C101" s="35" t="s">
        <v>253</v>
      </c>
      <c r="D101" s="35" t="s">
        <v>253</v>
      </c>
      <c r="E101" s="35" t="s">
        <v>940</v>
      </c>
      <c r="F101" s="35" t="s">
        <v>941</v>
      </c>
      <c r="G101" s="35" t="s">
        <v>340</v>
      </c>
      <c r="H101" s="35" t="s">
        <v>521</v>
      </c>
      <c r="I101" s="35">
        <v>16306</v>
      </c>
      <c r="J101" s="35">
        <v>1545.1585770957499</v>
      </c>
      <c r="K101" s="35">
        <v>644.937956591648</v>
      </c>
      <c r="L101" s="35">
        <v>-27.98</v>
      </c>
      <c r="M101" s="35">
        <v>24.91</v>
      </c>
      <c r="N101" s="35">
        <v>161</v>
      </c>
      <c r="O101" s="35" t="s">
        <v>564</v>
      </c>
      <c r="P101" s="35" t="s">
        <v>565</v>
      </c>
      <c r="Q101" s="35" t="s">
        <v>253</v>
      </c>
      <c r="R101" s="35" t="s">
        <v>253</v>
      </c>
      <c r="S101" s="35" t="s">
        <v>257</v>
      </c>
      <c r="T101" s="35" t="s">
        <v>261</v>
      </c>
      <c r="U101" s="35" t="s">
        <v>258</v>
      </c>
      <c r="V101" s="35" t="s">
        <v>253</v>
      </c>
      <c r="W101" s="35" t="s">
        <v>253</v>
      </c>
      <c r="X101" s="35" t="s">
        <v>1243</v>
      </c>
      <c r="Y101" s="35" t="s">
        <v>1244</v>
      </c>
    </row>
    <row r="102" spans="1:25" x14ac:dyDescent="0.2">
      <c r="A102" s="35">
        <v>967</v>
      </c>
      <c r="B102" s="35" t="s">
        <v>1245</v>
      </c>
      <c r="C102" s="35" t="s">
        <v>253</v>
      </c>
      <c r="D102" s="35" t="s">
        <v>253</v>
      </c>
      <c r="E102" s="35" t="s">
        <v>940</v>
      </c>
      <c r="F102" s="35" t="s">
        <v>941</v>
      </c>
      <c r="G102" s="35" t="s">
        <v>340</v>
      </c>
      <c r="H102" s="35" t="s">
        <v>521</v>
      </c>
      <c r="I102" s="35">
        <v>12798</v>
      </c>
      <c r="J102" s="35">
        <v>1352.4283646250699</v>
      </c>
      <c r="K102" s="35">
        <v>41.991908671414699</v>
      </c>
      <c r="L102" s="35">
        <v>-8.4600000000000009</v>
      </c>
      <c r="M102" s="35">
        <v>18.68</v>
      </c>
      <c r="N102" s="35">
        <v>118</v>
      </c>
      <c r="O102" s="35" t="s">
        <v>987</v>
      </c>
      <c r="P102" s="35" t="s">
        <v>988</v>
      </c>
      <c r="Q102" s="35" t="s">
        <v>253</v>
      </c>
      <c r="R102" s="35" t="s">
        <v>253</v>
      </c>
      <c r="S102" s="35" t="s">
        <v>257</v>
      </c>
      <c r="T102" s="35" t="s">
        <v>261</v>
      </c>
      <c r="U102" s="35" t="s">
        <v>253</v>
      </c>
      <c r="V102" s="35" t="s">
        <v>253</v>
      </c>
      <c r="W102" s="35" t="s">
        <v>253</v>
      </c>
      <c r="X102" s="35" t="s">
        <v>1246</v>
      </c>
      <c r="Y102" s="35" t="s">
        <v>1247</v>
      </c>
    </row>
    <row r="103" spans="1:25" x14ac:dyDescent="0.2">
      <c r="A103" s="35">
        <v>974</v>
      </c>
      <c r="B103" s="35" t="s">
        <v>1248</v>
      </c>
      <c r="C103" s="35" t="s">
        <v>253</v>
      </c>
      <c r="D103" s="35" t="s">
        <v>253</v>
      </c>
      <c r="E103" s="35" t="s">
        <v>940</v>
      </c>
      <c r="F103" s="35" t="s">
        <v>941</v>
      </c>
      <c r="G103" s="35" t="s">
        <v>522</v>
      </c>
      <c r="H103" s="35" t="s">
        <v>521</v>
      </c>
      <c r="I103" s="35">
        <v>16988</v>
      </c>
      <c r="J103" s="35">
        <v>1434.05115681956</v>
      </c>
      <c r="K103" s="35">
        <v>304.41482949890298</v>
      </c>
      <c r="L103" s="35">
        <v>-16.96</v>
      </c>
      <c r="M103" s="35">
        <v>21.32</v>
      </c>
      <c r="N103" s="35">
        <v>472</v>
      </c>
      <c r="O103" s="35" t="s">
        <v>967</v>
      </c>
      <c r="P103" s="35" t="s">
        <v>968</v>
      </c>
      <c r="Q103" s="35" t="s">
        <v>253</v>
      </c>
      <c r="R103" s="35" t="s">
        <v>253</v>
      </c>
      <c r="S103" s="35" t="s">
        <v>253</v>
      </c>
      <c r="T103" s="35" t="s">
        <v>261</v>
      </c>
      <c r="U103" s="35" t="s">
        <v>258</v>
      </c>
      <c r="V103" s="35" t="s">
        <v>253</v>
      </c>
      <c r="W103" s="35" t="s">
        <v>253</v>
      </c>
      <c r="X103" s="35" t="s">
        <v>1249</v>
      </c>
      <c r="Y103" s="35" t="s">
        <v>1250</v>
      </c>
    </row>
    <row r="104" spans="1:25" x14ac:dyDescent="0.2">
      <c r="A104" s="35">
        <v>981</v>
      </c>
      <c r="B104" s="35" t="s">
        <v>1251</v>
      </c>
      <c r="C104" s="35" t="s">
        <v>253</v>
      </c>
      <c r="D104" s="35" t="s">
        <v>253</v>
      </c>
      <c r="E104" s="35" t="s">
        <v>940</v>
      </c>
      <c r="F104" s="35" t="s">
        <v>941</v>
      </c>
      <c r="G104" s="35" t="s">
        <v>260</v>
      </c>
      <c r="H104" s="35" t="s">
        <v>521</v>
      </c>
      <c r="I104" s="35">
        <v>4681</v>
      </c>
      <c r="J104" s="35">
        <v>1271.36996465129</v>
      </c>
      <c r="K104" s="35">
        <v>710.52422499780596</v>
      </c>
      <c r="L104" s="35">
        <v>-30.11</v>
      </c>
      <c r="M104" s="35">
        <v>16.059999999999999</v>
      </c>
      <c r="N104" s="35">
        <v>472</v>
      </c>
      <c r="O104" s="35" t="s">
        <v>554</v>
      </c>
      <c r="P104" s="35" t="s">
        <v>555</v>
      </c>
      <c r="Q104" s="35" t="s">
        <v>253</v>
      </c>
      <c r="R104" s="35" t="s">
        <v>253</v>
      </c>
      <c r="S104" s="35" t="s">
        <v>253</v>
      </c>
      <c r="T104" s="35" t="s">
        <v>253</v>
      </c>
      <c r="U104" s="35" t="s">
        <v>258</v>
      </c>
      <c r="V104" s="35" t="s">
        <v>253</v>
      </c>
      <c r="W104" s="35" t="s">
        <v>253</v>
      </c>
      <c r="X104" s="35" t="s">
        <v>1254</v>
      </c>
      <c r="Y104" s="35" t="s">
        <v>1255</v>
      </c>
    </row>
    <row r="105" spans="1:25" x14ac:dyDescent="0.2">
      <c r="A105" s="35">
        <v>982</v>
      </c>
      <c r="B105" s="35" t="s">
        <v>1256</v>
      </c>
      <c r="C105" s="35" t="s">
        <v>253</v>
      </c>
      <c r="D105" s="35" t="s">
        <v>253</v>
      </c>
      <c r="E105" s="35" t="s">
        <v>940</v>
      </c>
      <c r="F105" s="35" t="s">
        <v>941</v>
      </c>
      <c r="G105" s="35" t="s">
        <v>260</v>
      </c>
      <c r="H105" s="35" t="s">
        <v>521</v>
      </c>
      <c r="I105" s="35">
        <v>2084</v>
      </c>
      <c r="J105" s="35">
        <v>1286.3360894003499</v>
      </c>
      <c r="K105" s="35">
        <v>709.72629116853204</v>
      </c>
      <c r="L105" s="35">
        <v>-30.08</v>
      </c>
      <c r="M105" s="35">
        <v>16.55</v>
      </c>
      <c r="N105" s="35">
        <v>840</v>
      </c>
      <c r="O105" s="35" t="s">
        <v>554</v>
      </c>
      <c r="P105" s="35" t="s">
        <v>555</v>
      </c>
      <c r="Q105" s="35" t="s">
        <v>253</v>
      </c>
      <c r="R105" s="35" t="s">
        <v>253</v>
      </c>
      <c r="S105" s="35" t="s">
        <v>253</v>
      </c>
      <c r="T105" s="35" t="s">
        <v>261</v>
      </c>
      <c r="U105" s="35" t="s">
        <v>258</v>
      </c>
      <c r="V105" s="35" t="s">
        <v>253</v>
      </c>
      <c r="W105" s="35" t="s">
        <v>253</v>
      </c>
      <c r="X105" s="35" t="s">
        <v>1257</v>
      </c>
      <c r="Y105" s="35" t="s">
        <v>1258</v>
      </c>
    </row>
    <row r="106" spans="1:25" x14ac:dyDescent="0.2">
      <c r="A106" s="35">
        <v>986</v>
      </c>
      <c r="B106" s="35" t="s">
        <v>1259</v>
      </c>
      <c r="C106" s="35" t="s">
        <v>253</v>
      </c>
      <c r="D106" s="35" t="s">
        <v>253</v>
      </c>
      <c r="E106" s="35" t="s">
        <v>940</v>
      </c>
      <c r="F106" s="35" t="s">
        <v>941</v>
      </c>
      <c r="G106" s="35" t="s">
        <v>340</v>
      </c>
      <c r="H106" s="35" t="s">
        <v>521</v>
      </c>
      <c r="I106" s="35">
        <v>14982</v>
      </c>
      <c r="J106" s="35">
        <v>1306.5569003421899</v>
      </c>
      <c r="K106" s="35">
        <v>828.56004632817599</v>
      </c>
      <c r="L106" s="35">
        <v>-33.93</v>
      </c>
      <c r="M106" s="35">
        <v>17.2</v>
      </c>
      <c r="N106" s="35">
        <v>738</v>
      </c>
      <c r="O106" s="35" t="s">
        <v>538</v>
      </c>
      <c r="P106" s="35" t="s">
        <v>539</v>
      </c>
      <c r="Q106" s="35" t="s">
        <v>253</v>
      </c>
      <c r="R106" s="35" t="s">
        <v>253</v>
      </c>
      <c r="S106" s="35" t="s">
        <v>253</v>
      </c>
      <c r="T106" s="35" t="s">
        <v>261</v>
      </c>
      <c r="U106" s="35" t="s">
        <v>253</v>
      </c>
      <c r="V106" s="35" t="s">
        <v>253</v>
      </c>
      <c r="W106" s="35" t="s">
        <v>253</v>
      </c>
      <c r="X106" s="35" t="s">
        <v>1260</v>
      </c>
      <c r="Y106" s="35" t="s">
        <v>1261</v>
      </c>
    </row>
    <row r="107" spans="1:25" x14ac:dyDescent="0.2">
      <c r="A107" s="35">
        <v>1005</v>
      </c>
      <c r="B107" s="35" t="s">
        <v>1262</v>
      </c>
      <c r="C107" s="35" t="s">
        <v>253</v>
      </c>
      <c r="D107" s="35" t="s">
        <v>253</v>
      </c>
      <c r="E107" s="35" t="s">
        <v>940</v>
      </c>
      <c r="F107" s="35" t="s">
        <v>941</v>
      </c>
      <c r="G107" s="35" t="s">
        <v>522</v>
      </c>
      <c r="H107" s="35" t="s">
        <v>521</v>
      </c>
      <c r="I107" s="35">
        <v>11609</v>
      </c>
      <c r="J107" s="35">
        <v>1314.4583914320699</v>
      </c>
      <c r="K107" s="35">
        <v>451.44873389312397</v>
      </c>
      <c r="L107" s="35">
        <v>-21.72</v>
      </c>
      <c r="M107" s="35">
        <v>17.46</v>
      </c>
      <c r="N107" s="35">
        <v>328</v>
      </c>
      <c r="O107" s="35" t="s">
        <v>945</v>
      </c>
      <c r="P107" s="35" t="s">
        <v>946</v>
      </c>
      <c r="Q107" s="35" t="s">
        <v>253</v>
      </c>
      <c r="R107" s="35" t="s">
        <v>253</v>
      </c>
      <c r="S107" s="35" t="s">
        <v>257</v>
      </c>
      <c r="T107" s="35" t="s">
        <v>253</v>
      </c>
      <c r="U107" s="35" t="s">
        <v>258</v>
      </c>
      <c r="V107" s="35" t="s">
        <v>253</v>
      </c>
      <c r="W107" s="35" t="s">
        <v>253</v>
      </c>
      <c r="X107" s="35" t="s">
        <v>1263</v>
      </c>
      <c r="Y107" s="35" t="s">
        <v>1264</v>
      </c>
    </row>
    <row r="108" spans="1:25" x14ac:dyDescent="0.2">
      <c r="A108" s="35">
        <v>1031</v>
      </c>
      <c r="B108" s="35" t="s">
        <v>1265</v>
      </c>
      <c r="C108" s="35" t="s">
        <v>253</v>
      </c>
      <c r="D108" s="35" t="s">
        <v>253</v>
      </c>
      <c r="E108" s="35" t="s">
        <v>940</v>
      </c>
      <c r="F108" s="35" t="s">
        <v>941</v>
      </c>
      <c r="G108" s="35" t="s">
        <v>340</v>
      </c>
      <c r="H108" s="35" t="s">
        <v>521</v>
      </c>
      <c r="I108" s="35">
        <v>25101</v>
      </c>
      <c r="J108" s="35">
        <v>1533.5398820695</v>
      </c>
      <c r="K108" s="35">
        <v>166.177659027407</v>
      </c>
      <c r="L108" s="35">
        <v>-12.48</v>
      </c>
      <c r="M108" s="35">
        <v>24.53</v>
      </c>
      <c r="N108" s="35">
        <v>161</v>
      </c>
      <c r="O108" s="35" t="s">
        <v>904</v>
      </c>
      <c r="P108" s="35" t="s">
        <v>905</v>
      </c>
      <c r="Q108" s="35" t="s">
        <v>253</v>
      </c>
      <c r="R108" s="35" t="s">
        <v>253</v>
      </c>
      <c r="S108" s="35" t="s">
        <v>253</v>
      </c>
      <c r="T108" s="35" t="s">
        <v>261</v>
      </c>
      <c r="U108" s="35" t="s">
        <v>253</v>
      </c>
      <c r="V108" s="35" t="s">
        <v>253</v>
      </c>
      <c r="W108" s="35" t="s">
        <v>266</v>
      </c>
      <c r="X108" s="35" t="s">
        <v>1266</v>
      </c>
      <c r="Y108" s="35" t="s">
        <v>1267</v>
      </c>
    </row>
    <row r="109" spans="1:25" x14ac:dyDescent="0.2">
      <c r="A109" s="35">
        <v>144</v>
      </c>
      <c r="B109" s="35" t="s">
        <v>1288</v>
      </c>
      <c r="C109" s="35" t="s">
        <v>253</v>
      </c>
      <c r="D109" s="35" t="s">
        <v>253</v>
      </c>
      <c r="E109" s="35" t="s">
        <v>1289</v>
      </c>
      <c r="F109" s="35" t="s">
        <v>1290</v>
      </c>
      <c r="G109" s="35" t="s">
        <v>2007</v>
      </c>
      <c r="H109" s="35" t="s">
        <v>256</v>
      </c>
      <c r="I109" s="35">
        <v>4701</v>
      </c>
      <c r="J109" s="35">
        <v>11.5</v>
      </c>
      <c r="K109" s="35">
        <v>31</v>
      </c>
      <c r="L109" s="35">
        <v>-8.1</v>
      </c>
      <c r="M109" s="35">
        <v>-24.63</v>
      </c>
      <c r="N109" s="35">
        <v>52</v>
      </c>
      <c r="O109" s="35" t="s">
        <v>1292</v>
      </c>
      <c r="P109" s="35" t="s">
        <v>1293</v>
      </c>
      <c r="Q109" s="35" t="s">
        <v>332</v>
      </c>
      <c r="R109" s="35" t="s">
        <v>259</v>
      </c>
      <c r="S109" s="35" t="s">
        <v>253</v>
      </c>
      <c r="T109" s="35" t="s">
        <v>253</v>
      </c>
      <c r="U109" s="35" t="s">
        <v>258</v>
      </c>
      <c r="V109" s="35" t="s">
        <v>253</v>
      </c>
      <c r="W109" s="35" t="s">
        <v>253</v>
      </c>
      <c r="X109" s="35" t="s">
        <v>1294</v>
      </c>
      <c r="Y109" s="35" t="s">
        <v>1295</v>
      </c>
    </row>
    <row r="110" spans="1:25" x14ac:dyDescent="0.2">
      <c r="A110" s="35">
        <v>359</v>
      </c>
      <c r="B110" s="35" t="s">
        <v>1296</v>
      </c>
      <c r="C110" s="35" t="s">
        <v>253</v>
      </c>
      <c r="D110" s="35" t="s">
        <v>253</v>
      </c>
      <c r="E110" s="35" t="s">
        <v>1289</v>
      </c>
      <c r="F110" s="35" t="s">
        <v>1290</v>
      </c>
      <c r="G110" s="35" t="s">
        <v>2008</v>
      </c>
      <c r="H110" s="35" t="s">
        <v>256</v>
      </c>
      <c r="I110" s="35">
        <v>1737</v>
      </c>
      <c r="J110" s="35">
        <v>274.82845909125803</v>
      </c>
      <c r="K110" s="35">
        <v>52.287201249117302</v>
      </c>
      <c r="L110" s="35">
        <v>-8.7899999999999991</v>
      </c>
      <c r="M110" s="35">
        <v>-16.12</v>
      </c>
      <c r="N110" s="35">
        <v>82</v>
      </c>
      <c r="O110" s="35" t="s">
        <v>987</v>
      </c>
      <c r="P110" s="35" t="s">
        <v>988</v>
      </c>
      <c r="Q110" s="35" t="s">
        <v>253</v>
      </c>
      <c r="R110" s="35" t="s">
        <v>253</v>
      </c>
      <c r="S110" s="35" t="s">
        <v>253</v>
      </c>
      <c r="T110" s="35" t="s">
        <v>261</v>
      </c>
      <c r="U110" s="35" t="s">
        <v>253</v>
      </c>
      <c r="V110" s="35" t="s">
        <v>253</v>
      </c>
      <c r="W110" s="35" t="s">
        <v>253</v>
      </c>
      <c r="X110" s="35" t="s">
        <v>1297</v>
      </c>
      <c r="Y110" s="35" t="s">
        <v>1298</v>
      </c>
    </row>
    <row r="111" spans="1:25" x14ac:dyDescent="0.2">
      <c r="A111" s="35">
        <v>404</v>
      </c>
      <c r="B111" s="35" t="s">
        <v>1299</v>
      </c>
      <c r="C111" s="35" t="s">
        <v>253</v>
      </c>
      <c r="D111" s="35" t="s">
        <v>253</v>
      </c>
      <c r="E111" s="35" t="s">
        <v>1289</v>
      </c>
      <c r="F111" s="35" t="s">
        <v>1290</v>
      </c>
      <c r="G111" s="35" t="s">
        <v>2007</v>
      </c>
      <c r="H111" s="35" t="s">
        <v>256</v>
      </c>
      <c r="I111" s="35">
        <v>3004</v>
      </c>
      <c r="J111" s="35">
        <v>23.5</v>
      </c>
      <c r="K111" s="35">
        <v>69</v>
      </c>
      <c r="L111" s="35">
        <v>-9.33</v>
      </c>
      <c r="M111" s="35">
        <v>-24.24</v>
      </c>
      <c r="N111" s="35">
        <v>13</v>
      </c>
      <c r="O111" s="35" t="s">
        <v>987</v>
      </c>
      <c r="P111" s="35" t="s">
        <v>988</v>
      </c>
      <c r="Q111" s="35" t="s">
        <v>253</v>
      </c>
      <c r="R111" s="35" t="s">
        <v>259</v>
      </c>
      <c r="S111" s="35" t="s">
        <v>257</v>
      </c>
      <c r="T111" s="35" t="s">
        <v>253</v>
      </c>
      <c r="U111" s="35" t="s">
        <v>253</v>
      </c>
      <c r="V111" s="35" t="s">
        <v>253</v>
      </c>
      <c r="W111" s="35" t="s">
        <v>253</v>
      </c>
      <c r="X111" s="35" t="s">
        <v>1300</v>
      </c>
      <c r="Y111" s="35" t="s">
        <v>1301</v>
      </c>
    </row>
    <row r="112" spans="1:25" x14ac:dyDescent="0.2">
      <c r="A112" s="35">
        <v>497</v>
      </c>
      <c r="B112" s="35" t="s">
        <v>1302</v>
      </c>
      <c r="C112" s="35" t="s">
        <v>253</v>
      </c>
      <c r="D112" s="35" t="s">
        <v>253</v>
      </c>
      <c r="E112" s="35" t="s">
        <v>1289</v>
      </c>
      <c r="F112" s="35" t="s">
        <v>1290</v>
      </c>
      <c r="G112" s="35" t="s">
        <v>2008</v>
      </c>
      <c r="H112" s="35" t="s">
        <v>256</v>
      </c>
      <c r="I112" s="35">
        <v>1863</v>
      </c>
      <c r="J112" s="35">
        <v>295.47742964880501</v>
      </c>
      <c r="K112" s="35">
        <v>31.365765481574201</v>
      </c>
      <c r="L112" s="35">
        <v>-8.1199999999999992</v>
      </c>
      <c r="M112" s="35">
        <v>-15.46</v>
      </c>
      <c r="N112" s="35">
        <v>472</v>
      </c>
      <c r="O112" s="35" t="s">
        <v>956</v>
      </c>
      <c r="P112" s="35" t="s">
        <v>957</v>
      </c>
      <c r="Q112" s="35" t="s">
        <v>253</v>
      </c>
      <c r="R112" s="35" t="s">
        <v>253</v>
      </c>
      <c r="S112" s="35" t="s">
        <v>257</v>
      </c>
      <c r="T112" s="35" t="s">
        <v>253</v>
      </c>
      <c r="U112" s="35" t="s">
        <v>253</v>
      </c>
      <c r="V112" s="35" t="s">
        <v>253</v>
      </c>
      <c r="W112" s="35" t="s">
        <v>253</v>
      </c>
      <c r="X112" s="35" t="s">
        <v>1303</v>
      </c>
      <c r="Y112" s="35" t="s">
        <v>1304</v>
      </c>
    </row>
    <row r="113" spans="1:25" x14ac:dyDescent="0.2">
      <c r="A113" s="35">
        <v>687</v>
      </c>
      <c r="B113" s="35" t="s">
        <v>1305</v>
      </c>
      <c r="C113" s="35" t="s">
        <v>253</v>
      </c>
      <c r="D113" s="35" t="s">
        <v>253</v>
      </c>
      <c r="E113" s="35" t="s">
        <v>1289</v>
      </c>
      <c r="F113" s="35" t="s">
        <v>1290</v>
      </c>
      <c r="G113" s="35" t="s">
        <v>2007</v>
      </c>
      <c r="H113" s="35" t="s">
        <v>256</v>
      </c>
      <c r="I113" s="35">
        <v>29588</v>
      </c>
      <c r="J113" s="35">
        <v>10.556667195940101</v>
      </c>
      <c r="K113" s="35">
        <v>87.007053722881693</v>
      </c>
      <c r="L113" s="35">
        <v>-9.92</v>
      </c>
      <c r="M113" s="35">
        <v>-24.66</v>
      </c>
      <c r="N113" s="35">
        <v>554</v>
      </c>
      <c r="O113" s="35" t="s">
        <v>1086</v>
      </c>
      <c r="P113" s="35" t="s">
        <v>1087</v>
      </c>
      <c r="Q113" s="35" t="s">
        <v>253</v>
      </c>
      <c r="R113" s="35" t="s">
        <v>253</v>
      </c>
      <c r="S113" s="35" t="s">
        <v>257</v>
      </c>
      <c r="T113" s="35" t="s">
        <v>261</v>
      </c>
      <c r="U113" s="35" t="s">
        <v>253</v>
      </c>
      <c r="V113" s="35" t="s">
        <v>253</v>
      </c>
      <c r="W113" s="35" t="s">
        <v>253</v>
      </c>
      <c r="X113" s="35" t="s">
        <v>1306</v>
      </c>
      <c r="Y113" s="35" t="s">
        <v>1307</v>
      </c>
    </row>
    <row r="114" spans="1:25" x14ac:dyDescent="0.2">
      <c r="A114" s="35">
        <v>814</v>
      </c>
      <c r="B114" s="35" t="s">
        <v>1064</v>
      </c>
      <c r="C114" s="35" t="s">
        <v>253</v>
      </c>
      <c r="D114" s="35" t="s">
        <v>253</v>
      </c>
      <c r="E114" s="35" t="s">
        <v>1289</v>
      </c>
      <c r="F114" s="35" t="s">
        <v>1290</v>
      </c>
      <c r="G114" s="35" t="s">
        <v>2007</v>
      </c>
      <c r="H114" s="35" t="s">
        <v>256</v>
      </c>
      <c r="I114" s="35">
        <v>3079</v>
      </c>
      <c r="J114" s="35">
        <v>34</v>
      </c>
      <c r="K114" s="35">
        <v>45.5</v>
      </c>
      <c r="L114" s="35">
        <v>-8.57</v>
      </c>
      <c r="M114" s="35">
        <v>-23.9</v>
      </c>
      <c r="N114" s="35">
        <v>82</v>
      </c>
      <c r="O114" s="35" t="s">
        <v>987</v>
      </c>
      <c r="P114" s="35" t="s">
        <v>988</v>
      </c>
      <c r="Q114" s="35" t="s">
        <v>253</v>
      </c>
      <c r="R114" s="35" t="s">
        <v>259</v>
      </c>
      <c r="S114" s="35" t="s">
        <v>253</v>
      </c>
      <c r="T114" s="35" t="s">
        <v>253</v>
      </c>
      <c r="U114" s="35" t="s">
        <v>253</v>
      </c>
      <c r="V114" s="35" t="s">
        <v>253</v>
      </c>
      <c r="W114" s="35" t="s">
        <v>253</v>
      </c>
      <c r="X114" s="35" t="s">
        <v>1308</v>
      </c>
      <c r="Y114" s="35" t="s">
        <v>1309</v>
      </c>
    </row>
    <row r="115" spans="1:25" x14ac:dyDescent="0.2">
      <c r="A115" s="35">
        <v>816</v>
      </c>
      <c r="B115" s="35" t="s">
        <v>1310</v>
      </c>
      <c r="C115" s="35" t="s">
        <v>253</v>
      </c>
      <c r="D115" s="35" t="s">
        <v>253</v>
      </c>
      <c r="E115" s="35" t="s">
        <v>1289</v>
      </c>
      <c r="F115" s="35" t="s">
        <v>1290</v>
      </c>
      <c r="G115" s="35" t="s">
        <v>2008</v>
      </c>
      <c r="H115" s="35" t="s">
        <v>256</v>
      </c>
      <c r="I115" s="35">
        <v>2413</v>
      </c>
      <c r="J115" s="35">
        <v>292.558159541706</v>
      </c>
      <c r="K115" s="35">
        <v>60.558466552564497</v>
      </c>
      <c r="L115" s="35">
        <v>-9.06</v>
      </c>
      <c r="M115" s="35">
        <v>-15.55</v>
      </c>
      <c r="N115" s="35">
        <v>328</v>
      </c>
      <c r="O115" s="35" t="s">
        <v>987</v>
      </c>
      <c r="P115" s="35" t="s">
        <v>988</v>
      </c>
      <c r="Q115" s="35" t="s">
        <v>253</v>
      </c>
      <c r="R115" s="35" t="s">
        <v>253</v>
      </c>
      <c r="S115" s="35" t="s">
        <v>253</v>
      </c>
      <c r="T115" s="35" t="s">
        <v>253</v>
      </c>
      <c r="U115" s="35" t="s">
        <v>258</v>
      </c>
      <c r="V115" s="35" t="s">
        <v>253</v>
      </c>
      <c r="W115" s="35" t="s">
        <v>253</v>
      </c>
      <c r="X115" s="35" t="s">
        <v>1311</v>
      </c>
      <c r="Y115" s="35" t="s">
        <v>1312</v>
      </c>
    </row>
    <row r="116" spans="1:25" x14ac:dyDescent="0.2">
      <c r="A116" s="35">
        <v>842</v>
      </c>
      <c r="B116" s="35" t="s">
        <v>1313</v>
      </c>
      <c r="C116" s="35" t="s">
        <v>253</v>
      </c>
      <c r="D116" s="35" t="s">
        <v>253</v>
      </c>
      <c r="E116" s="35" t="s">
        <v>1289</v>
      </c>
      <c r="F116" s="35" t="s">
        <v>1290</v>
      </c>
      <c r="G116" s="35" t="s">
        <v>2007</v>
      </c>
      <c r="H116" s="35" t="s">
        <v>256</v>
      </c>
      <c r="I116" s="35">
        <v>13507</v>
      </c>
      <c r="J116" s="35">
        <v>36.518709348407498</v>
      </c>
      <c r="K116" s="35">
        <v>93.857607574207407</v>
      </c>
      <c r="L116" s="35">
        <v>-10.14</v>
      </c>
      <c r="M116" s="35">
        <v>-23.82</v>
      </c>
      <c r="N116" s="35">
        <v>3573</v>
      </c>
      <c r="O116" s="35" t="s">
        <v>967</v>
      </c>
      <c r="P116" s="35" t="s">
        <v>968</v>
      </c>
      <c r="Q116" s="35" t="s">
        <v>253</v>
      </c>
      <c r="R116" s="35" t="s">
        <v>253</v>
      </c>
      <c r="S116" s="35" t="s">
        <v>257</v>
      </c>
      <c r="T116" s="35" t="s">
        <v>261</v>
      </c>
      <c r="U116" s="35" t="s">
        <v>258</v>
      </c>
      <c r="V116" s="35" t="s">
        <v>253</v>
      </c>
      <c r="W116" s="35" t="s">
        <v>253</v>
      </c>
      <c r="X116" s="35" t="s">
        <v>1314</v>
      </c>
      <c r="Y116" s="35" t="s">
        <v>1315</v>
      </c>
    </row>
    <row r="117" spans="1:25" x14ac:dyDescent="0.2">
      <c r="A117" s="35">
        <v>909</v>
      </c>
      <c r="B117" s="35" t="s">
        <v>1316</v>
      </c>
      <c r="C117" s="35" t="s">
        <v>253</v>
      </c>
      <c r="D117" s="35" t="s">
        <v>253</v>
      </c>
      <c r="E117" s="35" t="s">
        <v>1289</v>
      </c>
      <c r="F117" s="35" t="s">
        <v>1290</v>
      </c>
      <c r="G117" s="35" t="s">
        <v>2008</v>
      </c>
      <c r="H117" s="35" t="s">
        <v>256</v>
      </c>
      <c r="I117" s="35">
        <v>39951</v>
      </c>
      <c r="J117" s="35">
        <v>243.76742515172401</v>
      </c>
      <c r="K117" s="35">
        <v>3.9246264748433699</v>
      </c>
      <c r="L117" s="35">
        <v>-7.23</v>
      </c>
      <c r="M117" s="35">
        <v>-17.13</v>
      </c>
      <c r="N117" s="35">
        <v>118</v>
      </c>
      <c r="O117" s="35" t="s">
        <v>1292</v>
      </c>
      <c r="P117" s="35" t="s">
        <v>1293</v>
      </c>
      <c r="Q117" s="35" t="s">
        <v>253</v>
      </c>
      <c r="R117" s="35" t="s">
        <v>253</v>
      </c>
      <c r="S117" s="35" t="s">
        <v>253</v>
      </c>
      <c r="T117" s="35" t="s">
        <v>261</v>
      </c>
      <c r="U117" s="35" t="s">
        <v>258</v>
      </c>
      <c r="V117" s="35" t="s">
        <v>297</v>
      </c>
      <c r="W117" s="35" t="s">
        <v>266</v>
      </c>
      <c r="X117" s="35" t="s">
        <v>1317</v>
      </c>
      <c r="Y117" s="35" t="s">
        <v>1318</v>
      </c>
    </row>
    <row r="118" spans="1:25" x14ac:dyDescent="0.2">
      <c r="A118" s="35">
        <v>26</v>
      </c>
      <c r="B118" s="35" t="s">
        <v>1326</v>
      </c>
      <c r="C118" s="35" t="s">
        <v>1327</v>
      </c>
      <c r="D118" s="35" t="s">
        <v>1328</v>
      </c>
      <c r="E118" s="35" t="s">
        <v>1329</v>
      </c>
      <c r="F118" s="35" t="s">
        <v>1330</v>
      </c>
      <c r="G118" s="35" t="s">
        <v>2015</v>
      </c>
      <c r="H118" s="35" t="s">
        <v>256</v>
      </c>
      <c r="I118" s="35">
        <v>25848</v>
      </c>
      <c r="J118" s="35">
        <v>198.36304408597701</v>
      </c>
      <c r="K118" s="35">
        <v>573.06552655486905</v>
      </c>
      <c r="L118" s="35">
        <v>-25.66</v>
      </c>
      <c r="M118" s="35">
        <v>-18.59</v>
      </c>
      <c r="N118" s="35">
        <v>52</v>
      </c>
      <c r="O118" s="35" t="s">
        <v>568</v>
      </c>
      <c r="P118" s="35" t="s">
        <v>569</v>
      </c>
      <c r="Q118" s="35" t="s">
        <v>332</v>
      </c>
      <c r="R118" s="35" t="s">
        <v>253</v>
      </c>
      <c r="S118" s="35" t="s">
        <v>257</v>
      </c>
      <c r="T118" s="35" t="s">
        <v>253</v>
      </c>
      <c r="U118" s="35" t="s">
        <v>253</v>
      </c>
      <c r="V118" s="35" t="s">
        <v>297</v>
      </c>
      <c r="W118" s="35" t="s">
        <v>253</v>
      </c>
      <c r="X118" s="35" t="s">
        <v>1331</v>
      </c>
      <c r="Y118" s="35" t="s">
        <v>1332</v>
      </c>
    </row>
    <row r="119" spans="1:25" x14ac:dyDescent="0.2">
      <c r="A119" s="35">
        <v>31</v>
      </c>
      <c r="B119" s="35" t="s">
        <v>1333</v>
      </c>
      <c r="C119" s="35" t="s">
        <v>1327</v>
      </c>
      <c r="D119" s="35" t="s">
        <v>1328</v>
      </c>
      <c r="E119" s="35" t="s">
        <v>1329</v>
      </c>
      <c r="F119" s="35" t="s">
        <v>1330</v>
      </c>
      <c r="G119" s="35" t="s">
        <v>2015</v>
      </c>
      <c r="H119" s="35" t="s">
        <v>256</v>
      </c>
      <c r="I119" s="35">
        <v>9150</v>
      </c>
      <c r="J119" s="35">
        <v>200</v>
      </c>
      <c r="K119" s="35">
        <v>770.5</v>
      </c>
      <c r="L119" s="35">
        <v>-32.049999999999997</v>
      </c>
      <c r="M119" s="35">
        <v>-18.54</v>
      </c>
      <c r="N119" s="35">
        <v>52</v>
      </c>
      <c r="O119" s="35" t="s">
        <v>554</v>
      </c>
      <c r="P119" s="35" t="s">
        <v>555</v>
      </c>
      <c r="Q119" s="35" t="s">
        <v>253</v>
      </c>
      <c r="R119" s="35" t="s">
        <v>259</v>
      </c>
      <c r="S119" s="35" t="s">
        <v>257</v>
      </c>
      <c r="T119" s="35" t="s">
        <v>253</v>
      </c>
      <c r="U119" s="35" t="s">
        <v>253</v>
      </c>
      <c r="V119" s="35" t="s">
        <v>253</v>
      </c>
      <c r="W119" s="35" t="s">
        <v>253</v>
      </c>
      <c r="X119" s="35" t="s">
        <v>1334</v>
      </c>
      <c r="Y119" s="35" t="s">
        <v>1335</v>
      </c>
    </row>
    <row r="120" spans="1:25" x14ac:dyDescent="0.2">
      <c r="A120" s="35">
        <v>56</v>
      </c>
      <c r="B120" s="35" t="s">
        <v>1336</v>
      </c>
      <c r="C120" s="35" t="s">
        <v>1327</v>
      </c>
      <c r="D120" s="35" t="s">
        <v>1328</v>
      </c>
      <c r="E120" s="35" t="s">
        <v>1329</v>
      </c>
      <c r="F120" s="35" t="s">
        <v>1330</v>
      </c>
      <c r="G120" s="35" t="s">
        <v>2015</v>
      </c>
      <c r="H120" s="35" t="s">
        <v>256</v>
      </c>
      <c r="I120" s="35">
        <v>2206</v>
      </c>
      <c r="J120" s="35">
        <v>61.118425450895302</v>
      </c>
      <c r="K120" s="35">
        <v>698.61360296084194</v>
      </c>
      <c r="L120" s="35">
        <v>-29.72</v>
      </c>
      <c r="M120" s="35">
        <v>-23.03</v>
      </c>
      <c r="N120" s="35">
        <v>13</v>
      </c>
      <c r="O120" s="35" t="s">
        <v>550</v>
      </c>
      <c r="P120" s="35" t="s">
        <v>551</v>
      </c>
      <c r="Q120" s="35" t="s">
        <v>253</v>
      </c>
      <c r="R120" s="35" t="s">
        <v>253</v>
      </c>
      <c r="S120" s="35" t="s">
        <v>257</v>
      </c>
      <c r="T120" s="35" t="s">
        <v>253</v>
      </c>
      <c r="U120" s="35" t="s">
        <v>253</v>
      </c>
      <c r="V120" s="35" t="s">
        <v>253</v>
      </c>
      <c r="W120" s="35" t="s">
        <v>253</v>
      </c>
      <c r="X120" s="35" t="s">
        <v>1337</v>
      </c>
      <c r="Y120" s="35" t="s">
        <v>1338</v>
      </c>
    </row>
    <row r="121" spans="1:25" x14ac:dyDescent="0.2">
      <c r="A121" s="35">
        <v>77</v>
      </c>
      <c r="B121" s="35" t="s">
        <v>1339</v>
      </c>
      <c r="C121" s="35" t="s">
        <v>1340</v>
      </c>
      <c r="D121" s="35" t="s">
        <v>1341</v>
      </c>
      <c r="E121" s="35" t="s">
        <v>1329</v>
      </c>
      <c r="F121" s="35" t="s">
        <v>1330</v>
      </c>
      <c r="G121" s="35" t="s">
        <v>2015</v>
      </c>
      <c r="H121" s="35" t="s">
        <v>256</v>
      </c>
      <c r="I121" s="35">
        <v>10273</v>
      </c>
      <c r="J121" s="35">
        <v>60.398338824477499</v>
      </c>
      <c r="K121" s="35">
        <v>427.33556280848597</v>
      </c>
      <c r="L121" s="35">
        <v>-20.94</v>
      </c>
      <c r="M121" s="35">
        <v>-23.05</v>
      </c>
      <c r="N121" s="35">
        <v>210</v>
      </c>
      <c r="O121" s="35" t="s">
        <v>945</v>
      </c>
      <c r="P121" s="35" t="s">
        <v>946</v>
      </c>
      <c r="Q121" s="35" t="s">
        <v>253</v>
      </c>
      <c r="R121" s="35" t="s">
        <v>253</v>
      </c>
      <c r="S121" s="35" t="s">
        <v>253</v>
      </c>
      <c r="T121" s="35" t="s">
        <v>261</v>
      </c>
      <c r="U121" s="35" t="s">
        <v>258</v>
      </c>
      <c r="V121" s="35" t="s">
        <v>253</v>
      </c>
      <c r="W121" s="35" t="s">
        <v>253</v>
      </c>
      <c r="X121" s="35" t="s">
        <v>1342</v>
      </c>
      <c r="Y121" s="35" t="s">
        <v>1343</v>
      </c>
    </row>
    <row r="122" spans="1:25" x14ac:dyDescent="0.2">
      <c r="A122" s="35">
        <v>98</v>
      </c>
      <c r="B122" s="35" t="s">
        <v>1344</v>
      </c>
      <c r="C122" s="35" t="s">
        <v>1340</v>
      </c>
      <c r="D122" s="35" t="s">
        <v>1341</v>
      </c>
      <c r="E122" s="35" t="s">
        <v>1329</v>
      </c>
      <c r="F122" s="35" t="s">
        <v>1330</v>
      </c>
      <c r="G122" s="35" t="s">
        <v>1345</v>
      </c>
      <c r="H122" s="35" t="s">
        <v>256</v>
      </c>
      <c r="I122" s="35">
        <v>5166</v>
      </c>
      <c r="J122" s="35">
        <v>7.2092374731331796</v>
      </c>
      <c r="K122" s="35">
        <v>434.76997068123097</v>
      </c>
      <c r="L122" s="35">
        <v>-21.18</v>
      </c>
      <c r="M122" s="35">
        <v>-24.77</v>
      </c>
      <c r="N122" s="35">
        <v>1588</v>
      </c>
      <c r="O122" s="35" t="s">
        <v>564</v>
      </c>
      <c r="P122" s="35" t="s">
        <v>565</v>
      </c>
      <c r="Q122" s="35" t="s">
        <v>253</v>
      </c>
      <c r="R122" s="35" t="s">
        <v>253</v>
      </c>
      <c r="S122" s="35" t="s">
        <v>257</v>
      </c>
      <c r="T122" s="35" t="s">
        <v>261</v>
      </c>
      <c r="U122" s="35" t="s">
        <v>253</v>
      </c>
      <c r="V122" s="35" t="s">
        <v>253</v>
      </c>
      <c r="W122" s="35" t="s">
        <v>253</v>
      </c>
      <c r="X122" s="35" t="s">
        <v>1346</v>
      </c>
      <c r="Y122" s="35" t="s">
        <v>1347</v>
      </c>
    </row>
    <row r="123" spans="1:25" x14ac:dyDescent="0.2">
      <c r="A123" s="35">
        <v>165</v>
      </c>
      <c r="B123" s="35" t="s">
        <v>1348</v>
      </c>
      <c r="C123" s="35" t="s">
        <v>1327</v>
      </c>
      <c r="D123" s="35" t="s">
        <v>1328</v>
      </c>
      <c r="E123" s="35" t="s">
        <v>1329</v>
      </c>
      <c r="F123" s="35" t="s">
        <v>1330</v>
      </c>
      <c r="G123" s="35" t="s">
        <v>2015</v>
      </c>
      <c r="H123" s="35" t="s">
        <v>256</v>
      </c>
      <c r="I123" s="35">
        <v>8750</v>
      </c>
      <c r="J123" s="35">
        <v>63.084067323008597</v>
      </c>
      <c r="K123" s="35">
        <v>558.00209280223805</v>
      </c>
      <c r="L123" s="35">
        <v>-25.17</v>
      </c>
      <c r="M123" s="35">
        <v>-22.96</v>
      </c>
      <c r="N123" s="35">
        <v>1063</v>
      </c>
      <c r="O123" s="35" t="s">
        <v>550</v>
      </c>
      <c r="P123" s="35" t="s">
        <v>551</v>
      </c>
      <c r="Q123" s="35" t="s">
        <v>253</v>
      </c>
      <c r="R123" s="35" t="s">
        <v>253</v>
      </c>
      <c r="S123" s="35" t="s">
        <v>253</v>
      </c>
      <c r="T123" s="35" t="s">
        <v>253</v>
      </c>
      <c r="U123" s="35" t="s">
        <v>253</v>
      </c>
      <c r="V123" s="35" t="s">
        <v>253</v>
      </c>
      <c r="W123" s="35" t="s">
        <v>253</v>
      </c>
      <c r="X123" s="35" t="s">
        <v>1349</v>
      </c>
      <c r="Y123" s="35" t="s">
        <v>1350</v>
      </c>
    </row>
    <row r="124" spans="1:25" x14ac:dyDescent="0.2">
      <c r="A124" s="35">
        <v>168</v>
      </c>
      <c r="B124" s="35" t="s">
        <v>1351</v>
      </c>
      <c r="C124" s="35" t="s">
        <v>1352</v>
      </c>
      <c r="D124" s="35" t="s">
        <v>1353</v>
      </c>
      <c r="E124" s="35" t="s">
        <v>1329</v>
      </c>
      <c r="F124" s="35" t="s">
        <v>1330</v>
      </c>
      <c r="G124" s="35" t="s">
        <v>2007</v>
      </c>
      <c r="H124" s="35" t="s">
        <v>256</v>
      </c>
      <c r="I124" s="35">
        <v>3624</v>
      </c>
      <c r="J124" s="35">
        <v>7.7152442916970001</v>
      </c>
      <c r="K124" s="35">
        <v>271.91362230653402</v>
      </c>
      <c r="L124" s="35">
        <v>-15.9</v>
      </c>
      <c r="M124" s="35">
        <v>-24.75</v>
      </c>
      <c r="N124" s="35">
        <v>840</v>
      </c>
      <c r="O124" s="35" t="s">
        <v>913</v>
      </c>
      <c r="P124" s="35" t="s">
        <v>914</v>
      </c>
      <c r="Q124" s="35" t="s">
        <v>253</v>
      </c>
      <c r="R124" s="35" t="s">
        <v>253</v>
      </c>
      <c r="S124" s="35" t="s">
        <v>253</v>
      </c>
      <c r="T124" s="35" t="s">
        <v>261</v>
      </c>
      <c r="U124" s="35" t="s">
        <v>253</v>
      </c>
      <c r="V124" s="35" t="s">
        <v>253</v>
      </c>
      <c r="W124" s="35" t="s">
        <v>253</v>
      </c>
      <c r="X124" s="35" t="s">
        <v>1354</v>
      </c>
      <c r="Y124" s="35" t="s">
        <v>1355</v>
      </c>
    </row>
    <row r="125" spans="1:25" x14ac:dyDescent="0.2">
      <c r="A125" s="35">
        <v>179</v>
      </c>
      <c r="B125" s="35" t="s">
        <v>2021</v>
      </c>
      <c r="C125" s="35" t="s">
        <v>1352</v>
      </c>
      <c r="D125" s="35" t="s">
        <v>1353</v>
      </c>
      <c r="E125" s="35" t="s">
        <v>1329</v>
      </c>
      <c r="F125" s="35" t="s">
        <v>1330</v>
      </c>
      <c r="G125" s="35" t="s">
        <v>2007</v>
      </c>
      <c r="H125" s="35" t="s">
        <v>256</v>
      </c>
      <c r="I125" s="35">
        <v>2563</v>
      </c>
      <c r="J125" s="35">
        <v>163</v>
      </c>
      <c r="K125" s="35">
        <v>199.5</v>
      </c>
      <c r="L125" s="35">
        <v>-13.56</v>
      </c>
      <c r="M125" s="35">
        <v>-19.739999999999998</v>
      </c>
      <c r="N125" s="35">
        <v>118</v>
      </c>
      <c r="O125" s="35" t="s">
        <v>904</v>
      </c>
      <c r="P125" s="35" t="s">
        <v>905</v>
      </c>
      <c r="Q125" s="35" t="s">
        <v>253</v>
      </c>
      <c r="R125" s="35" t="s">
        <v>259</v>
      </c>
      <c r="S125" s="35" t="s">
        <v>257</v>
      </c>
      <c r="T125" s="35" t="s">
        <v>253</v>
      </c>
      <c r="U125" s="35" t="s">
        <v>258</v>
      </c>
      <c r="V125" s="35" t="s">
        <v>253</v>
      </c>
      <c r="W125" s="35" t="s">
        <v>253</v>
      </c>
      <c r="X125" s="35" t="s">
        <v>1357</v>
      </c>
      <c r="Y125" s="35" t="s">
        <v>2022</v>
      </c>
    </row>
    <row r="126" spans="1:25" x14ac:dyDescent="0.2">
      <c r="A126" s="35">
        <v>191</v>
      </c>
      <c r="B126" s="35" t="s">
        <v>1359</v>
      </c>
      <c r="C126" s="35" t="s">
        <v>1327</v>
      </c>
      <c r="D126" s="35" t="s">
        <v>1328</v>
      </c>
      <c r="E126" s="35" t="s">
        <v>1329</v>
      </c>
      <c r="F126" s="35" t="s">
        <v>1330</v>
      </c>
      <c r="G126" s="35" t="s">
        <v>2015</v>
      </c>
      <c r="H126" s="35" t="s">
        <v>256</v>
      </c>
      <c r="I126" s="35">
        <v>12594</v>
      </c>
      <c r="J126" s="35">
        <v>102.00766875099499</v>
      </c>
      <c r="K126" s="35">
        <v>541.73202740533998</v>
      </c>
      <c r="L126" s="35">
        <v>-24.64</v>
      </c>
      <c r="M126" s="35">
        <v>-21.71</v>
      </c>
      <c r="N126" s="35">
        <v>397</v>
      </c>
      <c r="O126" s="35" t="s">
        <v>568</v>
      </c>
      <c r="P126" s="35" t="s">
        <v>569</v>
      </c>
      <c r="Q126" s="35" t="s">
        <v>253</v>
      </c>
      <c r="R126" s="35" t="s">
        <v>253</v>
      </c>
      <c r="S126" s="35" t="s">
        <v>257</v>
      </c>
      <c r="T126" s="35" t="s">
        <v>261</v>
      </c>
      <c r="U126" s="35" t="s">
        <v>258</v>
      </c>
      <c r="V126" s="35" t="s">
        <v>253</v>
      </c>
      <c r="W126" s="35" t="s">
        <v>253</v>
      </c>
      <c r="X126" s="35" t="s">
        <v>1360</v>
      </c>
      <c r="Y126" s="35" t="s">
        <v>1361</v>
      </c>
    </row>
    <row r="127" spans="1:25" x14ac:dyDescent="0.2">
      <c r="A127" s="35">
        <v>207</v>
      </c>
      <c r="B127" s="35" t="s">
        <v>1362</v>
      </c>
      <c r="C127" s="35" t="s">
        <v>1327</v>
      </c>
      <c r="D127" s="35" t="s">
        <v>1328</v>
      </c>
      <c r="E127" s="35" t="s">
        <v>1329</v>
      </c>
      <c r="F127" s="35" t="s">
        <v>1330</v>
      </c>
      <c r="G127" s="35" t="s">
        <v>2015</v>
      </c>
      <c r="H127" s="35" t="s">
        <v>256</v>
      </c>
      <c r="I127" s="35">
        <v>14000</v>
      </c>
      <c r="J127" s="35">
        <v>199.18043971596501</v>
      </c>
      <c r="K127" s="35">
        <v>672.02878318552598</v>
      </c>
      <c r="L127" s="35">
        <v>-28.86</v>
      </c>
      <c r="M127" s="35">
        <v>-18.57</v>
      </c>
      <c r="N127" s="35">
        <v>161</v>
      </c>
      <c r="O127" s="35" t="s">
        <v>564</v>
      </c>
      <c r="P127" s="35" t="s">
        <v>565</v>
      </c>
      <c r="Q127" s="35" t="s">
        <v>253</v>
      </c>
      <c r="R127" s="35" t="s">
        <v>253</v>
      </c>
      <c r="S127" s="35" t="s">
        <v>253</v>
      </c>
      <c r="T127" s="35" t="s">
        <v>253</v>
      </c>
      <c r="U127" s="35" t="s">
        <v>253</v>
      </c>
      <c r="V127" s="35" t="s">
        <v>253</v>
      </c>
      <c r="W127" s="35" t="s">
        <v>253</v>
      </c>
      <c r="X127" s="35" t="s">
        <v>1363</v>
      </c>
      <c r="Y127" s="35" t="s">
        <v>1364</v>
      </c>
    </row>
    <row r="128" spans="1:25" x14ac:dyDescent="0.2">
      <c r="A128" s="35">
        <v>233</v>
      </c>
      <c r="B128" s="35" t="s">
        <v>1365</v>
      </c>
      <c r="C128" s="35" t="s">
        <v>1352</v>
      </c>
      <c r="D128" s="35" t="s">
        <v>1353</v>
      </c>
      <c r="E128" s="35" t="s">
        <v>1329</v>
      </c>
      <c r="F128" s="35" t="s">
        <v>1330</v>
      </c>
      <c r="G128" s="35" t="s">
        <v>2007</v>
      </c>
      <c r="H128" s="35" t="s">
        <v>256</v>
      </c>
      <c r="I128" s="35">
        <v>1554</v>
      </c>
      <c r="J128" s="35">
        <v>63.492765138002497</v>
      </c>
      <c r="K128" s="35">
        <v>301.04793797538201</v>
      </c>
      <c r="L128" s="35">
        <v>-16.850000000000001</v>
      </c>
      <c r="M128" s="35">
        <v>-22.95</v>
      </c>
      <c r="N128" s="35">
        <v>554</v>
      </c>
      <c r="O128" s="35" t="s">
        <v>967</v>
      </c>
      <c r="P128" s="35" t="s">
        <v>968</v>
      </c>
      <c r="Q128" s="35" t="s">
        <v>253</v>
      </c>
      <c r="R128" s="35" t="s">
        <v>253</v>
      </c>
      <c r="S128" s="35" t="s">
        <v>253</v>
      </c>
      <c r="T128" s="35" t="s">
        <v>253</v>
      </c>
      <c r="U128" s="35" t="s">
        <v>258</v>
      </c>
      <c r="V128" s="35" t="s">
        <v>253</v>
      </c>
      <c r="W128" s="35" t="s">
        <v>253</v>
      </c>
      <c r="X128" s="35" t="s">
        <v>1366</v>
      </c>
      <c r="Y128" s="35" t="s">
        <v>1367</v>
      </c>
    </row>
    <row r="129" spans="1:25" x14ac:dyDescent="0.2">
      <c r="A129" s="35">
        <v>273</v>
      </c>
      <c r="B129" s="35" t="s">
        <v>1368</v>
      </c>
      <c r="C129" s="35" t="s">
        <v>1327</v>
      </c>
      <c r="D129" s="35" t="s">
        <v>1328</v>
      </c>
      <c r="E129" s="35" t="s">
        <v>1329</v>
      </c>
      <c r="F129" s="35" t="s">
        <v>1330</v>
      </c>
      <c r="G129" s="35" t="s">
        <v>2015</v>
      </c>
      <c r="H129" s="35" t="s">
        <v>256</v>
      </c>
      <c r="I129" s="35">
        <v>3675</v>
      </c>
      <c r="J129" s="35">
        <v>238.45435355680399</v>
      </c>
      <c r="K129" s="35">
        <v>868.94328280971297</v>
      </c>
      <c r="L129" s="35">
        <v>-35.24</v>
      </c>
      <c r="M129" s="35">
        <v>-17.3</v>
      </c>
      <c r="N129" s="35">
        <v>30</v>
      </c>
      <c r="O129" s="35" t="s">
        <v>542</v>
      </c>
      <c r="P129" s="35" t="s">
        <v>543</v>
      </c>
      <c r="Q129" s="35" t="s">
        <v>253</v>
      </c>
      <c r="R129" s="35" t="s">
        <v>253</v>
      </c>
      <c r="S129" s="35" t="s">
        <v>257</v>
      </c>
      <c r="T129" s="35" t="s">
        <v>253</v>
      </c>
      <c r="U129" s="35" t="s">
        <v>253</v>
      </c>
      <c r="V129" s="35" t="s">
        <v>253</v>
      </c>
      <c r="W129" s="35" t="s">
        <v>253</v>
      </c>
      <c r="X129" s="35" t="s">
        <v>1369</v>
      </c>
      <c r="Y129" s="35" t="s">
        <v>1370</v>
      </c>
    </row>
    <row r="130" spans="1:25" x14ac:dyDescent="0.2">
      <c r="A130" s="35">
        <v>304</v>
      </c>
      <c r="B130" s="35" t="s">
        <v>1371</v>
      </c>
      <c r="C130" s="35" t="s">
        <v>1327</v>
      </c>
      <c r="D130" s="35" t="s">
        <v>1328</v>
      </c>
      <c r="E130" s="35" t="s">
        <v>1329</v>
      </c>
      <c r="F130" s="35" t="s">
        <v>1330</v>
      </c>
      <c r="G130" s="35" t="s">
        <v>2015</v>
      </c>
      <c r="H130" s="35" t="s">
        <v>256</v>
      </c>
      <c r="I130" s="35">
        <v>2226</v>
      </c>
      <c r="J130" s="35">
        <v>85.2315965355332</v>
      </c>
      <c r="K130" s="35">
        <v>682.92739158536301</v>
      </c>
      <c r="L130" s="35">
        <v>-29.21</v>
      </c>
      <c r="M130" s="35">
        <v>-22.25</v>
      </c>
      <c r="N130" s="35">
        <v>118</v>
      </c>
      <c r="O130" s="35" t="s">
        <v>550</v>
      </c>
      <c r="P130" s="35" t="s">
        <v>551</v>
      </c>
      <c r="Q130" s="35" t="s">
        <v>253</v>
      </c>
      <c r="R130" s="35" t="s">
        <v>253</v>
      </c>
      <c r="S130" s="35" t="s">
        <v>253</v>
      </c>
      <c r="T130" s="35" t="s">
        <v>253</v>
      </c>
      <c r="U130" s="35" t="s">
        <v>258</v>
      </c>
      <c r="V130" s="35" t="s">
        <v>253</v>
      </c>
      <c r="W130" s="35" t="s">
        <v>253</v>
      </c>
      <c r="X130" s="35" t="s">
        <v>1372</v>
      </c>
      <c r="Y130" s="35" t="s">
        <v>1373</v>
      </c>
    </row>
    <row r="131" spans="1:25" x14ac:dyDescent="0.2">
      <c r="A131" s="35">
        <v>336</v>
      </c>
      <c r="B131" s="35" t="s">
        <v>1374</v>
      </c>
      <c r="C131" s="35" t="s">
        <v>1327</v>
      </c>
      <c r="D131" s="35" t="s">
        <v>1328</v>
      </c>
      <c r="E131" s="35" t="s">
        <v>1329</v>
      </c>
      <c r="F131" s="35" t="s">
        <v>1330</v>
      </c>
      <c r="G131" s="35" t="s">
        <v>2015</v>
      </c>
      <c r="H131" s="35" t="s">
        <v>256</v>
      </c>
      <c r="I131" s="35">
        <v>1817</v>
      </c>
      <c r="J131" s="35">
        <v>69.467537957198402</v>
      </c>
      <c r="K131" s="35">
        <v>626.00162449693198</v>
      </c>
      <c r="L131" s="35">
        <v>-27.37</v>
      </c>
      <c r="M131" s="35">
        <v>-22.76</v>
      </c>
      <c r="N131" s="35">
        <v>472</v>
      </c>
      <c r="O131" s="35" t="s">
        <v>550</v>
      </c>
      <c r="P131" s="35" t="s">
        <v>551</v>
      </c>
      <c r="Q131" s="35" t="s">
        <v>253</v>
      </c>
      <c r="R131" s="35" t="s">
        <v>253</v>
      </c>
      <c r="S131" s="35" t="s">
        <v>253</v>
      </c>
      <c r="T131" s="35" t="s">
        <v>253</v>
      </c>
      <c r="U131" s="35" t="s">
        <v>253</v>
      </c>
      <c r="V131" s="35" t="s">
        <v>253</v>
      </c>
      <c r="W131" s="35" t="s">
        <v>253</v>
      </c>
      <c r="X131" s="35" t="s">
        <v>1375</v>
      </c>
      <c r="Y131" s="35" t="s">
        <v>1376</v>
      </c>
    </row>
    <row r="132" spans="1:25" x14ac:dyDescent="0.2">
      <c r="A132" s="35">
        <v>339</v>
      </c>
      <c r="B132" s="35" t="s">
        <v>1377</v>
      </c>
      <c r="C132" s="35" t="s">
        <v>1327</v>
      </c>
      <c r="D132" s="35" t="s">
        <v>1328</v>
      </c>
      <c r="E132" s="35" t="s">
        <v>1329</v>
      </c>
      <c r="F132" s="35" t="s">
        <v>1330</v>
      </c>
      <c r="G132" s="35" t="s">
        <v>2024</v>
      </c>
      <c r="H132" s="35" t="s">
        <v>256</v>
      </c>
      <c r="I132" s="35">
        <v>10169</v>
      </c>
      <c r="J132" s="35">
        <v>206.24507337514501</v>
      </c>
      <c r="K132" s="35">
        <v>818.32313915261602</v>
      </c>
      <c r="L132" s="35">
        <v>-33.6</v>
      </c>
      <c r="M132" s="35">
        <v>-18.34</v>
      </c>
      <c r="N132" s="35">
        <v>82</v>
      </c>
      <c r="O132" s="35" t="s">
        <v>554</v>
      </c>
      <c r="P132" s="35" t="s">
        <v>555</v>
      </c>
      <c r="Q132" s="35" t="s">
        <v>253</v>
      </c>
      <c r="R132" s="35" t="s">
        <v>253</v>
      </c>
      <c r="S132" s="35" t="s">
        <v>257</v>
      </c>
      <c r="T132" s="35" t="s">
        <v>253</v>
      </c>
      <c r="U132" s="35" t="s">
        <v>258</v>
      </c>
      <c r="V132" s="35" t="s">
        <v>253</v>
      </c>
      <c r="W132" s="35" t="s">
        <v>253</v>
      </c>
      <c r="X132" s="35" t="s">
        <v>1378</v>
      </c>
      <c r="Y132" s="35" t="s">
        <v>1379</v>
      </c>
    </row>
    <row r="133" spans="1:25" x14ac:dyDescent="0.2">
      <c r="A133" s="35">
        <v>346</v>
      </c>
      <c r="B133" s="35" t="s">
        <v>1380</v>
      </c>
      <c r="C133" s="35" t="s">
        <v>1327</v>
      </c>
      <c r="D133" s="35" t="s">
        <v>1328</v>
      </c>
      <c r="E133" s="35" t="s">
        <v>1329</v>
      </c>
      <c r="F133" s="35" t="s">
        <v>1330</v>
      </c>
      <c r="G133" s="35" t="s">
        <v>2015</v>
      </c>
      <c r="H133" s="35" t="s">
        <v>256</v>
      </c>
      <c r="I133" s="35">
        <v>1704</v>
      </c>
      <c r="J133" s="35">
        <v>117.8690363329</v>
      </c>
      <c r="K133" s="35">
        <v>559.75365486649798</v>
      </c>
      <c r="L133" s="35">
        <v>-25.23</v>
      </c>
      <c r="M133" s="35">
        <v>-21.19</v>
      </c>
      <c r="N133" s="35">
        <v>161</v>
      </c>
      <c r="O133" s="35" t="s">
        <v>568</v>
      </c>
      <c r="P133" s="35" t="s">
        <v>569</v>
      </c>
      <c r="Q133" s="35" t="s">
        <v>253</v>
      </c>
      <c r="R133" s="35" t="s">
        <v>253</v>
      </c>
      <c r="S133" s="35" t="s">
        <v>253</v>
      </c>
      <c r="T133" s="35" t="s">
        <v>261</v>
      </c>
      <c r="U133" s="35" t="s">
        <v>253</v>
      </c>
      <c r="V133" s="35" t="s">
        <v>253</v>
      </c>
      <c r="W133" s="35" t="s">
        <v>253</v>
      </c>
      <c r="X133" s="35" t="s">
        <v>1381</v>
      </c>
      <c r="Y133" s="35" t="s">
        <v>1382</v>
      </c>
    </row>
    <row r="134" spans="1:25" x14ac:dyDescent="0.2">
      <c r="A134" s="35">
        <v>377</v>
      </c>
      <c r="B134" s="35" t="s">
        <v>1383</v>
      </c>
      <c r="C134" s="35" t="s">
        <v>1327</v>
      </c>
      <c r="D134" s="35" t="s">
        <v>1328</v>
      </c>
      <c r="E134" s="35" t="s">
        <v>1329</v>
      </c>
      <c r="F134" s="35" t="s">
        <v>1330</v>
      </c>
      <c r="G134" s="35" t="s">
        <v>2015</v>
      </c>
      <c r="H134" s="35" t="s">
        <v>256</v>
      </c>
      <c r="I134" s="35">
        <v>4959</v>
      </c>
      <c r="J134" s="35">
        <v>93.035778621844599</v>
      </c>
      <c r="K134" s="35">
        <v>630.789227472574</v>
      </c>
      <c r="L134" s="35">
        <v>-27.53</v>
      </c>
      <c r="M134" s="35">
        <v>-21.99</v>
      </c>
      <c r="N134" s="35">
        <v>328</v>
      </c>
      <c r="O134" s="35" t="s">
        <v>564</v>
      </c>
      <c r="P134" s="35" t="s">
        <v>565</v>
      </c>
      <c r="Q134" s="35" t="s">
        <v>253</v>
      </c>
      <c r="R134" s="35" t="s">
        <v>253</v>
      </c>
      <c r="S134" s="35" t="s">
        <v>257</v>
      </c>
      <c r="T134" s="35" t="s">
        <v>253</v>
      </c>
      <c r="U134" s="35" t="s">
        <v>258</v>
      </c>
      <c r="V134" s="35" t="s">
        <v>253</v>
      </c>
      <c r="W134" s="35" t="s">
        <v>253</v>
      </c>
      <c r="X134" s="35" t="s">
        <v>1384</v>
      </c>
      <c r="Y134" s="35" t="s">
        <v>1385</v>
      </c>
    </row>
    <row r="135" spans="1:25" x14ac:dyDescent="0.2">
      <c r="A135" s="35">
        <v>379</v>
      </c>
      <c r="B135" s="35" t="s">
        <v>1386</v>
      </c>
      <c r="C135" s="35" t="s">
        <v>1327</v>
      </c>
      <c r="D135" s="35" t="s">
        <v>1328</v>
      </c>
      <c r="E135" s="35" t="s">
        <v>1329</v>
      </c>
      <c r="F135" s="35" t="s">
        <v>1330</v>
      </c>
      <c r="G135" s="35" t="s">
        <v>2015</v>
      </c>
      <c r="H135" s="35" t="s">
        <v>256</v>
      </c>
      <c r="I135" s="35">
        <v>14685</v>
      </c>
      <c r="J135" s="35">
        <v>4.4261999710322097</v>
      </c>
      <c r="K135" s="35">
        <v>818.96537857617795</v>
      </c>
      <c r="L135" s="35">
        <v>-33.619999999999997</v>
      </c>
      <c r="M135" s="35">
        <v>-24.86</v>
      </c>
      <c r="N135" s="35">
        <v>118</v>
      </c>
      <c r="O135" s="35" t="s">
        <v>554</v>
      </c>
      <c r="P135" s="35" t="s">
        <v>555</v>
      </c>
      <c r="Q135" s="35" t="s">
        <v>253</v>
      </c>
      <c r="R135" s="35" t="s">
        <v>253</v>
      </c>
      <c r="S135" s="35" t="s">
        <v>253</v>
      </c>
      <c r="T135" s="35" t="s">
        <v>261</v>
      </c>
      <c r="U135" s="35" t="s">
        <v>253</v>
      </c>
      <c r="V135" s="35" t="s">
        <v>253</v>
      </c>
      <c r="W135" s="35" t="s">
        <v>253</v>
      </c>
      <c r="X135" s="35" t="s">
        <v>1387</v>
      </c>
      <c r="Y135" s="35" t="s">
        <v>1388</v>
      </c>
    </row>
    <row r="136" spans="1:25" x14ac:dyDescent="0.2">
      <c r="A136" s="35">
        <v>399</v>
      </c>
      <c r="B136" s="35" t="s">
        <v>1389</v>
      </c>
      <c r="C136" s="35" t="s">
        <v>1327</v>
      </c>
      <c r="D136" s="35" t="s">
        <v>1328</v>
      </c>
      <c r="E136" s="35" t="s">
        <v>1329</v>
      </c>
      <c r="F136" s="35" t="s">
        <v>1330</v>
      </c>
      <c r="G136" s="35" t="s">
        <v>2015</v>
      </c>
      <c r="H136" s="35" t="s">
        <v>256</v>
      </c>
      <c r="I136" s="35">
        <v>5151</v>
      </c>
      <c r="J136" s="35">
        <v>4.59</v>
      </c>
      <c r="K136" s="35">
        <v>787.27</v>
      </c>
      <c r="L136" s="35">
        <v>-32.590000000000003</v>
      </c>
      <c r="M136" s="35">
        <v>-24.85</v>
      </c>
      <c r="N136" s="35">
        <v>30</v>
      </c>
      <c r="O136" s="35" t="s">
        <v>554</v>
      </c>
      <c r="P136" s="35" t="s">
        <v>555</v>
      </c>
      <c r="Q136" s="35" t="s">
        <v>253</v>
      </c>
      <c r="R136" s="35" t="s">
        <v>253</v>
      </c>
      <c r="S136" s="35" t="s">
        <v>257</v>
      </c>
      <c r="T136" s="35" t="s">
        <v>253</v>
      </c>
      <c r="U136" s="35" t="s">
        <v>253</v>
      </c>
      <c r="V136" s="35" t="s">
        <v>253</v>
      </c>
      <c r="W136" s="35" t="s">
        <v>253</v>
      </c>
      <c r="X136" s="35" t="s">
        <v>1390</v>
      </c>
      <c r="Y136" s="35" t="s">
        <v>1391</v>
      </c>
    </row>
    <row r="137" spans="1:25" x14ac:dyDescent="0.2">
      <c r="A137" s="35">
        <v>409</v>
      </c>
      <c r="B137" s="35" t="s">
        <v>1392</v>
      </c>
      <c r="C137" s="35" t="s">
        <v>1393</v>
      </c>
      <c r="D137" s="35" t="s">
        <v>1394</v>
      </c>
      <c r="E137" s="35" t="s">
        <v>1329</v>
      </c>
      <c r="F137" s="35" t="s">
        <v>1330</v>
      </c>
      <c r="G137" s="35" t="s">
        <v>1345</v>
      </c>
      <c r="H137" s="35" t="s">
        <v>256</v>
      </c>
      <c r="I137" s="35">
        <v>7974</v>
      </c>
      <c r="J137" s="35">
        <v>23.2262994607498</v>
      </c>
      <c r="K137" s="35">
        <v>429.43743728559701</v>
      </c>
      <c r="L137" s="35">
        <v>-21.01</v>
      </c>
      <c r="M137" s="35">
        <v>-24.25</v>
      </c>
      <c r="N137" s="35">
        <v>266</v>
      </c>
      <c r="O137" s="35" t="s">
        <v>945</v>
      </c>
      <c r="P137" s="35" t="s">
        <v>946</v>
      </c>
      <c r="Q137" s="35" t="s">
        <v>253</v>
      </c>
      <c r="R137" s="35" t="s">
        <v>253</v>
      </c>
      <c r="S137" s="35" t="s">
        <v>253</v>
      </c>
      <c r="T137" s="35" t="s">
        <v>253</v>
      </c>
      <c r="U137" s="35" t="s">
        <v>258</v>
      </c>
      <c r="V137" s="35" t="s">
        <v>253</v>
      </c>
      <c r="W137" s="35" t="s">
        <v>253</v>
      </c>
      <c r="X137" s="35" t="s">
        <v>1395</v>
      </c>
      <c r="Y137" s="35" t="s">
        <v>1396</v>
      </c>
    </row>
    <row r="138" spans="1:25" x14ac:dyDescent="0.2">
      <c r="A138" s="35">
        <v>427</v>
      </c>
      <c r="B138" s="35" t="s">
        <v>1397</v>
      </c>
      <c r="C138" s="35" t="s">
        <v>1327</v>
      </c>
      <c r="D138" s="35" t="s">
        <v>1328</v>
      </c>
      <c r="E138" s="35" t="s">
        <v>1329</v>
      </c>
      <c r="F138" s="35" t="s">
        <v>1330</v>
      </c>
      <c r="G138" s="35" t="s">
        <v>2015</v>
      </c>
      <c r="H138" s="35" t="s">
        <v>256</v>
      </c>
      <c r="I138" s="35">
        <v>1742</v>
      </c>
      <c r="J138" s="35">
        <v>91.362063760441103</v>
      </c>
      <c r="K138" s="35">
        <v>547.10348440240205</v>
      </c>
      <c r="L138" s="35">
        <v>-24.82</v>
      </c>
      <c r="M138" s="35">
        <v>-22.05</v>
      </c>
      <c r="N138" s="35">
        <v>266</v>
      </c>
      <c r="O138" s="35" t="s">
        <v>568</v>
      </c>
      <c r="P138" s="35" t="s">
        <v>569</v>
      </c>
      <c r="Q138" s="35" t="s">
        <v>253</v>
      </c>
      <c r="R138" s="35" t="s">
        <v>253</v>
      </c>
      <c r="S138" s="35" t="s">
        <v>253</v>
      </c>
      <c r="T138" s="35" t="s">
        <v>253</v>
      </c>
      <c r="U138" s="35" t="s">
        <v>258</v>
      </c>
      <c r="V138" s="35" t="s">
        <v>253</v>
      </c>
      <c r="W138" s="35" t="s">
        <v>253</v>
      </c>
      <c r="X138" s="35" t="s">
        <v>1398</v>
      </c>
      <c r="Y138" s="35" t="s">
        <v>1399</v>
      </c>
    </row>
    <row r="139" spans="1:25" x14ac:dyDescent="0.2">
      <c r="A139" s="35">
        <v>433</v>
      </c>
      <c r="B139" s="35" t="s">
        <v>1400</v>
      </c>
      <c r="C139" s="35" t="s">
        <v>1327</v>
      </c>
      <c r="D139" s="35" t="s">
        <v>1328</v>
      </c>
      <c r="E139" s="35" t="s">
        <v>1329</v>
      </c>
      <c r="F139" s="35" t="s">
        <v>1330</v>
      </c>
      <c r="G139" s="35" t="s">
        <v>2015</v>
      </c>
      <c r="H139" s="35" t="s">
        <v>256</v>
      </c>
      <c r="I139" s="35">
        <v>13799</v>
      </c>
      <c r="J139" s="35">
        <v>44.7121274489988</v>
      </c>
      <c r="K139" s="35">
        <v>723.64147867903705</v>
      </c>
      <c r="L139" s="35">
        <v>-30.53</v>
      </c>
      <c r="M139" s="35">
        <v>-23.56</v>
      </c>
      <c r="N139" s="35">
        <v>161</v>
      </c>
      <c r="O139" s="35" t="s">
        <v>550</v>
      </c>
      <c r="P139" s="35" t="s">
        <v>551</v>
      </c>
      <c r="Q139" s="35" t="s">
        <v>253</v>
      </c>
      <c r="R139" s="35" t="s">
        <v>253</v>
      </c>
      <c r="S139" s="35" t="s">
        <v>253</v>
      </c>
      <c r="T139" s="35" t="s">
        <v>261</v>
      </c>
      <c r="U139" s="35" t="s">
        <v>258</v>
      </c>
      <c r="V139" s="35" t="s">
        <v>253</v>
      </c>
      <c r="W139" s="35" t="s">
        <v>253</v>
      </c>
      <c r="X139" s="35" t="s">
        <v>1401</v>
      </c>
      <c r="Y139" s="35" t="s">
        <v>1402</v>
      </c>
    </row>
    <row r="140" spans="1:25" x14ac:dyDescent="0.2">
      <c r="A140" s="35">
        <v>452</v>
      </c>
      <c r="B140" s="35" t="s">
        <v>1403</v>
      </c>
      <c r="C140" s="35" t="s">
        <v>1327</v>
      </c>
      <c r="D140" s="35" t="s">
        <v>1328</v>
      </c>
      <c r="E140" s="35" t="s">
        <v>1329</v>
      </c>
      <c r="F140" s="35" t="s">
        <v>1330</v>
      </c>
      <c r="G140" s="35" t="s">
        <v>2015</v>
      </c>
      <c r="H140" s="35" t="s">
        <v>256</v>
      </c>
      <c r="I140" s="35">
        <v>18516</v>
      </c>
      <c r="J140" s="35">
        <v>204.66866751731101</v>
      </c>
      <c r="K140" s="35">
        <v>885.19388640589705</v>
      </c>
      <c r="L140" s="35">
        <v>-35.76</v>
      </c>
      <c r="M140" s="35">
        <v>-18.39</v>
      </c>
      <c r="N140" s="35">
        <v>52</v>
      </c>
      <c r="O140" s="35" t="s">
        <v>542</v>
      </c>
      <c r="P140" s="35" t="s">
        <v>543</v>
      </c>
      <c r="Q140" s="35" t="s">
        <v>253</v>
      </c>
      <c r="R140" s="35" t="s">
        <v>253</v>
      </c>
      <c r="S140" s="35" t="s">
        <v>253</v>
      </c>
      <c r="T140" s="35" t="s">
        <v>261</v>
      </c>
      <c r="U140" s="35" t="s">
        <v>253</v>
      </c>
      <c r="V140" s="35" t="s">
        <v>253</v>
      </c>
      <c r="W140" s="35" t="s">
        <v>253</v>
      </c>
      <c r="X140" s="35" t="s">
        <v>1404</v>
      </c>
      <c r="Y140" s="35" t="s">
        <v>1405</v>
      </c>
    </row>
    <row r="141" spans="1:25" x14ac:dyDescent="0.2">
      <c r="A141" s="35">
        <v>459</v>
      </c>
      <c r="B141" s="35" t="s">
        <v>1406</v>
      </c>
      <c r="C141" s="35" t="s">
        <v>1352</v>
      </c>
      <c r="D141" s="35" t="s">
        <v>1353</v>
      </c>
      <c r="E141" s="35" t="s">
        <v>1329</v>
      </c>
      <c r="F141" s="35" t="s">
        <v>1330</v>
      </c>
      <c r="G141" s="35" t="s">
        <v>2007</v>
      </c>
      <c r="H141" s="35" t="s">
        <v>256</v>
      </c>
      <c r="I141" s="35">
        <v>21797</v>
      </c>
      <c r="J141" s="35">
        <v>84.608818912685507</v>
      </c>
      <c r="K141" s="35">
        <v>280.39896741783502</v>
      </c>
      <c r="L141" s="35">
        <v>-16.18</v>
      </c>
      <c r="M141" s="35">
        <v>-22.27</v>
      </c>
      <c r="N141" s="35">
        <v>738</v>
      </c>
      <c r="O141" s="35" t="s">
        <v>913</v>
      </c>
      <c r="P141" s="35" t="s">
        <v>914</v>
      </c>
      <c r="Q141" s="35" t="s">
        <v>253</v>
      </c>
      <c r="R141" s="35" t="s">
        <v>253</v>
      </c>
      <c r="S141" s="35" t="s">
        <v>253</v>
      </c>
      <c r="T141" s="35" t="s">
        <v>253</v>
      </c>
      <c r="U141" s="35" t="s">
        <v>253</v>
      </c>
      <c r="V141" s="35" t="s">
        <v>297</v>
      </c>
      <c r="W141" s="35" t="s">
        <v>253</v>
      </c>
      <c r="X141" s="35" t="s">
        <v>1407</v>
      </c>
      <c r="Y141" s="35" t="s">
        <v>1408</v>
      </c>
    </row>
    <row r="142" spans="1:25" x14ac:dyDescent="0.2">
      <c r="A142" s="35">
        <v>503</v>
      </c>
      <c r="B142" s="35" t="s">
        <v>1409</v>
      </c>
      <c r="C142" s="35" t="s">
        <v>1327</v>
      </c>
      <c r="D142" s="35" t="s">
        <v>1328</v>
      </c>
      <c r="E142" s="35" t="s">
        <v>1329</v>
      </c>
      <c r="F142" s="35" t="s">
        <v>1330</v>
      </c>
      <c r="G142" s="35" t="s">
        <v>2015</v>
      </c>
      <c r="H142" s="35" t="s">
        <v>256</v>
      </c>
      <c r="I142" s="35">
        <v>1801</v>
      </c>
      <c r="J142" s="35">
        <v>225.95987749842001</v>
      </c>
      <c r="K142" s="35">
        <v>546.422321377412</v>
      </c>
      <c r="L142" s="35">
        <v>-24.79</v>
      </c>
      <c r="M142" s="35">
        <v>-17.7</v>
      </c>
      <c r="N142" s="35">
        <v>161</v>
      </c>
      <c r="O142" s="35" t="s">
        <v>568</v>
      </c>
      <c r="P142" s="35" t="s">
        <v>569</v>
      </c>
      <c r="Q142" s="35" t="s">
        <v>253</v>
      </c>
      <c r="R142" s="35" t="s">
        <v>253</v>
      </c>
      <c r="S142" s="35" t="s">
        <v>257</v>
      </c>
      <c r="T142" s="35" t="s">
        <v>253</v>
      </c>
      <c r="U142" s="35" t="s">
        <v>258</v>
      </c>
      <c r="V142" s="35" t="s">
        <v>253</v>
      </c>
      <c r="W142" s="35" t="s">
        <v>253</v>
      </c>
      <c r="X142" s="35" t="s">
        <v>1410</v>
      </c>
      <c r="Y142" s="35" t="s">
        <v>1411</v>
      </c>
    </row>
    <row r="143" spans="1:25" x14ac:dyDescent="0.2">
      <c r="A143" s="35">
        <v>518</v>
      </c>
      <c r="B143" s="35" t="s">
        <v>1412</v>
      </c>
      <c r="C143" s="35" t="s">
        <v>1340</v>
      </c>
      <c r="D143" s="35" t="s">
        <v>1341</v>
      </c>
      <c r="E143" s="35" t="s">
        <v>1329</v>
      </c>
      <c r="F143" s="35" t="s">
        <v>1330</v>
      </c>
      <c r="G143" s="35" t="s">
        <v>2015</v>
      </c>
      <c r="H143" s="35" t="s">
        <v>256</v>
      </c>
      <c r="I143" s="35">
        <v>26127</v>
      </c>
      <c r="J143" s="35">
        <v>72.795505879291397</v>
      </c>
      <c r="K143" s="35">
        <v>438.83748703045597</v>
      </c>
      <c r="L143" s="35">
        <v>-21.31</v>
      </c>
      <c r="M143" s="35">
        <v>-22.65</v>
      </c>
      <c r="N143" s="35">
        <v>210</v>
      </c>
      <c r="O143" s="35" t="s">
        <v>945</v>
      </c>
      <c r="P143" s="35" t="s">
        <v>946</v>
      </c>
      <c r="Q143" s="35" t="s">
        <v>253</v>
      </c>
      <c r="R143" s="35" t="s">
        <v>253</v>
      </c>
      <c r="S143" s="35" t="s">
        <v>257</v>
      </c>
      <c r="T143" s="35" t="s">
        <v>261</v>
      </c>
      <c r="U143" s="35" t="s">
        <v>253</v>
      </c>
      <c r="V143" s="35" t="s">
        <v>253</v>
      </c>
      <c r="W143" s="35" t="s">
        <v>266</v>
      </c>
      <c r="X143" s="35" t="s">
        <v>1413</v>
      </c>
      <c r="Y143" s="35" t="s">
        <v>1414</v>
      </c>
    </row>
    <row r="144" spans="1:25" x14ac:dyDescent="0.2">
      <c r="A144" s="35">
        <v>537</v>
      </c>
      <c r="B144" s="35" t="s">
        <v>1415</v>
      </c>
      <c r="C144" s="35" t="s">
        <v>1327</v>
      </c>
      <c r="D144" s="35" t="s">
        <v>1328</v>
      </c>
      <c r="E144" s="35" t="s">
        <v>1329</v>
      </c>
      <c r="F144" s="35" t="s">
        <v>1330</v>
      </c>
      <c r="G144" s="35" t="s">
        <v>2015</v>
      </c>
      <c r="H144" s="35" t="s">
        <v>256</v>
      </c>
      <c r="I144" s="35">
        <v>1868</v>
      </c>
      <c r="J144" s="35">
        <v>197.83757546669901</v>
      </c>
      <c r="K144" s="35">
        <v>619.773848268454</v>
      </c>
      <c r="L144" s="35">
        <v>-27.17</v>
      </c>
      <c r="M144" s="35">
        <v>-18.61</v>
      </c>
      <c r="N144" s="35">
        <v>948</v>
      </c>
      <c r="O144" s="35" t="s">
        <v>550</v>
      </c>
      <c r="P144" s="35" t="s">
        <v>551</v>
      </c>
      <c r="Q144" s="35" t="s">
        <v>253</v>
      </c>
      <c r="R144" s="35" t="s">
        <v>253</v>
      </c>
      <c r="S144" s="35" t="s">
        <v>257</v>
      </c>
      <c r="T144" s="35" t="s">
        <v>253</v>
      </c>
      <c r="U144" s="35" t="s">
        <v>253</v>
      </c>
      <c r="V144" s="35" t="s">
        <v>253</v>
      </c>
      <c r="W144" s="35" t="s">
        <v>253</v>
      </c>
      <c r="X144" s="35" t="s">
        <v>1416</v>
      </c>
      <c r="Y144" s="35" t="s">
        <v>1417</v>
      </c>
    </row>
    <row r="145" spans="1:25" x14ac:dyDescent="0.2">
      <c r="A145" s="35">
        <v>575</v>
      </c>
      <c r="B145" s="35" t="s">
        <v>1418</v>
      </c>
      <c r="C145" s="35" t="s">
        <v>1340</v>
      </c>
      <c r="D145" s="35" t="s">
        <v>1341</v>
      </c>
      <c r="E145" s="35" t="s">
        <v>1329</v>
      </c>
      <c r="F145" s="35" t="s">
        <v>1330</v>
      </c>
      <c r="G145" s="35" t="s">
        <v>2015</v>
      </c>
      <c r="H145" s="35" t="s">
        <v>256</v>
      </c>
      <c r="I145" s="35">
        <v>8895</v>
      </c>
      <c r="J145" s="35">
        <v>45.704679285412503</v>
      </c>
      <c r="K145" s="35">
        <v>444.69548904536799</v>
      </c>
      <c r="L145" s="35">
        <v>-21.5</v>
      </c>
      <c r="M145" s="35">
        <v>-23.52</v>
      </c>
      <c r="N145" s="35">
        <v>397</v>
      </c>
      <c r="O145" s="35" t="s">
        <v>602</v>
      </c>
      <c r="P145" s="35" t="s">
        <v>603</v>
      </c>
      <c r="Q145" s="35" t="s">
        <v>253</v>
      </c>
      <c r="R145" s="35" t="s">
        <v>253</v>
      </c>
      <c r="S145" s="35" t="s">
        <v>257</v>
      </c>
      <c r="T145" s="35" t="s">
        <v>261</v>
      </c>
      <c r="U145" s="35" t="s">
        <v>253</v>
      </c>
      <c r="V145" s="35" t="s">
        <v>253</v>
      </c>
      <c r="W145" s="35" t="s">
        <v>253</v>
      </c>
      <c r="X145" s="35" t="s">
        <v>1419</v>
      </c>
      <c r="Y145" s="35" t="s">
        <v>1420</v>
      </c>
    </row>
    <row r="146" spans="1:25" x14ac:dyDescent="0.2">
      <c r="A146" s="35">
        <v>577</v>
      </c>
      <c r="B146" s="35" t="s">
        <v>1421</v>
      </c>
      <c r="C146" s="35" t="s">
        <v>1327</v>
      </c>
      <c r="D146" s="35" t="s">
        <v>1328</v>
      </c>
      <c r="E146" s="35" t="s">
        <v>1329</v>
      </c>
      <c r="F146" s="35" t="s">
        <v>1330</v>
      </c>
      <c r="G146" s="35" t="s">
        <v>2015</v>
      </c>
      <c r="H146" s="35" t="s">
        <v>256</v>
      </c>
      <c r="I146" s="35">
        <v>12048</v>
      </c>
      <c r="J146" s="35">
        <v>205.233059738017</v>
      </c>
      <c r="K146" s="35">
        <v>541.5374093982</v>
      </c>
      <c r="L146" s="35">
        <v>-24.64</v>
      </c>
      <c r="M146" s="35">
        <v>-18.37</v>
      </c>
      <c r="N146" s="35">
        <v>210</v>
      </c>
      <c r="O146" s="35" t="s">
        <v>602</v>
      </c>
      <c r="P146" s="35" t="s">
        <v>603</v>
      </c>
      <c r="Q146" s="35" t="s">
        <v>253</v>
      </c>
      <c r="R146" s="35" t="s">
        <v>253</v>
      </c>
      <c r="S146" s="35" t="s">
        <v>257</v>
      </c>
      <c r="T146" s="35" t="s">
        <v>261</v>
      </c>
      <c r="U146" s="35" t="s">
        <v>258</v>
      </c>
      <c r="V146" s="35" t="s">
        <v>253</v>
      </c>
      <c r="W146" s="35" t="s">
        <v>253</v>
      </c>
      <c r="X146" s="35" t="s">
        <v>1422</v>
      </c>
      <c r="Y146" s="35" t="s">
        <v>1423</v>
      </c>
    </row>
    <row r="147" spans="1:25" x14ac:dyDescent="0.2">
      <c r="A147" s="35">
        <v>578</v>
      </c>
      <c r="B147" s="35" t="s">
        <v>1424</v>
      </c>
      <c r="C147" s="35" t="s">
        <v>1327</v>
      </c>
      <c r="D147" s="35" t="s">
        <v>1328</v>
      </c>
      <c r="E147" s="35" t="s">
        <v>1329</v>
      </c>
      <c r="F147" s="35" t="s">
        <v>1330</v>
      </c>
      <c r="G147" s="35" t="s">
        <v>2015</v>
      </c>
      <c r="H147" s="35" t="s">
        <v>256</v>
      </c>
      <c r="I147" s="35">
        <v>11527</v>
      </c>
      <c r="J147" s="35">
        <v>62.169362689450899</v>
      </c>
      <c r="K147" s="35">
        <v>572.81252314558697</v>
      </c>
      <c r="L147" s="35">
        <v>-25.65</v>
      </c>
      <c r="M147" s="35">
        <v>-22.99</v>
      </c>
      <c r="N147" s="35">
        <v>1447</v>
      </c>
      <c r="O147" s="35" t="s">
        <v>550</v>
      </c>
      <c r="P147" s="35" t="s">
        <v>551</v>
      </c>
      <c r="Q147" s="35" t="s">
        <v>253</v>
      </c>
      <c r="R147" s="35" t="s">
        <v>253</v>
      </c>
      <c r="S147" s="35" t="s">
        <v>253</v>
      </c>
      <c r="T147" s="35" t="s">
        <v>253</v>
      </c>
      <c r="U147" s="35" t="s">
        <v>258</v>
      </c>
      <c r="V147" s="35" t="s">
        <v>253</v>
      </c>
      <c r="W147" s="35" t="s">
        <v>253</v>
      </c>
      <c r="X147" s="35" t="s">
        <v>1425</v>
      </c>
      <c r="Y147" s="35" t="s">
        <v>1426</v>
      </c>
    </row>
    <row r="148" spans="1:25" x14ac:dyDescent="0.2">
      <c r="A148" s="35">
        <v>580</v>
      </c>
      <c r="B148" s="35" t="s">
        <v>1427</v>
      </c>
      <c r="C148" s="35" t="s">
        <v>1327</v>
      </c>
      <c r="D148" s="35" t="s">
        <v>1328</v>
      </c>
      <c r="E148" s="35" t="s">
        <v>1329</v>
      </c>
      <c r="F148" s="35" t="s">
        <v>1330</v>
      </c>
      <c r="G148" s="35" t="s">
        <v>2015</v>
      </c>
      <c r="H148" s="35" t="s">
        <v>256</v>
      </c>
      <c r="I148" s="35">
        <v>8596</v>
      </c>
      <c r="J148" s="35">
        <v>71.705645039307896</v>
      </c>
      <c r="K148" s="35">
        <v>582.91319771614997</v>
      </c>
      <c r="L148" s="35">
        <v>-25.98</v>
      </c>
      <c r="M148" s="35">
        <v>-22.68</v>
      </c>
      <c r="N148" s="35">
        <v>1312</v>
      </c>
      <c r="O148" s="35" t="s">
        <v>550</v>
      </c>
      <c r="P148" s="35" t="s">
        <v>551</v>
      </c>
      <c r="Q148" s="35" t="s">
        <v>253</v>
      </c>
      <c r="R148" s="35" t="s">
        <v>253</v>
      </c>
      <c r="S148" s="35" t="s">
        <v>253</v>
      </c>
      <c r="T148" s="35" t="s">
        <v>253</v>
      </c>
      <c r="U148" s="35" t="s">
        <v>253</v>
      </c>
      <c r="V148" s="35" t="s">
        <v>253</v>
      </c>
      <c r="W148" s="35" t="s">
        <v>253</v>
      </c>
      <c r="X148" s="35" t="s">
        <v>1428</v>
      </c>
      <c r="Y148" s="35" t="s">
        <v>1429</v>
      </c>
    </row>
    <row r="149" spans="1:25" x14ac:dyDescent="0.2">
      <c r="A149" s="35">
        <v>586</v>
      </c>
      <c r="B149" s="35" t="s">
        <v>1430</v>
      </c>
      <c r="C149" s="35" t="s">
        <v>1327</v>
      </c>
      <c r="D149" s="35" t="s">
        <v>1328</v>
      </c>
      <c r="E149" s="35" t="s">
        <v>1329</v>
      </c>
      <c r="F149" s="35" t="s">
        <v>1330</v>
      </c>
      <c r="G149" s="35" t="s">
        <v>2015</v>
      </c>
      <c r="H149" s="35" t="s">
        <v>256</v>
      </c>
      <c r="I149" s="35">
        <v>9442</v>
      </c>
      <c r="J149" s="35">
        <v>8.5326399216848703</v>
      </c>
      <c r="K149" s="35">
        <v>880.54251603525302</v>
      </c>
      <c r="L149" s="35">
        <v>-35.61</v>
      </c>
      <c r="M149" s="35">
        <v>-24.72</v>
      </c>
      <c r="N149" s="35">
        <v>52</v>
      </c>
      <c r="O149" s="35" t="s">
        <v>542</v>
      </c>
      <c r="P149" s="35" t="s">
        <v>543</v>
      </c>
      <c r="Q149" s="35" t="s">
        <v>253</v>
      </c>
      <c r="R149" s="35" t="s">
        <v>253</v>
      </c>
      <c r="S149" s="35" t="s">
        <v>257</v>
      </c>
      <c r="T149" s="35" t="s">
        <v>253</v>
      </c>
      <c r="U149" s="35" t="s">
        <v>253</v>
      </c>
      <c r="V149" s="35" t="s">
        <v>253</v>
      </c>
      <c r="W149" s="35" t="s">
        <v>253</v>
      </c>
      <c r="X149" s="35" t="s">
        <v>1431</v>
      </c>
      <c r="Y149" s="35" t="s">
        <v>1432</v>
      </c>
    </row>
    <row r="150" spans="1:25" x14ac:dyDescent="0.2">
      <c r="A150" s="35">
        <v>602</v>
      </c>
      <c r="B150" s="35" t="s">
        <v>1433</v>
      </c>
      <c r="C150" s="35" t="s">
        <v>1327</v>
      </c>
      <c r="D150" s="35" t="s">
        <v>1328</v>
      </c>
      <c r="E150" s="35" t="s">
        <v>1329</v>
      </c>
      <c r="F150" s="35" t="s">
        <v>1330</v>
      </c>
      <c r="G150" s="35" t="s">
        <v>2015</v>
      </c>
      <c r="H150" s="35" t="s">
        <v>256</v>
      </c>
      <c r="I150" s="35">
        <v>6160</v>
      </c>
      <c r="J150" s="35">
        <v>142.35</v>
      </c>
      <c r="K150" s="35">
        <v>823.98</v>
      </c>
      <c r="L150" s="35">
        <v>-33.78</v>
      </c>
      <c r="M150" s="35">
        <v>-20.399999999999999</v>
      </c>
      <c r="N150" s="35">
        <v>52</v>
      </c>
      <c r="O150" s="35" t="s">
        <v>554</v>
      </c>
      <c r="P150" s="35" t="s">
        <v>555</v>
      </c>
      <c r="Q150" s="35" t="s">
        <v>253</v>
      </c>
      <c r="R150" s="35" t="s">
        <v>253</v>
      </c>
      <c r="S150" s="35" t="s">
        <v>257</v>
      </c>
      <c r="T150" s="35" t="s">
        <v>253</v>
      </c>
      <c r="U150" s="35" t="s">
        <v>253</v>
      </c>
      <c r="V150" s="35" t="s">
        <v>253</v>
      </c>
      <c r="W150" s="35" t="s">
        <v>253</v>
      </c>
      <c r="X150" s="35" t="s">
        <v>1434</v>
      </c>
      <c r="Y150" s="35" t="s">
        <v>1435</v>
      </c>
    </row>
    <row r="151" spans="1:25" x14ac:dyDescent="0.2">
      <c r="A151" s="35">
        <v>621</v>
      </c>
      <c r="B151" s="35" t="s">
        <v>1436</v>
      </c>
      <c r="C151" s="35" t="s">
        <v>1327</v>
      </c>
      <c r="D151" s="35" t="s">
        <v>1328</v>
      </c>
      <c r="E151" s="35" t="s">
        <v>1329</v>
      </c>
      <c r="F151" s="35" t="s">
        <v>1330</v>
      </c>
      <c r="G151" s="35" t="s">
        <v>2015</v>
      </c>
      <c r="H151" s="35" t="s">
        <v>256</v>
      </c>
      <c r="I151" s="35">
        <v>8655</v>
      </c>
      <c r="J151" s="35">
        <v>202.13863342449201</v>
      </c>
      <c r="K151" s="35">
        <v>657.841130465025</v>
      </c>
      <c r="L151" s="35">
        <v>-28.4</v>
      </c>
      <c r="M151" s="35">
        <v>-18.47</v>
      </c>
      <c r="N151" s="35">
        <v>266</v>
      </c>
      <c r="O151" s="35" t="s">
        <v>550</v>
      </c>
      <c r="P151" s="35" t="s">
        <v>551</v>
      </c>
      <c r="Q151" s="35" t="s">
        <v>253</v>
      </c>
      <c r="R151" s="35" t="s">
        <v>253</v>
      </c>
      <c r="S151" s="35" t="s">
        <v>253</v>
      </c>
      <c r="T151" s="35" t="s">
        <v>253</v>
      </c>
      <c r="U151" s="35" t="s">
        <v>253</v>
      </c>
      <c r="V151" s="35" t="s">
        <v>253</v>
      </c>
      <c r="W151" s="35" t="s">
        <v>253</v>
      </c>
      <c r="X151" s="35" t="s">
        <v>1437</v>
      </c>
      <c r="Y151" s="35" t="s">
        <v>1438</v>
      </c>
    </row>
    <row r="152" spans="1:25" x14ac:dyDescent="0.2">
      <c r="A152" s="35">
        <v>641</v>
      </c>
      <c r="B152" s="35" t="s">
        <v>1439</v>
      </c>
      <c r="C152" s="35" t="s">
        <v>1327</v>
      </c>
      <c r="D152" s="35" t="s">
        <v>1328</v>
      </c>
      <c r="E152" s="35" t="s">
        <v>1329</v>
      </c>
      <c r="F152" s="35" t="s">
        <v>1330</v>
      </c>
      <c r="G152" s="35" t="s">
        <v>2015</v>
      </c>
      <c r="H152" s="35" t="s">
        <v>256</v>
      </c>
      <c r="I152" s="35">
        <v>7278</v>
      </c>
      <c r="J152" s="35">
        <v>130.75274840556401</v>
      </c>
      <c r="K152" s="35">
        <v>539.22145511323504</v>
      </c>
      <c r="L152" s="35">
        <v>-24.56</v>
      </c>
      <c r="M152" s="35">
        <v>-20.78</v>
      </c>
      <c r="N152" s="35">
        <v>210</v>
      </c>
      <c r="O152" s="35" t="s">
        <v>602</v>
      </c>
      <c r="P152" s="35" t="s">
        <v>603</v>
      </c>
      <c r="Q152" s="35" t="s">
        <v>253</v>
      </c>
      <c r="R152" s="35" t="s">
        <v>253</v>
      </c>
      <c r="S152" s="35" t="s">
        <v>253</v>
      </c>
      <c r="T152" s="35" t="s">
        <v>261</v>
      </c>
      <c r="U152" s="35" t="s">
        <v>253</v>
      </c>
      <c r="V152" s="35" t="s">
        <v>253</v>
      </c>
      <c r="W152" s="35" t="s">
        <v>253</v>
      </c>
      <c r="X152" s="35" t="s">
        <v>1440</v>
      </c>
      <c r="Y152" s="35" t="s">
        <v>1441</v>
      </c>
    </row>
    <row r="153" spans="1:25" x14ac:dyDescent="0.2">
      <c r="A153" s="35">
        <v>644</v>
      </c>
      <c r="B153" s="35" t="s">
        <v>1442</v>
      </c>
      <c r="C153" s="35" t="s">
        <v>1327</v>
      </c>
      <c r="D153" s="35" t="s">
        <v>1328</v>
      </c>
      <c r="E153" s="35" t="s">
        <v>1329</v>
      </c>
      <c r="F153" s="35" t="s">
        <v>1330</v>
      </c>
      <c r="G153" s="35" t="s">
        <v>2015</v>
      </c>
      <c r="H153" s="35" t="s">
        <v>256</v>
      </c>
      <c r="I153" s="35">
        <v>6603</v>
      </c>
      <c r="J153" s="35">
        <v>161.5</v>
      </c>
      <c r="K153" s="35">
        <v>679</v>
      </c>
      <c r="L153" s="35">
        <v>-29.09</v>
      </c>
      <c r="M153" s="35">
        <v>-19.78</v>
      </c>
      <c r="N153" s="35">
        <v>52</v>
      </c>
      <c r="O153" s="35" t="s">
        <v>564</v>
      </c>
      <c r="P153" s="35" t="s">
        <v>565</v>
      </c>
      <c r="Q153" s="35" t="s">
        <v>253</v>
      </c>
      <c r="R153" s="35" t="s">
        <v>259</v>
      </c>
      <c r="S153" s="35" t="s">
        <v>257</v>
      </c>
      <c r="T153" s="35" t="s">
        <v>253</v>
      </c>
      <c r="U153" s="35" t="s">
        <v>253</v>
      </c>
      <c r="V153" s="35" t="s">
        <v>253</v>
      </c>
      <c r="W153" s="35" t="s">
        <v>253</v>
      </c>
      <c r="X153" s="35" t="s">
        <v>1443</v>
      </c>
      <c r="Y153" s="35" t="s">
        <v>1444</v>
      </c>
    </row>
    <row r="154" spans="1:25" x14ac:dyDescent="0.2">
      <c r="A154" s="35">
        <v>681</v>
      </c>
      <c r="B154" s="35" t="s">
        <v>1445</v>
      </c>
      <c r="C154" s="35" t="s">
        <v>1327</v>
      </c>
      <c r="D154" s="35" t="s">
        <v>1328</v>
      </c>
      <c r="E154" s="35" t="s">
        <v>1329</v>
      </c>
      <c r="F154" s="35" t="s">
        <v>1330</v>
      </c>
      <c r="G154" s="35" t="s">
        <v>2015</v>
      </c>
      <c r="H154" s="35" t="s">
        <v>256</v>
      </c>
      <c r="I154" s="35">
        <v>3804</v>
      </c>
      <c r="J154" s="35">
        <v>89.688348899037706</v>
      </c>
      <c r="K154" s="35">
        <v>702.93412271934801</v>
      </c>
      <c r="L154" s="35">
        <v>-29.86</v>
      </c>
      <c r="M154" s="35">
        <v>-22.1</v>
      </c>
      <c r="N154" s="35">
        <v>82</v>
      </c>
      <c r="O154" s="35" t="s">
        <v>550</v>
      </c>
      <c r="P154" s="35" t="s">
        <v>551</v>
      </c>
      <c r="Q154" s="35" t="s">
        <v>253</v>
      </c>
      <c r="R154" s="35" t="s">
        <v>253</v>
      </c>
      <c r="S154" s="35" t="s">
        <v>253</v>
      </c>
      <c r="T154" s="35" t="s">
        <v>253</v>
      </c>
      <c r="U154" s="35" t="s">
        <v>253</v>
      </c>
      <c r="V154" s="35" t="s">
        <v>253</v>
      </c>
      <c r="W154" s="35" t="s">
        <v>253</v>
      </c>
      <c r="X154" s="35" t="s">
        <v>1446</v>
      </c>
      <c r="Y154" s="35" t="s">
        <v>1447</v>
      </c>
    </row>
    <row r="155" spans="1:25" x14ac:dyDescent="0.2">
      <c r="A155" s="35">
        <v>729</v>
      </c>
      <c r="B155" s="35" t="s">
        <v>1448</v>
      </c>
      <c r="C155" s="35" t="s">
        <v>1352</v>
      </c>
      <c r="D155" s="35" t="s">
        <v>1353</v>
      </c>
      <c r="E155" s="35" t="s">
        <v>1329</v>
      </c>
      <c r="F155" s="35" t="s">
        <v>1330</v>
      </c>
      <c r="G155" s="35" t="s">
        <v>2007</v>
      </c>
      <c r="H155" s="35" t="s">
        <v>256</v>
      </c>
      <c r="I155" s="35">
        <v>2007</v>
      </c>
      <c r="J155" s="35">
        <v>51.2123688874725</v>
      </c>
      <c r="K155" s="35">
        <v>202.78530617042901</v>
      </c>
      <c r="L155" s="35">
        <v>-13.67</v>
      </c>
      <c r="M155" s="35">
        <v>-23.35</v>
      </c>
      <c r="N155" s="35">
        <v>266</v>
      </c>
      <c r="O155" s="35" t="s">
        <v>918</v>
      </c>
      <c r="P155" s="35" t="s">
        <v>919</v>
      </c>
      <c r="Q155" s="35" t="s">
        <v>253</v>
      </c>
      <c r="R155" s="35" t="s">
        <v>253</v>
      </c>
      <c r="S155" s="35" t="s">
        <v>257</v>
      </c>
      <c r="T155" s="35" t="s">
        <v>253</v>
      </c>
      <c r="U155" s="35" t="s">
        <v>253</v>
      </c>
      <c r="V155" s="35" t="s">
        <v>253</v>
      </c>
      <c r="W155" s="35" t="s">
        <v>253</v>
      </c>
      <c r="X155" s="35" t="s">
        <v>1449</v>
      </c>
      <c r="Y155" s="35" t="s">
        <v>1450</v>
      </c>
    </row>
    <row r="156" spans="1:25" x14ac:dyDescent="0.2">
      <c r="A156" s="35">
        <v>730</v>
      </c>
      <c r="B156" s="35" t="s">
        <v>283</v>
      </c>
      <c r="C156" s="35" t="s">
        <v>1352</v>
      </c>
      <c r="D156" s="35" t="s">
        <v>1353</v>
      </c>
      <c r="E156" s="35" t="s">
        <v>1329</v>
      </c>
      <c r="F156" s="35" t="s">
        <v>1330</v>
      </c>
      <c r="G156" s="35" t="s">
        <v>2007</v>
      </c>
      <c r="H156" s="35" t="s">
        <v>256</v>
      </c>
      <c r="I156" s="35">
        <v>1979</v>
      </c>
      <c r="J156" s="35">
        <v>11.121059416645799</v>
      </c>
      <c r="K156" s="35">
        <v>363.22839125659101</v>
      </c>
      <c r="L156" s="35">
        <v>-18.86</v>
      </c>
      <c r="M156" s="35">
        <v>-24.64</v>
      </c>
      <c r="N156" s="35">
        <v>948</v>
      </c>
      <c r="O156" s="35" t="s">
        <v>945</v>
      </c>
      <c r="P156" s="35" t="s">
        <v>946</v>
      </c>
      <c r="Q156" s="35" t="s">
        <v>253</v>
      </c>
      <c r="R156" s="35" t="s">
        <v>253</v>
      </c>
      <c r="S156" s="35" t="s">
        <v>253</v>
      </c>
      <c r="T156" s="35" t="s">
        <v>253</v>
      </c>
      <c r="U156" s="35" t="s">
        <v>253</v>
      </c>
      <c r="V156" s="35" t="s">
        <v>253</v>
      </c>
      <c r="W156" s="35" t="s">
        <v>253</v>
      </c>
      <c r="X156" s="35" t="s">
        <v>1451</v>
      </c>
      <c r="Y156" s="35" t="s">
        <v>1452</v>
      </c>
    </row>
    <row r="157" spans="1:25" x14ac:dyDescent="0.2">
      <c r="A157" s="35">
        <v>753</v>
      </c>
      <c r="B157" s="35" t="s">
        <v>1453</v>
      </c>
      <c r="C157" s="35" t="s">
        <v>1327</v>
      </c>
      <c r="D157" s="35" t="s">
        <v>1328</v>
      </c>
      <c r="E157" s="35" t="s">
        <v>1329</v>
      </c>
      <c r="F157" s="35" t="s">
        <v>1330</v>
      </c>
      <c r="G157" s="35" t="s">
        <v>2015</v>
      </c>
      <c r="H157" s="35" t="s">
        <v>256</v>
      </c>
      <c r="I157" s="35">
        <v>7217</v>
      </c>
      <c r="J157" s="35">
        <v>150.05885471384499</v>
      </c>
      <c r="K157" s="35">
        <v>598.85241250091099</v>
      </c>
      <c r="L157" s="35">
        <v>-26.49</v>
      </c>
      <c r="M157" s="35">
        <v>-20.149999999999999</v>
      </c>
      <c r="N157" s="35">
        <v>1184</v>
      </c>
      <c r="O157" s="35" t="s">
        <v>550</v>
      </c>
      <c r="P157" s="35" t="s">
        <v>551</v>
      </c>
      <c r="Q157" s="35" t="s">
        <v>253</v>
      </c>
      <c r="R157" s="35" t="s">
        <v>253</v>
      </c>
      <c r="S157" s="35" t="s">
        <v>253</v>
      </c>
      <c r="T157" s="35" t="s">
        <v>253</v>
      </c>
      <c r="U157" s="35" t="s">
        <v>253</v>
      </c>
      <c r="V157" s="35" t="s">
        <v>253</v>
      </c>
      <c r="W157" s="35" t="s">
        <v>253</v>
      </c>
      <c r="X157" s="35" t="s">
        <v>1454</v>
      </c>
      <c r="Y157" s="35" t="s">
        <v>1455</v>
      </c>
    </row>
    <row r="158" spans="1:25" x14ac:dyDescent="0.2">
      <c r="A158" s="35">
        <v>776</v>
      </c>
      <c r="B158" s="35" t="s">
        <v>1456</v>
      </c>
      <c r="C158" s="35" t="s">
        <v>1327</v>
      </c>
      <c r="D158" s="35" t="s">
        <v>1328</v>
      </c>
      <c r="E158" s="35" t="s">
        <v>1329</v>
      </c>
      <c r="F158" s="35" t="s">
        <v>1330</v>
      </c>
      <c r="G158" s="35" t="s">
        <v>2015</v>
      </c>
      <c r="H158" s="35" t="s">
        <v>256</v>
      </c>
      <c r="I158" s="35">
        <v>4926</v>
      </c>
      <c r="J158" s="35">
        <v>211.94738098434499</v>
      </c>
      <c r="K158" s="35">
        <v>516.25653027072201</v>
      </c>
      <c r="L158" s="35">
        <v>-23.82</v>
      </c>
      <c r="M158" s="35">
        <v>-18.149999999999999</v>
      </c>
      <c r="N158" s="35">
        <v>118</v>
      </c>
      <c r="O158" s="35" t="s">
        <v>602</v>
      </c>
      <c r="P158" s="35" t="s">
        <v>603</v>
      </c>
      <c r="Q158" s="35" t="s">
        <v>253</v>
      </c>
      <c r="R158" s="35" t="s">
        <v>253</v>
      </c>
      <c r="S158" s="35" t="s">
        <v>257</v>
      </c>
      <c r="T158" s="35" t="s">
        <v>253</v>
      </c>
      <c r="U158" s="35" t="s">
        <v>253</v>
      </c>
      <c r="V158" s="35" t="s">
        <v>253</v>
      </c>
      <c r="W158" s="35" t="s">
        <v>253</v>
      </c>
      <c r="X158" s="35" t="s">
        <v>1457</v>
      </c>
      <c r="Y158" s="35" t="s">
        <v>1458</v>
      </c>
    </row>
    <row r="159" spans="1:25" x14ac:dyDescent="0.2">
      <c r="A159" s="35">
        <v>795</v>
      </c>
      <c r="B159" s="35" t="s">
        <v>1459</v>
      </c>
      <c r="C159" s="35" t="s">
        <v>1352</v>
      </c>
      <c r="D159" s="35" t="s">
        <v>1353</v>
      </c>
      <c r="E159" s="35" t="s">
        <v>1329</v>
      </c>
      <c r="F159" s="35" t="s">
        <v>1330</v>
      </c>
      <c r="G159" s="35" t="s">
        <v>2007</v>
      </c>
      <c r="H159" s="35" t="s">
        <v>256</v>
      </c>
      <c r="I159" s="35">
        <v>8209</v>
      </c>
      <c r="J159" s="35">
        <v>70.615784199324096</v>
      </c>
      <c r="K159" s="35">
        <v>176.72595501439099</v>
      </c>
      <c r="L159" s="35">
        <v>-12.82</v>
      </c>
      <c r="M159" s="35">
        <v>-22.72</v>
      </c>
      <c r="N159" s="35">
        <v>118</v>
      </c>
      <c r="O159" s="35" t="s">
        <v>904</v>
      </c>
      <c r="P159" s="35" t="s">
        <v>905</v>
      </c>
      <c r="Q159" s="35" t="s">
        <v>253</v>
      </c>
      <c r="R159" s="35" t="s">
        <v>253</v>
      </c>
      <c r="S159" s="35" t="s">
        <v>257</v>
      </c>
      <c r="T159" s="35" t="s">
        <v>261</v>
      </c>
      <c r="U159" s="35" t="s">
        <v>253</v>
      </c>
      <c r="V159" s="35" t="s">
        <v>253</v>
      </c>
      <c r="W159" s="35" t="s">
        <v>253</v>
      </c>
      <c r="X159" s="35" t="s">
        <v>1460</v>
      </c>
      <c r="Y159" s="35" t="s">
        <v>1461</v>
      </c>
    </row>
    <row r="160" spans="1:25" x14ac:dyDescent="0.2">
      <c r="A160" s="35">
        <v>825</v>
      </c>
      <c r="B160" s="35" t="s">
        <v>1462</v>
      </c>
      <c r="C160" s="35" t="s">
        <v>1327</v>
      </c>
      <c r="D160" s="35" t="s">
        <v>1328</v>
      </c>
      <c r="E160" s="35" t="s">
        <v>1329</v>
      </c>
      <c r="F160" s="35" t="s">
        <v>1330</v>
      </c>
      <c r="G160" s="35" t="s">
        <v>2015</v>
      </c>
      <c r="H160" s="35" t="s">
        <v>256</v>
      </c>
      <c r="I160" s="35">
        <v>10125</v>
      </c>
      <c r="J160" s="35">
        <v>49.947351841063004</v>
      </c>
      <c r="K160" s="35">
        <v>618.91752903703798</v>
      </c>
      <c r="L160" s="35">
        <v>-27.14</v>
      </c>
      <c r="M160" s="35">
        <v>-23.39</v>
      </c>
      <c r="N160" s="35">
        <v>328</v>
      </c>
      <c r="O160" s="35" t="s">
        <v>564</v>
      </c>
      <c r="P160" s="35" t="s">
        <v>565</v>
      </c>
      <c r="Q160" s="35" t="s">
        <v>253</v>
      </c>
      <c r="R160" s="35" t="s">
        <v>253</v>
      </c>
      <c r="S160" s="35" t="s">
        <v>257</v>
      </c>
      <c r="T160" s="35" t="s">
        <v>253</v>
      </c>
      <c r="U160" s="35" t="s">
        <v>258</v>
      </c>
      <c r="V160" s="35" t="s">
        <v>253</v>
      </c>
      <c r="W160" s="35" t="s">
        <v>253</v>
      </c>
      <c r="X160" s="35" t="s">
        <v>1463</v>
      </c>
      <c r="Y160" s="35" t="s">
        <v>1464</v>
      </c>
    </row>
    <row r="161" spans="1:25" x14ac:dyDescent="0.2">
      <c r="A161" s="35">
        <v>845</v>
      </c>
      <c r="B161" s="35" t="s">
        <v>1465</v>
      </c>
      <c r="C161" s="35" t="s">
        <v>1327</v>
      </c>
      <c r="D161" s="35" t="s">
        <v>1328</v>
      </c>
      <c r="E161" s="35" t="s">
        <v>1329</v>
      </c>
      <c r="F161" s="35" t="s">
        <v>1330</v>
      </c>
      <c r="G161" s="35" t="s">
        <v>2015</v>
      </c>
      <c r="H161" s="35" t="s">
        <v>256</v>
      </c>
      <c r="I161" s="35">
        <v>14286</v>
      </c>
      <c r="J161" s="35">
        <v>126.840926462051</v>
      </c>
      <c r="K161" s="35">
        <v>518.78656436354197</v>
      </c>
      <c r="L161" s="35">
        <v>-23.9</v>
      </c>
      <c r="M161" s="35">
        <v>-20.9</v>
      </c>
      <c r="N161" s="35">
        <v>210</v>
      </c>
      <c r="O161" s="35" t="s">
        <v>602</v>
      </c>
      <c r="P161" s="35" t="s">
        <v>603</v>
      </c>
      <c r="Q161" s="35" t="s">
        <v>253</v>
      </c>
      <c r="R161" s="35" t="s">
        <v>253</v>
      </c>
      <c r="S161" s="35" t="s">
        <v>253</v>
      </c>
      <c r="T161" s="35" t="s">
        <v>261</v>
      </c>
      <c r="U161" s="35" t="s">
        <v>258</v>
      </c>
      <c r="V161" s="35" t="s">
        <v>253</v>
      </c>
      <c r="W161" s="35" t="s">
        <v>253</v>
      </c>
      <c r="X161" s="35" t="s">
        <v>1467</v>
      </c>
      <c r="Y161" s="35" t="s">
        <v>1469</v>
      </c>
    </row>
    <row r="162" spans="1:25" x14ac:dyDescent="0.2">
      <c r="A162" s="35">
        <v>870</v>
      </c>
      <c r="B162" s="35" t="s">
        <v>1470</v>
      </c>
      <c r="C162" s="35" t="s">
        <v>1327</v>
      </c>
      <c r="D162" s="35" t="s">
        <v>1328</v>
      </c>
      <c r="E162" s="35" t="s">
        <v>1329</v>
      </c>
      <c r="F162" s="35" t="s">
        <v>1330</v>
      </c>
      <c r="G162" s="35" t="s">
        <v>2015</v>
      </c>
      <c r="H162" s="35" t="s">
        <v>256</v>
      </c>
      <c r="I162" s="35">
        <v>5862</v>
      </c>
      <c r="J162" s="35">
        <v>53.839711983861697</v>
      </c>
      <c r="K162" s="35">
        <v>631.48985229827804</v>
      </c>
      <c r="L162" s="35">
        <v>-27.55</v>
      </c>
      <c r="M162" s="35">
        <v>-23.26</v>
      </c>
      <c r="N162" s="35">
        <v>210</v>
      </c>
      <c r="O162" s="35" t="s">
        <v>564</v>
      </c>
      <c r="P162" s="35" t="s">
        <v>565</v>
      </c>
      <c r="Q162" s="35" t="s">
        <v>253</v>
      </c>
      <c r="R162" s="35" t="s">
        <v>253</v>
      </c>
      <c r="S162" s="35" t="s">
        <v>253</v>
      </c>
      <c r="T162" s="35" t="s">
        <v>253</v>
      </c>
      <c r="U162" s="35" t="s">
        <v>258</v>
      </c>
      <c r="V162" s="35" t="s">
        <v>253</v>
      </c>
      <c r="W162" s="35" t="s">
        <v>253</v>
      </c>
      <c r="X162" s="35" t="s">
        <v>1473</v>
      </c>
      <c r="Y162" s="35" t="s">
        <v>1474</v>
      </c>
    </row>
    <row r="163" spans="1:25" x14ac:dyDescent="0.2">
      <c r="A163" s="35">
        <v>871</v>
      </c>
      <c r="B163" s="35" t="s">
        <v>1475</v>
      </c>
      <c r="C163" s="35" t="s">
        <v>1327</v>
      </c>
      <c r="D163" s="35" t="s">
        <v>1328</v>
      </c>
      <c r="E163" s="35" t="s">
        <v>1329</v>
      </c>
      <c r="F163" s="35" t="s">
        <v>1330</v>
      </c>
      <c r="G163" s="35" t="s">
        <v>2015</v>
      </c>
      <c r="H163" s="35" t="s">
        <v>256</v>
      </c>
      <c r="I163" s="35">
        <v>24081</v>
      </c>
      <c r="J163" s="35">
        <v>28.909145269236099</v>
      </c>
      <c r="K163" s="35">
        <v>670.12152671555498</v>
      </c>
      <c r="L163" s="35">
        <v>-28.8</v>
      </c>
      <c r="M163" s="35">
        <v>-24.07</v>
      </c>
      <c r="N163" s="35">
        <v>1312</v>
      </c>
      <c r="O163" s="35" t="s">
        <v>554</v>
      </c>
      <c r="P163" s="35" t="s">
        <v>555</v>
      </c>
      <c r="Q163" s="35" t="s">
        <v>253</v>
      </c>
      <c r="R163" s="35" t="s">
        <v>253</v>
      </c>
      <c r="S163" s="35" t="s">
        <v>257</v>
      </c>
      <c r="T163" s="35" t="s">
        <v>261</v>
      </c>
      <c r="U163" s="35" t="s">
        <v>258</v>
      </c>
      <c r="V163" s="35" t="s">
        <v>253</v>
      </c>
      <c r="W163" s="35" t="s">
        <v>253</v>
      </c>
      <c r="X163" s="35" t="s">
        <v>1476</v>
      </c>
      <c r="Y163" s="35" t="s">
        <v>1477</v>
      </c>
    </row>
    <row r="164" spans="1:25" x14ac:dyDescent="0.2">
      <c r="A164" s="35">
        <v>872</v>
      </c>
      <c r="B164" s="35" t="s">
        <v>1478</v>
      </c>
      <c r="C164" s="35" t="s">
        <v>1327</v>
      </c>
      <c r="D164" s="35" t="s">
        <v>1328</v>
      </c>
      <c r="E164" s="35" t="s">
        <v>1329</v>
      </c>
      <c r="F164" s="35" t="s">
        <v>1330</v>
      </c>
      <c r="G164" s="35" t="s">
        <v>2015</v>
      </c>
      <c r="H164" s="35" t="s">
        <v>256</v>
      </c>
      <c r="I164" s="35">
        <v>12695</v>
      </c>
      <c r="J164" s="35">
        <v>63.492765138002497</v>
      </c>
      <c r="K164" s="35">
        <v>714.92259195916802</v>
      </c>
      <c r="L164" s="35">
        <v>-30.25</v>
      </c>
      <c r="M164" s="35">
        <v>-22.95</v>
      </c>
      <c r="N164" s="35">
        <v>13</v>
      </c>
      <c r="O164" s="35" t="s">
        <v>550</v>
      </c>
      <c r="P164" s="35" t="s">
        <v>551</v>
      </c>
      <c r="Q164" s="35" t="s">
        <v>253</v>
      </c>
      <c r="R164" s="35" t="s">
        <v>253</v>
      </c>
      <c r="S164" s="35" t="s">
        <v>257</v>
      </c>
      <c r="T164" s="35" t="s">
        <v>261</v>
      </c>
      <c r="U164" s="35" t="s">
        <v>253</v>
      </c>
      <c r="V164" s="35" t="s">
        <v>253</v>
      </c>
      <c r="W164" s="35" t="s">
        <v>253</v>
      </c>
      <c r="X164" s="35" t="s">
        <v>1479</v>
      </c>
      <c r="Y164" s="35" t="s">
        <v>1480</v>
      </c>
    </row>
    <row r="165" spans="1:25" x14ac:dyDescent="0.2">
      <c r="A165" s="35">
        <v>886</v>
      </c>
      <c r="B165" s="35" t="s">
        <v>1481</v>
      </c>
      <c r="C165" s="35" t="s">
        <v>1352</v>
      </c>
      <c r="D165" s="35" t="s">
        <v>1353</v>
      </c>
      <c r="E165" s="35" t="s">
        <v>1329</v>
      </c>
      <c r="F165" s="35" t="s">
        <v>1330</v>
      </c>
      <c r="G165" s="35" t="s">
        <v>2007</v>
      </c>
      <c r="H165" s="35" t="s">
        <v>256</v>
      </c>
      <c r="I165" s="35">
        <v>15318</v>
      </c>
      <c r="J165" s="35">
        <v>113.80151998367501</v>
      </c>
      <c r="K165" s="35">
        <v>231.141149810717</v>
      </c>
      <c r="L165" s="35">
        <v>-14.58</v>
      </c>
      <c r="M165" s="35">
        <v>-21.32</v>
      </c>
      <c r="N165" s="35">
        <v>266</v>
      </c>
      <c r="O165" s="35" t="s">
        <v>929</v>
      </c>
      <c r="P165" s="35" t="s">
        <v>930</v>
      </c>
      <c r="Q165" s="35" t="s">
        <v>253</v>
      </c>
      <c r="R165" s="35" t="s">
        <v>253</v>
      </c>
      <c r="S165" s="35" t="s">
        <v>253</v>
      </c>
      <c r="T165" s="35" t="s">
        <v>261</v>
      </c>
      <c r="U165" s="35" t="s">
        <v>258</v>
      </c>
      <c r="V165" s="35" t="s">
        <v>253</v>
      </c>
      <c r="W165" s="35" t="s">
        <v>253</v>
      </c>
      <c r="X165" s="35" t="s">
        <v>1482</v>
      </c>
      <c r="Y165" s="35" t="s">
        <v>1483</v>
      </c>
    </row>
    <row r="166" spans="1:25" x14ac:dyDescent="0.2">
      <c r="A166" s="35">
        <v>889</v>
      </c>
      <c r="B166" s="35" t="s">
        <v>1484</v>
      </c>
      <c r="C166" s="35" t="s">
        <v>1352</v>
      </c>
      <c r="D166" s="35" t="s">
        <v>1353</v>
      </c>
      <c r="E166" s="35" t="s">
        <v>1329</v>
      </c>
      <c r="F166" s="35" t="s">
        <v>1330</v>
      </c>
      <c r="G166" s="35" t="s">
        <v>2007</v>
      </c>
      <c r="H166" s="35" t="s">
        <v>256</v>
      </c>
      <c r="I166" s="35">
        <v>12135</v>
      </c>
      <c r="J166" s="35">
        <v>120.399070425719</v>
      </c>
      <c r="K166" s="35">
        <v>266.81463051946702</v>
      </c>
      <c r="L166" s="35">
        <v>-15.74</v>
      </c>
      <c r="M166" s="35">
        <v>-21.11</v>
      </c>
      <c r="N166" s="35">
        <v>472</v>
      </c>
      <c r="O166" s="35" t="s">
        <v>913</v>
      </c>
      <c r="P166" s="35" t="s">
        <v>914</v>
      </c>
      <c r="Q166" s="35" t="s">
        <v>253</v>
      </c>
      <c r="R166" s="35" t="s">
        <v>253</v>
      </c>
      <c r="S166" s="35" t="s">
        <v>253</v>
      </c>
      <c r="T166" s="35" t="s">
        <v>261</v>
      </c>
      <c r="U166" s="35" t="s">
        <v>253</v>
      </c>
      <c r="V166" s="35" t="s">
        <v>253</v>
      </c>
      <c r="W166" s="35" t="s">
        <v>253</v>
      </c>
      <c r="X166" s="35" t="s">
        <v>1485</v>
      </c>
      <c r="Y166" s="35" t="s">
        <v>1486</v>
      </c>
    </row>
    <row r="167" spans="1:25" x14ac:dyDescent="0.2">
      <c r="A167" s="35">
        <v>894</v>
      </c>
      <c r="B167" s="35" t="s">
        <v>1487</v>
      </c>
      <c r="C167" s="35" t="s">
        <v>1327</v>
      </c>
      <c r="D167" s="35" t="s">
        <v>1328</v>
      </c>
      <c r="E167" s="35" t="s">
        <v>1329</v>
      </c>
      <c r="F167" s="35" t="s">
        <v>1330</v>
      </c>
      <c r="G167" s="35" t="s">
        <v>2015</v>
      </c>
      <c r="H167" s="35" t="s">
        <v>256</v>
      </c>
      <c r="I167" s="35">
        <v>25129</v>
      </c>
      <c r="J167" s="35">
        <v>82.176093823436403</v>
      </c>
      <c r="K167" s="35">
        <v>655.77817958934202</v>
      </c>
      <c r="L167" s="35">
        <v>-28.33</v>
      </c>
      <c r="M167" s="35">
        <v>-22.35</v>
      </c>
      <c r="N167" s="35">
        <v>161</v>
      </c>
      <c r="O167" s="35" t="s">
        <v>564</v>
      </c>
      <c r="P167" s="35" t="s">
        <v>565</v>
      </c>
      <c r="Q167" s="35" t="s">
        <v>253</v>
      </c>
      <c r="R167" s="35" t="s">
        <v>253</v>
      </c>
      <c r="S167" s="35" t="s">
        <v>257</v>
      </c>
      <c r="T167" s="35" t="s">
        <v>261</v>
      </c>
      <c r="U167" s="35" t="s">
        <v>253</v>
      </c>
      <c r="V167" s="35" t="s">
        <v>297</v>
      </c>
      <c r="W167" s="35" t="s">
        <v>253</v>
      </c>
      <c r="X167" s="35" t="s">
        <v>1488</v>
      </c>
      <c r="Y167" s="35" t="s">
        <v>1489</v>
      </c>
    </row>
    <row r="168" spans="1:25" x14ac:dyDescent="0.2">
      <c r="A168" s="35">
        <v>895</v>
      </c>
      <c r="B168" s="35" t="s">
        <v>1490</v>
      </c>
      <c r="C168" s="35" t="s">
        <v>1327</v>
      </c>
      <c r="D168" s="35" t="s">
        <v>1328</v>
      </c>
      <c r="E168" s="35" t="s">
        <v>1329</v>
      </c>
      <c r="F168" s="35" t="s">
        <v>1330</v>
      </c>
      <c r="G168" s="35" t="s">
        <v>2015</v>
      </c>
      <c r="H168" s="35" t="s">
        <v>256</v>
      </c>
      <c r="I168" s="35">
        <v>2506</v>
      </c>
      <c r="J168" s="35">
        <v>57.226065308096601</v>
      </c>
      <c r="K168" s="35">
        <v>702.31134509649996</v>
      </c>
      <c r="L168" s="35">
        <v>-29.84</v>
      </c>
      <c r="M168" s="35">
        <v>-23.15</v>
      </c>
      <c r="N168" s="35">
        <v>13</v>
      </c>
      <c r="O168" s="35" t="s">
        <v>550</v>
      </c>
      <c r="P168" s="35" t="s">
        <v>551</v>
      </c>
      <c r="Q168" s="35" t="s">
        <v>253</v>
      </c>
      <c r="R168" s="35" t="s">
        <v>253</v>
      </c>
      <c r="S168" s="35" t="s">
        <v>253</v>
      </c>
      <c r="T168" s="35" t="s">
        <v>253</v>
      </c>
      <c r="U168" s="35" t="s">
        <v>253</v>
      </c>
      <c r="V168" s="35" t="s">
        <v>253</v>
      </c>
      <c r="W168" s="35" t="s">
        <v>253</v>
      </c>
      <c r="X168" s="35" t="s">
        <v>1491</v>
      </c>
      <c r="Y168" s="35" t="s">
        <v>1492</v>
      </c>
    </row>
    <row r="169" spans="1:25" x14ac:dyDescent="0.2">
      <c r="A169" s="35">
        <v>917</v>
      </c>
      <c r="B169" s="35" t="s">
        <v>1493</v>
      </c>
      <c r="C169" s="35" t="s">
        <v>1327</v>
      </c>
      <c r="D169" s="35" t="s">
        <v>1328</v>
      </c>
      <c r="E169" s="35" t="s">
        <v>1329</v>
      </c>
      <c r="F169" s="35" t="s">
        <v>1330</v>
      </c>
      <c r="G169" s="35" t="s">
        <v>2015</v>
      </c>
      <c r="H169" s="35" t="s">
        <v>256</v>
      </c>
      <c r="I169" s="35">
        <v>2284</v>
      </c>
      <c r="J169" s="35">
        <v>14.234947530884799</v>
      </c>
      <c r="K169" s="35">
        <v>659.69000153285401</v>
      </c>
      <c r="L169" s="35">
        <v>-28.46</v>
      </c>
      <c r="M169" s="35">
        <v>-24.54</v>
      </c>
      <c r="N169" s="35">
        <v>52</v>
      </c>
      <c r="O169" s="35" t="s">
        <v>564</v>
      </c>
      <c r="P169" s="35" t="s">
        <v>565</v>
      </c>
      <c r="Q169" s="35" t="s">
        <v>253</v>
      </c>
      <c r="R169" s="35" t="s">
        <v>253</v>
      </c>
      <c r="S169" s="35" t="s">
        <v>257</v>
      </c>
      <c r="T169" s="35" t="s">
        <v>253</v>
      </c>
      <c r="U169" s="35" t="s">
        <v>253</v>
      </c>
      <c r="V169" s="35" t="s">
        <v>253</v>
      </c>
      <c r="W169" s="35" t="s">
        <v>253</v>
      </c>
      <c r="X169" s="35" t="s">
        <v>1494</v>
      </c>
      <c r="Y169" s="35" t="s">
        <v>1495</v>
      </c>
    </row>
    <row r="170" spans="1:25" x14ac:dyDescent="0.2">
      <c r="A170" s="35">
        <v>944</v>
      </c>
      <c r="B170" s="35" t="s">
        <v>1496</v>
      </c>
      <c r="C170" s="35" t="s">
        <v>1352</v>
      </c>
      <c r="D170" s="35" t="s">
        <v>1353</v>
      </c>
      <c r="E170" s="35" t="s">
        <v>1329</v>
      </c>
      <c r="F170" s="35" t="s">
        <v>1330</v>
      </c>
      <c r="G170" s="35" t="s">
        <v>2007</v>
      </c>
      <c r="H170" s="35" t="s">
        <v>256</v>
      </c>
      <c r="I170" s="35">
        <v>6296</v>
      </c>
      <c r="J170" s="35">
        <v>68.319291715073007</v>
      </c>
      <c r="K170" s="35">
        <v>211.19280407887399</v>
      </c>
      <c r="L170" s="35">
        <v>-13.94</v>
      </c>
      <c r="M170" s="35">
        <v>-22.79</v>
      </c>
      <c r="N170" s="35">
        <v>643</v>
      </c>
      <c r="O170" s="35" t="s">
        <v>918</v>
      </c>
      <c r="P170" s="35" t="s">
        <v>919</v>
      </c>
      <c r="Q170" s="35" t="s">
        <v>253</v>
      </c>
      <c r="R170" s="35" t="s">
        <v>253</v>
      </c>
      <c r="S170" s="35" t="s">
        <v>253</v>
      </c>
      <c r="T170" s="35" t="s">
        <v>253</v>
      </c>
      <c r="U170" s="35" t="s">
        <v>253</v>
      </c>
      <c r="V170" s="35" t="s">
        <v>253</v>
      </c>
      <c r="W170" s="35" t="s">
        <v>253</v>
      </c>
      <c r="X170" s="35" t="s">
        <v>1497</v>
      </c>
      <c r="Y170" s="35" t="s">
        <v>1498</v>
      </c>
    </row>
    <row r="171" spans="1:25" x14ac:dyDescent="0.2">
      <c r="A171" s="35">
        <v>950</v>
      </c>
      <c r="B171" s="35" t="s">
        <v>1499</v>
      </c>
      <c r="C171" s="35" t="s">
        <v>1327</v>
      </c>
      <c r="D171" s="35" t="s">
        <v>1328</v>
      </c>
      <c r="E171" s="35" t="s">
        <v>1329</v>
      </c>
      <c r="F171" s="35" t="s">
        <v>1330</v>
      </c>
      <c r="G171" s="35" t="s">
        <v>2015</v>
      </c>
      <c r="H171" s="35" t="s">
        <v>256</v>
      </c>
      <c r="I171" s="35">
        <v>2164</v>
      </c>
      <c r="J171" s="35">
        <v>126.91877366490699</v>
      </c>
      <c r="K171" s="35">
        <v>609.80940630288899</v>
      </c>
      <c r="L171" s="35">
        <v>-26.85</v>
      </c>
      <c r="M171" s="35">
        <v>-20.9</v>
      </c>
      <c r="N171" s="35">
        <v>1736</v>
      </c>
      <c r="O171" s="35" t="s">
        <v>554</v>
      </c>
      <c r="P171" s="35" t="s">
        <v>555</v>
      </c>
      <c r="Q171" s="35" t="s">
        <v>253</v>
      </c>
      <c r="R171" s="35" t="s">
        <v>253</v>
      </c>
      <c r="S171" s="35" t="s">
        <v>253</v>
      </c>
      <c r="T171" s="35" t="s">
        <v>253</v>
      </c>
      <c r="U171" s="35" t="s">
        <v>253</v>
      </c>
      <c r="V171" s="35" t="s">
        <v>253</v>
      </c>
      <c r="W171" s="35" t="s">
        <v>253</v>
      </c>
      <c r="X171" s="35" t="s">
        <v>1500</v>
      </c>
      <c r="Y171" s="35" t="s">
        <v>1501</v>
      </c>
    </row>
    <row r="172" spans="1:25" x14ac:dyDescent="0.2">
      <c r="A172" s="35">
        <v>969</v>
      </c>
      <c r="B172" s="35" t="s">
        <v>1017</v>
      </c>
      <c r="C172" s="35" t="s">
        <v>1352</v>
      </c>
      <c r="D172" s="35" t="s">
        <v>1353</v>
      </c>
      <c r="E172" s="35" t="s">
        <v>1329</v>
      </c>
      <c r="F172" s="35" t="s">
        <v>1330</v>
      </c>
      <c r="G172" s="35" t="s">
        <v>2007</v>
      </c>
      <c r="H172" s="35" t="s">
        <v>256</v>
      </c>
      <c r="I172" s="35">
        <v>2149</v>
      </c>
      <c r="J172" s="35">
        <v>22.136438620766299</v>
      </c>
      <c r="K172" s="35">
        <v>172.09404644446099</v>
      </c>
      <c r="L172" s="35">
        <v>-12.67</v>
      </c>
      <c r="M172" s="35">
        <v>-24.28</v>
      </c>
      <c r="N172" s="35">
        <v>738</v>
      </c>
      <c r="O172" s="35" t="s">
        <v>929</v>
      </c>
      <c r="P172" s="35" t="s">
        <v>930</v>
      </c>
      <c r="Q172" s="35" t="s">
        <v>253</v>
      </c>
      <c r="R172" s="35" t="s">
        <v>253</v>
      </c>
      <c r="S172" s="35" t="s">
        <v>257</v>
      </c>
      <c r="T172" s="35" t="s">
        <v>253</v>
      </c>
      <c r="U172" s="35" t="s">
        <v>253</v>
      </c>
      <c r="V172" s="35" t="s">
        <v>253</v>
      </c>
      <c r="W172" s="35" t="s">
        <v>253</v>
      </c>
      <c r="X172" s="35" t="s">
        <v>1502</v>
      </c>
      <c r="Y172" s="35" t="s">
        <v>1503</v>
      </c>
    </row>
    <row r="173" spans="1:25" x14ac:dyDescent="0.2">
      <c r="A173" s="35">
        <v>970</v>
      </c>
      <c r="B173" s="35" t="s">
        <v>1504</v>
      </c>
      <c r="C173" s="35" t="s">
        <v>1352</v>
      </c>
      <c r="D173" s="35" t="s">
        <v>1353</v>
      </c>
      <c r="E173" s="35" t="s">
        <v>1329</v>
      </c>
      <c r="F173" s="35" t="s">
        <v>1330</v>
      </c>
      <c r="G173" s="35" t="s">
        <v>2007</v>
      </c>
      <c r="H173" s="35" t="s">
        <v>256</v>
      </c>
      <c r="I173" s="35">
        <v>2206</v>
      </c>
      <c r="J173" s="35">
        <v>11.782760640921699</v>
      </c>
      <c r="K173" s="35">
        <v>189.84320869562299</v>
      </c>
      <c r="L173" s="35">
        <v>-13.25</v>
      </c>
      <c r="M173" s="35">
        <v>-24.62</v>
      </c>
      <c r="N173" s="35">
        <v>328</v>
      </c>
      <c r="O173" s="35" t="s">
        <v>929</v>
      </c>
      <c r="P173" s="35" t="s">
        <v>930</v>
      </c>
      <c r="Q173" s="35" t="s">
        <v>253</v>
      </c>
      <c r="R173" s="35" t="s">
        <v>253</v>
      </c>
      <c r="S173" s="35" t="s">
        <v>253</v>
      </c>
      <c r="T173" s="35" t="s">
        <v>253</v>
      </c>
      <c r="U173" s="35" t="s">
        <v>253</v>
      </c>
      <c r="V173" s="35" t="s">
        <v>253</v>
      </c>
      <c r="W173" s="35" t="s">
        <v>253</v>
      </c>
      <c r="X173" s="35" t="s">
        <v>1505</v>
      </c>
      <c r="Y173" s="35" t="s">
        <v>1506</v>
      </c>
    </row>
    <row r="174" spans="1:25" x14ac:dyDescent="0.2">
      <c r="A174" s="35">
        <v>971</v>
      </c>
      <c r="B174" s="35" t="s">
        <v>1507</v>
      </c>
      <c r="C174" s="35" t="s">
        <v>1352</v>
      </c>
      <c r="D174" s="35" t="s">
        <v>1353</v>
      </c>
      <c r="E174" s="35" t="s">
        <v>1329</v>
      </c>
      <c r="F174" s="35" t="s">
        <v>1330</v>
      </c>
      <c r="G174" s="35" t="s">
        <v>2007</v>
      </c>
      <c r="H174" s="35" t="s">
        <v>256</v>
      </c>
      <c r="I174" s="35">
        <v>2155</v>
      </c>
      <c r="J174" s="35">
        <v>14.1376385273149</v>
      </c>
      <c r="K174" s="35">
        <v>237.680314850619</v>
      </c>
      <c r="L174" s="35">
        <v>-14.8</v>
      </c>
      <c r="M174" s="35">
        <v>-24.54</v>
      </c>
      <c r="N174" s="35">
        <v>738</v>
      </c>
      <c r="O174" s="35" t="s">
        <v>918</v>
      </c>
      <c r="P174" s="35" t="s">
        <v>919</v>
      </c>
      <c r="Q174" s="35" t="s">
        <v>253</v>
      </c>
      <c r="R174" s="35" t="s">
        <v>253</v>
      </c>
      <c r="S174" s="35" t="s">
        <v>253</v>
      </c>
      <c r="T174" s="35" t="s">
        <v>253</v>
      </c>
      <c r="U174" s="35" t="s">
        <v>253</v>
      </c>
      <c r="V174" s="35" t="s">
        <v>253</v>
      </c>
      <c r="W174" s="35" t="s">
        <v>253</v>
      </c>
      <c r="X174" s="35" t="s">
        <v>1508</v>
      </c>
      <c r="Y174" s="35" t="s">
        <v>1509</v>
      </c>
    </row>
    <row r="175" spans="1:25" x14ac:dyDescent="0.2">
      <c r="A175" s="35">
        <v>978</v>
      </c>
      <c r="B175" s="35" t="s">
        <v>1510</v>
      </c>
      <c r="C175" s="35" t="s">
        <v>1340</v>
      </c>
      <c r="D175" s="35" t="s">
        <v>1341</v>
      </c>
      <c r="E175" s="35" t="s">
        <v>1329</v>
      </c>
      <c r="F175" s="35" t="s">
        <v>1330</v>
      </c>
      <c r="G175" s="35" t="s">
        <v>2015</v>
      </c>
      <c r="H175" s="35" t="s">
        <v>256</v>
      </c>
      <c r="I175" s="35">
        <v>2062</v>
      </c>
      <c r="J175" s="35">
        <v>63.337070732290499</v>
      </c>
      <c r="K175" s="35">
        <v>455.90548625662802</v>
      </c>
      <c r="L175" s="35">
        <v>-21.86</v>
      </c>
      <c r="M175" s="35">
        <v>-22.95</v>
      </c>
      <c r="N175" s="35">
        <v>266</v>
      </c>
      <c r="O175" s="35" t="s">
        <v>945</v>
      </c>
      <c r="P175" s="35" t="s">
        <v>946</v>
      </c>
      <c r="Q175" s="35" t="s">
        <v>253</v>
      </c>
      <c r="R175" s="35" t="s">
        <v>253</v>
      </c>
      <c r="S175" s="35" t="s">
        <v>253</v>
      </c>
      <c r="T175" s="35" t="s">
        <v>253</v>
      </c>
      <c r="U175" s="35" t="s">
        <v>253</v>
      </c>
      <c r="V175" s="35" t="s">
        <v>253</v>
      </c>
      <c r="W175" s="35" t="s">
        <v>253</v>
      </c>
      <c r="X175" s="35" t="s">
        <v>1511</v>
      </c>
      <c r="Y175" s="35" t="s">
        <v>1512</v>
      </c>
    </row>
    <row r="176" spans="1:25" x14ac:dyDescent="0.2">
      <c r="A176" s="35">
        <v>980</v>
      </c>
      <c r="B176" s="35" t="s">
        <v>1513</v>
      </c>
      <c r="C176" s="35" t="s">
        <v>1327</v>
      </c>
      <c r="D176" s="35" t="s">
        <v>1328</v>
      </c>
      <c r="E176" s="35" t="s">
        <v>1329</v>
      </c>
      <c r="F176" s="35" t="s">
        <v>1330</v>
      </c>
      <c r="G176" s="35" t="s">
        <v>2015</v>
      </c>
      <c r="H176" s="35" t="s">
        <v>256</v>
      </c>
      <c r="I176" s="35">
        <v>5076</v>
      </c>
      <c r="J176" s="35">
        <v>146.80873399460799</v>
      </c>
      <c r="K176" s="35">
        <v>611.91128078000099</v>
      </c>
      <c r="L176" s="35">
        <v>-26.91</v>
      </c>
      <c r="M176" s="35">
        <v>-20.260000000000002</v>
      </c>
      <c r="N176" s="35">
        <v>1447</v>
      </c>
      <c r="O176" s="35" t="s">
        <v>554</v>
      </c>
      <c r="P176" s="35" t="s">
        <v>555</v>
      </c>
      <c r="Q176" s="35" t="s">
        <v>253</v>
      </c>
      <c r="R176" s="35" t="s">
        <v>253</v>
      </c>
      <c r="S176" s="35" t="s">
        <v>257</v>
      </c>
      <c r="T176" s="35" t="s">
        <v>253</v>
      </c>
      <c r="U176" s="35" t="s">
        <v>253</v>
      </c>
      <c r="V176" s="35" t="s">
        <v>253</v>
      </c>
      <c r="W176" s="35" t="s">
        <v>253</v>
      </c>
      <c r="X176" s="35" t="s">
        <v>1514</v>
      </c>
      <c r="Y176" s="35" t="s">
        <v>1515</v>
      </c>
    </row>
    <row r="177" spans="1:25" x14ac:dyDescent="0.2">
      <c r="A177" s="35">
        <v>1000</v>
      </c>
      <c r="B177" s="35" t="s">
        <v>1352</v>
      </c>
      <c r="C177" s="35" t="s">
        <v>1352</v>
      </c>
      <c r="D177" s="35" t="s">
        <v>1353</v>
      </c>
      <c r="E177" s="35" t="s">
        <v>1329</v>
      </c>
      <c r="F177" s="35" t="s">
        <v>1330</v>
      </c>
      <c r="G177" s="35" t="s">
        <v>2007</v>
      </c>
      <c r="H177" s="35" t="s">
        <v>256</v>
      </c>
      <c r="I177" s="35">
        <v>39565</v>
      </c>
      <c r="J177" s="35">
        <v>1.9740130810690399</v>
      </c>
      <c r="K177" s="35">
        <v>249.57147508686899</v>
      </c>
      <c r="L177" s="35">
        <v>-15.18</v>
      </c>
      <c r="M177" s="35">
        <v>-24.94</v>
      </c>
      <c r="N177" s="35">
        <v>643</v>
      </c>
      <c r="O177" s="35" t="s">
        <v>918</v>
      </c>
      <c r="P177" s="35" t="s">
        <v>919</v>
      </c>
      <c r="Q177" s="35" t="s">
        <v>253</v>
      </c>
      <c r="R177" s="35" t="s">
        <v>253</v>
      </c>
      <c r="S177" s="35" t="s">
        <v>253</v>
      </c>
      <c r="T177" s="35" t="s">
        <v>261</v>
      </c>
      <c r="U177" s="35" t="s">
        <v>258</v>
      </c>
      <c r="V177" s="35" t="s">
        <v>297</v>
      </c>
      <c r="W177" s="35" t="s">
        <v>253</v>
      </c>
      <c r="X177" s="35" t="s">
        <v>1516</v>
      </c>
      <c r="Y177" s="35" t="s">
        <v>1517</v>
      </c>
    </row>
    <row r="178" spans="1:25" x14ac:dyDescent="0.2">
      <c r="A178" s="35">
        <v>1002</v>
      </c>
      <c r="B178" s="35" t="s">
        <v>1518</v>
      </c>
      <c r="C178" s="35" t="s">
        <v>1352</v>
      </c>
      <c r="D178" s="35" t="s">
        <v>1353</v>
      </c>
      <c r="E178" s="35" t="s">
        <v>1329</v>
      </c>
      <c r="F178" s="35" t="s">
        <v>1330</v>
      </c>
      <c r="G178" s="35" t="s">
        <v>2007</v>
      </c>
      <c r="H178" s="35" t="s">
        <v>256</v>
      </c>
      <c r="I178" s="35">
        <v>2098</v>
      </c>
      <c r="J178" s="35">
        <v>39.223899647652601</v>
      </c>
      <c r="K178" s="35">
        <v>326.38720250500199</v>
      </c>
      <c r="L178" s="35">
        <v>-17.670000000000002</v>
      </c>
      <c r="M178" s="35">
        <v>-23.73</v>
      </c>
      <c r="N178" s="35">
        <v>328</v>
      </c>
      <c r="O178" s="35" t="s">
        <v>967</v>
      </c>
      <c r="P178" s="35" t="s">
        <v>968</v>
      </c>
      <c r="Q178" s="35" t="s">
        <v>253</v>
      </c>
      <c r="R178" s="35" t="s">
        <v>253</v>
      </c>
      <c r="S178" s="35" t="s">
        <v>257</v>
      </c>
      <c r="T178" s="35" t="s">
        <v>253</v>
      </c>
      <c r="U178" s="35" t="s">
        <v>253</v>
      </c>
      <c r="V178" s="35" t="s">
        <v>253</v>
      </c>
      <c r="W178" s="35" t="s">
        <v>253</v>
      </c>
      <c r="X178" s="35" t="s">
        <v>1519</v>
      </c>
      <c r="Y178" s="35" t="s">
        <v>1520</v>
      </c>
    </row>
    <row r="179" spans="1:25" x14ac:dyDescent="0.2">
      <c r="A179" s="35">
        <v>1007</v>
      </c>
      <c r="B179" s="35" t="s">
        <v>1521</v>
      </c>
      <c r="C179" s="35" t="s">
        <v>1340</v>
      </c>
      <c r="D179" s="35" t="s">
        <v>1341</v>
      </c>
      <c r="E179" s="35" t="s">
        <v>1329</v>
      </c>
      <c r="F179" s="35" t="s">
        <v>1330</v>
      </c>
      <c r="G179" s="35" t="s">
        <v>2015</v>
      </c>
      <c r="H179" s="35" t="s">
        <v>256</v>
      </c>
      <c r="I179" s="35">
        <v>2042</v>
      </c>
      <c r="J179" s="35">
        <v>3.2779537289065299</v>
      </c>
      <c r="K179" s="35">
        <v>517.24908210713602</v>
      </c>
      <c r="L179" s="35">
        <v>-23.85</v>
      </c>
      <c r="M179" s="35">
        <v>-24.89</v>
      </c>
      <c r="N179" s="35">
        <v>1063</v>
      </c>
      <c r="O179" s="35" t="s">
        <v>564</v>
      </c>
      <c r="P179" s="35" t="s">
        <v>565</v>
      </c>
      <c r="Q179" s="35" t="s">
        <v>253</v>
      </c>
      <c r="R179" s="35" t="s">
        <v>253</v>
      </c>
      <c r="S179" s="35" t="s">
        <v>257</v>
      </c>
      <c r="T179" s="35" t="s">
        <v>253</v>
      </c>
      <c r="U179" s="35" t="s">
        <v>253</v>
      </c>
      <c r="V179" s="35" t="s">
        <v>253</v>
      </c>
      <c r="W179" s="35" t="s">
        <v>253</v>
      </c>
      <c r="X179" s="35" t="s">
        <v>1522</v>
      </c>
      <c r="Y179" s="35" t="s">
        <v>1523</v>
      </c>
    </row>
    <row r="180" spans="1:25" x14ac:dyDescent="0.2">
      <c r="A180" s="35">
        <v>1009</v>
      </c>
      <c r="B180" s="35" t="s">
        <v>1524</v>
      </c>
      <c r="C180" s="35" t="s">
        <v>1327</v>
      </c>
      <c r="D180" s="35" t="s">
        <v>1328</v>
      </c>
      <c r="E180" s="35" t="s">
        <v>1329</v>
      </c>
      <c r="F180" s="35" t="s">
        <v>1330</v>
      </c>
      <c r="G180" s="35" t="s">
        <v>2015</v>
      </c>
      <c r="H180" s="35" t="s">
        <v>256</v>
      </c>
      <c r="I180" s="35">
        <v>27378</v>
      </c>
      <c r="J180" s="35">
        <v>200.44545676237499</v>
      </c>
      <c r="K180" s="35">
        <v>594.53189274240401</v>
      </c>
      <c r="L180" s="35">
        <v>-26.35</v>
      </c>
      <c r="M180" s="35">
        <v>-18.53</v>
      </c>
      <c r="N180" s="35">
        <v>397</v>
      </c>
      <c r="O180" s="35" t="s">
        <v>564</v>
      </c>
      <c r="P180" s="35" t="s">
        <v>565</v>
      </c>
      <c r="Q180" s="35" t="s">
        <v>253</v>
      </c>
      <c r="R180" s="35" t="s">
        <v>253</v>
      </c>
      <c r="S180" s="35" t="s">
        <v>257</v>
      </c>
      <c r="T180" s="35" t="s">
        <v>261</v>
      </c>
      <c r="U180" s="35" t="s">
        <v>253</v>
      </c>
      <c r="V180" s="35" t="s">
        <v>253</v>
      </c>
      <c r="W180" s="35" t="s">
        <v>253</v>
      </c>
      <c r="X180" s="35" t="s">
        <v>1525</v>
      </c>
      <c r="Y180" s="35" t="s">
        <v>1526</v>
      </c>
    </row>
    <row r="181" spans="1:25" x14ac:dyDescent="0.2">
      <c r="A181" s="35">
        <v>5</v>
      </c>
      <c r="B181" s="35" t="s">
        <v>1564</v>
      </c>
      <c r="C181" s="35" t="s">
        <v>253</v>
      </c>
      <c r="D181" s="35" t="s">
        <v>253</v>
      </c>
      <c r="E181" s="35" t="s">
        <v>1565</v>
      </c>
      <c r="F181" s="35" t="s">
        <v>1566</v>
      </c>
      <c r="G181" s="35" t="s">
        <v>2008</v>
      </c>
      <c r="H181" s="35" t="s">
        <v>928</v>
      </c>
      <c r="I181" s="35">
        <v>70675</v>
      </c>
      <c r="J181" s="35">
        <v>438.5</v>
      </c>
      <c r="K181" s="35">
        <v>315.75</v>
      </c>
      <c r="L181" s="35">
        <v>-17.32</v>
      </c>
      <c r="M181" s="35">
        <v>-10.84</v>
      </c>
      <c r="N181" s="35">
        <v>52</v>
      </c>
      <c r="O181" s="35" t="s">
        <v>913</v>
      </c>
      <c r="P181" s="35" t="s">
        <v>914</v>
      </c>
      <c r="Q181" s="35" t="s">
        <v>332</v>
      </c>
      <c r="R181" s="35" t="s">
        <v>259</v>
      </c>
      <c r="S181" s="35" t="s">
        <v>257</v>
      </c>
      <c r="T181" s="35" t="s">
        <v>261</v>
      </c>
      <c r="U181" s="35" t="s">
        <v>258</v>
      </c>
      <c r="V181" s="35" t="s">
        <v>297</v>
      </c>
      <c r="W181" s="35" t="s">
        <v>253</v>
      </c>
      <c r="X181" s="35" t="s">
        <v>1567</v>
      </c>
      <c r="Y181" s="35" t="s">
        <v>1568</v>
      </c>
    </row>
    <row r="182" spans="1:25" x14ac:dyDescent="0.2">
      <c r="A182" s="35">
        <v>18</v>
      </c>
      <c r="B182" s="35" t="s">
        <v>1569</v>
      </c>
      <c r="C182" s="35" t="s">
        <v>253</v>
      </c>
      <c r="D182" s="35" t="s">
        <v>253</v>
      </c>
      <c r="E182" s="35" t="s">
        <v>1565</v>
      </c>
      <c r="F182" s="35" t="s">
        <v>1566</v>
      </c>
      <c r="G182" s="35" t="s">
        <v>2008</v>
      </c>
      <c r="H182" s="35" t="s">
        <v>521</v>
      </c>
      <c r="I182" s="35">
        <v>6129</v>
      </c>
      <c r="J182" s="35">
        <v>610.40828880264803</v>
      </c>
      <c r="K182" s="35">
        <v>125.36626293016199</v>
      </c>
      <c r="L182" s="35">
        <v>-11.16</v>
      </c>
      <c r="M182" s="35">
        <v>-5.28</v>
      </c>
      <c r="N182" s="35">
        <v>1063</v>
      </c>
      <c r="O182" s="35" t="s">
        <v>929</v>
      </c>
      <c r="P182" s="35" t="s">
        <v>930</v>
      </c>
      <c r="Q182" s="35" t="s">
        <v>253</v>
      </c>
      <c r="R182" s="35" t="s">
        <v>253</v>
      </c>
      <c r="S182" s="35" t="s">
        <v>253</v>
      </c>
      <c r="T182" s="35" t="s">
        <v>261</v>
      </c>
      <c r="U182" s="35" t="s">
        <v>258</v>
      </c>
      <c r="V182" s="35" t="s">
        <v>253</v>
      </c>
      <c r="W182" s="35" t="s">
        <v>253</v>
      </c>
      <c r="X182" s="35" t="s">
        <v>1570</v>
      </c>
      <c r="Y182" s="35" t="s">
        <v>1571</v>
      </c>
    </row>
    <row r="183" spans="1:25" x14ac:dyDescent="0.2">
      <c r="A183" s="35">
        <v>23</v>
      </c>
      <c r="B183" s="35" t="s">
        <v>1572</v>
      </c>
      <c r="C183" s="35" t="s">
        <v>253</v>
      </c>
      <c r="D183" s="35" t="s">
        <v>253</v>
      </c>
      <c r="E183" s="35" t="s">
        <v>1565</v>
      </c>
      <c r="F183" s="35" t="s">
        <v>1566</v>
      </c>
      <c r="G183" s="35" t="s">
        <v>2008</v>
      </c>
      <c r="H183" s="35" t="s">
        <v>928</v>
      </c>
      <c r="I183" s="35">
        <v>13159</v>
      </c>
      <c r="J183" s="35">
        <v>494.45488014867402</v>
      </c>
      <c r="K183" s="35">
        <v>304.51213850247302</v>
      </c>
      <c r="L183" s="35">
        <v>-16.96</v>
      </c>
      <c r="M183" s="35">
        <v>-9.0299999999999994</v>
      </c>
      <c r="N183" s="35">
        <v>643</v>
      </c>
      <c r="O183" s="35" t="s">
        <v>967</v>
      </c>
      <c r="P183" s="35" t="s">
        <v>968</v>
      </c>
      <c r="Q183" s="35" t="s">
        <v>253</v>
      </c>
      <c r="R183" s="35" t="s">
        <v>253</v>
      </c>
      <c r="S183" s="35" t="s">
        <v>257</v>
      </c>
      <c r="T183" s="35" t="s">
        <v>261</v>
      </c>
      <c r="U183" s="35" t="s">
        <v>258</v>
      </c>
      <c r="V183" s="35" t="s">
        <v>297</v>
      </c>
      <c r="W183" s="35" t="s">
        <v>253</v>
      </c>
      <c r="X183" s="35" t="s">
        <v>1573</v>
      </c>
      <c r="Y183" s="35" t="s">
        <v>1574</v>
      </c>
    </row>
    <row r="184" spans="1:25" x14ac:dyDescent="0.2">
      <c r="A184" s="35">
        <v>30</v>
      </c>
      <c r="B184" s="35" t="s">
        <v>1575</v>
      </c>
      <c r="C184" s="35" t="s">
        <v>253</v>
      </c>
      <c r="D184" s="35" t="s">
        <v>253</v>
      </c>
      <c r="E184" s="35" t="s">
        <v>1565</v>
      </c>
      <c r="F184" s="35" t="s">
        <v>1566</v>
      </c>
      <c r="G184" s="35" t="s">
        <v>2008</v>
      </c>
      <c r="H184" s="35" t="s">
        <v>928</v>
      </c>
      <c r="I184" s="35">
        <v>30686</v>
      </c>
      <c r="J184" s="35">
        <v>282</v>
      </c>
      <c r="K184" s="35">
        <v>362.5</v>
      </c>
      <c r="L184" s="35">
        <v>-18.84</v>
      </c>
      <c r="M184" s="35">
        <v>-15.89</v>
      </c>
      <c r="N184" s="35">
        <v>30</v>
      </c>
      <c r="O184" s="35" t="s">
        <v>913</v>
      </c>
      <c r="P184" s="35" t="s">
        <v>914</v>
      </c>
      <c r="Q184" s="35" t="s">
        <v>253</v>
      </c>
      <c r="R184" s="35" t="s">
        <v>259</v>
      </c>
      <c r="S184" s="35" t="s">
        <v>253</v>
      </c>
      <c r="T184" s="35" t="s">
        <v>261</v>
      </c>
      <c r="U184" s="35" t="s">
        <v>253</v>
      </c>
      <c r="V184" s="35" t="s">
        <v>297</v>
      </c>
      <c r="W184" s="35" t="s">
        <v>253</v>
      </c>
      <c r="X184" s="35" t="s">
        <v>1576</v>
      </c>
      <c r="Y184" s="35" t="s">
        <v>1577</v>
      </c>
    </row>
    <row r="185" spans="1:25" x14ac:dyDescent="0.2">
      <c r="A185" s="35">
        <v>34</v>
      </c>
      <c r="B185" s="35" t="s">
        <v>1578</v>
      </c>
      <c r="C185" s="35" t="s">
        <v>253</v>
      </c>
      <c r="D185" s="35" t="s">
        <v>253</v>
      </c>
      <c r="E185" s="35" t="s">
        <v>1565</v>
      </c>
      <c r="F185" s="35" t="s">
        <v>1566</v>
      </c>
      <c r="G185" s="35" t="s">
        <v>2008</v>
      </c>
      <c r="H185" s="35" t="s">
        <v>928</v>
      </c>
      <c r="I185" s="35">
        <v>2577</v>
      </c>
      <c r="J185" s="35">
        <v>636.25356015083105</v>
      </c>
      <c r="K185" s="35">
        <v>297.42804304257902</v>
      </c>
      <c r="L185" s="35">
        <v>-16.73</v>
      </c>
      <c r="M185" s="35">
        <v>-4.45</v>
      </c>
      <c r="N185" s="35">
        <v>328</v>
      </c>
      <c r="O185" s="35" t="s">
        <v>918</v>
      </c>
      <c r="P185" s="35" t="s">
        <v>919</v>
      </c>
      <c r="Q185" s="35" t="s">
        <v>253</v>
      </c>
      <c r="R185" s="35" t="s">
        <v>253</v>
      </c>
      <c r="S185" s="35" t="s">
        <v>253</v>
      </c>
      <c r="T185" s="35" t="s">
        <v>253</v>
      </c>
      <c r="U185" s="35" t="s">
        <v>253</v>
      </c>
      <c r="V185" s="35" t="s">
        <v>297</v>
      </c>
      <c r="W185" s="35" t="s">
        <v>253</v>
      </c>
      <c r="X185" s="35" t="s">
        <v>1579</v>
      </c>
      <c r="Y185" s="35" t="s">
        <v>1580</v>
      </c>
    </row>
    <row r="186" spans="1:25" x14ac:dyDescent="0.2">
      <c r="A186" s="35">
        <v>38</v>
      </c>
      <c r="B186" s="35" t="s">
        <v>1581</v>
      </c>
      <c r="C186" s="35" t="s">
        <v>253</v>
      </c>
      <c r="D186" s="35" t="s">
        <v>253</v>
      </c>
      <c r="E186" s="35" t="s">
        <v>1565</v>
      </c>
      <c r="F186" s="35" t="s">
        <v>1566</v>
      </c>
      <c r="G186" s="35" t="s">
        <v>2008</v>
      </c>
      <c r="H186" s="35" t="s">
        <v>928</v>
      </c>
      <c r="I186" s="35">
        <v>11378</v>
      </c>
      <c r="J186" s="35">
        <v>807.78987164396995</v>
      </c>
      <c r="K186" s="35">
        <v>357.48716004596298</v>
      </c>
      <c r="L186" s="35">
        <v>-18.68</v>
      </c>
      <c r="M186" s="35">
        <v>1.0900000000000001</v>
      </c>
      <c r="N186" s="35">
        <v>82</v>
      </c>
      <c r="O186" s="35" t="s">
        <v>967</v>
      </c>
      <c r="P186" s="35" t="s">
        <v>968</v>
      </c>
      <c r="Q186" s="35" t="s">
        <v>253</v>
      </c>
      <c r="R186" s="35" t="s">
        <v>253</v>
      </c>
      <c r="S186" s="35" t="s">
        <v>253</v>
      </c>
      <c r="T186" s="35" t="s">
        <v>261</v>
      </c>
      <c r="U186" s="35" t="s">
        <v>253</v>
      </c>
      <c r="V186" s="35" t="s">
        <v>253</v>
      </c>
      <c r="W186" s="35" t="s">
        <v>253</v>
      </c>
      <c r="X186" s="35" t="s">
        <v>1582</v>
      </c>
      <c r="Y186" s="35" t="s">
        <v>1583</v>
      </c>
    </row>
    <row r="187" spans="1:25" x14ac:dyDescent="0.2">
      <c r="A187" s="35">
        <v>40</v>
      </c>
      <c r="B187" s="35" t="s">
        <v>1584</v>
      </c>
      <c r="C187" s="35" t="s">
        <v>253</v>
      </c>
      <c r="D187" s="35" t="s">
        <v>253</v>
      </c>
      <c r="E187" s="35" t="s">
        <v>1565</v>
      </c>
      <c r="F187" s="35" t="s">
        <v>1566</v>
      </c>
      <c r="G187" s="35" t="s">
        <v>2008</v>
      </c>
      <c r="H187" s="35" t="s">
        <v>928</v>
      </c>
      <c r="I187" s="35">
        <v>1676</v>
      </c>
      <c r="J187" s="35">
        <v>315.79554959421398</v>
      </c>
      <c r="K187" s="35">
        <v>320.276197080808</v>
      </c>
      <c r="L187" s="35">
        <v>-17.47</v>
      </c>
      <c r="M187" s="35">
        <v>-14.8</v>
      </c>
      <c r="N187" s="35">
        <v>210</v>
      </c>
      <c r="O187" s="35" t="s">
        <v>913</v>
      </c>
      <c r="P187" s="35" t="s">
        <v>914</v>
      </c>
      <c r="Q187" s="35" t="s">
        <v>253</v>
      </c>
      <c r="R187" s="35" t="s">
        <v>253</v>
      </c>
      <c r="S187" s="35" t="s">
        <v>257</v>
      </c>
      <c r="T187" s="35" t="s">
        <v>261</v>
      </c>
      <c r="U187" s="35" t="s">
        <v>253</v>
      </c>
      <c r="V187" s="35" t="s">
        <v>297</v>
      </c>
      <c r="W187" s="35" t="s">
        <v>253</v>
      </c>
      <c r="X187" s="35" t="s">
        <v>1585</v>
      </c>
      <c r="Y187" s="35" t="s">
        <v>1586</v>
      </c>
    </row>
    <row r="188" spans="1:25" x14ac:dyDescent="0.2">
      <c r="A188" s="35">
        <v>50</v>
      </c>
      <c r="B188" s="35" t="s">
        <v>1587</v>
      </c>
      <c r="C188" s="35" t="s">
        <v>253</v>
      </c>
      <c r="D188" s="35" t="s">
        <v>253</v>
      </c>
      <c r="E188" s="35" t="s">
        <v>1565</v>
      </c>
      <c r="F188" s="35" t="s">
        <v>1566</v>
      </c>
      <c r="G188" s="35" t="s">
        <v>2015</v>
      </c>
      <c r="H188" s="35" t="s">
        <v>256</v>
      </c>
      <c r="I188" s="35">
        <v>2482</v>
      </c>
      <c r="J188" s="35">
        <v>369</v>
      </c>
      <c r="K188" s="35">
        <v>524.5</v>
      </c>
      <c r="L188" s="35">
        <v>-24.08</v>
      </c>
      <c r="M188" s="35">
        <v>-13.08</v>
      </c>
      <c r="N188" s="35">
        <v>52</v>
      </c>
      <c r="O188" s="35" t="s">
        <v>602</v>
      </c>
      <c r="P188" s="35" t="s">
        <v>603</v>
      </c>
      <c r="Q188" s="35" t="s">
        <v>253</v>
      </c>
      <c r="R188" s="35" t="s">
        <v>259</v>
      </c>
      <c r="S188" s="35" t="s">
        <v>257</v>
      </c>
      <c r="T188" s="35" t="s">
        <v>253</v>
      </c>
      <c r="U188" s="35" t="s">
        <v>253</v>
      </c>
      <c r="V188" s="35" t="s">
        <v>253</v>
      </c>
      <c r="W188" s="35" t="s">
        <v>253</v>
      </c>
      <c r="X188" s="35" t="s">
        <v>1588</v>
      </c>
      <c r="Y188" s="35" t="s">
        <v>1589</v>
      </c>
    </row>
    <row r="189" spans="1:25" x14ac:dyDescent="0.2">
      <c r="A189" s="35">
        <v>55</v>
      </c>
      <c r="B189" s="35" t="s">
        <v>1590</v>
      </c>
      <c r="C189" s="35" t="s">
        <v>253</v>
      </c>
      <c r="D189" s="35" t="s">
        <v>253</v>
      </c>
      <c r="E189" s="35" t="s">
        <v>1565</v>
      </c>
      <c r="F189" s="35" t="s">
        <v>1566</v>
      </c>
      <c r="G189" s="35" t="s">
        <v>2008</v>
      </c>
      <c r="H189" s="35" t="s">
        <v>928</v>
      </c>
      <c r="I189" s="35">
        <v>1649</v>
      </c>
      <c r="J189" s="35">
        <v>318.52020169417301</v>
      </c>
      <c r="K189" s="35">
        <v>331.33049988635599</v>
      </c>
      <c r="L189" s="35">
        <v>-17.829999999999998</v>
      </c>
      <c r="M189" s="35">
        <v>-14.71</v>
      </c>
      <c r="N189" s="35">
        <v>266</v>
      </c>
      <c r="O189" s="35" t="s">
        <v>913</v>
      </c>
      <c r="P189" s="35" t="s">
        <v>914</v>
      </c>
      <c r="Q189" s="35" t="s">
        <v>253</v>
      </c>
      <c r="R189" s="35" t="s">
        <v>253</v>
      </c>
      <c r="S189" s="35" t="s">
        <v>257</v>
      </c>
      <c r="T189" s="35" t="s">
        <v>253</v>
      </c>
      <c r="U189" s="35" t="s">
        <v>253</v>
      </c>
      <c r="V189" s="35" t="s">
        <v>297</v>
      </c>
      <c r="W189" s="35" t="s">
        <v>253</v>
      </c>
      <c r="X189" s="35" t="s">
        <v>1591</v>
      </c>
      <c r="Y189" s="35" t="s">
        <v>1592</v>
      </c>
    </row>
    <row r="190" spans="1:25" x14ac:dyDescent="0.2">
      <c r="A190" s="35">
        <v>59</v>
      </c>
      <c r="B190" s="35" t="s">
        <v>1593</v>
      </c>
      <c r="C190" s="35" t="s">
        <v>253</v>
      </c>
      <c r="D190" s="35" t="s">
        <v>253</v>
      </c>
      <c r="E190" s="35" t="s">
        <v>1565</v>
      </c>
      <c r="F190" s="35" t="s">
        <v>1566</v>
      </c>
      <c r="G190" s="35" t="s">
        <v>2008</v>
      </c>
      <c r="H190" s="35" t="s">
        <v>521</v>
      </c>
      <c r="I190" s="35">
        <v>1672</v>
      </c>
      <c r="J190" s="35">
        <v>429.08269155036999</v>
      </c>
      <c r="K190" s="35">
        <v>97.263422699156294</v>
      </c>
      <c r="L190" s="35">
        <v>-10.25</v>
      </c>
      <c r="M190" s="35">
        <v>-11.14</v>
      </c>
      <c r="N190" s="35">
        <v>161</v>
      </c>
      <c r="O190" s="35" t="s">
        <v>956</v>
      </c>
      <c r="P190" s="35" t="s">
        <v>957</v>
      </c>
      <c r="Q190" s="35" t="s">
        <v>253</v>
      </c>
      <c r="R190" s="35" t="s">
        <v>253</v>
      </c>
      <c r="S190" s="35" t="s">
        <v>253</v>
      </c>
      <c r="T190" s="35" t="s">
        <v>253</v>
      </c>
      <c r="U190" s="35" t="s">
        <v>253</v>
      </c>
      <c r="V190" s="35" t="s">
        <v>297</v>
      </c>
      <c r="W190" s="35" t="s">
        <v>253</v>
      </c>
      <c r="X190" s="35" t="s">
        <v>1594</v>
      </c>
      <c r="Y190" s="35" t="s">
        <v>1595</v>
      </c>
    </row>
    <row r="191" spans="1:25" x14ac:dyDescent="0.2">
      <c r="A191" s="35">
        <v>68</v>
      </c>
      <c r="B191" s="35" t="s">
        <v>1596</v>
      </c>
      <c r="C191" s="35" t="s">
        <v>253</v>
      </c>
      <c r="D191" s="35" t="s">
        <v>253</v>
      </c>
      <c r="E191" s="35" t="s">
        <v>1565</v>
      </c>
      <c r="F191" s="35" t="s">
        <v>1566</v>
      </c>
      <c r="G191" s="35" t="s">
        <v>2008</v>
      </c>
      <c r="H191" s="35" t="s">
        <v>521</v>
      </c>
      <c r="I191" s="35">
        <v>3092</v>
      </c>
      <c r="J191" s="35">
        <v>822.5</v>
      </c>
      <c r="K191" s="35">
        <v>356</v>
      </c>
      <c r="L191" s="35">
        <v>-18.63</v>
      </c>
      <c r="M191" s="35">
        <v>1.57</v>
      </c>
      <c r="N191" s="35">
        <v>210</v>
      </c>
      <c r="O191" s="35" t="s">
        <v>913</v>
      </c>
      <c r="P191" s="35" t="s">
        <v>914</v>
      </c>
      <c r="Q191" s="35" t="s">
        <v>253</v>
      </c>
      <c r="R191" s="35" t="s">
        <v>259</v>
      </c>
      <c r="S191" s="35" t="s">
        <v>253</v>
      </c>
      <c r="T191" s="35" t="s">
        <v>253</v>
      </c>
      <c r="U191" s="35" t="s">
        <v>258</v>
      </c>
      <c r="V191" s="35" t="s">
        <v>253</v>
      </c>
      <c r="W191" s="35" t="s">
        <v>253</v>
      </c>
      <c r="X191" s="35" t="s">
        <v>1597</v>
      </c>
      <c r="Y191" s="35" t="s">
        <v>1598</v>
      </c>
    </row>
    <row r="192" spans="1:25" x14ac:dyDescent="0.2">
      <c r="A192" s="35">
        <v>91</v>
      </c>
      <c r="B192" s="35" t="s">
        <v>1599</v>
      </c>
      <c r="C192" s="35" t="s">
        <v>253</v>
      </c>
      <c r="D192" s="35" t="s">
        <v>253</v>
      </c>
      <c r="E192" s="35" t="s">
        <v>1565</v>
      </c>
      <c r="F192" s="35" t="s">
        <v>1566</v>
      </c>
      <c r="G192" s="35" t="s">
        <v>2008</v>
      </c>
      <c r="H192" s="35" t="s">
        <v>521</v>
      </c>
      <c r="I192" s="35">
        <v>7997</v>
      </c>
      <c r="J192" s="35">
        <v>521.05916172470404</v>
      </c>
      <c r="K192" s="35">
        <v>23.483736192406798</v>
      </c>
      <c r="L192" s="35">
        <v>-7.86</v>
      </c>
      <c r="M192" s="35">
        <v>-8.17</v>
      </c>
      <c r="N192" s="35">
        <v>397</v>
      </c>
      <c r="O192" s="35" t="s">
        <v>987</v>
      </c>
      <c r="P192" s="35" t="s">
        <v>988</v>
      </c>
      <c r="Q192" s="35" t="s">
        <v>253</v>
      </c>
      <c r="R192" s="35" t="s">
        <v>253</v>
      </c>
      <c r="S192" s="35" t="s">
        <v>253</v>
      </c>
      <c r="T192" s="35" t="s">
        <v>253</v>
      </c>
      <c r="U192" s="35" t="s">
        <v>253</v>
      </c>
      <c r="V192" s="35" t="s">
        <v>253</v>
      </c>
      <c r="W192" s="35" t="s">
        <v>253</v>
      </c>
      <c r="X192" s="35" t="s">
        <v>1600</v>
      </c>
      <c r="Y192" s="35" t="s">
        <v>1601</v>
      </c>
    </row>
    <row r="193" spans="1:25" x14ac:dyDescent="0.2">
      <c r="A193" s="35">
        <v>113</v>
      </c>
      <c r="B193" s="35" t="s">
        <v>1602</v>
      </c>
      <c r="C193" s="35" t="s">
        <v>253</v>
      </c>
      <c r="D193" s="35" t="s">
        <v>253</v>
      </c>
      <c r="E193" s="35" t="s">
        <v>1565</v>
      </c>
      <c r="F193" s="35" t="s">
        <v>1566</v>
      </c>
      <c r="G193" s="35" t="s">
        <v>395</v>
      </c>
      <c r="H193" s="35" t="s">
        <v>928</v>
      </c>
      <c r="I193" s="35">
        <v>1618</v>
      </c>
      <c r="J193" s="35">
        <v>756.56641216473895</v>
      </c>
      <c r="K193" s="35">
        <v>273.37325736008302</v>
      </c>
      <c r="L193" s="35">
        <v>-15.95</v>
      </c>
      <c r="M193" s="35">
        <v>-0.56000000000000005</v>
      </c>
      <c r="N193" s="35">
        <v>52</v>
      </c>
      <c r="O193" s="35" t="s">
        <v>918</v>
      </c>
      <c r="P193" s="35" t="s">
        <v>919</v>
      </c>
      <c r="Q193" s="35" t="s">
        <v>253</v>
      </c>
      <c r="R193" s="35" t="s">
        <v>253</v>
      </c>
      <c r="S193" s="35" t="s">
        <v>257</v>
      </c>
      <c r="T193" s="35" t="s">
        <v>253</v>
      </c>
      <c r="U193" s="35" t="s">
        <v>253</v>
      </c>
      <c r="V193" s="35" t="s">
        <v>253</v>
      </c>
      <c r="W193" s="35" t="s">
        <v>253</v>
      </c>
      <c r="X193" s="35" t="s">
        <v>1603</v>
      </c>
      <c r="Y193" s="35" t="s">
        <v>1604</v>
      </c>
    </row>
    <row r="194" spans="1:25" x14ac:dyDescent="0.2">
      <c r="A194" s="35">
        <v>114</v>
      </c>
      <c r="B194" s="35" t="s">
        <v>1605</v>
      </c>
      <c r="C194" s="35" t="s">
        <v>253</v>
      </c>
      <c r="D194" s="35" t="s">
        <v>253</v>
      </c>
      <c r="E194" s="35" t="s">
        <v>1565</v>
      </c>
      <c r="F194" s="35" t="s">
        <v>1566</v>
      </c>
      <c r="G194" s="35" t="s">
        <v>2008</v>
      </c>
      <c r="H194" s="35" t="s">
        <v>928</v>
      </c>
      <c r="I194" s="35">
        <v>1555</v>
      </c>
      <c r="J194" s="35">
        <v>649.15673402420896</v>
      </c>
      <c r="K194" s="35">
        <v>298.51790388256302</v>
      </c>
      <c r="L194" s="35">
        <v>-16.77</v>
      </c>
      <c r="M194" s="35">
        <v>-4.03</v>
      </c>
      <c r="N194" s="35">
        <v>328</v>
      </c>
      <c r="O194" s="35" t="s">
        <v>913</v>
      </c>
      <c r="P194" s="35" t="s">
        <v>914</v>
      </c>
      <c r="Q194" s="35" t="s">
        <v>253</v>
      </c>
      <c r="R194" s="35" t="s">
        <v>253</v>
      </c>
      <c r="S194" s="35" t="s">
        <v>253</v>
      </c>
      <c r="T194" s="35" t="s">
        <v>253</v>
      </c>
      <c r="U194" s="35" t="s">
        <v>253</v>
      </c>
      <c r="V194" s="35" t="s">
        <v>297</v>
      </c>
      <c r="W194" s="35" t="s">
        <v>253</v>
      </c>
      <c r="X194" s="35" t="s">
        <v>1606</v>
      </c>
      <c r="Y194" s="35" t="s">
        <v>1607</v>
      </c>
    </row>
    <row r="195" spans="1:25" x14ac:dyDescent="0.2">
      <c r="A195" s="35">
        <v>120</v>
      </c>
      <c r="B195" s="35" t="s">
        <v>1608</v>
      </c>
      <c r="C195" s="35" t="s">
        <v>253</v>
      </c>
      <c r="D195" s="35" t="s">
        <v>253</v>
      </c>
      <c r="E195" s="35" t="s">
        <v>1565</v>
      </c>
      <c r="F195" s="35" t="s">
        <v>1566</v>
      </c>
      <c r="G195" s="35" t="s">
        <v>2008</v>
      </c>
      <c r="H195" s="35" t="s">
        <v>928</v>
      </c>
      <c r="I195" s="35">
        <v>4691</v>
      </c>
      <c r="J195" s="35">
        <v>479.15790478747601</v>
      </c>
      <c r="K195" s="35">
        <v>323.312237992191</v>
      </c>
      <c r="L195" s="35">
        <v>-17.57</v>
      </c>
      <c r="M195" s="35">
        <v>-9.52</v>
      </c>
      <c r="N195" s="35">
        <v>1312</v>
      </c>
      <c r="O195" s="35" t="s">
        <v>945</v>
      </c>
      <c r="P195" s="35" t="s">
        <v>946</v>
      </c>
      <c r="Q195" s="35" t="s">
        <v>253</v>
      </c>
      <c r="R195" s="35" t="s">
        <v>253</v>
      </c>
      <c r="S195" s="35" t="s">
        <v>257</v>
      </c>
      <c r="T195" s="35" t="s">
        <v>253</v>
      </c>
      <c r="U195" s="35" t="s">
        <v>253</v>
      </c>
      <c r="V195" s="35" t="s">
        <v>297</v>
      </c>
      <c r="W195" s="35" t="s">
        <v>253</v>
      </c>
      <c r="X195" s="35" t="s">
        <v>1609</v>
      </c>
      <c r="Y195" s="35" t="s">
        <v>1610</v>
      </c>
    </row>
    <row r="196" spans="1:25" x14ac:dyDescent="0.2">
      <c r="A196" s="35">
        <v>130</v>
      </c>
      <c r="B196" s="35" t="s">
        <v>1611</v>
      </c>
      <c r="C196" s="35" t="s">
        <v>253</v>
      </c>
      <c r="D196" s="35" t="s">
        <v>253</v>
      </c>
      <c r="E196" s="35" t="s">
        <v>1565</v>
      </c>
      <c r="F196" s="35" t="s">
        <v>1566</v>
      </c>
      <c r="G196" s="35" t="s">
        <v>2008</v>
      </c>
      <c r="H196" s="35" t="s">
        <v>521</v>
      </c>
      <c r="I196" s="35">
        <v>10667</v>
      </c>
      <c r="J196" s="35">
        <v>354.174220602209</v>
      </c>
      <c r="K196" s="35">
        <v>86.968130121453697</v>
      </c>
      <c r="L196" s="35">
        <v>-9.92</v>
      </c>
      <c r="M196" s="35">
        <v>-13.56</v>
      </c>
      <c r="N196" s="35">
        <v>52</v>
      </c>
      <c r="O196" s="35" t="s">
        <v>956</v>
      </c>
      <c r="P196" s="35" t="s">
        <v>957</v>
      </c>
      <c r="Q196" s="35" t="s">
        <v>253</v>
      </c>
      <c r="R196" s="35" t="s">
        <v>253</v>
      </c>
      <c r="S196" s="35" t="s">
        <v>253</v>
      </c>
      <c r="T196" s="35" t="s">
        <v>253</v>
      </c>
      <c r="U196" s="35" t="s">
        <v>258</v>
      </c>
      <c r="V196" s="35" t="s">
        <v>297</v>
      </c>
      <c r="W196" s="35" t="s">
        <v>253</v>
      </c>
      <c r="X196" s="35" t="s">
        <v>1612</v>
      </c>
      <c r="Y196" s="35" t="s">
        <v>1613</v>
      </c>
    </row>
    <row r="197" spans="1:25" x14ac:dyDescent="0.2">
      <c r="A197" s="35">
        <v>131</v>
      </c>
      <c r="B197" s="35" t="s">
        <v>1614</v>
      </c>
      <c r="C197" s="35" t="s">
        <v>253</v>
      </c>
      <c r="D197" s="35" t="s">
        <v>253</v>
      </c>
      <c r="E197" s="35" t="s">
        <v>1565</v>
      </c>
      <c r="F197" s="35" t="s">
        <v>1566</v>
      </c>
      <c r="G197" s="35" t="s">
        <v>2008</v>
      </c>
      <c r="H197" s="35" t="s">
        <v>928</v>
      </c>
      <c r="I197" s="35">
        <v>11049</v>
      </c>
      <c r="J197" s="35">
        <v>597.31049692213003</v>
      </c>
      <c r="K197" s="35">
        <v>296.47441480759301</v>
      </c>
      <c r="L197" s="35">
        <v>-16.7</v>
      </c>
      <c r="M197" s="35">
        <v>-5.71</v>
      </c>
      <c r="N197" s="35">
        <v>266</v>
      </c>
      <c r="O197" s="35" t="s">
        <v>918</v>
      </c>
      <c r="P197" s="35" t="s">
        <v>919</v>
      </c>
      <c r="Q197" s="35" t="s">
        <v>253</v>
      </c>
      <c r="R197" s="35" t="s">
        <v>253</v>
      </c>
      <c r="S197" s="35" t="s">
        <v>257</v>
      </c>
      <c r="T197" s="35" t="s">
        <v>261</v>
      </c>
      <c r="U197" s="35" t="s">
        <v>258</v>
      </c>
      <c r="V197" s="35" t="s">
        <v>297</v>
      </c>
      <c r="W197" s="35" t="s">
        <v>253</v>
      </c>
      <c r="X197" s="35" t="s">
        <v>1615</v>
      </c>
      <c r="Y197" s="35" t="s">
        <v>1616</v>
      </c>
    </row>
    <row r="198" spans="1:25" x14ac:dyDescent="0.2">
      <c r="A198" s="35">
        <v>132</v>
      </c>
      <c r="B198" s="35" t="s">
        <v>1617</v>
      </c>
      <c r="C198" s="35" t="s">
        <v>253</v>
      </c>
      <c r="D198" s="35" t="s">
        <v>253</v>
      </c>
      <c r="E198" s="35" t="s">
        <v>1565</v>
      </c>
      <c r="F198" s="35" t="s">
        <v>1566</v>
      </c>
      <c r="G198" s="35" t="s">
        <v>2008</v>
      </c>
      <c r="H198" s="35" t="s">
        <v>928</v>
      </c>
      <c r="I198" s="35">
        <v>8358</v>
      </c>
      <c r="J198" s="35">
        <v>248.39933372165399</v>
      </c>
      <c r="K198" s="35">
        <v>335.651019644862</v>
      </c>
      <c r="L198" s="35">
        <v>-17.97</v>
      </c>
      <c r="M198" s="35">
        <v>-16.98</v>
      </c>
      <c r="N198" s="35">
        <v>118</v>
      </c>
      <c r="O198" s="35" t="s">
        <v>913</v>
      </c>
      <c r="P198" s="35" t="s">
        <v>914</v>
      </c>
      <c r="Q198" s="35" t="s">
        <v>253</v>
      </c>
      <c r="R198" s="35" t="s">
        <v>253</v>
      </c>
      <c r="S198" s="35" t="s">
        <v>253</v>
      </c>
      <c r="T198" s="35" t="s">
        <v>253</v>
      </c>
      <c r="U198" s="35" t="s">
        <v>253</v>
      </c>
      <c r="V198" s="35" t="s">
        <v>297</v>
      </c>
      <c r="W198" s="35" t="s">
        <v>253</v>
      </c>
      <c r="X198" s="35" t="s">
        <v>1618</v>
      </c>
      <c r="Y198" s="35" t="s">
        <v>1619</v>
      </c>
    </row>
    <row r="199" spans="1:25" x14ac:dyDescent="0.2">
      <c r="A199" s="35">
        <v>145</v>
      </c>
      <c r="B199" s="35" t="s">
        <v>1620</v>
      </c>
      <c r="C199" s="35" t="s">
        <v>253</v>
      </c>
      <c r="D199" s="35" t="s">
        <v>253</v>
      </c>
      <c r="E199" s="35" t="s">
        <v>1565</v>
      </c>
      <c r="F199" s="35" t="s">
        <v>1566</v>
      </c>
      <c r="G199" s="35" t="s">
        <v>2015</v>
      </c>
      <c r="H199" s="35" t="s">
        <v>256</v>
      </c>
      <c r="I199" s="35">
        <v>1661</v>
      </c>
      <c r="J199" s="35">
        <v>163.23449379721899</v>
      </c>
      <c r="K199" s="35">
        <v>458.64960015730099</v>
      </c>
      <c r="L199" s="35">
        <v>-21.95</v>
      </c>
      <c r="M199" s="35">
        <v>-19.73</v>
      </c>
      <c r="N199" s="35">
        <v>118</v>
      </c>
      <c r="O199" s="35" t="s">
        <v>945</v>
      </c>
      <c r="P199" s="35" t="s">
        <v>946</v>
      </c>
      <c r="Q199" s="35" t="s">
        <v>253</v>
      </c>
      <c r="R199" s="35" t="s">
        <v>253</v>
      </c>
      <c r="S199" s="35" t="s">
        <v>257</v>
      </c>
      <c r="T199" s="35" t="s">
        <v>261</v>
      </c>
      <c r="U199" s="35" t="s">
        <v>253</v>
      </c>
      <c r="V199" s="35" t="s">
        <v>253</v>
      </c>
      <c r="W199" s="35" t="s">
        <v>253</v>
      </c>
      <c r="X199" s="35" t="s">
        <v>1621</v>
      </c>
      <c r="Y199" s="35" t="s">
        <v>1622</v>
      </c>
    </row>
    <row r="200" spans="1:25" x14ac:dyDescent="0.2">
      <c r="A200" s="35">
        <v>152</v>
      </c>
      <c r="B200" s="35" t="s">
        <v>1623</v>
      </c>
      <c r="C200" s="35" t="s">
        <v>253</v>
      </c>
      <c r="D200" s="35" t="s">
        <v>253</v>
      </c>
      <c r="E200" s="35" t="s">
        <v>1565</v>
      </c>
      <c r="F200" s="35" t="s">
        <v>1566</v>
      </c>
      <c r="G200" s="35" t="s">
        <v>2008</v>
      </c>
      <c r="H200" s="35" t="s">
        <v>521</v>
      </c>
      <c r="I200" s="35">
        <v>15064</v>
      </c>
      <c r="J200" s="35">
        <v>466.54665792480802</v>
      </c>
      <c r="K200" s="35">
        <v>5.6372649376748498</v>
      </c>
      <c r="L200" s="35">
        <v>-7.28</v>
      </c>
      <c r="M200" s="35">
        <v>-9.93</v>
      </c>
      <c r="N200" s="35">
        <v>643</v>
      </c>
      <c r="O200" s="35" t="s">
        <v>1292</v>
      </c>
      <c r="P200" s="35" t="s">
        <v>1293</v>
      </c>
      <c r="Q200" s="35" t="s">
        <v>253</v>
      </c>
      <c r="R200" s="35" t="s">
        <v>253</v>
      </c>
      <c r="S200" s="35" t="s">
        <v>253</v>
      </c>
      <c r="T200" s="35" t="s">
        <v>261</v>
      </c>
      <c r="U200" s="35" t="s">
        <v>258</v>
      </c>
      <c r="V200" s="35" t="s">
        <v>253</v>
      </c>
      <c r="W200" s="35" t="s">
        <v>253</v>
      </c>
      <c r="X200" s="35" t="s">
        <v>1624</v>
      </c>
      <c r="Y200" s="35" t="s">
        <v>1625</v>
      </c>
    </row>
    <row r="201" spans="1:25" x14ac:dyDescent="0.2">
      <c r="A201" s="35">
        <v>174</v>
      </c>
      <c r="B201" s="35" t="s">
        <v>1626</v>
      </c>
      <c r="C201" s="35" t="s">
        <v>253</v>
      </c>
      <c r="D201" s="35" t="s">
        <v>253</v>
      </c>
      <c r="E201" s="35" t="s">
        <v>1565</v>
      </c>
      <c r="F201" s="35" t="s">
        <v>1566</v>
      </c>
      <c r="G201" s="35" t="s">
        <v>2008</v>
      </c>
      <c r="H201" s="35" t="s">
        <v>521</v>
      </c>
      <c r="I201" s="35">
        <v>1679</v>
      </c>
      <c r="J201" s="35">
        <v>445.95607276940302</v>
      </c>
      <c r="K201" s="35">
        <v>83.503929594362802</v>
      </c>
      <c r="L201" s="35">
        <v>-9.8000000000000007</v>
      </c>
      <c r="M201" s="35">
        <v>-10.6</v>
      </c>
      <c r="N201" s="35">
        <v>554</v>
      </c>
      <c r="O201" s="35" t="s">
        <v>1086</v>
      </c>
      <c r="P201" s="35" t="s">
        <v>1087</v>
      </c>
      <c r="Q201" s="35" t="s">
        <v>253</v>
      </c>
      <c r="R201" s="35" t="s">
        <v>253</v>
      </c>
      <c r="S201" s="35" t="s">
        <v>257</v>
      </c>
      <c r="T201" s="35" t="s">
        <v>253</v>
      </c>
      <c r="U201" s="35" t="s">
        <v>253</v>
      </c>
      <c r="V201" s="35" t="s">
        <v>297</v>
      </c>
      <c r="W201" s="35" t="s">
        <v>253</v>
      </c>
      <c r="X201" s="35" t="s">
        <v>1627</v>
      </c>
      <c r="Y201" s="35" t="s">
        <v>1628</v>
      </c>
    </row>
    <row r="202" spans="1:25" x14ac:dyDescent="0.2">
      <c r="A202" s="35">
        <v>189</v>
      </c>
      <c r="B202" s="35" t="s">
        <v>1629</v>
      </c>
      <c r="C202" s="35" t="s">
        <v>253</v>
      </c>
      <c r="D202" s="35" t="s">
        <v>253</v>
      </c>
      <c r="E202" s="35" t="s">
        <v>1565</v>
      </c>
      <c r="F202" s="35" t="s">
        <v>1566</v>
      </c>
      <c r="G202" s="35" t="s">
        <v>2008</v>
      </c>
      <c r="H202" s="35" t="s">
        <v>928</v>
      </c>
      <c r="I202" s="35">
        <v>2608</v>
      </c>
      <c r="J202" s="35">
        <v>311.5</v>
      </c>
      <c r="K202" s="35">
        <v>281</v>
      </c>
      <c r="L202" s="35">
        <v>-16.2</v>
      </c>
      <c r="M202" s="35">
        <v>-14.94</v>
      </c>
      <c r="N202" s="35">
        <v>52</v>
      </c>
      <c r="O202" s="35" t="s">
        <v>918</v>
      </c>
      <c r="P202" s="35" t="s">
        <v>919</v>
      </c>
      <c r="Q202" s="35" t="s">
        <v>253</v>
      </c>
      <c r="R202" s="35" t="s">
        <v>259</v>
      </c>
      <c r="S202" s="35" t="s">
        <v>257</v>
      </c>
      <c r="T202" s="35" t="s">
        <v>253</v>
      </c>
      <c r="U202" s="35" t="s">
        <v>253</v>
      </c>
      <c r="V202" s="35" t="s">
        <v>297</v>
      </c>
      <c r="W202" s="35" t="s">
        <v>253</v>
      </c>
      <c r="X202" s="35" t="s">
        <v>1630</v>
      </c>
      <c r="Y202" s="35" t="s">
        <v>1631</v>
      </c>
    </row>
    <row r="203" spans="1:25" x14ac:dyDescent="0.2">
      <c r="A203" s="35">
        <v>220</v>
      </c>
      <c r="B203" s="35" t="s">
        <v>1632</v>
      </c>
      <c r="C203" s="35" t="s">
        <v>253</v>
      </c>
      <c r="D203" s="35" t="s">
        <v>253</v>
      </c>
      <c r="E203" s="35" t="s">
        <v>1565</v>
      </c>
      <c r="F203" s="35" t="s">
        <v>1566</v>
      </c>
      <c r="G203" s="35" t="s">
        <v>2008</v>
      </c>
      <c r="H203" s="35" t="s">
        <v>928</v>
      </c>
      <c r="I203" s="35">
        <v>3481</v>
      </c>
      <c r="J203" s="35">
        <v>466.157421910528</v>
      </c>
      <c r="K203" s="35">
        <v>248.36484344260199</v>
      </c>
      <c r="L203" s="35">
        <v>-15.14</v>
      </c>
      <c r="M203" s="35">
        <v>-9.94</v>
      </c>
      <c r="N203" s="35">
        <v>161</v>
      </c>
      <c r="O203" s="35" t="s">
        <v>929</v>
      </c>
      <c r="P203" s="35" t="s">
        <v>930</v>
      </c>
      <c r="Q203" s="35" t="s">
        <v>253</v>
      </c>
      <c r="R203" s="35" t="s">
        <v>253</v>
      </c>
      <c r="S203" s="35" t="s">
        <v>257</v>
      </c>
      <c r="T203" s="35" t="s">
        <v>253</v>
      </c>
      <c r="U203" s="35" t="s">
        <v>258</v>
      </c>
      <c r="V203" s="35" t="s">
        <v>297</v>
      </c>
      <c r="W203" s="35" t="s">
        <v>253</v>
      </c>
      <c r="X203" s="35" t="s">
        <v>1633</v>
      </c>
      <c r="Y203" s="35" t="s">
        <v>1634</v>
      </c>
    </row>
    <row r="204" spans="1:25" x14ac:dyDescent="0.2">
      <c r="A204" s="35">
        <v>223</v>
      </c>
      <c r="B204" s="35" t="s">
        <v>1629</v>
      </c>
      <c r="C204" s="35" t="s">
        <v>253</v>
      </c>
      <c r="D204" s="35" t="s">
        <v>253</v>
      </c>
      <c r="E204" s="35" t="s">
        <v>1565</v>
      </c>
      <c r="F204" s="35" t="s">
        <v>1566</v>
      </c>
      <c r="G204" s="35" t="s">
        <v>2008</v>
      </c>
      <c r="H204" s="35" t="s">
        <v>928</v>
      </c>
      <c r="I204" s="35">
        <v>3810</v>
      </c>
      <c r="J204" s="35">
        <v>456.582215959243</v>
      </c>
      <c r="K204" s="35">
        <v>198.63994261834799</v>
      </c>
      <c r="L204" s="35">
        <v>-13.53</v>
      </c>
      <c r="M204" s="35">
        <v>-10.25</v>
      </c>
      <c r="N204" s="35">
        <v>82</v>
      </c>
      <c r="O204" s="35" t="s">
        <v>904</v>
      </c>
      <c r="P204" s="35" t="s">
        <v>905</v>
      </c>
      <c r="Q204" s="35" t="s">
        <v>253</v>
      </c>
      <c r="R204" s="35" t="s">
        <v>253</v>
      </c>
      <c r="S204" s="35" t="s">
        <v>253</v>
      </c>
      <c r="T204" s="35" t="s">
        <v>253</v>
      </c>
      <c r="U204" s="35" t="s">
        <v>253</v>
      </c>
      <c r="V204" s="35" t="s">
        <v>297</v>
      </c>
      <c r="W204" s="35" t="s">
        <v>253</v>
      </c>
      <c r="X204" s="35" t="s">
        <v>1635</v>
      </c>
      <c r="Y204" s="35" t="s">
        <v>1636</v>
      </c>
    </row>
    <row r="205" spans="1:25" x14ac:dyDescent="0.2">
      <c r="A205" s="35">
        <v>224</v>
      </c>
      <c r="B205" s="35" t="s">
        <v>1637</v>
      </c>
      <c r="C205" s="35" t="s">
        <v>253</v>
      </c>
      <c r="D205" s="35" t="s">
        <v>253</v>
      </c>
      <c r="E205" s="35" t="s">
        <v>1565</v>
      </c>
      <c r="F205" s="35" t="s">
        <v>1566</v>
      </c>
      <c r="G205" s="35" t="s">
        <v>2008</v>
      </c>
      <c r="H205" s="35" t="s">
        <v>928</v>
      </c>
      <c r="I205" s="35">
        <v>1675</v>
      </c>
      <c r="J205" s="35">
        <v>406.40969371856801</v>
      </c>
      <c r="K205" s="35">
        <v>354.295424728868</v>
      </c>
      <c r="L205" s="35">
        <v>-18.57</v>
      </c>
      <c r="M205" s="35">
        <v>-11.87</v>
      </c>
      <c r="N205" s="35">
        <v>554</v>
      </c>
      <c r="O205" s="35" t="s">
        <v>967</v>
      </c>
      <c r="P205" s="35" t="s">
        <v>968</v>
      </c>
      <c r="Q205" s="35" t="s">
        <v>253</v>
      </c>
      <c r="R205" s="35" t="s">
        <v>253</v>
      </c>
      <c r="S205" s="35" t="s">
        <v>257</v>
      </c>
      <c r="T205" s="35" t="s">
        <v>253</v>
      </c>
      <c r="U205" s="35" t="s">
        <v>253</v>
      </c>
      <c r="V205" s="35" t="s">
        <v>297</v>
      </c>
      <c r="W205" s="35" t="s">
        <v>253</v>
      </c>
      <c r="X205" s="35" t="s">
        <v>1638</v>
      </c>
      <c r="Y205" s="35" t="s">
        <v>1639</v>
      </c>
    </row>
    <row r="206" spans="1:25" x14ac:dyDescent="0.2">
      <c r="A206" s="35">
        <v>225</v>
      </c>
      <c r="B206" s="35" t="s">
        <v>1640</v>
      </c>
      <c r="C206" s="35" t="s">
        <v>253</v>
      </c>
      <c r="D206" s="35" t="s">
        <v>253</v>
      </c>
      <c r="E206" s="35" t="s">
        <v>1565</v>
      </c>
      <c r="F206" s="35" t="s">
        <v>1566</v>
      </c>
      <c r="G206" s="35" t="s">
        <v>2024</v>
      </c>
      <c r="H206" s="35" t="s">
        <v>256</v>
      </c>
      <c r="I206" s="35">
        <v>5512</v>
      </c>
      <c r="J206" s="35">
        <v>574.559651887472</v>
      </c>
      <c r="K206" s="35">
        <v>409.66424776017999</v>
      </c>
      <c r="L206" s="35">
        <v>-20.37</v>
      </c>
      <c r="M206" s="35">
        <v>-6.44</v>
      </c>
      <c r="N206" s="35">
        <v>3573</v>
      </c>
      <c r="O206" s="35" t="s">
        <v>554</v>
      </c>
      <c r="P206" s="35" t="s">
        <v>555</v>
      </c>
      <c r="Q206" s="35" t="s">
        <v>253</v>
      </c>
      <c r="R206" s="35" t="s">
        <v>253</v>
      </c>
      <c r="S206" s="35" t="s">
        <v>253</v>
      </c>
      <c r="T206" s="35" t="s">
        <v>253</v>
      </c>
      <c r="U206" s="35" t="s">
        <v>253</v>
      </c>
      <c r="V206" s="35" t="s">
        <v>253</v>
      </c>
      <c r="W206" s="35" t="s">
        <v>253</v>
      </c>
      <c r="X206" s="35" t="s">
        <v>1641</v>
      </c>
      <c r="Y206" s="35" t="s">
        <v>1642</v>
      </c>
    </row>
    <row r="207" spans="1:25" x14ac:dyDescent="0.2">
      <c r="A207" s="35">
        <v>234</v>
      </c>
      <c r="B207" s="35" t="s">
        <v>1643</v>
      </c>
      <c r="C207" s="35" t="s">
        <v>253</v>
      </c>
      <c r="D207" s="35" t="s">
        <v>253</v>
      </c>
      <c r="E207" s="35" t="s">
        <v>1565</v>
      </c>
      <c r="F207" s="35" t="s">
        <v>1566</v>
      </c>
      <c r="G207" s="35" t="s">
        <v>2008</v>
      </c>
      <c r="H207" s="35" t="s">
        <v>928</v>
      </c>
      <c r="I207" s="35">
        <v>3168</v>
      </c>
      <c r="J207" s="35">
        <v>779.5</v>
      </c>
      <c r="K207" s="35">
        <v>346.5</v>
      </c>
      <c r="L207" s="35">
        <v>-18.32</v>
      </c>
      <c r="M207" s="35">
        <v>0.18</v>
      </c>
      <c r="N207" s="35">
        <v>52</v>
      </c>
      <c r="O207" s="35" t="s">
        <v>913</v>
      </c>
      <c r="P207" s="35" t="s">
        <v>914</v>
      </c>
      <c r="Q207" s="35" t="s">
        <v>253</v>
      </c>
      <c r="R207" s="35" t="s">
        <v>259</v>
      </c>
      <c r="S207" s="35" t="s">
        <v>257</v>
      </c>
      <c r="T207" s="35" t="s">
        <v>253</v>
      </c>
      <c r="U207" s="35" t="s">
        <v>253</v>
      </c>
      <c r="V207" s="35" t="s">
        <v>253</v>
      </c>
      <c r="W207" s="35" t="s">
        <v>253</v>
      </c>
      <c r="X207" s="35" t="s">
        <v>1644</v>
      </c>
      <c r="Y207" s="35" t="s">
        <v>1645</v>
      </c>
    </row>
    <row r="208" spans="1:25" x14ac:dyDescent="0.2">
      <c r="A208" s="35">
        <v>244</v>
      </c>
      <c r="B208" s="35" t="s">
        <v>1646</v>
      </c>
      <c r="C208" s="35" t="s">
        <v>253</v>
      </c>
      <c r="D208" s="35" t="s">
        <v>253</v>
      </c>
      <c r="E208" s="35" t="s">
        <v>1565</v>
      </c>
      <c r="F208" s="35" t="s">
        <v>1566</v>
      </c>
      <c r="G208" s="35" t="s">
        <v>2008</v>
      </c>
      <c r="H208" s="35" t="s">
        <v>928</v>
      </c>
      <c r="I208" s="35">
        <v>1633</v>
      </c>
      <c r="J208" s="35">
        <v>606.12669264556905</v>
      </c>
      <c r="K208" s="35">
        <v>355.949677789558</v>
      </c>
      <c r="L208" s="35">
        <v>-18.63</v>
      </c>
      <c r="M208" s="35">
        <v>-5.42</v>
      </c>
      <c r="N208" s="35">
        <v>118</v>
      </c>
      <c r="O208" s="35" t="s">
        <v>913</v>
      </c>
      <c r="P208" s="35" t="s">
        <v>914</v>
      </c>
      <c r="Q208" s="35" t="s">
        <v>253</v>
      </c>
      <c r="R208" s="35" t="s">
        <v>253</v>
      </c>
      <c r="S208" s="35" t="s">
        <v>253</v>
      </c>
      <c r="T208" s="35" t="s">
        <v>253</v>
      </c>
      <c r="U208" s="35" t="s">
        <v>253</v>
      </c>
      <c r="V208" s="35" t="s">
        <v>297</v>
      </c>
      <c r="W208" s="35" t="s">
        <v>253</v>
      </c>
      <c r="X208" s="35" t="s">
        <v>1647</v>
      </c>
      <c r="Y208" s="35" t="s">
        <v>1648</v>
      </c>
    </row>
    <row r="209" spans="1:25" x14ac:dyDescent="0.2">
      <c r="A209" s="35">
        <v>250</v>
      </c>
      <c r="B209" s="35" t="s">
        <v>1649</v>
      </c>
      <c r="C209" s="35" t="s">
        <v>253</v>
      </c>
      <c r="D209" s="35" t="s">
        <v>253</v>
      </c>
      <c r="E209" s="35" t="s">
        <v>1565</v>
      </c>
      <c r="F209" s="35" t="s">
        <v>1566</v>
      </c>
      <c r="G209" s="35" t="s">
        <v>2008</v>
      </c>
      <c r="H209" s="35" t="s">
        <v>521</v>
      </c>
      <c r="I209" s="35">
        <v>4594</v>
      </c>
      <c r="J209" s="35">
        <v>490.32897839730799</v>
      </c>
      <c r="K209" s="35">
        <v>13.2857526182742</v>
      </c>
      <c r="L209" s="35">
        <v>-7.53</v>
      </c>
      <c r="M209" s="35">
        <v>-9.16</v>
      </c>
      <c r="N209" s="35">
        <v>738</v>
      </c>
      <c r="O209" s="35" t="s">
        <v>987</v>
      </c>
      <c r="P209" s="35" t="s">
        <v>988</v>
      </c>
      <c r="Q209" s="35" t="s">
        <v>253</v>
      </c>
      <c r="R209" s="35" t="s">
        <v>253</v>
      </c>
      <c r="S209" s="35" t="s">
        <v>253</v>
      </c>
      <c r="T209" s="35" t="s">
        <v>253</v>
      </c>
      <c r="U209" s="35" t="s">
        <v>253</v>
      </c>
      <c r="V209" s="35" t="s">
        <v>253</v>
      </c>
      <c r="W209" s="35" t="s">
        <v>253</v>
      </c>
      <c r="X209" s="35" t="s">
        <v>1650</v>
      </c>
      <c r="Y209" s="35" t="s">
        <v>1651</v>
      </c>
    </row>
    <row r="210" spans="1:25" x14ac:dyDescent="0.2">
      <c r="A210" s="35">
        <v>257</v>
      </c>
      <c r="B210" s="35" t="s">
        <v>1652</v>
      </c>
      <c r="C210" s="35" t="s">
        <v>253</v>
      </c>
      <c r="D210" s="35" t="s">
        <v>253</v>
      </c>
      <c r="E210" s="35" t="s">
        <v>1565</v>
      </c>
      <c r="F210" s="35" t="s">
        <v>1566</v>
      </c>
      <c r="G210" s="35" t="s">
        <v>2008</v>
      </c>
      <c r="H210" s="35" t="s">
        <v>521</v>
      </c>
      <c r="I210" s="35">
        <v>1775</v>
      </c>
      <c r="J210" s="35">
        <v>429.64708377107598</v>
      </c>
      <c r="K210" s="35">
        <v>107.072170259009</v>
      </c>
      <c r="L210" s="35">
        <v>-10.57</v>
      </c>
      <c r="M210" s="35">
        <v>-11.12</v>
      </c>
      <c r="N210" s="35">
        <v>266</v>
      </c>
      <c r="O210" s="35" t="s">
        <v>956</v>
      </c>
      <c r="P210" s="35" t="s">
        <v>957</v>
      </c>
      <c r="Q210" s="35" t="s">
        <v>253</v>
      </c>
      <c r="R210" s="35" t="s">
        <v>253</v>
      </c>
      <c r="S210" s="35" t="s">
        <v>253</v>
      </c>
      <c r="T210" s="35" t="s">
        <v>253</v>
      </c>
      <c r="U210" s="35" t="s">
        <v>253</v>
      </c>
      <c r="V210" s="35" t="s">
        <v>297</v>
      </c>
      <c r="W210" s="35" t="s">
        <v>253</v>
      </c>
      <c r="X210" s="35" t="s">
        <v>1653</v>
      </c>
      <c r="Y210" s="35" t="s">
        <v>1654</v>
      </c>
    </row>
    <row r="211" spans="1:25" x14ac:dyDescent="0.2">
      <c r="A211" s="35">
        <v>270</v>
      </c>
      <c r="B211" s="35" t="s">
        <v>1655</v>
      </c>
      <c r="C211" s="35" t="s">
        <v>253</v>
      </c>
      <c r="D211" s="35" t="s">
        <v>253</v>
      </c>
      <c r="E211" s="35" t="s">
        <v>1565</v>
      </c>
      <c r="F211" s="35" t="s">
        <v>1566</v>
      </c>
      <c r="G211" s="35" t="s">
        <v>2024</v>
      </c>
      <c r="H211" s="35" t="s">
        <v>256</v>
      </c>
      <c r="I211" s="35">
        <v>11330</v>
      </c>
      <c r="J211" s="35">
        <v>491.59399544371797</v>
      </c>
      <c r="K211" s="35">
        <v>480.07704274340801</v>
      </c>
      <c r="L211" s="35">
        <v>-22.65</v>
      </c>
      <c r="M211" s="35">
        <v>-9.1199999999999992</v>
      </c>
      <c r="N211" s="35">
        <v>948</v>
      </c>
      <c r="O211" s="35" t="s">
        <v>568</v>
      </c>
      <c r="P211" s="35" t="s">
        <v>569</v>
      </c>
      <c r="Q211" s="35" t="s">
        <v>253</v>
      </c>
      <c r="R211" s="35" t="s">
        <v>253</v>
      </c>
      <c r="S211" s="35" t="s">
        <v>253</v>
      </c>
      <c r="T211" s="35" t="s">
        <v>261</v>
      </c>
      <c r="U211" s="35" t="s">
        <v>258</v>
      </c>
      <c r="V211" s="35" t="s">
        <v>253</v>
      </c>
      <c r="W211" s="35" t="s">
        <v>253</v>
      </c>
      <c r="X211" s="35" t="s">
        <v>1656</v>
      </c>
      <c r="Y211" s="35" t="s">
        <v>1657</v>
      </c>
    </row>
    <row r="212" spans="1:25" x14ac:dyDescent="0.2">
      <c r="A212" s="35">
        <v>279</v>
      </c>
      <c r="B212" s="35" t="s">
        <v>1658</v>
      </c>
      <c r="C212" s="35" t="s">
        <v>253</v>
      </c>
      <c r="D212" s="35" t="s">
        <v>253</v>
      </c>
      <c r="E212" s="35" t="s">
        <v>1565</v>
      </c>
      <c r="F212" s="35" t="s">
        <v>1566</v>
      </c>
      <c r="G212" s="35" t="s">
        <v>2008</v>
      </c>
      <c r="H212" s="35" t="s">
        <v>928</v>
      </c>
      <c r="I212" s="35">
        <v>31322</v>
      </c>
      <c r="J212" s="35">
        <v>644.21343664285496</v>
      </c>
      <c r="K212" s="35">
        <v>379.51791845420399</v>
      </c>
      <c r="L212" s="35">
        <v>-19.39</v>
      </c>
      <c r="M212" s="35">
        <v>-4.1900000000000004</v>
      </c>
      <c r="N212" s="35">
        <v>52</v>
      </c>
      <c r="O212" s="35" t="s">
        <v>967</v>
      </c>
      <c r="P212" s="35" t="s">
        <v>968</v>
      </c>
      <c r="Q212" s="35" t="s">
        <v>253</v>
      </c>
      <c r="R212" s="35" t="s">
        <v>253</v>
      </c>
      <c r="S212" s="35" t="s">
        <v>257</v>
      </c>
      <c r="T212" s="35" t="s">
        <v>261</v>
      </c>
      <c r="U212" s="35" t="s">
        <v>258</v>
      </c>
      <c r="V212" s="35" t="s">
        <v>253</v>
      </c>
      <c r="W212" s="35" t="s">
        <v>266</v>
      </c>
      <c r="X212" s="35" t="s">
        <v>1659</v>
      </c>
      <c r="Y212" s="35" t="s">
        <v>1660</v>
      </c>
    </row>
    <row r="213" spans="1:25" x14ac:dyDescent="0.2">
      <c r="A213" s="35">
        <v>290</v>
      </c>
      <c r="B213" s="35" t="s">
        <v>1661</v>
      </c>
      <c r="C213" s="35" t="s">
        <v>253</v>
      </c>
      <c r="D213" s="35" t="s">
        <v>253</v>
      </c>
      <c r="E213" s="35" t="s">
        <v>1565</v>
      </c>
      <c r="F213" s="35" t="s">
        <v>1566</v>
      </c>
      <c r="G213" s="35" t="s">
        <v>395</v>
      </c>
      <c r="H213" s="35" t="s">
        <v>928</v>
      </c>
      <c r="I213" s="35">
        <v>8824</v>
      </c>
      <c r="J213" s="35">
        <v>666.69181646751701</v>
      </c>
      <c r="K213" s="35">
        <v>274.24903839221298</v>
      </c>
      <c r="L213" s="35">
        <v>-15.98</v>
      </c>
      <c r="M213" s="35">
        <v>-3.47</v>
      </c>
      <c r="N213" s="35">
        <v>161</v>
      </c>
      <c r="O213" s="35" t="s">
        <v>918</v>
      </c>
      <c r="P213" s="35" t="s">
        <v>919</v>
      </c>
      <c r="Q213" s="35" t="s">
        <v>253</v>
      </c>
      <c r="R213" s="35" t="s">
        <v>253</v>
      </c>
      <c r="S213" s="35" t="s">
        <v>253</v>
      </c>
      <c r="T213" s="35" t="s">
        <v>253</v>
      </c>
      <c r="U213" s="35" t="s">
        <v>253</v>
      </c>
      <c r="V213" s="35" t="s">
        <v>297</v>
      </c>
      <c r="W213" s="35" t="s">
        <v>253</v>
      </c>
      <c r="X213" s="35" t="s">
        <v>1662</v>
      </c>
      <c r="Y213" s="35" t="s">
        <v>1663</v>
      </c>
    </row>
    <row r="214" spans="1:25" x14ac:dyDescent="0.2">
      <c r="A214" s="35">
        <v>291</v>
      </c>
      <c r="B214" s="35" t="s">
        <v>1664</v>
      </c>
      <c r="C214" s="35" t="s">
        <v>253</v>
      </c>
      <c r="D214" s="35" t="s">
        <v>253</v>
      </c>
      <c r="E214" s="35" t="s">
        <v>1565</v>
      </c>
      <c r="F214" s="35" t="s">
        <v>1566</v>
      </c>
      <c r="G214" s="35" t="s">
        <v>2008</v>
      </c>
      <c r="H214" s="35" t="s">
        <v>928</v>
      </c>
      <c r="I214" s="35">
        <v>8304</v>
      </c>
      <c r="J214" s="35">
        <v>520.45584590256999</v>
      </c>
      <c r="K214" s="35">
        <v>310.40906411881298</v>
      </c>
      <c r="L214" s="35">
        <v>-17.149999999999999</v>
      </c>
      <c r="M214" s="35">
        <v>-8.19</v>
      </c>
      <c r="N214" s="35">
        <v>554</v>
      </c>
      <c r="O214" s="35" t="s">
        <v>967</v>
      </c>
      <c r="P214" s="35" t="s">
        <v>968</v>
      </c>
      <c r="Q214" s="35" t="s">
        <v>253</v>
      </c>
      <c r="R214" s="35" t="s">
        <v>253</v>
      </c>
      <c r="S214" s="35" t="s">
        <v>253</v>
      </c>
      <c r="T214" s="35" t="s">
        <v>253</v>
      </c>
      <c r="U214" s="35" t="s">
        <v>253</v>
      </c>
      <c r="V214" s="35" t="s">
        <v>297</v>
      </c>
      <c r="W214" s="35" t="s">
        <v>253</v>
      </c>
      <c r="X214" s="35" t="s">
        <v>1665</v>
      </c>
      <c r="Y214" s="35" t="s">
        <v>1666</v>
      </c>
    </row>
    <row r="215" spans="1:25" x14ac:dyDescent="0.2">
      <c r="A215" s="35">
        <v>301</v>
      </c>
      <c r="B215" s="35" t="s">
        <v>1667</v>
      </c>
      <c r="C215" s="35" t="s">
        <v>253</v>
      </c>
      <c r="D215" s="35" t="s">
        <v>253</v>
      </c>
      <c r="E215" s="35" t="s">
        <v>1565</v>
      </c>
      <c r="F215" s="35" t="s">
        <v>1566</v>
      </c>
      <c r="G215" s="35" t="s">
        <v>2008</v>
      </c>
      <c r="H215" s="35" t="s">
        <v>928</v>
      </c>
      <c r="I215" s="35">
        <v>2927</v>
      </c>
      <c r="J215" s="35">
        <v>581.29343493451404</v>
      </c>
      <c r="K215" s="35">
        <v>337.61666151697602</v>
      </c>
      <c r="L215" s="35">
        <v>-18.03</v>
      </c>
      <c r="M215" s="35">
        <v>-6.22</v>
      </c>
      <c r="N215" s="35">
        <v>738</v>
      </c>
      <c r="O215" s="35" t="s">
        <v>967</v>
      </c>
      <c r="P215" s="35" t="s">
        <v>968</v>
      </c>
      <c r="Q215" s="35" t="s">
        <v>253</v>
      </c>
      <c r="R215" s="35" t="s">
        <v>253</v>
      </c>
      <c r="S215" s="35" t="s">
        <v>257</v>
      </c>
      <c r="T215" s="35" t="s">
        <v>261</v>
      </c>
      <c r="U215" s="35" t="s">
        <v>253</v>
      </c>
      <c r="V215" s="35" t="s">
        <v>297</v>
      </c>
      <c r="W215" s="35" t="s">
        <v>253</v>
      </c>
      <c r="X215" s="35" t="s">
        <v>1668</v>
      </c>
      <c r="Y215" s="35" t="s">
        <v>1669</v>
      </c>
    </row>
    <row r="216" spans="1:25" x14ac:dyDescent="0.2">
      <c r="A216" s="35">
        <v>302</v>
      </c>
      <c r="B216" s="35" t="s">
        <v>1670</v>
      </c>
      <c r="C216" s="35" t="s">
        <v>253</v>
      </c>
      <c r="D216" s="35" t="s">
        <v>253</v>
      </c>
      <c r="E216" s="35" t="s">
        <v>1565</v>
      </c>
      <c r="F216" s="35" t="s">
        <v>1566</v>
      </c>
      <c r="G216" s="35" t="s">
        <v>2008</v>
      </c>
      <c r="H216" s="35" t="s">
        <v>928</v>
      </c>
      <c r="I216" s="35">
        <v>15392</v>
      </c>
      <c r="J216" s="35">
        <v>258.77247350221302</v>
      </c>
      <c r="K216" s="35">
        <v>366.10873776226202</v>
      </c>
      <c r="L216" s="35">
        <v>-18.95</v>
      </c>
      <c r="M216" s="35">
        <v>-16.64</v>
      </c>
      <c r="N216" s="35">
        <v>52</v>
      </c>
      <c r="O216" s="35" t="s">
        <v>967</v>
      </c>
      <c r="P216" s="35" t="s">
        <v>968</v>
      </c>
      <c r="Q216" s="35" t="s">
        <v>253</v>
      </c>
      <c r="R216" s="35" t="s">
        <v>253</v>
      </c>
      <c r="S216" s="35" t="s">
        <v>257</v>
      </c>
      <c r="T216" s="35" t="s">
        <v>253</v>
      </c>
      <c r="U216" s="35" t="s">
        <v>258</v>
      </c>
      <c r="V216" s="35" t="s">
        <v>297</v>
      </c>
      <c r="W216" s="35" t="s">
        <v>253</v>
      </c>
      <c r="X216" s="35" t="s">
        <v>1671</v>
      </c>
      <c r="Y216" s="35" t="s">
        <v>1672</v>
      </c>
    </row>
    <row r="217" spans="1:25" x14ac:dyDescent="0.2">
      <c r="A217" s="35">
        <v>311</v>
      </c>
      <c r="B217" s="35" t="s">
        <v>1673</v>
      </c>
      <c r="C217" s="35" t="s">
        <v>253</v>
      </c>
      <c r="D217" s="35" t="s">
        <v>253</v>
      </c>
      <c r="E217" s="35" t="s">
        <v>1565</v>
      </c>
      <c r="F217" s="35" t="s">
        <v>1566</v>
      </c>
      <c r="G217" s="35" t="s">
        <v>2008</v>
      </c>
      <c r="H217" s="35" t="s">
        <v>928</v>
      </c>
      <c r="I217" s="35">
        <v>2686</v>
      </c>
      <c r="J217" s="35">
        <v>296.5</v>
      </c>
      <c r="K217" s="35">
        <v>295</v>
      </c>
      <c r="L217" s="35">
        <v>-16.649999999999999</v>
      </c>
      <c r="M217" s="35">
        <v>-15.42</v>
      </c>
      <c r="N217" s="35">
        <v>118</v>
      </c>
      <c r="O217" s="35" t="s">
        <v>918</v>
      </c>
      <c r="P217" s="35" t="s">
        <v>919</v>
      </c>
      <c r="Q217" s="35" t="s">
        <v>253</v>
      </c>
      <c r="R217" s="35" t="s">
        <v>259</v>
      </c>
      <c r="S217" s="35" t="s">
        <v>257</v>
      </c>
      <c r="T217" s="35" t="s">
        <v>253</v>
      </c>
      <c r="U217" s="35" t="s">
        <v>253</v>
      </c>
      <c r="V217" s="35" t="s">
        <v>297</v>
      </c>
      <c r="W217" s="35" t="s">
        <v>253</v>
      </c>
      <c r="X217" s="35" t="s">
        <v>1674</v>
      </c>
      <c r="Y217" s="35" t="s">
        <v>1675</v>
      </c>
    </row>
    <row r="218" spans="1:25" x14ac:dyDescent="0.2">
      <c r="A218" s="35">
        <v>313</v>
      </c>
      <c r="B218" s="35" t="s">
        <v>1067</v>
      </c>
      <c r="C218" s="35" t="s">
        <v>253</v>
      </c>
      <c r="D218" s="35" t="s">
        <v>253</v>
      </c>
      <c r="E218" s="35" t="s">
        <v>1565</v>
      </c>
      <c r="F218" s="35" t="s">
        <v>1566</v>
      </c>
      <c r="G218" s="35" t="s">
        <v>2008</v>
      </c>
      <c r="H218" s="35" t="s">
        <v>928</v>
      </c>
      <c r="I218" s="35">
        <v>1829</v>
      </c>
      <c r="J218" s="35">
        <v>403.84073602432102</v>
      </c>
      <c r="K218" s="35">
        <v>427.25771560562998</v>
      </c>
      <c r="L218" s="35">
        <v>-20.94</v>
      </c>
      <c r="M218" s="35">
        <v>-11.96</v>
      </c>
      <c r="N218" s="35">
        <v>82</v>
      </c>
      <c r="O218" s="35" t="s">
        <v>945</v>
      </c>
      <c r="P218" s="35" t="s">
        <v>946</v>
      </c>
      <c r="Q218" s="35" t="s">
        <v>253</v>
      </c>
      <c r="R218" s="35" t="s">
        <v>253</v>
      </c>
      <c r="S218" s="35" t="s">
        <v>257</v>
      </c>
      <c r="T218" s="35" t="s">
        <v>261</v>
      </c>
      <c r="U218" s="35" t="s">
        <v>253</v>
      </c>
      <c r="V218" s="35" t="s">
        <v>297</v>
      </c>
      <c r="W218" s="35" t="s">
        <v>253</v>
      </c>
      <c r="X218" s="35" t="s">
        <v>853</v>
      </c>
      <c r="Y218" s="35" t="s">
        <v>1676</v>
      </c>
    </row>
    <row r="219" spans="1:25" x14ac:dyDescent="0.2">
      <c r="A219" s="35">
        <v>324</v>
      </c>
      <c r="B219" s="35" t="s">
        <v>1677</v>
      </c>
      <c r="C219" s="35" t="s">
        <v>253</v>
      </c>
      <c r="D219" s="35" t="s">
        <v>253</v>
      </c>
      <c r="E219" s="35" t="s">
        <v>1565</v>
      </c>
      <c r="F219" s="35" t="s">
        <v>1566</v>
      </c>
      <c r="G219" s="35" t="s">
        <v>2008</v>
      </c>
      <c r="H219" s="35" t="s">
        <v>521</v>
      </c>
      <c r="I219" s="35">
        <v>5704</v>
      </c>
      <c r="J219" s="35">
        <v>589.91501265081297</v>
      </c>
      <c r="K219" s="35">
        <v>138.91167622710199</v>
      </c>
      <c r="L219" s="35">
        <v>-11.6</v>
      </c>
      <c r="M219" s="35">
        <v>-5.95</v>
      </c>
      <c r="N219" s="35">
        <v>840</v>
      </c>
      <c r="O219" s="35" t="s">
        <v>904</v>
      </c>
      <c r="P219" s="35" t="s">
        <v>905</v>
      </c>
      <c r="Q219" s="35" t="s">
        <v>253</v>
      </c>
      <c r="R219" s="35" t="s">
        <v>253</v>
      </c>
      <c r="S219" s="35" t="s">
        <v>253</v>
      </c>
      <c r="T219" s="35" t="s">
        <v>253</v>
      </c>
      <c r="U219" s="35" t="s">
        <v>258</v>
      </c>
      <c r="V219" s="35" t="s">
        <v>253</v>
      </c>
      <c r="W219" s="35" t="s">
        <v>253</v>
      </c>
      <c r="X219" s="35" t="s">
        <v>1678</v>
      </c>
      <c r="Y219" s="35" t="s">
        <v>1679</v>
      </c>
    </row>
    <row r="220" spans="1:25" x14ac:dyDescent="0.2">
      <c r="A220" s="35">
        <v>325</v>
      </c>
      <c r="B220" s="35" t="s">
        <v>1680</v>
      </c>
      <c r="C220" s="35" t="s">
        <v>253</v>
      </c>
      <c r="D220" s="35" t="s">
        <v>253</v>
      </c>
      <c r="E220" s="35" t="s">
        <v>1565</v>
      </c>
      <c r="F220" s="35" t="s">
        <v>1566</v>
      </c>
      <c r="G220" s="35" t="s">
        <v>2008</v>
      </c>
      <c r="H220" s="35" t="s">
        <v>928</v>
      </c>
      <c r="I220" s="35">
        <v>1639</v>
      </c>
      <c r="J220" s="35">
        <v>358.70882016857001</v>
      </c>
      <c r="K220" s="35">
        <v>391.33123148759802</v>
      </c>
      <c r="L220" s="35">
        <v>-19.77</v>
      </c>
      <c r="M220" s="35">
        <v>-13.41</v>
      </c>
      <c r="N220" s="35">
        <v>1736</v>
      </c>
      <c r="O220" s="35" t="s">
        <v>568</v>
      </c>
      <c r="P220" s="35" t="s">
        <v>569</v>
      </c>
      <c r="Q220" s="35" t="s">
        <v>253</v>
      </c>
      <c r="R220" s="35" t="s">
        <v>253</v>
      </c>
      <c r="S220" s="35" t="s">
        <v>257</v>
      </c>
      <c r="T220" s="35" t="s">
        <v>253</v>
      </c>
      <c r="U220" s="35" t="s">
        <v>258</v>
      </c>
      <c r="V220" s="35" t="s">
        <v>297</v>
      </c>
      <c r="W220" s="35" t="s">
        <v>253</v>
      </c>
      <c r="X220" s="35" t="s">
        <v>1681</v>
      </c>
      <c r="Y220" s="35" t="s">
        <v>1682</v>
      </c>
    </row>
    <row r="221" spans="1:25" x14ac:dyDescent="0.2">
      <c r="A221" s="35">
        <v>343</v>
      </c>
      <c r="B221" s="35" t="s">
        <v>1683</v>
      </c>
      <c r="C221" s="35" t="s">
        <v>253</v>
      </c>
      <c r="D221" s="35" t="s">
        <v>253</v>
      </c>
      <c r="E221" s="35" t="s">
        <v>1565</v>
      </c>
      <c r="F221" s="35" t="s">
        <v>1566</v>
      </c>
      <c r="G221" s="35" t="s">
        <v>2008</v>
      </c>
      <c r="H221" s="35" t="s">
        <v>521</v>
      </c>
      <c r="I221" s="35">
        <v>9502</v>
      </c>
      <c r="J221" s="35">
        <v>542.70068411866498</v>
      </c>
      <c r="K221" s="35">
        <v>95.998405652746698</v>
      </c>
      <c r="L221" s="35">
        <v>-10.210000000000001</v>
      </c>
      <c r="M221" s="35">
        <v>-7.47</v>
      </c>
      <c r="N221" s="35">
        <v>30</v>
      </c>
      <c r="O221" s="35" t="s">
        <v>956</v>
      </c>
      <c r="P221" s="35" t="s">
        <v>957</v>
      </c>
      <c r="Q221" s="35" t="s">
        <v>253</v>
      </c>
      <c r="R221" s="35" t="s">
        <v>253</v>
      </c>
      <c r="S221" s="35" t="s">
        <v>257</v>
      </c>
      <c r="T221" s="35" t="s">
        <v>261</v>
      </c>
      <c r="U221" s="35" t="s">
        <v>253</v>
      </c>
      <c r="V221" s="35" t="s">
        <v>297</v>
      </c>
      <c r="W221" s="35" t="s">
        <v>253</v>
      </c>
      <c r="X221" s="35" t="s">
        <v>1684</v>
      </c>
      <c r="Y221" s="35" t="s">
        <v>1685</v>
      </c>
    </row>
    <row r="222" spans="1:25" x14ac:dyDescent="0.2">
      <c r="A222" s="35">
        <v>361</v>
      </c>
      <c r="B222" s="35" t="s">
        <v>1686</v>
      </c>
      <c r="C222" s="35" t="s">
        <v>253</v>
      </c>
      <c r="D222" s="35" t="s">
        <v>253</v>
      </c>
      <c r="E222" s="35" t="s">
        <v>1565</v>
      </c>
      <c r="F222" s="35" t="s">
        <v>1566</v>
      </c>
      <c r="G222" s="35" t="s">
        <v>2008</v>
      </c>
      <c r="H222" s="35" t="s">
        <v>928</v>
      </c>
      <c r="I222" s="35">
        <v>22035</v>
      </c>
      <c r="J222" s="35">
        <v>277</v>
      </c>
      <c r="K222" s="35">
        <v>288.5</v>
      </c>
      <c r="L222" s="35">
        <v>-16.440000000000001</v>
      </c>
      <c r="M222" s="35">
        <v>-16.05</v>
      </c>
      <c r="N222" s="35">
        <v>82</v>
      </c>
      <c r="O222" s="35" t="s">
        <v>918</v>
      </c>
      <c r="P222" s="35" t="s">
        <v>919</v>
      </c>
      <c r="Q222" s="35" t="s">
        <v>253</v>
      </c>
      <c r="R222" s="35" t="s">
        <v>259</v>
      </c>
      <c r="S222" s="35" t="s">
        <v>253</v>
      </c>
      <c r="T222" s="35" t="s">
        <v>261</v>
      </c>
      <c r="U222" s="35" t="s">
        <v>253</v>
      </c>
      <c r="V222" s="35" t="s">
        <v>297</v>
      </c>
      <c r="W222" s="35" t="s">
        <v>266</v>
      </c>
      <c r="X222" s="35" t="s">
        <v>1687</v>
      </c>
      <c r="Y222" s="35" t="s">
        <v>1688</v>
      </c>
    </row>
    <row r="223" spans="1:25" x14ac:dyDescent="0.2">
      <c r="A223" s="35">
        <v>363</v>
      </c>
      <c r="B223" s="35" t="s">
        <v>1689</v>
      </c>
      <c r="C223" s="35" t="s">
        <v>253</v>
      </c>
      <c r="D223" s="35" t="s">
        <v>253</v>
      </c>
      <c r="E223" s="35" t="s">
        <v>1565</v>
      </c>
      <c r="F223" s="35" t="s">
        <v>1566</v>
      </c>
      <c r="G223" s="35" t="s">
        <v>2008</v>
      </c>
      <c r="H223" s="35" t="s">
        <v>928</v>
      </c>
      <c r="I223" s="35">
        <v>6964</v>
      </c>
      <c r="J223" s="35">
        <v>433.875</v>
      </c>
      <c r="K223" s="35">
        <v>314</v>
      </c>
      <c r="L223" s="35">
        <v>-17.27</v>
      </c>
      <c r="M223" s="35">
        <v>-10.99</v>
      </c>
      <c r="N223" s="35">
        <v>13</v>
      </c>
      <c r="O223" s="35" t="s">
        <v>913</v>
      </c>
      <c r="P223" s="35" t="s">
        <v>914</v>
      </c>
      <c r="Q223" s="35" t="s">
        <v>253</v>
      </c>
      <c r="R223" s="35" t="s">
        <v>259</v>
      </c>
      <c r="S223" s="35" t="s">
        <v>257</v>
      </c>
      <c r="T223" s="35" t="s">
        <v>253</v>
      </c>
      <c r="U223" s="35" t="s">
        <v>253</v>
      </c>
      <c r="V223" s="35" t="s">
        <v>297</v>
      </c>
      <c r="W223" s="35" t="s">
        <v>253</v>
      </c>
      <c r="X223" s="35" t="s">
        <v>1690</v>
      </c>
      <c r="Y223" s="35" t="s">
        <v>1691</v>
      </c>
    </row>
    <row r="224" spans="1:25" x14ac:dyDescent="0.2">
      <c r="A224" s="35">
        <v>364</v>
      </c>
      <c r="B224" s="35" t="s">
        <v>1692</v>
      </c>
      <c r="C224" s="35" t="s">
        <v>253</v>
      </c>
      <c r="D224" s="35" t="s">
        <v>253</v>
      </c>
      <c r="E224" s="35" t="s">
        <v>1565</v>
      </c>
      <c r="F224" s="35" t="s">
        <v>1566</v>
      </c>
      <c r="G224" s="35" t="s">
        <v>2008</v>
      </c>
      <c r="H224" s="35" t="s">
        <v>928</v>
      </c>
      <c r="I224" s="35">
        <v>25862</v>
      </c>
      <c r="J224" s="35">
        <v>625.65</v>
      </c>
      <c r="K224" s="35">
        <v>366.12</v>
      </c>
      <c r="L224" s="35">
        <v>-18.96</v>
      </c>
      <c r="M224" s="35">
        <v>-4.79</v>
      </c>
      <c r="N224" s="35">
        <v>118</v>
      </c>
      <c r="O224" s="35" t="s">
        <v>967</v>
      </c>
      <c r="P224" s="35" t="s">
        <v>968</v>
      </c>
      <c r="Q224" s="35" t="s">
        <v>253</v>
      </c>
      <c r="R224" s="35" t="s">
        <v>253</v>
      </c>
      <c r="S224" s="35" t="s">
        <v>257</v>
      </c>
      <c r="T224" s="35" t="s">
        <v>261</v>
      </c>
      <c r="U224" s="35" t="s">
        <v>258</v>
      </c>
      <c r="V224" s="35" t="s">
        <v>297</v>
      </c>
      <c r="W224" s="35" t="s">
        <v>253</v>
      </c>
      <c r="X224" s="35" t="s">
        <v>1693</v>
      </c>
      <c r="Y224" s="35" t="s">
        <v>1694</v>
      </c>
    </row>
    <row r="225" spans="1:25" x14ac:dyDescent="0.2">
      <c r="A225" s="35">
        <v>366</v>
      </c>
      <c r="B225" s="35" t="s">
        <v>1695</v>
      </c>
      <c r="C225" s="35" t="s">
        <v>253</v>
      </c>
      <c r="D225" s="35" t="s">
        <v>253</v>
      </c>
      <c r="E225" s="35" t="s">
        <v>1565</v>
      </c>
      <c r="F225" s="35" t="s">
        <v>1566</v>
      </c>
      <c r="G225" s="35" t="s">
        <v>2008</v>
      </c>
      <c r="H225" s="35" t="s">
        <v>928</v>
      </c>
      <c r="I225" s="35">
        <v>8328</v>
      </c>
      <c r="J225" s="35">
        <v>355.5</v>
      </c>
      <c r="K225" s="35">
        <v>406.5</v>
      </c>
      <c r="L225" s="35">
        <v>-20.260000000000002</v>
      </c>
      <c r="M225" s="35">
        <v>-13.52</v>
      </c>
      <c r="N225" s="35">
        <v>118</v>
      </c>
      <c r="O225" s="35" t="s">
        <v>967</v>
      </c>
      <c r="P225" s="35" t="s">
        <v>968</v>
      </c>
      <c r="Q225" s="35" t="s">
        <v>253</v>
      </c>
      <c r="R225" s="35" t="s">
        <v>259</v>
      </c>
      <c r="S225" s="35" t="s">
        <v>253</v>
      </c>
      <c r="T225" s="35" t="s">
        <v>253</v>
      </c>
      <c r="U225" s="35" t="s">
        <v>253</v>
      </c>
      <c r="V225" s="35" t="s">
        <v>297</v>
      </c>
      <c r="W225" s="35" t="s">
        <v>253</v>
      </c>
      <c r="X225" s="35" t="s">
        <v>1696</v>
      </c>
      <c r="Y225" s="35" t="s">
        <v>1697</v>
      </c>
    </row>
    <row r="226" spans="1:25" x14ac:dyDescent="0.2">
      <c r="A226" s="35">
        <v>374</v>
      </c>
      <c r="B226" s="35" t="s">
        <v>1698</v>
      </c>
      <c r="C226" s="35" t="s">
        <v>253</v>
      </c>
      <c r="D226" s="35" t="s">
        <v>253</v>
      </c>
      <c r="E226" s="35" t="s">
        <v>1565</v>
      </c>
      <c r="F226" s="35" t="s">
        <v>1566</v>
      </c>
      <c r="G226" s="35" t="s">
        <v>2008</v>
      </c>
      <c r="H226" s="35" t="s">
        <v>521</v>
      </c>
      <c r="I226" s="35">
        <v>4414</v>
      </c>
      <c r="J226" s="35">
        <v>633.29999999999995</v>
      </c>
      <c r="K226" s="35">
        <v>149.69999999999999</v>
      </c>
      <c r="L226" s="35">
        <v>-11.95</v>
      </c>
      <c r="M226" s="35">
        <v>-4.54</v>
      </c>
      <c r="N226" s="35">
        <v>161</v>
      </c>
      <c r="O226" s="35" t="s">
        <v>1086</v>
      </c>
      <c r="P226" s="35" t="s">
        <v>1087</v>
      </c>
      <c r="Q226" s="35" t="s">
        <v>253</v>
      </c>
      <c r="R226" s="35" t="s">
        <v>253</v>
      </c>
      <c r="S226" s="35" t="s">
        <v>257</v>
      </c>
      <c r="T226" s="35" t="s">
        <v>253</v>
      </c>
      <c r="U226" s="35" t="s">
        <v>253</v>
      </c>
      <c r="V226" s="35" t="s">
        <v>253</v>
      </c>
      <c r="W226" s="35" t="s">
        <v>253</v>
      </c>
      <c r="X226" s="35" t="s">
        <v>1699</v>
      </c>
      <c r="Y226" s="35" t="s">
        <v>1700</v>
      </c>
    </row>
    <row r="227" spans="1:25" x14ac:dyDescent="0.2">
      <c r="A227" s="35">
        <v>389</v>
      </c>
      <c r="B227" s="35" t="s">
        <v>1701</v>
      </c>
      <c r="C227" s="35" t="s">
        <v>253</v>
      </c>
      <c r="D227" s="35" t="s">
        <v>253</v>
      </c>
      <c r="E227" s="35" t="s">
        <v>1565</v>
      </c>
      <c r="F227" s="35" t="s">
        <v>1566</v>
      </c>
      <c r="G227" s="35" t="s">
        <v>2008</v>
      </c>
      <c r="H227" s="35" t="s">
        <v>928</v>
      </c>
      <c r="I227" s="35">
        <v>1753</v>
      </c>
      <c r="J227" s="35">
        <v>548.73384234000196</v>
      </c>
      <c r="K227" s="35">
        <v>222.94773171012599</v>
      </c>
      <c r="L227" s="35">
        <v>-14.32</v>
      </c>
      <c r="M227" s="35">
        <v>-7.28</v>
      </c>
      <c r="N227" s="35">
        <v>52</v>
      </c>
      <c r="O227" s="35" t="s">
        <v>929</v>
      </c>
      <c r="P227" s="35" t="s">
        <v>930</v>
      </c>
      <c r="Q227" s="35" t="s">
        <v>253</v>
      </c>
      <c r="R227" s="35" t="s">
        <v>253</v>
      </c>
      <c r="S227" s="35" t="s">
        <v>253</v>
      </c>
      <c r="T227" s="35" t="s">
        <v>253</v>
      </c>
      <c r="U227" s="35" t="s">
        <v>253</v>
      </c>
      <c r="V227" s="35" t="s">
        <v>297</v>
      </c>
      <c r="W227" s="35" t="s">
        <v>253</v>
      </c>
      <c r="X227" s="35" t="s">
        <v>1576</v>
      </c>
      <c r="Y227" s="35" t="s">
        <v>1702</v>
      </c>
    </row>
    <row r="228" spans="1:25" x14ac:dyDescent="0.2">
      <c r="A228" s="35">
        <v>391</v>
      </c>
      <c r="B228" s="35" t="s">
        <v>1703</v>
      </c>
      <c r="C228" s="35" t="s">
        <v>253</v>
      </c>
      <c r="D228" s="35" t="s">
        <v>253</v>
      </c>
      <c r="E228" s="35" t="s">
        <v>1565</v>
      </c>
      <c r="F228" s="35" t="s">
        <v>1566</v>
      </c>
      <c r="G228" s="35" t="s">
        <v>2008</v>
      </c>
      <c r="H228" s="35" t="s">
        <v>928</v>
      </c>
      <c r="I228" s="35">
        <v>1850</v>
      </c>
      <c r="J228" s="35">
        <v>722.81964972667402</v>
      </c>
      <c r="K228" s="35">
        <v>232.89271187497701</v>
      </c>
      <c r="L228" s="35">
        <v>-14.64</v>
      </c>
      <c r="M228" s="35">
        <v>-1.65</v>
      </c>
      <c r="N228" s="35">
        <v>118</v>
      </c>
      <c r="O228" s="35" t="s">
        <v>929</v>
      </c>
      <c r="P228" s="35" t="s">
        <v>930</v>
      </c>
      <c r="Q228" s="35" t="s">
        <v>253</v>
      </c>
      <c r="R228" s="35" t="s">
        <v>253</v>
      </c>
      <c r="S228" s="35" t="s">
        <v>253</v>
      </c>
      <c r="T228" s="35" t="s">
        <v>253</v>
      </c>
      <c r="U228" s="35" t="s">
        <v>253</v>
      </c>
      <c r="V228" s="35" t="s">
        <v>253</v>
      </c>
      <c r="W228" s="35" t="s">
        <v>253</v>
      </c>
      <c r="X228" s="35" t="s">
        <v>1704</v>
      </c>
      <c r="Y228" s="35" t="s">
        <v>1705</v>
      </c>
    </row>
    <row r="229" spans="1:25" x14ac:dyDescent="0.2">
      <c r="A229" s="35">
        <v>392</v>
      </c>
      <c r="B229" s="35" t="s">
        <v>1706</v>
      </c>
      <c r="C229" s="35" t="s">
        <v>253</v>
      </c>
      <c r="D229" s="35" t="s">
        <v>253</v>
      </c>
      <c r="E229" s="35" t="s">
        <v>1565</v>
      </c>
      <c r="F229" s="35" t="s">
        <v>1566</v>
      </c>
      <c r="G229" s="35" t="s">
        <v>395</v>
      </c>
      <c r="H229" s="35" t="s">
        <v>928</v>
      </c>
      <c r="I229" s="35">
        <v>1814</v>
      </c>
      <c r="J229" s="35">
        <v>731.90831066010901</v>
      </c>
      <c r="K229" s="35">
        <v>268.83865779372297</v>
      </c>
      <c r="L229" s="35">
        <v>-15.81</v>
      </c>
      <c r="M229" s="35">
        <v>-1.36</v>
      </c>
      <c r="N229" s="35">
        <v>52</v>
      </c>
      <c r="O229" s="35" t="s">
        <v>918</v>
      </c>
      <c r="P229" s="35" t="s">
        <v>919</v>
      </c>
      <c r="Q229" s="35" t="s">
        <v>253</v>
      </c>
      <c r="R229" s="35" t="s">
        <v>253</v>
      </c>
      <c r="S229" s="35" t="s">
        <v>257</v>
      </c>
      <c r="T229" s="35" t="s">
        <v>253</v>
      </c>
      <c r="U229" s="35" t="s">
        <v>258</v>
      </c>
      <c r="V229" s="35" t="s">
        <v>297</v>
      </c>
      <c r="W229" s="35" t="s">
        <v>253</v>
      </c>
      <c r="X229" s="35" t="s">
        <v>1707</v>
      </c>
      <c r="Y229" s="35" t="s">
        <v>1708</v>
      </c>
    </row>
    <row r="230" spans="1:25" x14ac:dyDescent="0.2">
      <c r="A230" s="35">
        <v>406</v>
      </c>
      <c r="B230" s="35" t="s">
        <v>1709</v>
      </c>
      <c r="C230" s="35" t="s">
        <v>253</v>
      </c>
      <c r="D230" s="35" t="s">
        <v>253</v>
      </c>
      <c r="E230" s="35" t="s">
        <v>1565</v>
      </c>
      <c r="F230" s="35" t="s">
        <v>1566</v>
      </c>
      <c r="G230" s="35" t="s">
        <v>2008</v>
      </c>
      <c r="H230" s="35" t="s">
        <v>928</v>
      </c>
      <c r="I230" s="35">
        <v>1793</v>
      </c>
      <c r="J230" s="35">
        <v>429.33569495965202</v>
      </c>
      <c r="K230" s="35">
        <v>191.04984033989101</v>
      </c>
      <c r="L230" s="35">
        <v>-13.29</v>
      </c>
      <c r="M230" s="35">
        <v>-11.13</v>
      </c>
      <c r="N230" s="35">
        <v>52</v>
      </c>
      <c r="O230" s="35" t="s">
        <v>904</v>
      </c>
      <c r="P230" s="35" t="s">
        <v>905</v>
      </c>
      <c r="Q230" s="35" t="s">
        <v>253</v>
      </c>
      <c r="R230" s="35" t="s">
        <v>253</v>
      </c>
      <c r="S230" s="35" t="s">
        <v>257</v>
      </c>
      <c r="T230" s="35" t="s">
        <v>253</v>
      </c>
      <c r="U230" s="35" t="s">
        <v>253</v>
      </c>
      <c r="V230" s="35" t="s">
        <v>297</v>
      </c>
      <c r="W230" s="35" t="s">
        <v>253</v>
      </c>
      <c r="X230" s="35" t="s">
        <v>1710</v>
      </c>
      <c r="Y230" s="35" t="s">
        <v>1711</v>
      </c>
    </row>
    <row r="231" spans="1:25" x14ac:dyDescent="0.2">
      <c r="A231" s="35">
        <v>407</v>
      </c>
      <c r="B231" s="35" t="s">
        <v>1712</v>
      </c>
      <c r="C231" s="35" t="s">
        <v>253</v>
      </c>
      <c r="D231" s="35" t="s">
        <v>253</v>
      </c>
      <c r="E231" s="35" t="s">
        <v>1565</v>
      </c>
      <c r="F231" s="35" t="s">
        <v>1566</v>
      </c>
      <c r="G231" s="35" t="s">
        <v>2008</v>
      </c>
      <c r="H231" s="35" t="s">
        <v>928</v>
      </c>
      <c r="I231" s="35">
        <v>12360</v>
      </c>
      <c r="J231" s="35">
        <v>343.97623702807698</v>
      </c>
      <c r="K231" s="35">
        <v>343.37735452831799</v>
      </c>
      <c r="L231" s="35">
        <v>-18.22</v>
      </c>
      <c r="M231" s="35">
        <v>-13.89</v>
      </c>
      <c r="N231" s="35">
        <v>210</v>
      </c>
      <c r="O231" s="35" t="s">
        <v>913</v>
      </c>
      <c r="P231" s="35" t="s">
        <v>914</v>
      </c>
      <c r="Q231" s="35" t="s">
        <v>253</v>
      </c>
      <c r="R231" s="35" t="s">
        <v>253</v>
      </c>
      <c r="S231" s="35" t="s">
        <v>257</v>
      </c>
      <c r="T231" s="35" t="s">
        <v>261</v>
      </c>
      <c r="U231" s="35" t="s">
        <v>258</v>
      </c>
      <c r="V231" s="35" t="s">
        <v>297</v>
      </c>
      <c r="W231" s="35" t="s">
        <v>253</v>
      </c>
      <c r="X231" s="35" t="s">
        <v>1713</v>
      </c>
      <c r="Y231" s="35" t="s">
        <v>1714</v>
      </c>
    </row>
    <row r="232" spans="1:25" x14ac:dyDescent="0.2">
      <c r="A232" s="35">
        <v>421</v>
      </c>
      <c r="B232" s="35" t="s">
        <v>1715</v>
      </c>
      <c r="C232" s="35" t="s">
        <v>253</v>
      </c>
      <c r="D232" s="35" t="s">
        <v>253</v>
      </c>
      <c r="E232" s="35" t="s">
        <v>1565</v>
      </c>
      <c r="F232" s="35" t="s">
        <v>1566</v>
      </c>
      <c r="G232" s="35" t="s">
        <v>2008</v>
      </c>
      <c r="H232" s="35" t="s">
        <v>928</v>
      </c>
      <c r="I232" s="35">
        <v>11092</v>
      </c>
      <c r="J232" s="35">
        <v>732.66732088795504</v>
      </c>
      <c r="K232" s="35">
        <v>247.89776022546599</v>
      </c>
      <c r="L232" s="35">
        <v>-15.13</v>
      </c>
      <c r="M232" s="35">
        <v>-1.34</v>
      </c>
      <c r="N232" s="35">
        <v>397</v>
      </c>
      <c r="O232" s="35" t="s">
        <v>918</v>
      </c>
      <c r="P232" s="35" t="s">
        <v>919</v>
      </c>
      <c r="Q232" s="35" t="s">
        <v>253</v>
      </c>
      <c r="R232" s="35" t="s">
        <v>253</v>
      </c>
      <c r="S232" s="35" t="s">
        <v>253</v>
      </c>
      <c r="T232" s="35" t="s">
        <v>261</v>
      </c>
      <c r="U232" s="35" t="s">
        <v>253</v>
      </c>
      <c r="V232" s="35" t="s">
        <v>253</v>
      </c>
      <c r="W232" s="35" t="s">
        <v>253</v>
      </c>
      <c r="X232" s="35" t="s">
        <v>1716</v>
      </c>
      <c r="Y232" s="35" t="s">
        <v>1717</v>
      </c>
    </row>
    <row r="233" spans="1:25" x14ac:dyDescent="0.2">
      <c r="A233" s="35">
        <v>422</v>
      </c>
      <c r="B233" s="35" t="s">
        <v>1718</v>
      </c>
      <c r="C233" s="35" t="s">
        <v>253</v>
      </c>
      <c r="D233" s="35" t="s">
        <v>253</v>
      </c>
      <c r="E233" s="35" t="s">
        <v>1565</v>
      </c>
      <c r="F233" s="35" t="s">
        <v>1566</v>
      </c>
      <c r="G233" s="35" t="s">
        <v>522</v>
      </c>
      <c r="H233" s="35" t="s">
        <v>928</v>
      </c>
      <c r="I233" s="35">
        <v>16195</v>
      </c>
      <c r="J233" s="35">
        <v>789.10654295853601</v>
      </c>
      <c r="K233" s="35">
        <v>274.36580919649703</v>
      </c>
      <c r="L233" s="35">
        <v>-15.98</v>
      </c>
      <c r="M233" s="35">
        <v>0.49</v>
      </c>
      <c r="N233" s="35">
        <v>52</v>
      </c>
      <c r="O233" s="35" t="s">
        <v>918</v>
      </c>
      <c r="P233" s="35" t="s">
        <v>919</v>
      </c>
      <c r="Q233" s="35" t="s">
        <v>253</v>
      </c>
      <c r="R233" s="35" t="s">
        <v>253</v>
      </c>
      <c r="S233" s="35" t="s">
        <v>253</v>
      </c>
      <c r="T233" s="35" t="s">
        <v>261</v>
      </c>
      <c r="U233" s="35" t="s">
        <v>258</v>
      </c>
      <c r="V233" s="35" t="s">
        <v>297</v>
      </c>
      <c r="W233" s="35" t="s">
        <v>253</v>
      </c>
      <c r="X233" s="35" t="s">
        <v>1719</v>
      </c>
      <c r="Y233" s="35" t="s">
        <v>1720</v>
      </c>
    </row>
    <row r="234" spans="1:25" x14ac:dyDescent="0.2">
      <c r="A234" s="35">
        <v>447</v>
      </c>
      <c r="B234" s="35" t="s">
        <v>1721</v>
      </c>
      <c r="C234" s="35" t="s">
        <v>253</v>
      </c>
      <c r="D234" s="35" t="s">
        <v>253</v>
      </c>
      <c r="E234" s="35" t="s">
        <v>1565</v>
      </c>
      <c r="F234" s="35" t="s">
        <v>1566</v>
      </c>
      <c r="G234" s="35" t="s">
        <v>2008</v>
      </c>
      <c r="H234" s="35" t="s">
        <v>928</v>
      </c>
      <c r="I234" s="35">
        <v>1930</v>
      </c>
      <c r="J234" s="35">
        <v>325.66268255620901</v>
      </c>
      <c r="K234" s="35">
        <v>342.13179928262201</v>
      </c>
      <c r="L234" s="35">
        <v>-18.18</v>
      </c>
      <c r="M234" s="35">
        <v>-14.48</v>
      </c>
      <c r="N234" s="35">
        <v>266</v>
      </c>
      <c r="O234" s="35" t="s">
        <v>913</v>
      </c>
      <c r="P234" s="35" t="s">
        <v>914</v>
      </c>
      <c r="Q234" s="35" t="s">
        <v>253</v>
      </c>
      <c r="R234" s="35" t="s">
        <v>253</v>
      </c>
      <c r="S234" s="35" t="s">
        <v>257</v>
      </c>
      <c r="T234" s="35" t="s">
        <v>253</v>
      </c>
      <c r="U234" s="35" t="s">
        <v>253</v>
      </c>
      <c r="V234" s="35" t="s">
        <v>297</v>
      </c>
      <c r="W234" s="35" t="s">
        <v>253</v>
      </c>
      <c r="X234" s="35" t="s">
        <v>1722</v>
      </c>
      <c r="Y234" s="35" t="s">
        <v>1723</v>
      </c>
    </row>
    <row r="235" spans="1:25" x14ac:dyDescent="0.2">
      <c r="A235" s="35">
        <v>460</v>
      </c>
      <c r="B235" s="35" t="s">
        <v>1724</v>
      </c>
      <c r="C235" s="35" t="s">
        <v>253</v>
      </c>
      <c r="D235" s="35" t="s">
        <v>253</v>
      </c>
      <c r="E235" s="35" t="s">
        <v>1565</v>
      </c>
      <c r="F235" s="35" t="s">
        <v>1566</v>
      </c>
      <c r="G235" s="35" t="s">
        <v>2008</v>
      </c>
      <c r="H235" s="35" t="s">
        <v>928</v>
      </c>
      <c r="I235" s="35">
        <v>9251</v>
      </c>
      <c r="J235" s="35">
        <v>690.10436272645097</v>
      </c>
      <c r="K235" s="35">
        <v>350.28629378178601</v>
      </c>
      <c r="L235" s="35">
        <v>-18.440000000000001</v>
      </c>
      <c r="M235" s="35">
        <v>-2.71</v>
      </c>
      <c r="N235" s="35">
        <v>948</v>
      </c>
      <c r="O235" s="35" t="s">
        <v>967</v>
      </c>
      <c r="P235" s="35" t="s">
        <v>968</v>
      </c>
      <c r="Q235" s="35" t="s">
        <v>253</v>
      </c>
      <c r="R235" s="35" t="s">
        <v>253</v>
      </c>
      <c r="S235" s="35" t="s">
        <v>257</v>
      </c>
      <c r="T235" s="35" t="s">
        <v>261</v>
      </c>
      <c r="U235" s="35" t="s">
        <v>253</v>
      </c>
      <c r="V235" s="35" t="s">
        <v>297</v>
      </c>
      <c r="W235" s="35" t="s">
        <v>253</v>
      </c>
      <c r="X235" s="35" t="s">
        <v>1725</v>
      </c>
      <c r="Y235" s="35" t="s">
        <v>1726</v>
      </c>
    </row>
    <row r="236" spans="1:25" x14ac:dyDescent="0.2">
      <c r="A236" s="35">
        <v>472</v>
      </c>
      <c r="B236" s="35" t="s">
        <v>313</v>
      </c>
      <c r="C236" s="35" t="s">
        <v>253</v>
      </c>
      <c r="D236" s="35" t="s">
        <v>253</v>
      </c>
      <c r="E236" s="35" t="s">
        <v>1565</v>
      </c>
      <c r="F236" s="35" t="s">
        <v>1566</v>
      </c>
      <c r="G236" s="35" t="s">
        <v>2008</v>
      </c>
      <c r="H236" s="35" t="s">
        <v>928</v>
      </c>
      <c r="I236" s="35">
        <v>8275</v>
      </c>
      <c r="J236" s="35">
        <v>536.86214390446696</v>
      </c>
      <c r="K236" s="35">
        <v>309.26081787668699</v>
      </c>
      <c r="L236" s="35">
        <v>-17.11</v>
      </c>
      <c r="M236" s="35">
        <v>-7.66</v>
      </c>
      <c r="N236" s="35">
        <v>82</v>
      </c>
      <c r="O236" s="35" t="s">
        <v>913</v>
      </c>
      <c r="P236" s="35" t="s">
        <v>914</v>
      </c>
      <c r="Q236" s="35" t="s">
        <v>253</v>
      </c>
      <c r="R236" s="35" t="s">
        <v>253</v>
      </c>
      <c r="S236" s="35" t="s">
        <v>257</v>
      </c>
      <c r="T236" s="35" t="s">
        <v>253</v>
      </c>
      <c r="U236" s="35" t="s">
        <v>253</v>
      </c>
      <c r="V236" s="35" t="s">
        <v>297</v>
      </c>
      <c r="W236" s="35" t="s">
        <v>253</v>
      </c>
      <c r="X236" s="35" t="s">
        <v>1727</v>
      </c>
      <c r="Y236" s="35" t="s">
        <v>1728</v>
      </c>
    </row>
    <row r="237" spans="1:25" x14ac:dyDescent="0.2">
      <c r="A237" s="35">
        <v>490</v>
      </c>
      <c r="B237" s="35" t="s">
        <v>1729</v>
      </c>
      <c r="C237" s="35" t="s">
        <v>253</v>
      </c>
      <c r="D237" s="35" t="s">
        <v>253</v>
      </c>
      <c r="E237" s="35" t="s">
        <v>1565</v>
      </c>
      <c r="F237" s="35" t="s">
        <v>1566</v>
      </c>
      <c r="G237" s="35" t="s">
        <v>2008</v>
      </c>
      <c r="H237" s="35" t="s">
        <v>928</v>
      </c>
      <c r="I237" s="35">
        <v>22337</v>
      </c>
      <c r="J237" s="35">
        <v>675.5</v>
      </c>
      <c r="K237" s="35">
        <v>237</v>
      </c>
      <c r="L237" s="35">
        <v>-14.77</v>
      </c>
      <c r="M237" s="35">
        <v>-3.18</v>
      </c>
      <c r="N237" s="35">
        <v>52</v>
      </c>
      <c r="O237" s="35" t="s">
        <v>929</v>
      </c>
      <c r="P237" s="35" t="s">
        <v>930</v>
      </c>
      <c r="Q237" s="35" t="s">
        <v>253</v>
      </c>
      <c r="R237" s="35" t="s">
        <v>259</v>
      </c>
      <c r="S237" s="35" t="s">
        <v>253</v>
      </c>
      <c r="T237" s="35" t="s">
        <v>261</v>
      </c>
      <c r="U237" s="35" t="s">
        <v>258</v>
      </c>
      <c r="V237" s="35" t="s">
        <v>297</v>
      </c>
      <c r="W237" s="35" t="s">
        <v>253</v>
      </c>
      <c r="X237" s="35" t="s">
        <v>1730</v>
      </c>
      <c r="Y237" s="35" t="s">
        <v>1731</v>
      </c>
    </row>
    <row r="238" spans="1:25" x14ac:dyDescent="0.2">
      <c r="A238" s="35">
        <v>499</v>
      </c>
      <c r="B238" s="35" t="s">
        <v>1732</v>
      </c>
      <c r="C238" s="35" t="s">
        <v>253</v>
      </c>
      <c r="D238" s="35" t="s">
        <v>253</v>
      </c>
      <c r="E238" s="35" t="s">
        <v>1565</v>
      </c>
      <c r="F238" s="35" t="s">
        <v>1566</v>
      </c>
      <c r="G238" s="35" t="s">
        <v>2008</v>
      </c>
      <c r="H238" s="35" t="s">
        <v>521</v>
      </c>
      <c r="I238" s="35">
        <v>1957</v>
      </c>
      <c r="J238" s="35">
        <v>526.13869171105603</v>
      </c>
      <c r="K238" s="35">
        <v>120.637045356662</v>
      </c>
      <c r="L238" s="35">
        <v>-11.01</v>
      </c>
      <c r="M238" s="35">
        <v>-8.01</v>
      </c>
      <c r="N238" s="35">
        <v>161</v>
      </c>
      <c r="O238" s="35" t="s">
        <v>1086</v>
      </c>
      <c r="P238" s="35" t="s">
        <v>1087</v>
      </c>
      <c r="Q238" s="35" t="s">
        <v>253</v>
      </c>
      <c r="R238" s="35" t="s">
        <v>253</v>
      </c>
      <c r="S238" s="35" t="s">
        <v>257</v>
      </c>
      <c r="T238" s="35" t="s">
        <v>253</v>
      </c>
      <c r="U238" s="35" t="s">
        <v>253</v>
      </c>
      <c r="V238" s="35" t="s">
        <v>297</v>
      </c>
      <c r="W238" s="35" t="s">
        <v>253</v>
      </c>
      <c r="X238" s="35" t="s">
        <v>1733</v>
      </c>
      <c r="Y238" s="35" t="s">
        <v>1734</v>
      </c>
    </row>
    <row r="239" spans="1:25" x14ac:dyDescent="0.2">
      <c r="A239" s="35">
        <v>515</v>
      </c>
      <c r="B239" s="35" t="s">
        <v>1735</v>
      </c>
      <c r="C239" s="35" t="s">
        <v>253</v>
      </c>
      <c r="D239" s="35" t="s">
        <v>253</v>
      </c>
      <c r="E239" s="35" t="s">
        <v>1565</v>
      </c>
      <c r="F239" s="35" t="s">
        <v>1566</v>
      </c>
      <c r="G239" s="35" t="s">
        <v>2008</v>
      </c>
      <c r="H239" s="35" t="s">
        <v>928</v>
      </c>
      <c r="I239" s="35">
        <v>1712</v>
      </c>
      <c r="J239" s="35">
        <v>667.17836148536696</v>
      </c>
      <c r="K239" s="35">
        <v>319.205798041538</v>
      </c>
      <c r="L239" s="35">
        <v>-17.440000000000001</v>
      </c>
      <c r="M239" s="35">
        <v>-3.45</v>
      </c>
      <c r="N239" s="35">
        <v>643</v>
      </c>
      <c r="O239" s="35" t="s">
        <v>967</v>
      </c>
      <c r="P239" s="35" t="s">
        <v>968</v>
      </c>
      <c r="Q239" s="35" t="s">
        <v>253</v>
      </c>
      <c r="R239" s="35" t="s">
        <v>253</v>
      </c>
      <c r="S239" s="35" t="s">
        <v>257</v>
      </c>
      <c r="T239" s="35" t="s">
        <v>253</v>
      </c>
      <c r="U239" s="35" t="s">
        <v>253</v>
      </c>
      <c r="V239" s="35" t="s">
        <v>297</v>
      </c>
      <c r="W239" s="35" t="s">
        <v>253</v>
      </c>
      <c r="X239" s="35" t="s">
        <v>1736</v>
      </c>
      <c r="Y239" s="35" t="s">
        <v>1737</v>
      </c>
    </row>
    <row r="240" spans="1:25" x14ac:dyDescent="0.2">
      <c r="A240" s="35">
        <v>559</v>
      </c>
      <c r="B240" s="35" t="s">
        <v>1738</v>
      </c>
      <c r="C240" s="35" t="s">
        <v>253</v>
      </c>
      <c r="D240" s="35" t="s">
        <v>253</v>
      </c>
      <c r="E240" s="35" t="s">
        <v>1565</v>
      </c>
      <c r="F240" s="35" t="s">
        <v>1566</v>
      </c>
      <c r="G240" s="35" t="s">
        <v>2008</v>
      </c>
      <c r="H240" s="35" t="s">
        <v>928</v>
      </c>
      <c r="I240" s="35">
        <v>19019</v>
      </c>
      <c r="J240" s="35">
        <v>625.84149676884499</v>
      </c>
      <c r="K240" s="35">
        <v>257.978972995314</v>
      </c>
      <c r="L240" s="35">
        <v>-15.45</v>
      </c>
      <c r="M240" s="35">
        <v>-4.79</v>
      </c>
      <c r="N240" s="35">
        <v>328</v>
      </c>
      <c r="O240" s="35" t="s">
        <v>929</v>
      </c>
      <c r="P240" s="35" t="s">
        <v>930</v>
      </c>
      <c r="Q240" s="35" t="s">
        <v>253</v>
      </c>
      <c r="R240" s="35" t="s">
        <v>253</v>
      </c>
      <c r="S240" s="35" t="s">
        <v>253</v>
      </c>
      <c r="T240" s="35" t="s">
        <v>261</v>
      </c>
      <c r="U240" s="35" t="s">
        <v>258</v>
      </c>
      <c r="V240" s="35" t="s">
        <v>297</v>
      </c>
      <c r="W240" s="35" t="s">
        <v>253</v>
      </c>
      <c r="X240" s="35" t="s">
        <v>1739</v>
      </c>
      <c r="Y240" s="35" t="s">
        <v>1740</v>
      </c>
    </row>
    <row r="241" spans="1:25" x14ac:dyDescent="0.2">
      <c r="A241" s="35">
        <v>574</v>
      </c>
      <c r="B241" s="35" t="s">
        <v>409</v>
      </c>
      <c r="C241" s="35" t="s">
        <v>253</v>
      </c>
      <c r="D241" s="35" t="s">
        <v>253</v>
      </c>
      <c r="E241" s="35" t="s">
        <v>1565</v>
      </c>
      <c r="F241" s="35" t="s">
        <v>1566</v>
      </c>
      <c r="G241" s="35" t="s">
        <v>2024</v>
      </c>
      <c r="H241" s="35" t="s">
        <v>928</v>
      </c>
      <c r="I241" s="35">
        <v>1904</v>
      </c>
      <c r="J241" s="35">
        <v>508.70091827131802</v>
      </c>
      <c r="K241" s="35">
        <v>404.33171436454597</v>
      </c>
      <c r="L241" s="35">
        <v>-20.190000000000001</v>
      </c>
      <c r="M241" s="35">
        <v>-8.57</v>
      </c>
      <c r="N241" s="35">
        <v>1588</v>
      </c>
      <c r="O241" s="35" t="s">
        <v>568</v>
      </c>
      <c r="P241" s="35" t="s">
        <v>569</v>
      </c>
      <c r="Q241" s="35" t="s">
        <v>253</v>
      </c>
      <c r="R241" s="35" t="s">
        <v>253</v>
      </c>
      <c r="S241" s="35" t="s">
        <v>253</v>
      </c>
      <c r="T241" s="35" t="s">
        <v>261</v>
      </c>
      <c r="U241" s="35" t="s">
        <v>253</v>
      </c>
      <c r="V241" s="35" t="s">
        <v>253</v>
      </c>
      <c r="W241" s="35" t="s">
        <v>253</v>
      </c>
      <c r="X241" s="35" t="s">
        <v>1741</v>
      </c>
      <c r="Y241" s="35" t="s">
        <v>1742</v>
      </c>
    </row>
    <row r="242" spans="1:25" x14ac:dyDescent="0.2">
      <c r="A242" s="35">
        <v>576</v>
      </c>
      <c r="B242" s="35" t="s">
        <v>1743</v>
      </c>
      <c r="C242" s="35" t="s">
        <v>253</v>
      </c>
      <c r="D242" s="35" t="s">
        <v>253</v>
      </c>
      <c r="E242" s="35" t="s">
        <v>1565</v>
      </c>
      <c r="F242" s="35" t="s">
        <v>1566</v>
      </c>
      <c r="G242" s="35" t="s">
        <v>2015</v>
      </c>
      <c r="H242" s="35" t="s">
        <v>256</v>
      </c>
      <c r="I242" s="35">
        <v>2798</v>
      </c>
      <c r="J242" s="35">
        <v>266.5</v>
      </c>
      <c r="K242" s="35">
        <v>489.5</v>
      </c>
      <c r="L242" s="35">
        <v>-22.95</v>
      </c>
      <c r="M242" s="35">
        <v>-16.39</v>
      </c>
      <c r="N242" s="35">
        <v>52</v>
      </c>
      <c r="O242" s="35" t="s">
        <v>602</v>
      </c>
      <c r="P242" s="35" t="s">
        <v>603</v>
      </c>
      <c r="Q242" s="35" t="s">
        <v>253</v>
      </c>
      <c r="R242" s="35" t="s">
        <v>259</v>
      </c>
      <c r="S242" s="35" t="s">
        <v>253</v>
      </c>
      <c r="T242" s="35" t="s">
        <v>253</v>
      </c>
      <c r="U242" s="35" t="s">
        <v>258</v>
      </c>
      <c r="V242" s="35" t="s">
        <v>297</v>
      </c>
      <c r="W242" s="35" t="s">
        <v>253</v>
      </c>
      <c r="X242" s="35" t="s">
        <v>1744</v>
      </c>
      <c r="Y242" s="35" t="s">
        <v>1745</v>
      </c>
    </row>
    <row r="243" spans="1:25" x14ac:dyDescent="0.2">
      <c r="A243" s="35">
        <v>594</v>
      </c>
      <c r="B243" s="35" t="s">
        <v>1746</v>
      </c>
      <c r="C243" s="35" t="s">
        <v>253</v>
      </c>
      <c r="D243" s="35" t="s">
        <v>253</v>
      </c>
      <c r="E243" s="35" t="s">
        <v>1565</v>
      </c>
      <c r="F243" s="35" t="s">
        <v>1566</v>
      </c>
      <c r="G243" s="35" t="s">
        <v>2008</v>
      </c>
      <c r="H243" s="35" t="s">
        <v>521</v>
      </c>
      <c r="I243" s="35">
        <v>11569</v>
      </c>
      <c r="J243" s="35">
        <v>460.35780529775798</v>
      </c>
      <c r="K243" s="35">
        <v>100.338387211967</v>
      </c>
      <c r="L243" s="35">
        <v>-10.35</v>
      </c>
      <c r="M243" s="35">
        <v>-10.130000000000001</v>
      </c>
      <c r="N243" s="35">
        <v>118</v>
      </c>
      <c r="O243" s="35" t="s">
        <v>956</v>
      </c>
      <c r="P243" s="35" t="s">
        <v>957</v>
      </c>
      <c r="Q243" s="35" t="s">
        <v>253</v>
      </c>
      <c r="R243" s="35" t="s">
        <v>253</v>
      </c>
      <c r="S243" s="35" t="s">
        <v>253</v>
      </c>
      <c r="T243" s="35" t="s">
        <v>261</v>
      </c>
      <c r="U243" s="35" t="s">
        <v>253</v>
      </c>
      <c r="V243" s="35" t="s">
        <v>297</v>
      </c>
      <c r="W243" s="35" t="s">
        <v>253</v>
      </c>
      <c r="X243" s="35" t="s">
        <v>1747</v>
      </c>
      <c r="Y243" s="35" t="s">
        <v>1748</v>
      </c>
    </row>
    <row r="244" spans="1:25" x14ac:dyDescent="0.2">
      <c r="A244" s="35">
        <v>595</v>
      </c>
      <c r="B244" s="35" t="s">
        <v>1749</v>
      </c>
      <c r="C244" s="35" t="s">
        <v>253</v>
      </c>
      <c r="D244" s="35" t="s">
        <v>253</v>
      </c>
      <c r="E244" s="35" t="s">
        <v>1565</v>
      </c>
      <c r="F244" s="35" t="s">
        <v>1566</v>
      </c>
      <c r="G244" s="35" t="s">
        <v>2008</v>
      </c>
      <c r="H244" s="35" t="s">
        <v>521</v>
      </c>
      <c r="I244" s="35">
        <v>6629</v>
      </c>
      <c r="J244" s="35">
        <v>571.19276036395104</v>
      </c>
      <c r="K244" s="35">
        <v>103.97774394548399</v>
      </c>
      <c r="L244" s="35">
        <v>-10.47</v>
      </c>
      <c r="M244" s="35">
        <v>-6.55</v>
      </c>
      <c r="N244" s="35">
        <v>52</v>
      </c>
      <c r="O244" s="35" t="s">
        <v>956</v>
      </c>
      <c r="P244" s="35" t="s">
        <v>957</v>
      </c>
      <c r="Q244" s="35" t="s">
        <v>253</v>
      </c>
      <c r="R244" s="35" t="s">
        <v>253</v>
      </c>
      <c r="S244" s="35" t="s">
        <v>253</v>
      </c>
      <c r="T244" s="35" t="s">
        <v>253</v>
      </c>
      <c r="U244" s="35" t="s">
        <v>253</v>
      </c>
      <c r="V244" s="35" t="s">
        <v>253</v>
      </c>
      <c r="W244" s="35" t="s">
        <v>253</v>
      </c>
      <c r="X244" s="35" t="s">
        <v>1750</v>
      </c>
      <c r="Y244" s="35" t="s">
        <v>1751</v>
      </c>
    </row>
    <row r="245" spans="1:25" x14ac:dyDescent="0.2">
      <c r="A245" s="35">
        <v>596</v>
      </c>
      <c r="B245" s="35" t="s">
        <v>1752</v>
      </c>
      <c r="C245" s="35" t="s">
        <v>253</v>
      </c>
      <c r="D245" s="35" t="s">
        <v>253</v>
      </c>
      <c r="E245" s="35" t="s">
        <v>1565</v>
      </c>
      <c r="F245" s="35" t="s">
        <v>1566</v>
      </c>
      <c r="G245" s="35" t="s">
        <v>2008</v>
      </c>
      <c r="H245" s="35" t="s">
        <v>521</v>
      </c>
      <c r="I245" s="35">
        <v>7102</v>
      </c>
      <c r="J245" s="35">
        <v>387.25928181599801</v>
      </c>
      <c r="K245" s="35">
        <v>132.46982019077001</v>
      </c>
      <c r="L245" s="35">
        <v>-11.39</v>
      </c>
      <c r="M245" s="35">
        <v>-12.49</v>
      </c>
      <c r="N245" s="35">
        <v>472</v>
      </c>
      <c r="O245" s="35" t="s">
        <v>904</v>
      </c>
      <c r="P245" s="35" t="s">
        <v>905</v>
      </c>
      <c r="Q245" s="35" t="s">
        <v>253</v>
      </c>
      <c r="R245" s="35" t="s">
        <v>253</v>
      </c>
      <c r="S245" s="35" t="s">
        <v>253</v>
      </c>
      <c r="T245" s="35" t="s">
        <v>253</v>
      </c>
      <c r="U245" s="35" t="s">
        <v>258</v>
      </c>
      <c r="V245" s="35" t="s">
        <v>297</v>
      </c>
      <c r="W245" s="35" t="s">
        <v>253</v>
      </c>
      <c r="X245" s="35" t="s">
        <v>1753</v>
      </c>
      <c r="Y245" s="35" t="s">
        <v>1754</v>
      </c>
    </row>
    <row r="246" spans="1:25" x14ac:dyDescent="0.2">
      <c r="A246" s="35">
        <v>597</v>
      </c>
      <c r="B246" s="35" t="s">
        <v>1755</v>
      </c>
      <c r="C246" s="35" t="s">
        <v>253</v>
      </c>
      <c r="D246" s="35" t="s">
        <v>253</v>
      </c>
      <c r="E246" s="35" t="s">
        <v>1565</v>
      </c>
      <c r="F246" s="35" t="s">
        <v>1566</v>
      </c>
      <c r="G246" s="35" t="s">
        <v>2008</v>
      </c>
      <c r="H246" s="35" t="s">
        <v>928</v>
      </c>
      <c r="I246" s="35">
        <v>15960</v>
      </c>
      <c r="J246" s="35">
        <v>434.20114513815099</v>
      </c>
      <c r="K246" s="35">
        <v>292.42636025908303</v>
      </c>
      <c r="L246" s="35">
        <v>-16.57</v>
      </c>
      <c r="M246" s="35">
        <v>-10.98</v>
      </c>
      <c r="N246" s="35">
        <v>30</v>
      </c>
      <c r="O246" s="35" t="s">
        <v>918</v>
      </c>
      <c r="P246" s="35" t="s">
        <v>919</v>
      </c>
      <c r="Q246" s="35" t="s">
        <v>253</v>
      </c>
      <c r="R246" s="35" t="s">
        <v>253</v>
      </c>
      <c r="S246" s="35" t="s">
        <v>253</v>
      </c>
      <c r="T246" s="35" t="s">
        <v>253</v>
      </c>
      <c r="U246" s="35" t="s">
        <v>258</v>
      </c>
      <c r="V246" s="35" t="s">
        <v>297</v>
      </c>
      <c r="W246" s="35" t="s">
        <v>253</v>
      </c>
      <c r="X246" s="35" t="s">
        <v>1756</v>
      </c>
      <c r="Y246" s="35" t="s">
        <v>1757</v>
      </c>
    </row>
    <row r="247" spans="1:25" x14ac:dyDescent="0.2">
      <c r="A247" s="35">
        <v>598</v>
      </c>
      <c r="B247" s="35" t="s">
        <v>1758</v>
      </c>
      <c r="C247" s="35" t="s">
        <v>253</v>
      </c>
      <c r="D247" s="35" t="s">
        <v>253</v>
      </c>
      <c r="E247" s="35" t="s">
        <v>1565</v>
      </c>
      <c r="F247" s="35" t="s">
        <v>1566</v>
      </c>
      <c r="G247" s="35" t="s">
        <v>2008</v>
      </c>
      <c r="H247" s="35" t="s">
        <v>928</v>
      </c>
      <c r="I247" s="35">
        <v>24081</v>
      </c>
      <c r="J247" s="35">
        <v>751.54526758052896</v>
      </c>
      <c r="K247" s="35">
        <v>353.80887971101799</v>
      </c>
      <c r="L247" s="35">
        <v>-18.559999999999999</v>
      </c>
      <c r="M247" s="35">
        <v>-0.73</v>
      </c>
      <c r="N247" s="35">
        <v>161</v>
      </c>
      <c r="O247" s="35" t="s">
        <v>913</v>
      </c>
      <c r="P247" s="35" t="s">
        <v>914</v>
      </c>
      <c r="Q247" s="35" t="s">
        <v>253</v>
      </c>
      <c r="R247" s="35" t="s">
        <v>253</v>
      </c>
      <c r="S247" s="35" t="s">
        <v>253</v>
      </c>
      <c r="T247" s="35" t="s">
        <v>261</v>
      </c>
      <c r="U247" s="35" t="s">
        <v>258</v>
      </c>
      <c r="V247" s="35" t="s">
        <v>253</v>
      </c>
      <c r="W247" s="35" t="s">
        <v>266</v>
      </c>
      <c r="X247" s="35" t="s">
        <v>1759</v>
      </c>
      <c r="Y247" s="35" t="s">
        <v>1760</v>
      </c>
    </row>
    <row r="248" spans="1:25" x14ac:dyDescent="0.2">
      <c r="A248" s="35">
        <v>616</v>
      </c>
      <c r="B248" s="35" t="s">
        <v>1761</v>
      </c>
      <c r="C248" s="35" t="s">
        <v>253</v>
      </c>
      <c r="D248" s="35" t="s">
        <v>253</v>
      </c>
      <c r="E248" s="35" t="s">
        <v>1565</v>
      </c>
      <c r="F248" s="35" t="s">
        <v>1566</v>
      </c>
      <c r="G248" s="35" t="s">
        <v>2008</v>
      </c>
      <c r="H248" s="35" t="s">
        <v>928</v>
      </c>
      <c r="I248" s="35">
        <v>30408</v>
      </c>
      <c r="J248" s="35">
        <v>482.46641090885498</v>
      </c>
      <c r="K248" s="35">
        <v>256.44149073890901</v>
      </c>
      <c r="L248" s="35">
        <v>-15.4</v>
      </c>
      <c r="M248" s="35">
        <v>-9.42</v>
      </c>
      <c r="N248" s="35">
        <v>161</v>
      </c>
      <c r="O248" s="35" t="s">
        <v>918</v>
      </c>
      <c r="P248" s="35" t="s">
        <v>919</v>
      </c>
      <c r="Q248" s="35" t="s">
        <v>253</v>
      </c>
      <c r="R248" s="35" t="s">
        <v>253</v>
      </c>
      <c r="S248" s="35" t="s">
        <v>257</v>
      </c>
      <c r="T248" s="35" t="s">
        <v>261</v>
      </c>
      <c r="U248" s="35" t="s">
        <v>258</v>
      </c>
      <c r="V248" s="35" t="s">
        <v>297</v>
      </c>
      <c r="W248" s="35" t="s">
        <v>253</v>
      </c>
      <c r="X248" s="35" t="s">
        <v>1762</v>
      </c>
      <c r="Y248" s="35" t="s">
        <v>1763</v>
      </c>
    </row>
    <row r="249" spans="1:25" x14ac:dyDescent="0.2">
      <c r="A249" s="35">
        <v>633</v>
      </c>
      <c r="B249" s="35" t="s">
        <v>1764</v>
      </c>
      <c r="C249" s="35" t="s">
        <v>253</v>
      </c>
      <c r="D249" s="35" t="s">
        <v>253</v>
      </c>
      <c r="E249" s="35" t="s">
        <v>1565</v>
      </c>
      <c r="F249" s="35" t="s">
        <v>1566</v>
      </c>
      <c r="G249" s="35" t="s">
        <v>2008</v>
      </c>
      <c r="H249" s="35" t="s">
        <v>521</v>
      </c>
      <c r="I249" s="35">
        <v>2797</v>
      </c>
      <c r="J249" s="35">
        <v>423</v>
      </c>
      <c r="K249" s="35">
        <v>52.5</v>
      </c>
      <c r="L249" s="35">
        <v>-8.8000000000000007</v>
      </c>
      <c r="M249" s="35">
        <v>-11.34</v>
      </c>
      <c r="N249" s="35">
        <v>643</v>
      </c>
      <c r="O249" s="35" t="s">
        <v>956</v>
      </c>
      <c r="P249" s="35" t="s">
        <v>957</v>
      </c>
      <c r="Q249" s="35" t="s">
        <v>253</v>
      </c>
      <c r="R249" s="35" t="s">
        <v>259</v>
      </c>
      <c r="S249" s="35" t="s">
        <v>253</v>
      </c>
      <c r="T249" s="35" t="s">
        <v>261</v>
      </c>
      <c r="U249" s="35" t="s">
        <v>253</v>
      </c>
      <c r="V249" s="35" t="s">
        <v>297</v>
      </c>
      <c r="W249" s="35" t="s">
        <v>253</v>
      </c>
      <c r="X249" s="35" t="s">
        <v>1765</v>
      </c>
      <c r="Y249" s="35" t="s">
        <v>1766</v>
      </c>
    </row>
    <row r="250" spans="1:25" x14ac:dyDescent="0.2">
      <c r="A250" s="35">
        <v>636</v>
      </c>
      <c r="B250" s="35" t="s">
        <v>1767</v>
      </c>
      <c r="C250" s="35" t="s">
        <v>253</v>
      </c>
      <c r="D250" s="35" t="s">
        <v>253</v>
      </c>
      <c r="E250" s="35" t="s">
        <v>1565</v>
      </c>
      <c r="F250" s="35" t="s">
        <v>1566</v>
      </c>
      <c r="G250" s="35" t="s">
        <v>2008</v>
      </c>
      <c r="H250" s="35" t="s">
        <v>928</v>
      </c>
      <c r="I250" s="35">
        <v>20437</v>
      </c>
      <c r="J250" s="35">
        <v>628.42991626380604</v>
      </c>
      <c r="K250" s="35">
        <v>331.95327750920399</v>
      </c>
      <c r="L250" s="35">
        <v>-17.850000000000001</v>
      </c>
      <c r="M250" s="35">
        <v>-4.7</v>
      </c>
      <c r="N250" s="35">
        <v>266</v>
      </c>
      <c r="O250" s="35" t="s">
        <v>913</v>
      </c>
      <c r="P250" s="35" t="s">
        <v>914</v>
      </c>
      <c r="Q250" s="35" t="s">
        <v>253</v>
      </c>
      <c r="R250" s="35" t="s">
        <v>253</v>
      </c>
      <c r="S250" s="35" t="s">
        <v>253</v>
      </c>
      <c r="T250" s="35" t="s">
        <v>261</v>
      </c>
      <c r="U250" s="35" t="s">
        <v>258</v>
      </c>
      <c r="V250" s="35" t="s">
        <v>297</v>
      </c>
      <c r="W250" s="35" t="s">
        <v>253</v>
      </c>
      <c r="X250" s="35" t="s">
        <v>1768</v>
      </c>
      <c r="Y250" s="35" t="s">
        <v>1769</v>
      </c>
    </row>
    <row r="251" spans="1:25" x14ac:dyDescent="0.2">
      <c r="A251" s="35">
        <v>640</v>
      </c>
      <c r="B251" s="35" t="s">
        <v>1770</v>
      </c>
      <c r="C251" s="35" t="s">
        <v>253</v>
      </c>
      <c r="D251" s="35" t="s">
        <v>253</v>
      </c>
      <c r="E251" s="35" t="s">
        <v>1565</v>
      </c>
      <c r="F251" s="35" t="s">
        <v>1566</v>
      </c>
      <c r="G251" s="35" t="s">
        <v>2024</v>
      </c>
      <c r="H251" s="35" t="s">
        <v>256</v>
      </c>
      <c r="I251" s="35">
        <v>8401</v>
      </c>
      <c r="J251" s="35">
        <v>505.52864475493698</v>
      </c>
      <c r="K251" s="35">
        <v>454.09553879022701</v>
      </c>
      <c r="L251" s="35">
        <v>-21.8</v>
      </c>
      <c r="M251" s="35">
        <v>-8.67</v>
      </c>
      <c r="N251" s="35">
        <v>554</v>
      </c>
      <c r="O251" s="35" t="s">
        <v>602</v>
      </c>
      <c r="P251" s="35" t="s">
        <v>603</v>
      </c>
      <c r="Q251" s="35" t="s">
        <v>253</v>
      </c>
      <c r="R251" s="35" t="s">
        <v>253</v>
      </c>
      <c r="S251" s="35" t="s">
        <v>257</v>
      </c>
      <c r="T251" s="35" t="s">
        <v>253</v>
      </c>
      <c r="U251" s="35" t="s">
        <v>253</v>
      </c>
      <c r="V251" s="35" t="s">
        <v>253</v>
      </c>
      <c r="W251" s="35" t="s">
        <v>253</v>
      </c>
      <c r="X251" s="35" t="s">
        <v>1771</v>
      </c>
      <c r="Y251" s="35" t="s">
        <v>1772</v>
      </c>
    </row>
    <row r="252" spans="1:25" x14ac:dyDescent="0.2">
      <c r="A252" s="35">
        <v>655</v>
      </c>
      <c r="B252" s="35" t="s">
        <v>1712</v>
      </c>
      <c r="C252" s="35" t="s">
        <v>253</v>
      </c>
      <c r="D252" s="35" t="s">
        <v>253</v>
      </c>
      <c r="E252" s="35" t="s">
        <v>1565</v>
      </c>
      <c r="F252" s="35" t="s">
        <v>1566</v>
      </c>
      <c r="G252" s="35" t="s">
        <v>2008</v>
      </c>
      <c r="H252" s="35" t="s">
        <v>521</v>
      </c>
      <c r="I252" s="35">
        <v>1952</v>
      </c>
      <c r="J252" s="35">
        <v>387.337129018854</v>
      </c>
      <c r="K252" s="35">
        <v>89.284084406418899</v>
      </c>
      <c r="L252" s="35">
        <v>-9.99</v>
      </c>
      <c r="M252" s="35">
        <v>-12.49</v>
      </c>
      <c r="N252" s="35">
        <v>397</v>
      </c>
      <c r="O252" s="35" t="s">
        <v>1086</v>
      </c>
      <c r="P252" s="35" t="s">
        <v>1087</v>
      </c>
      <c r="Q252" s="35" t="s">
        <v>253</v>
      </c>
      <c r="R252" s="35" t="s">
        <v>253</v>
      </c>
      <c r="S252" s="35" t="s">
        <v>257</v>
      </c>
      <c r="T252" s="35" t="s">
        <v>253</v>
      </c>
      <c r="U252" s="35" t="s">
        <v>258</v>
      </c>
      <c r="V252" s="35" t="s">
        <v>297</v>
      </c>
      <c r="W252" s="35" t="s">
        <v>253</v>
      </c>
      <c r="X252" s="35" t="s">
        <v>1773</v>
      </c>
      <c r="Y252" s="35" t="s">
        <v>1774</v>
      </c>
    </row>
    <row r="253" spans="1:25" x14ac:dyDescent="0.2">
      <c r="A253" s="35">
        <v>657</v>
      </c>
      <c r="B253" s="35" t="s">
        <v>1775</v>
      </c>
      <c r="C253" s="35" t="s">
        <v>253</v>
      </c>
      <c r="D253" s="35" t="s">
        <v>253</v>
      </c>
      <c r="E253" s="35" t="s">
        <v>1565</v>
      </c>
      <c r="F253" s="35" t="s">
        <v>1566</v>
      </c>
      <c r="G253" s="35" t="s">
        <v>2008</v>
      </c>
      <c r="H253" s="35" t="s">
        <v>928</v>
      </c>
      <c r="I253" s="35">
        <v>9282</v>
      </c>
      <c r="J253" s="35">
        <v>330.56705633613501</v>
      </c>
      <c r="K253" s="35">
        <v>300.44462215324802</v>
      </c>
      <c r="L253" s="35">
        <v>-16.829999999999998</v>
      </c>
      <c r="M253" s="35">
        <v>-14.32</v>
      </c>
      <c r="N253" s="35">
        <v>161</v>
      </c>
      <c r="O253" s="35" t="s">
        <v>918</v>
      </c>
      <c r="P253" s="35" t="s">
        <v>919</v>
      </c>
      <c r="Q253" s="35" t="s">
        <v>253</v>
      </c>
      <c r="R253" s="35" t="s">
        <v>253</v>
      </c>
      <c r="S253" s="35" t="s">
        <v>257</v>
      </c>
      <c r="T253" s="35" t="s">
        <v>253</v>
      </c>
      <c r="U253" s="35" t="s">
        <v>258</v>
      </c>
      <c r="V253" s="35" t="s">
        <v>297</v>
      </c>
      <c r="W253" s="35" t="s">
        <v>253</v>
      </c>
      <c r="X253" s="35" t="s">
        <v>1776</v>
      </c>
      <c r="Y253" s="35" t="s">
        <v>1777</v>
      </c>
    </row>
    <row r="254" spans="1:25" x14ac:dyDescent="0.2">
      <c r="A254" s="35">
        <v>673</v>
      </c>
      <c r="B254" s="35" t="s">
        <v>1778</v>
      </c>
      <c r="C254" s="35" t="s">
        <v>253</v>
      </c>
      <c r="D254" s="35" t="s">
        <v>253</v>
      </c>
      <c r="E254" s="35" t="s">
        <v>1565</v>
      </c>
      <c r="F254" s="35" t="s">
        <v>1566</v>
      </c>
      <c r="G254" s="35" t="s">
        <v>2008</v>
      </c>
      <c r="H254" s="35" t="s">
        <v>521</v>
      </c>
      <c r="I254" s="35">
        <v>20847</v>
      </c>
      <c r="J254" s="35">
        <v>475.187697441821</v>
      </c>
      <c r="K254" s="35">
        <v>27.220401929493601</v>
      </c>
      <c r="L254" s="35">
        <v>-7.98</v>
      </c>
      <c r="M254" s="35">
        <v>-9.65</v>
      </c>
      <c r="N254" s="35">
        <v>266</v>
      </c>
      <c r="O254" s="35" t="s">
        <v>987</v>
      </c>
      <c r="P254" s="35" t="s">
        <v>988</v>
      </c>
      <c r="Q254" s="35" t="s">
        <v>253</v>
      </c>
      <c r="R254" s="35" t="s">
        <v>253</v>
      </c>
      <c r="S254" s="35" t="s">
        <v>257</v>
      </c>
      <c r="T254" s="35" t="s">
        <v>261</v>
      </c>
      <c r="U254" s="35" t="s">
        <v>258</v>
      </c>
      <c r="V254" s="35" t="s">
        <v>253</v>
      </c>
      <c r="W254" s="35" t="s">
        <v>253</v>
      </c>
      <c r="X254" s="35" t="s">
        <v>1779</v>
      </c>
      <c r="Y254" s="35" t="s">
        <v>1780</v>
      </c>
    </row>
    <row r="255" spans="1:25" x14ac:dyDescent="0.2">
      <c r="A255" s="35">
        <v>688</v>
      </c>
      <c r="B255" s="35" t="s">
        <v>1781</v>
      </c>
      <c r="C255" s="35" t="s">
        <v>253</v>
      </c>
      <c r="D255" s="35" t="s">
        <v>253</v>
      </c>
      <c r="E255" s="35" t="s">
        <v>1565</v>
      </c>
      <c r="F255" s="35" t="s">
        <v>1566</v>
      </c>
      <c r="G255" s="35" t="s">
        <v>2008</v>
      </c>
      <c r="H255" s="35" t="s">
        <v>521</v>
      </c>
      <c r="I255" s="35">
        <v>5944</v>
      </c>
      <c r="J255" s="35">
        <v>358.68935836785602</v>
      </c>
      <c r="K255" s="35">
        <v>105.223299191179</v>
      </c>
      <c r="L255" s="35">
        <v>-10.51</v>
      </c>
      <c r="M255" s="35">
        <v>-13.41</v>
      </c>
      <c r="N255" s="35">
        <v>328</v>
      </c>
      <c r="O255" s="35" t="s">
        <v>956</v>
      </c>
      <c r="P255" s="35" t="s">
        <v>957</v>
      </c>
      <c r="Q255" s="35" t="s">
        <v>253</v>
      </c>
      <c r="R255" s="35" t="s">
        <v>253</v>
      </c>
      <c r="S255" s="35" t="s">
        <v>253</v>
      </c>
      <c r="T255" s="35" t="s">
        <v>253</v>
      </c>
      <c r="U255" s="35" t="s">
        <v>253</v>
      </c>
      <c r="V255" s="35" t="s">
        <v>297</v>
      </c>
      <c r="W255" s="35" t="s">
        <v>253</v>
      </c>
      <c r="X255" s="35" t="s">
        <v>1782</v>
      </c>
      <c r="Y255" s="35" t="s">
        <v>1783</v>
      </c>
    </row>
    <row r="256" spans="1:25" x14ac:dyDescent="0.2">
      <c r="A256" s="35">
        <v>690</v>
      </c>
      <c r="B256" s="35" t="s">
        <v>1784</v>
      </c>
      <c r="C256" s="35" t="s">
        <v>253</v>
      </c>
      <c r="D256" s="35" t="s">
        <v>253</v>
      </c>
      <c r="E256" s="35" t="s">
        <v>1565</v>
      </c>
      <c r="F256" s="35" t="s">
        <v>1566</v>
      </c>
      <c r="G256" s="35" t="s">
        <v>2008</v>
      </c>
      <c r="H256" s="35" t="s">
        <v>928</v>
      </c>
      <c r="I256" s="35">
        <v>1857</v>
      </c>
      <c r="J256" s="35">
        <v>632.20550560232095</v>
      </c>
      <c r="K256" s="35">
        <v>412.11643465014299</v>
      </c>
      <c r="L256" s="35">
        <v>-20.440000000000001</v>
      </c>
      <c r="M256" s="35">
        <v>-4.58</v>
      </c>
      <c r="N256" s="35">
        <v>2759</v>
      </c>
      <c r="O256" s="35" t="s">
        <v>550</v>
      </c>
      <c r="P256" s="35" t="s">
        <v>551</v>
      </c>
      <c r="Q256" s="35" t="s">
        <v>253</v>
      </c>
      <c r="R256" s="35" t="s">
        <v>253</v>
      </c>
      <c r="S256" s="35" t="s">
        <v>253</v>
      </c>
      <c r="T256" s="35" t="s">
        <v>253</v>
      </c>
      <c r="U256" s="35" t="s">
        <v>253</v>
      </c>
      <c r="V256" s="35" t="s">
        <v>253</v>
      </c>
      <c r="W256" s="35" t="s">
        <v>253</v>
      </c>
      <c r="X256" s="35" t="s">
        <v>1785</v>
      </c>
      <c r="Y256" s="35" t="s">
        <v>1786</v>
      </c>
    </row>
    <row r="257" spans="1:25" x14ac:dyDescent="0.2">
      <c r="A257" s="35">
        <v>691</v>
      </c>
      <c r="B257" s="35" t="s">
        <v>1787</v>
      </c>
      <c r="C257" s="35" t="s">
        <v>253</v>
      </c>
      <c r="D257" s="35" t="s">
        <v>253</v>
      </c>
      <c r="E257" s="35" t="s">
        <v>1565</v>
      </c>
      <c r="F257" s="35" t="s">
        <v>1566</v>
      </c>
      <c r="G257" s="35" t="s">
        <v>2024</v>
      </c>
      <c r="H257" s="35" t="s">
        <v>256</v>
      </c>
      <c r="I257" s="35">
        <v>21388</v>
      </c>
      <c r="J257" s="35">
        <v>533.456328779518</v>
      </c>
      <c r="K257" s="35">
        <v>475.07535995991202</v>
      </c>
      <c r="L257" s="35">
        <v>-22.48</v>
      </c>
      <c r="M257" s="35">
        <v>-7.77</v>
      </c>
      <c r="N257" s="35">
        <v>738</v>
      </c>
      <c r="O257" s="35" t="s">
        <v>602</v>
      </c>
      <c r="P257" s="35" t="s">
        <v>603</v>
      </c>
      <c r="Q257" s="35" t="s">
        <v>253</v>
      </c>
      <c r="R257" s="35" t="s">
        <v>253</v>
      </c>
      <c r="S257" s="35" t="s">
        <v>257</v>
      </c>
      <c r="T257" s="35" t="s">
        <v>261</v>
      </c>
      <c r="U257" s="35" t="s">
        <v>258</v>
      </c>
      <c r="V257" s="35" t="s">
        <v>297</v>
      </c>
      <c r="W257" s="35" t="s">
        <v>253</v>
      </c>
      <c r="X257" s="35" t="s">
        <v>1788</v>
      </c>
      <c r="Y257" s="35" t="s">
        <v>1789</v>
      </c>
    </row>
    <row r="258" spans="1:25" x14ac:dyDescent="0.2">
      <c r="A258" s="35">
        <v>712</v>
      </c>
      <c r="B258" s="35" t="s">
        <v>1790</v>
      </c>
      <c r="C258" s="35" t="s">
        <v>253</v>
      </c>
      <c r="D258" s="35" t="s">
        <v>253</v>
      </c>
      <c r="E258" s="35" t="s">
        <v>1565</v>
      </c>
      <c r="F258" s="35" t="s">
        <v>1566</v>
      </c>
      <c r="G258" s="35" t="s">
        <v>2008</v>
      </c>
      <c r="H258" s="35" t="s">
        <v>521</v>
      </c>
      <c r="I258" s="35">
        <v>46979</v>
      </c>
      <c r="J258" s="35">
        <v>563.5</v>
      </c>
      <c r="K258" s="35">
        <v>133</v>
      </c>
      <c r="L258" s="35">
        <v>-11.41</v>
      </c>
      <c r="M258" s="35">
        <v>-6.8</v>
      </c>
      <c r="N258" s="35">
        <v>30</v>
      </c>
      <c r="O258" s="35" t="s">
        <v>1086</v>
      </c>
      <c r="P258" s="35" t="s">
        <v>1087</v>
      </c>
      <c r="Q258" s="35" t="s">
        <v>253</v>
      </c>
      <c r="R258" s="35" t="s">
        <v>259</v>
      </c>
      <c r="S258" s="35" t="s">
        <v>257</v>
      </c>
      <c r="T258" s="35" t="s">
        <v>261</v>
      </c>
      <c r="U258" s="35" t="s">
        <v>258</v>
      </c>
      <c r="V258" s="35" t="s">
        <v>297</v>
      </c>
      <c r="W258" s="35" t="s">
        <v>266</v>
      </c>
      <c r="X258" s="35" t="s">
        <v>1791</v>
      </c>
      <c r="Y258" s="35" t="s">
        <v>1792</v>
      </c>
    </row>
    <row r="259" spans="1:25" x14ac:dyDescent="0.2">
      <c r="A259" s="35">
        <v>713</v>
      </c>
      <c r="B259" s="35" t="s">
        <v>1793</v>
      </c>
      <c r="C259" s="35" t="s">
        <v>253</v>
      </c>
      <c r="D259" s="35" t="s">
        <v>253</v>
      </c>
      <c r="E259" s="35" t="s">
        <v>1565</v>
      </c>
      <c r="F259" s="35" t="s">
        <v>1566</v>
      </c>
      <c r="G259" s="35" t="s">
        <v>2008</v>
      </c>
      <c r="H259" s="35" t="s">
        <v>521</v>
      </c>
      <c r="I259" s="35">
        <v>17684</v>
      </c>
      <c r="J259" s="35">
        <v>359.91545181283698</v>
      </c>
      <c r="K259" s="35">
        <v>136.44002753642499</v>
      </c>
      <c r="L259" s="35">
        <v>-11.52</v>
      </c>
      <c r="M259" s="35">
        <v>-13.37</v>
      </c>
      <c r="N259" s="35">
        <v>266</v>
      </c>
      <c r="O259" s="35" t="s">
        <v>1086</v>
      </c>
      <c r="P259" s="35" t="s">
        <v>1087</v>
      </c>
      <c r="Q259" s="35" t="s">
        <v>253</v>
      </c>
      <c r="R259" s="35" t="s">
        <v>253</v>
      </c>
      <c r="S259" s="35" t="s">
        <v>257</v>
      </c>
      <c r="T259" s="35" t="s">
        <v>261</v>
      </c>
      <c r="U259" s="35" t="s">
        <v>258</v>
      </c>
      <c r="V259" s="35" t="s">
        <v>297</v>
      </c>
      <c r="W259" s="35" t="s">
        <v>253</v>
      </c>
      <c r="X259" s="35" t="s">
        <v>1794</v>
      </c>
      <c r="Y259" s="35" t="s">
        <v>1795</v>
      </c>
    </row>
    <row r="260" spans="1:25" x14ac:dyDescent="0.2">
      <c r="A260" s="35">
        <v>745</v>
      </c>
      <c r="B260" s="35" t="s">
        <v>1796</v>
      </c>
      <c r="C260" s="35" t="s">
        <v>253</v>
      </c>
      <c r="D260" s="35" t="s">
        <v>253</v>
      </c>
      <c r="E260" s="35" t="s">
        <v>1565</v>
      </c>
      <c r="F260" s="35" t="s">
        <v>1566</v>
      </c>
      <c r="G260" s="35" t="s">
        <v>2008</v>
      </c>
      <c r="H260" s="35" t="s">
        <v>928</v>
      </c>
      <c r="I260" s="35">
        <v>2364</v>
      </c>
      <c r="J260" s="35">
        <v>499.88</v>
      </c>
      <c r="K260" s="35">
        <v>204.92</v>
      </c>
      <c r="L260" s="35">
        <v>-13.74</v>
      </c>
      <c r="M260" s="35">
        <v>-8.85</v>
      </c>
      <c r="N260" s="35">
        <v>52</v>
      </c>
      <c r="O260" s="35" t="s">
        <v>929</v>
      </c>
      <c r="P260" s="35" t="s">
        <v>930</v>
      </c>
      <c r="Q260" s="35" t="s">
        <v>253</v>
      </c>
      <c r="R260" s="35" t="s">
        <v>253</v>
      </c>
      <c r="S260" s="35" t="s">
        <v>253</v>
      </c>
      <c r="T260" s="35" t="s">
        <v>253</v>
      </c>
      <c r="U260" s="35" t="s">
        <v>258</v>
      </c>
      <c r="V260" s="35" t="s">
        <v>297</v>
      </c>
      <c r="W260" s="35" t="s">
        <v>253</v>
      </c>
      <c r="X260" s="35" t="s">
        <v>1797</v>
      </c>
      <c r="Y260" s="35" t="s">
        <v>1798</v>
      </c>
    </row>
    <row r="261" spans="1:25" x14ac:dyDescent="0.2">
      <c r="A261" s="35">
        <v>747</v>
      </c>
      <c r="B261" s="35" t="s">
        <v>1799</v>
      </c>
      <c r="C261" s="35" t="s">
        <v>253</v>
      </c>
      <c r="D261" s="35" t="s">
        <v>253</v>
      </c>
      <c r="E261" s="35" t="s">
        <v>1565</v>
      </c>
      <c r="F261" s="35" t="s">
        <v>1566</v>
      </c>
      <c r="G261" s="35" t="s">
        <v>2008</v>
      </c>
      <c r="H261" s="35" t="s">
        <v>928</v>
      </c>
      <c r="I261" s="35">
        <v>2041</v>
      </c>
      <c r="J261" s="35">
        <v>624.51809432029302</v>
      </c>
      <c r="K261" s="35">
        <v>407.71806768878002</v>
      </c>
      <c r="L261" s="35">
        <v>-20.3</v>
      </c>
      <c r="M261" s="35">
        <v>-4.83</v>
      </c>
      <c r="N261" s="35">
        <v>4019</v>
      </c>
      <c r="O261" s="35" t="s">
        <v>542</v>
      </c>
      <c r="P261" s="35" t="s">
        <v>543</v>
      </c>
      <c r="Q261" s="35" t="s">
        <v>253</v>
      </c>
      <c r="R261" s="35" t="s">
        <v>253</v>
      </c>
      <c r="S261" s="35" t="s">
        <v>253</v>
      </c>
      <c r="T261" s="35" t="s">
        <v>253</v>
      </c>
      <c r="U261" s="35" t="s">
        <v>253</v>
      </c>
      <c r="V261" s="35" t="s">
        <v>253</v>
      </c>
      <c r="W261" s="35" t="s">
        <v>253</v>
      </c>
      <c r="X261" s="35" t="s">
        <v>1800</v>
      </c>
      <c r="Y261" s="35" t="s">
        <v>1801</v>
      </c>
    </row>
    <row r="262" spans="1:25" x14ac:dyDescent="0.2">
      <c r="A262" s="35">
        <v>771</v>
      </c>
      <c r="B262" s="35" t="s">
        <v>1802</v>
      </c>
      <c r="C262" s="35" t="s">
        <v>253</v>
      </c>
      <c r="D262" s="35" t="s">
        <v>253</v>
      </c>
      <c r="E262" s="35" t="s">
        <v>1565</v>
      </c>
      <c r="F262" s="35" t="s">
        <v>1566</v>
      </c>
      <c r="G262" s="35" t="s">
        <v>395</v>
      </c>
      <c r="H262" s="35" t="s">
        <v>928</v>
      </c>
      <c r="I262" s="35">
        <v>2001</v>
      </c>
      <c r="J262" s="35">
        <v>679.65337574303703</v>
      </c>
      <c r="K262" s="35">
        <v>275.06643402220101</v>
      </c>
      <c r="L262" s="35">
        <v>-16.010000000000002</v>
      </c>
      <c r="M262" s="35">
        <v>-3.05</v>
      </c>
      <c r="N262" s="35">
        <v>328</v>
      </c>
      <c r="O262" s="35" t="s">
        <v>918</v>
      </c>
      <c r="P262" s="35" t="s">
        <v>919</v>
      </c>
      <c r="Q262" s="35" t="s">
        <v>253</v>
      </c>
      <c r="R262" s="35" t="s">
        <v>253</v>
      </c>
      <c r="S262" s="35" t="s">
        <v>257</v>
      </c>
      <c r="T262" s="35" t="s">
        <v>261</v>
      </c>
      <c r="U262" s="35" t="s">
        <v>253</v>
      </c>
      <c r="V262" s="35" t="s">
        <v>297</v>
      </c>
      <c r="W262" s="35" t="s">
        <v>253</v>
      </c>
      <c r="X262" s="35" t="s">
        <v>1803</v>
      </c>
      <c r="Y262" s="35" t="s">
        <v>1804</v>
      </c>
    </row>
    <row r="263" spans="1:25" x14ac:dyDescent="0.2">
      <c r="A263" s="35">
        <v>792</v>
      </c>
      <c r="B263" s="35" t="s">
        <v>1805</v>
      </c>
      <c r="C263" s="35" t="s">
        <v>253</v>
      </c>
      <c r="D263" s="35" t="s">
        <v>253</v>
      </c>
      <c r="E263" s="35" t="s">
        <v>1565</v>
      </c>
      <c r="F263" s="35" t="s">
        <v>1566</v>
      </c>
      <c r="G263" s="35" t="s">
        <v>2008</v>
      </c>
      <c r="H263" s="35" t="s">
        <v>521</v>
      </c>
      <c r="I263" s="35">
        <v>2018</v>
      </c>
      <c r="J263" s="35">
        <v>463.27707540485699</v>
      </c>
      <c r="K263" s="35">
        <v>20.2530772738839</v>
      </c>
      <c r="L263" s="35">
        <v>-7.76</v>
      </c>
      <c r="M263" s="35">
        <v>-10.039999999999999</v>
      </c>
      <c r="N263" s="35">
        <v>738</v>
      </c>
      <c r="O263" s="35" t="s">
        <v>987</v>
      </c>
      <c r="P263" s="35" t="s">
        <v>988</v>
      </c>
      <c r="Q263" s="35" t="s">
        <v>253</v>
      </c>
      <c r="R263" s="35" t="s">
        <v>253</v>
      </c>
      <c r="S263" s="35" t="s">
        <v>257</v>
      </c>
      <c r="T263" s="35" t="s">
        <v>253</v>
      </c>
      <c r="U263" s="35" t="s">
        <v>253</v>
      </c>
      <c r="V263" s="35" t="s">
        <v>253</v>
      </c>
      <c r="W263" s="35" t="s">
        <v>253</v>
      </c>
      <c r="X263" s="35" t="s">
        <v>1806</v>
      </c>
      <c r="Y263" s="35" t="s">
        <v>1807</v>
      </c>
    </row>
    <row r="264" spans="1:25" x14ac:dyDescent="0.2">
      <c r="A264" s="35">
        <v>819</v>
      </c>
      <c r="B264" s="35" t="s">
        <v>1808</v>
      </c>
      <c r="C264" s="35" t="s">
        <v>253</v>
      </c>
      <c r="D264" s="35" t="s">
        <v>253</v>
      </c>
      <c r="E264" s="35" t="s">
        <v>1565</v>
      </c>
      <c r="F264" s="35" t="s">
        <v>1566</v>
      </c>
      <c r="G264" s="35" t="s">
        <v>2008</v>
      </c>
      <c r="H264" s="35" t="s">
        <v>928</v>
      </c>
      <c r="I264" s="35">
        <v>4808</v>
      </c>
      <c r="J264" s="35">
        <v>263.48222927499899</v>
      </c>
      <c r="K264" s="35">
        <v>307.82064462385199</v>
      </c>
      <c r="L264" s="35">
        <v>-17.07</v>
      </c>
      <c r="M264" s="35">
        <v>-16.489999999999998</v>
      </c>
      <c r="N264" s="35">
        <v>118</v>
      </c>
      <c r="O264" s="35" t="s">
        <v>913</v>
      </c>
      <c r="P264" s="35" t="s">
        <v>914</v>
      </c>
      <c r="Q264" s="35" t="s">
        <v>253</v>
      </c>
      <c r="R264" s="35" t="s">
        <v>253</v>
      </c>
      <c r="S264" s="35" t="s">
        <v>257</v>
      </c>
      <c r="T264" s="35" t="s">
        <v>253</v>
      </c>
      <c r="U264" s="35" t="s">
        <v>258</v>
      </c>
      <c r="V264" s="35" t="s">
        <v>297</v>
      </c>
      <c r="W264" s="35" t="s">
        <v>253</v>
      </c>
      <c r="X264" s="35" t="s">
        <v>1809</v>
      </c>
      <c r="Y264" s="35" t="s">
        <v>1810</v>
      </c>
    </row>
    <row r="265" spans="1:25" x14ac:dyDescent="0.2">
      <c r="A265" s="35">
        <v>820</v>
      </c>
      <c r="B265" s="35" t="s">
        <v>1811</v>
      </c>
      <c r="C265" s="35" t="s">
        <v>253</v>
      </c>
      <c r="D265" s="35" t="s">
        <v>253</v>
      </c>
      <c r="E265" s="35" t="s">
        <v>1565</v>
      </c>
      <c r="F265" s="35" t="s">
        <v>1566</v>
      </c>
      <c r="G265" s="35" t="s">
        <v>2008</v>
      </c>
      <c r="H265" s="35" t="s">
        <v>928</v>
      </c>
      <c r="I265" s="35">
        <v>5582</v>
      </c>
      <c r="J265" s="35">
        <v>560.29415196411503</v>
      </c>
      <c r="K265" s="35">
        <v>322.12506814863701</v>
      </c>
      <c r="L265" s="35">
        <v>-17.53</v>
      </c>
      <c r="M265" s="35">
        <v>-6.9</v>
      </c>
      <c r="N265" s="35">
        <v>554</v>
      </c>
      <c r="O265" s="35" t="s">
        <v>967</v>
      </c>
      <c r="P265" s="35" t="s">
        <v>968</v>
      </c>
      <c r="Q265" s="35" t="s">
        <v>253</v>
      </c>
      <c r="R265" s="35" t="s">
        <v>253</v>
      </c>
      <c r="S265" s="35" t="s">
        <v>257</v>
      </c>
      <c r="T265" s="35" t="s">
        <v>261</v>
      </c>
      <c r="U265" s="35" t="s">
        <v>253</v>
      </c>
      <c r="V265" s="35" t="s">
        <v>297</v>
      </c>
      <c r="W265" s="35" t="s">
        <v>253</v>
      </c>
      <c r="X265" s="35" t="s">
        <v>1812</v>
      </c>
      <c r="Y265" s="35" t="s">
        <v>1813</v>
      </c>
    </row>
    <row r="266" spans="1:25" x14ac:dyDescent="0.2">
      <c r="A266" s="35">
        <v>822</v>
      </c>
      <c r="B266" s="35" t="s">
        <v>1814</v>
      </c>
      <c r="C266" s="35" t="s">
        <v>253</v>
      </c>
      <c r="D266" s="35" t="s">
        <v>253</v>
      </c>
      <c r="E266" s="35" t="s">
        <v>1565</v>
      </c>
      <c r="F266" s="35" t="s">
        <v>1566</v>
      </c>
      <c r="G266" s="35" t="s">
        <v>2015</v>
      </c>
      <c r="H266" s="35" t="s">
        <v>256</v>
      </c>
      <c r="I266" s="35">
        <v>14244</v>
      </c>
      <c r="J266" s="35">
        <v>362.19248249637502</v>
      </c>
      <c r="K266" s="35">
        <v>526.96052066341895</v>
      </c>
      <c r="L266" s="35">
        <v>-24.16</v>
      </c>
      <c r="M266" s="35">
        <v>-13.3</v>
      </c>
      <c r="N266" s="35">
        <v>52</v>
      </c>
      <c r="O266" s="35" t="s">
        <v>602</v>
      </c>
      <c r="P266" s="35" t="s">
        <v>603</v>
      </c>
      <c r="Q266" s="35" t="s">
        <v>253</v>
      </c>
      <c r="R266" s="35" t="s">
        <v>253</v>
      </c>
      <c r="S266" s="35" t="s">
        <v>253</v>
      </c>
      <c r="T266" s="35" t="s">
        <v>261</v>
      </c>
      <c r="U266" s="35" t="s">
        <v>258</v>
      </c>
      <c r="V266" s="35" t="s">
        <v>253</v>
      </c>
      <c r="W266" s="35" t="s">
        <v>253</v>
      </c>
      <c r="X266" s="35" t="s">
        <v>1815</v>
      </c>
      <c r="Y266" s="35" t="s">
        <v>1816</v>
      </c>
    </row>
    <row r="267" spans="1:25" x14ac:dyDescent="0.2">
      <c r="A267" s="35">
        <v>867</v>
      </c>
      <c r="B267" s="35" t="s">
        <v>1817</v>
      </c>
      <c r="C267" s="35" t="s">
        <v>253</v>
      </c>
      <c r="D267" s="35" t="s">
        <v>253</v>
      </c>
      <c r="E267" s="35" t="s">
        <v>1565</v>
      </c>
      <c r="F267" s="35" t="s">
        <v>1566</v>
      </c>
      <c r="G267" s="35" t="s">
        <v>2008</v>
      </c>
      <c r="H267" s="35" t="s">
        <v>928</v>
      </c>
      <c r="I267" s="35">
        <v>16080</v>
      </c>
      <c r="J267" s="35">
        <v>418.96255517909401</v>
      </c>
      <c r="K267" s="35">
        <v>295.01477975404401</v>
      </c>
      <c r="L267" s="35">
        <v>-16.649999999999999</v>
      </c>
      <c r="M267" s="35">
        <v>-11.47</v>
      </c>
      <c r="N267" s="35">
        <v>13</v>
      </c>
      <c r="O267" s="35" t="s">
        <v>918</v>
      </c>
      <c r="P267" s="35" t="s">
        <v>919</v>
      </c>
      <c r="Q267" s="35" t="s">
        <v>253</v>
      </c>
      <c r="R267" s="35" t="s">
        <v>253</v>
      </c>
      <c r="S267" s="35" t="s">
        <v>253</v>
      </c>
      <c r="T267" s="35" t="s">
        <v>261</v>
      </c>
      <c r="U267" s="35" t="s">
        <v>258</v>
      </c>
      <c r="V267" s="35" t="s">
        <v>297</v>
      </c>
      <c r="W267" s="35" t="s">
        <v>253</v>
      </c>
      <c r="X267" s="35" t="s">
        <v>1818</v>
      </c>
      <c r="Y267" s="35" t="s">
        <v>1819</v>
      </c>
    </row>
    <row r="268" spans="1:25" x14ac:dyDescent="0.2">
      <c r="A268" s="35">
        <v>884</v>
      </c>
      <c r="B268" s="35" t="s">
        <v>1820</v>
      </c>
      <c r="C268" s="35" t="s">
        <v>253</v>
      </c>
      <c r="D268" s="35" t="s">
        <v>253</v>
      </c>
      <c r="E268" s="35" t="s">
        <v>1565</v>
      </c>
      <c r="F268" s="35" t="s">
        <v>1566</v>
      </c>
      <c r="G268" s="35" t="s">
        <v>2008</v>
      </c>
      <c r="H268" s="35" t="s">
        <v>521</v>
      </c>
      <c r="I268" s="35">
        <v>20669</v>
      </c>
      <c r="J268" s="35">
        <v>639.5</v>
      </c>
      <c r="K268" s="35">
        <v>146</v>
      </c>
      <c r="L268" s="35">
        <v>-11.83</v>
      </c>
      <c r="M268" s="35">
        <v>-4.34</v>
      </c>
      <c r="N268" s="35">
        <v>161</v>
      </c>
      <c r="O268" s="35" t="s">
        <v>1086</v>
      </c>
      <c r="P268" s="35" t="s">
        <v>1087</v>
      </c>
      <c r="Q268" s="35" t="s">
        <v>253</v>
      </c>
      <c r="R268" s="35" t="s">
        <v>259</v>
      </c>
      <c r="S268" s="35" t="s">
        <v>257</v>
      </c>
      <c r="T268" s="35" t="s">
        <v>253</v>
      </c>
      <c r="U268" s="35" t="s">
        <v>253</v>
      </c>
      <c r="V268" s="35" t="s">
        <v>253</v>
      </c>
      <c r="W268" s="35" t="s">
        <v>253</v>
      </c>
      <c r="X268" s="35" t="s">
        <v>1821</v>
      </c>
      <c r="Y268" s="35" t="s">
        <v>1822</v>
      </c>
    </row>
    <row r="269" spans="1:25" x14ac:dyDescent="0.2">
      <c r="A269" s="35">
        <v>887</v>
      </c>
      <c r="B269" s="35" t="s">
        <v>1823</v>
      </c>
      <c r="C269" s="35" t="s">
        <v>253</v>
      </c>
      <c r="D269" s="35" t="s">
        <v>253</v>
      </c>
      <c r="E269" s="35" t="s">
        <v>1565</v>
      </c>
      <c r="F269" s="35" t="s">
        <v>1566</v>
      </c>
      <c r="G269" s="35" t="s">
        <v>2008</v>
      </c>
      <c r="H269" s="35" t="s">
        <v>928</v>
      </c>
      <c r="I269" s="35">
        <v>16026</v>
      </c>
      <c r="J269" s="35">
        <v>656.63006549838303</v>
      </c>
      <c r="K269" s="35">
        <v>232.54239946212499</v>
      </c>
      <c r="L269" s="35">
        <v>-14.63</v>
      </c>
      <c r="M269" s="35">
        <v>-3.79</v>
      </c>
      <c r="N269" s="35">
        <v>52</v>
      </c>
      <c r="O269" s="35" t="s">
        <v>929</v>
      </c>
      <c r="P269" s="35" t="s">
        <v>930</v>
      </c>
      <c r="Q269" s="35" t="s">
        <v>253</v>
      </c>
      <c r="R269" s="35" t="s">
        <v>253</v>
      </c>
      <c r="S269" s="35" t="s">
        <v>257</v>
      </c>
      <c r="T269" s="35" t="s">
        <v>253</v>
      </c>
      <c r="U269" s="35" t="s">
        <v>258</v>
      </c>
      <c r="V269" s="35" t="s">
        <v>297</v>
      </c>
      <c r="W269" s="35" t="s">
        <v>253</v>
      </c>
      <c r="X269" s="35" t="s">
        <v>1824</v>
      </c>
      <c r="Y269" s="35" t="s">
        <v>1825</v>
      </c>
    </row>
    <row r="270" spans="1:25" x14ac:dyDescent="0.2">
      <c r="A270" s="35">
        <v>890</v>
      </c>
      <c r="B270" s="35" t="s">
        <v>1826</v>
      </c>
      <c r="C270" s="35" t="s">
        <v>253</v>
      </c>
      <c r="D270" s="35" t="s">
        <v>253</v>
      </c>
      <c r="E270" s="35" t="s">
        <v>1565</v>
      </c>
      <c r="F270" s="35" t="s">
        <v>1566</v>
      </c>
      <c r="G270" s="35" t="s">
        <v>2008</v>
      </c>
      <c r="H270" s="35" t="s">
        <v>928</v>
      </c>
      <c r="I270" s="35">
        <v>2103</v>
      </c>
      <c r="J270" s="35">
        <v>713.26390557610398</v>
      </c>
      <c r="K270" s="35">
        <v>322.00829734435302</v>
      </c>
      <c r="L270" s="35">
        <v>-17.53</v>
      </c>
      <c r="M270" s="35">
        <v>-1.96</v>
      </c>
      <c r="N270" s="35">
        <v>266</v>
      </c>
      <c r="O270" s="35" t="s">
        <v>913</v>
      </c>
      <c r="P270" s="35" t="s">
        <v>914</v>
      </c>
      <c r="Q270" s="35" t="s">
        <v>253</v>
      </c>
      <c r="R270" s="35" t="s">
        <v>253</v>
      </c>
      <c r="S270" s="35" t="s">
        <v>257</v>
      </c>
      <c r="T270" s="35" t="s">
        <v>253</v>
      </c>
      <c r="U270" s="35" t="s">
        <v>253</v>
      </c>
      <c r="V270" s="35" t="s">
        <v>297</v>
      </c>
      <c r="W270" s="35" t="s">
        <v>253</v>
      </c>
      <c r="X270" s="35" t="s">
        <v>1827</v>
      </c>
      <c r="Y270" s="35" t="s">
        <v>1828</v>
      </c>
    </row>
    <row r="271" spans="1:25" x14ac:dyDescent="0.2">
      <c r="A271" s="35">
        <v>910</v>
      </c>
      <c r="B271" s="35" t="s">
        <v>1829</v>
      </c>
      <c r="C271" s="35" t="s">
        <v>253</v>
      </c>
      <c r="D271" s="35" t="s">
        <v>253</v>
      </c>
      <c r="E271" s="35" t="s">
        <v>1565</v>
      </c>
      <c r="F271" s="35" t="s">
        <v>1566</v>
      </c>
      <c r="G271" s="35" t="s">
        <v>2008</v>
      </c>
      <c r="H271" s="35" t="s">
        <v>521</v>
      </c>
      <c r="I271" s="35">
        <v>2546</v>
      </c>
      <c r="J271" s="35">
        <v>473.43613537756198</v>
      </c>
      <c r="K271" s="35">
        <v>90.082018235692701</v>
      </c>
      <c r="L271" s="35">
        <v>-10.02</v>
      </c>
      <c r="M271" s="35">
        <v>-9.7100000000000009</v>
      </c>
      <c r="N271" s="35">
        <v>397</v>
      </c>
      <c r="O271" s="35" t="s">
        <v>1086</v>
      </c>
      <c r="P271" s="35" t="s">
        <v>1087</v>
      </c>
      <c r="Q271" s="35" t="s">
        <v>253</v>
      </c>
      <c r="R271" s="35" t="s">
        <v>253</v>
      </c>
      <c r="S271" s="35" t="s">
        <v>257</v>
      </c>
      <c r="T271" s="35" t="s">
        <v>253</v>
      </c>
      <c r="U271" s="35" t="s">
        <v>253</v>
      </c>
      <c r="V271" s="35" t="s">
        <v>297</v>
      </c>
      <c r="W271" s="35" t="s">
        <v>253</v>
      </c>
      <c r="X271" s="35" t="s">
        <v>1830</v>
      </c>
      <c r="Y271" s="35" t="s">
        <v>1831</v>
      </c>
    </row>
    <row r="272" spans="1:25" x14ac:dyDescent="0.2">
      <c r="A272" s="35">
        <v>912</v>
      </c>
      <c r="B272" s="35" t="s">
        <v>1832</v>
      </c>
      <c r="C272" s="35" t="s">
        <v>253</v>
      </c>
      <c r="D272" s="35" t="s">
        <v>253</v>
      </c>
      <c r="E272" s="35" t="s">
        <v>1565</v>
      </c>
      <c r="F272" s="35" t="s">
        <v>1566</v>
      </c>
      <c r="G272" s="35" t="s">
        <v>2008</v>
      </c>
      <c r="H272" s="35" t="s">
        <v>928</v>
      </c>
      <c r="I272" s="35">
        <v>2122</v>
      </c>
      <c r="J272" s="35">
        <v>485.327295613812</v>
      </c>
      <c r="K272" s="35">
        <v>347.54217988111202</v>
      </c>
      <c r="L272" s="35">
        <v>-18.350000000000001</v>
      </c>
      <c r="M272" s="35">
        <v>-9.32</v>
      </c>
      <c r="N272" s="35">
        <v>1063</v>
      </c>
      <c r="O272" s="35" t="s">
        <v>945</v>
      </c>
      <c r="P272" s="35" t="s">
        <v>946</v>
      </c>
      <c r="Q272" s="35" t="s">
        <v>253</v>
      </c>
      <c r="R272" s="35" t="s">
        <v>253</v>
      </c>
      <c r="S272" s="35" t="s">
        <v>253</v>
      </c>
      <c r="T272" s="35" t="s">
        <v>253</v>
      </c>
      <c r="U272" s="35" t="s">
        <v>253</v>
      </c>
      <c r="V272" s="35" t="s">
        <v>297</v>
      </c>
      <c r="W272" s="35" t="s">
        <v>253</v>
      </c>
      <c r="X272" s="35" t="s">
        <v>1833</v>
      </c>
      <c r="Y272" s="35" t="s">
        <v>1834</v>
      </c>
    </row>
    <row r="273" spans="1:25" x14ac:dyDescent="0.2">
      <c r="A273" s="35">
        <v>913</v>
      </c>
      <c r="B273" s="35" t="s">
        <v>1835</v>
      </c>
      <c r="C273" s="35" t="s">
        <v>253</v>
      </c>
      <c r="D273" s="35" t="s">
        <v>253</v>
      </c>
      <c r="E273" s="35" t="s">
        <v>1565</v>
      </c>
      <c r="F273" s="35" t="s">
        <v>1566</v>
      </c>
      <c r="G273" s="35" t="s">
        <v>2024</v>
      </c>
      <c r="H273" s="35" t="s">
        <v>928</v>
      </c>
      <c r="I273" s="35">
        <v>7828</v>
      </c>
      <c r="J273" s="35">
        <v>458.78139943992397</v>
      </c>
      <c r="K273" s="35">
        <v>441.620524532557</v>
      </c>
      <c r="L273" s="35">
        <v>-21.4</v>
      </c>
      <c r="M273" s="35">
        <v>-10.18</v>
      </c>
      <c r="N273" s="35">
        <v>643</v>
      </c>
      <c r="O273" s="35" t="s">
        <v>602</v>
      </c>
      <c r="P273" s="35" t="s">
        <v>603</v>
      </c>
      <c r="Q273" s="35" t="s">
        <v>253</v>
      </c>
      <c r="R273" s="35" t="s">
        <v>253</v>
      </c>
      <c r="S273" s="35" t="s">
        <v>253</v>
      </c>
      <c r="T273" s="35" t="s">
        <v>253</v>
      </c>
      <c r="U273" s="35" t="s">
        <v>258</v>
      </c>
      <c r="V273" s="35" t="s">
        <v>297</v>
      </c>
      <c r="W273" s="35" t="s">
        <v>253</v>
      </c>
      <c r="X273" s="35" t="s">
        <v>1836</v>
      </c>
      <c r="Y273" s="35" t="s">
        <v>1837</v>
      </c>
    </row>
    <row r="274" spans="1:25" x14ac:dyDescent="0.2">
      <c r="A274" s="35">
        <v>941</v>
      </c>
      <c r="B274" s="35" t="s">
        <v>1838</v>
      </c>
      <c r="C274" s="35" t="s">
        <v>253</v>
      </c>
      <c r="D274" s="35" t="s">
        <v>253</v>
      </c>
      <c r="E274" s="35" t="s">
        <v>1565</v>
      </c>
      <c r="F274" s="35" t="s">
        <v>1566</v>
      </c>
      <c r="G274" s="35" t="s">
        <v>2008</v>
      </c>
      <c r="H274" s="35" t="s">
        <v>521</v>
      </c>
      <c r="I274" s="35">
        <v>2197</v>
      </c>
      <c r="J274" s="35">
        <v>504.32201311066899</v>
      </c>
      <c r="K274" s="35">
        <v>94.733388606337101</v>
      </c>
      <c r="L274" s="35">
        <v>-10.17</v>
      </c>
      <c r="M274" s="35">
        <v>-8.7100000000000009</v>
      </c>
      <c r="N274" s="35">
        <v>266</v>
      </c>
      <c r="O274" s="35" t="s">
        <v>956</v>
      </c>
      <c r="P274" s="35" t="s">
        <v>957</v>
      </c>
      <c r="Q274" s="35" t="s">
        <v>253</v>
      </c>
      <c r="R274" s="35" t="s">
        <v>253</v>
      </c>
      <c r="S274" s="35" t="s">
        <v>257</v>
      </c>
      <c r="T274" s="35" t="s">
        <v>253</v>
      </c>
      <c r="U274" s="35" t="s">
        <v>253</v>
      </c>
      <c r="V274" s="35" t="s">
        <v>297</v>
      </c>
      <c r="W274" s="35" t="s">
        <v>253</v>
      </c>
      <c r="X274" s="35" t="s">
        <v>1839</v>
      </c>
      <c r="Y274" s="35" t="s">
        <v>1840</v>
      </c>
    </row>
    <row r="275" spans="1:25" x14ac:dyDescent="0.2">
      <c r="A275" s="35">
        <v>942</v>
      </c>
      <c r="B275" s="35" t="s">
        <v>1841</v>
      </c>
      <c r="C275" s="35" t="s">
        <v>253</v>
      </c>
      <c r="D275" s="35" t="s">
        <v>253</v>
      </c>
      <c r="E275" s="35" t="s">
        <v>1565</v>
      </c>
      <c r="F275" s="35" t="s">
        <v>1566</v>
      </c>
      <c r="G275" s="35" t="s">
        <v>2008</v>
      </c>
      <c r="H275" s="35" t="s">
        <v>521</v>
      </c>
      <c r="I275" s="35">
        <v>2108</v>
      </c>
      <c r="J275" s="35">
        <v>538.18554635301803</v>
      </c>
      <c r="K275" s="35">
        <v>136.28433313071301</v>
      </c>
      <c r="L275" s="35">
        <v>-11.51</v>
      </c>
      <c r="M275" s="35">
        <v>-7.62</v>
      </c>
      <c r="N275" s="35">
        <v>82</v>
      </c>
      <c r="O275" s="35" t="s">
        <v>1086</v>
      </c>
      <c r="P275" s="35" t="s">
        <v>1087</v>
      </c>
      <c r="Q275" s="35" t="s">
        <v>253</v>
      </c>
      <c r="R275" s="35" t="s">
        <v>253</v>
      </c>
      <c r="S275" s="35" t="s">
        <v>253</v>
      </c>
      <c r="T275" s="35" t="s">
        <v>253</v>
      </c>
      <c r="U275" s="35" t="s">
        <v>253</v>
      </c>
      <c r="V275" s="35" t="s">
        <v>297</v>
      </c>
      <c r="W275" s="35" t="s">
        <v>253</v>
      </c>
      <c r="X275" s="35" t="s">
        <v>1842</v>
      </c>
      <c r="Y275" s="35" t="s">
        <v>1843</v>
      </c>
    </row>
    <row r="276" spans="1:25" x14ac:dyDescent="0.2">
      <c r="A276" s="35">
        <v>968</v>
      </c>
      <c r="B276" s="35" t="s">
        <v>1844</v>
      </c>
      <c r="C276" s="35" t="s">
        <v>253</v>
      </c>
      <c r="D276" s="35" t="s">
        <v>253</v>
      </c>
      <c r="E276" s="35" t="s">
        <v>1565</v>
      </c>
      <c r="F276" s="35" t="s">
        <v>1566</v>
      </c>
      <c r="G276" s="35" t="s">
        <v>2008</v>
      </c>
      <c r="H276" s="35" t="s">
        <v>521</v>
      </c>
      <c r="I276" s="35">
        <v>24126</v>
      </c>
      <c r="J276" s="35">
        <v>441.40201140232801</v>
      </c>
      <c r="K276" s="35">
        <v>133.94891704503399</v>
      </c>
      <c r="L276" s="35">
        <v>-11.44</v>
      </c>
      <c r="M276" s="35">
        <v>-10.74</v>
      </c>
      <c r="N276" s="35">
        <v>52</v>
      </c>
      <c r="O276" s="35" t="s">
        <v>1086</v>
      </c>
      <c r="P276" s="35" t="s">
        <v>1087</v>
      </c>
      <c r="Q276" s="35" t="s">
        <v>253</v>
      </c>
      <c r="R276" s="35" t="s">
        <v>253</v>
      </c>
      <c r="S276" s="35" t="s">
        <v>253</v>
      </c>
      <c r="T276" s="35" t="s">
        <v>261</v>
      </c>
      <c r="U276" s="35" t="s">
        <v>253</v>
      </c>
      <c r="V276" s="35" t="s">
        <v>297</v>
      </c>
      <c r="W276" s="35" t="s">
        <v>253</v>
      </c>
      <c r="X276" s="35" t="s">
        <v>1845</v>
      </c>
      <c r="Y276" s="35" t="s">
        <v>1846</v>
      </c>
    </row>
    <row r="277" spans="1:25" x14ac:dyDescent="0.2">
      <c r="A277" s="35">
        <v>973</v>
      </c>
      <c r="B277" s="35" t="s">
        <v>1847</v>
      </c>
      <c r="C277" s="35" t="s">
        <v>253</v>
      </c>
      <c r="D277" s="35" t="s">
        <v>253</v>
      </c>
      <c r="E277" s="35" t="s">
        <v>1565</v>
      </c>
      <c r="F277" s="35" t="s">
        <v>1566</v>
      </c>
      <c r="G277" s="35" t="s">
        <v>2008</v>
      </c>
      <c r="H277" s="35" t="s">
        <v>928</v>
      </c>
      <c r="I277" s="35">
        <v>2148</v>
      </c>
      <c r="J277" s="35">
        <v>694.65842409352604</v>
      </c>
      <c r="K277" s="35">
        <v>286.02342782417901</v>
      </c>
      <c r="L277" s="35">
        <v>-16.36</v>
      </c>
      <c r="M277" s="35">
        <v>-2.56</v>
      </c>
      <c r="N277" s="35">
        <v>82</v>
      </c>
      <c r="O277" s="35" t="s">
        <v>918</v>
      </c>
      <c r="P277" s="35" t="s">
        <v>919</v>
      </c>
      <c r="Q277" s="35" t="s">
        <v>253</v>
      </c>
      <c r="R277" s="35" t="s">
        <v>253</v>
      </c>
      <c r="S277" s="35" t="s">
        <v>257</v>
      </c>
      <c r="T277" s="35" t="s">
        <v>253</v>
      </c>
      <c r="U277" s="35" t="s">
        <v>253</v>
      </c>
      <c r="V277" s="35" t="s">
        <v>297</v>
      </c>
      <c r="W277" s="35" t="s">
        <v>253</v>
      </c>
      <c r="X277" s="35" t="s">
        <v>1848</v>
      </c>
      <c r="Y277" s="35" t="s">
        <v>1849</v>
      </c>
    </row>
    <row r="278" spans="1:25" x14ac:dyDescent="0.2">
      <c r="A278" s="35">
        <v>976</v>
      </c>
      <c r="B278" s="35" t="s">
        <v>1850</v>
      </c>
      <c r="C278" s="35" t="s">
        <v>253</v>
      </c>
      <c r="D278" s="35" t="s">
        <v>253</v>
      </c>
      <c r="E278" s="35" t="s">
        <v>1565</v>
      </c>
      <c r="F278" s="35" t="s">
        <v>1566</v>
      </c>
      <c r="G278" s="35" t="s">
        <v>2008</v>
      </c>
      <c r="H278" s="35" t="s">
        <v>928</v>
      </c>
      <c r="I278" s="35">
        <v>9777</v>
      </c>
      <c r="J278" s="35">
        <v>274.12783426555399</v>
      </c>
      <c r="K278" s="35">
        <v>327.90522296069298</v>
      </c>
      <c r="L278" s="35">
        <v>-17.72</v>
      </c>
      <c r="M278" s="35">
        <v>-16.149999999999999</v>
      </c>
      <c r="N278" s="35">
        <v>210</v>
      </c>
      <c r="O278" s="35" t="s">
        <v>913</v>
      </c>
      <c r="P278" s="35" t="s">
        <v>914</v>
      </c>
      <c r="Q278" s="35" t="s">
        <v>253</v>
      </c>
      <c r="R278" s="35" t="s">
        <v>253</v>
      </c>
      <c r="S278" s="35" t="s">
        <v>253</v>
      </c>
      <c r="T278" s="35" t="s">
        <v>253</v>
      </c>
      <c r="U278" s="35" t="s">
        <v>253</v>
      </c>
      <c r="V278" s="35" t="s">
        <v>297</v>
      </c>
      <c r="W278" s="35" t="s">
        <v>253</v>
      </c>
      <c r="X278" s="35" t="s">
        <v>1851</v>
      </c>
      <c r="Y278" s="35" t="s">
        <v>1852</v>
      </c>
    </row>
    <row r="279" spans="1:25" x14ac:dyDescent="0.2">
      <c r="A279" s="35">
        <v>995</v>
      </c>
      <c r="B279" s="35" t="s">
        <v>1853</v>
      </c>
      <c r="C279" s="35" t="s">
        <v>253</v>
      </c>
      <c r="D279" s="35" t="s">
        <v>253</v>
      </c>
      <c r="E279" s="35" t="s">
        <v>1565</v>
      </c>
      <c r="F279" s="35" t="s">
        <v>1566</v>
      </c>
      <c r="G279" s="35" t="s">
        <v>2008</v>
      </c>
      <c r="H279" s="35" t="s">
        <v>521</v>
      </c>
      <c r="I279" s="35">
        <v>2233</v>
      </c>
      <c r="J279" s="35">
        <v>451.75568938217299</v>
      </c>
      <c r="K279" s="35">
        <v>58.826366289019099</v>
      </c>
      <c r="L279" s="35">
        <v>-9</v>
      </c>
      <c r="M279" s="35">
        <v>-10.41</v>
      </c>
      <c r="N279" s="35">
        <v>266</v>
      </c>
      <c r="O279" s="35" t="s">
        <v>987</v>
      </c>
      <c r="P279" s="35" t="s">
        <v>988</v>
      </c>
      <c r="Q279" s="35" t="s">
        <v>253</v>
      </c>
      <c r="R279" s="35" t="s">
        <v>253</v>
      </c>
      <c r="S279" s="35" t="s">
        <v>257</v>
      </c>
      <c r="T279" s="35" t="s">
        <v>253</v>
      </c>
      <c r="U279" s="35" t="s">
        <v>253</v>
      </c>
      <c r="V279" s="35" t="s">
        <v>297</v>
      </c>
      <c r="W279" s="35" t="s">
        <v>253</v>
      </c>
      <c r="X279" s="35" t="s">
        <v>1854</v>
      </c>
      <c r="Y279" s="35" t="s">
        <v>1855</v>
      </c>
    </row>
    <row r="280" spans="1:25" x14ac:dyDescent="0.2">
      <c r="A280" s="35">
        <v>996</v>
      </c>
      <c r="B280" s="35" t="s">
        <v>1856</v>
      </c>
      <c r="C280" s="35" t="s">
        <v>253</v>
      </c>
      <c r="D280" s="35" t="s">
        <v>253</v>
      </c>
      <c r="E280" s="35" t="s">
        <v>1565</v>
      </c>
      <c r="F280" s="35" t="s">
        <v>1566</v>
      </c>
      <c r="G280" s="35" t="s">
        <v>2008</v>
      </c>
      <c r="H280" s="35" t="s">
        <v>521</v>
      </c>
      <c r="I280" s="35">
        <v>26686</v>
      </c>
      <c r="J280" s="35">
        <v>582.03298336164505</v>
      </c>
      <c r="K280" s="35">
        <v>124.607252702317</v>
      </c>
      <c r="L280" s="35">
        <v>-11.13</v>
      </c>
      <c r="M280" s="35">
        <v>-6.2</v>
      </c>
      <c r="N280" s="35">
        <v>840</v>
      </c>
      <c r="O280" s="35" t="s">
        <v>904</v>
      </c>
      <c r="P280" s="35" t="s">
        <v>905</v>
      </c>
      <c r="Q280" s="35" t="s">
        <v>253</v>
      </c>
      <c r="R280" s="35" t="s">
        <v>253</v>
      </c>
      <c r="S280" s="35" t="s">
        <v>257</v>
      </c>
      <c r="T280" s="35" t="s">
        <v>253</v>
      </c>
      <c r="U280" s="35" t="s">
        <v>253</v>
      </c>
      <c r="V280" s="35" t="s">
        <v>253</v>
      </c>
      <c r="W280" s="35" t="s">
        <v>253</v>
      </c>
      <c r="X280" s="35" t="s">
        <v>1857</v>
      </c>
      <c r="Y280" s="35" t="s">
        <v>1858</v>
      </c>
    </row>
    <row r="281" spans="1:25" x14ac:dyDescent="0.2">
      <c r="A281" s="35">
        <v>1001</v>
      </c>
      <c r="B281" s="35" t="s">
        <v>1859</v>
      </c>
      <c r="C281" s="35" t="s">
        <v>253</v>
      </c>
      <c r="D281" s="35" t="s">
        <v>253</v>
      </c>
      <c r="E281" s="35" t="s">
        <v>1565</v>
      </c>
      <c r="F281" s="35" t="s">
        <v>1566</v>
      </c>
      <c r="G281" s="35" t="s">
        <v>2008</v>
      </c>
      <c r="H281" s="35" t="s">
        <v>928</v>
      </c>
      <c r="I281" s="35">
        <v>16691</v>
      </c>
      <c r="J281" s="35">
        <v>572</v>
      </c>
      <c r="K281" s="35">
        <v>299</v>
      </c>
      <c r="L281" s="35">
        <v>-16.78</v>
      </c>
      <c r="M281" s="35">
        <v>-6.52</v>
      </c>
      <c r="N281" s="35">
        <v>82</v>
      </c>
      <c r="O281" s="35" t="s">
        <v>918</v>
      </c>
      <c r="P281" s="35" t="s">
        <v>919</v>
      </c>
      <c r="Q281" s="35" t="s">
        <v>253</v>
      </c>
      <c r="R281" s="35" t="s">
        <v>259</v>
      </c>
      <c r="S281" s="35" t="s">
        <v>253</v>
      </c>
      <c r="T281" s="35" t="s">
        <v>261</v>
      </c>
      <c r="U281" s="35" t="s">
        <v>253</v>
      </c>
      <c r="V281" s="35" t="s">
        <v>297</v>
      </c>
      <c r="W281" s="35" t="s">
        <v>253</v>
      </c>
      <c r="X281" s="35" t="s">
        <v>1860</v>
      </c>
      <c r="Y281" s="35" t="s">
        <v>1861</v>
      </c>
    </row>
    <row r="282" spans="1:25" x14ac:dyDescent="0.2">
      <c r="A282" s="35">
        <v>1003</v>
      </c>
      <c r="B282" s="35" t="s">
        <v>1862</v>
      </c>
      <c r="C282" s="35" t="s">
        <v>253</v>
      </c>
      <c r="D282" s="35" t="s">
        <v>253</v>
      </c>
      <c r="E282" s="35" t="s">
        <v>1565</v>
      </c>
      <c r="F282" s="35" t="s">
        <v>1566</v>
      </c>
      <c r="G282" s="35" t="s">
        <v>2008</v>
      </c>
      <c r="H282" s="35" t="s">
        <v>928</v>
      </c>
      <c r="I282" s="35">
        <v>13444</v>
      </c>
      <c r="J282" s="35">
        <v>824.13778424372504</v>
      </c>
      <c r="K282" s="35">
        <v>381.58086932988698</v>
      </c>
      <c r="L282" s="35">
        <v>-19.46</v>
      </c>
      <c r="M282" s="35">
        <v>1.62</v>
      </c>
      <c r="N282" s="35">
        <v>1736</v>
      </c>
      <c r="O282" s="35" t="s">
        <v>568</v>
      </c>
      <c r="P282" s="35" t="s">
        <v>569</v>
      </c>
      <c r="Q282" s="35" t="s">
        <v>253</v>
      </c>
      <c r="R282" s="35" t="s">
        <v>253</v>
      </c>
      <c r="S282" s="35" t="s">
        <v>253</v>
      </c>
      <c r="T282" s="35" t="s">
        <v>253</v>
      </c>
      <c r="U282" s="35" t="s">
        <v>258</v>
      </c>
      <c r="V282" s="35" t="s">
        <v>253</v>
      </c>
      <c r="W282" s="35" t="s">
        <v>253</v>
      </c>
      <c r="X282" s="35" t="s">
        <v>1863</v>
      </c>
      <c r="Y282" s="35" t="s">
        <v>1864</v>
      </c>
    </row>
    <row r="283" spans="1:25" x14ac:dyDescent="0.2">
      <c r="A283" s="35">
        <v>1004</v>
      </c>
      <c r="B283" s="35" t="s">
        <v>1865</v>
      </c>
      <c r="C283" s="35" t="s">
        <v>253</v>
      </c>
      <c r="D283" s="35" t="s">
        <v>253</v>
      </c>
      <c r="E283" s="35" t="s">
        <v>1565</v>
      </c>
      <c r="F283" s="35" t="s">
        <v>1566</v>
      </c>
      <c r="G283" s="35" t="s">
        <v>2024</v>
      </c>
      <c r="H283" s="35" t="s">
        <v>928</v>
      </c>
      <c r="I283" s="35">
        <v>2345</v>
      </c>
      <c r="J283" s="35">
        <v>410.26313025993898</v>
      </c>
      <c r="K283" s="35">
        <v>445.61019367892601</v>
      </c>
      <c r="L283" s="35">
        <v>-21.53</v>
      </c>
      <c r="M283" s="35">
        <v>-11.75</v>
      </c>
      <c r="N283" s="35">
        <v>118</v>
      </c>
      <c r="O283" s="35" t="s">
        <v>945</v>
      </c>
      <c r="P283" s="35" t="s">
        <v>946</v>
      </c>
      <c r="Q283" s="35" t="s">
        <v>253</v>
      </c>
      <c r="R283" s="35" t="s">
        <v>253</v>
      </c>
      <c r="S283" s="35" t="s">
        <v>257</v>
      </c>
      <c r="T283" s="35" t="s">
        <v>261</v>
      </c>
      <c r="U283" s="35" t="s">
        <v>253</v>
      </c>
      <c r="V283" s="35" t="s">
        <v>297</v>
      </c>
      <c r="W283" s="35" t="s">
        <v>253</v>
      </c>
      <c r="X283" s="35" t="s">
        <v>1866</v>
      </c>
      <c r="Y283" s="35" t="s">
        <v>1867</v>
      </c>
    </row>
    <row r="284" spans="1:25" x14ac:dyDescent="0.2">
      <c r="A284" s="35">
        <v>1006</v>
      </c>
      <c r="B284" s="35" t="s">
        <v>1868</v>
      </c>
      <c r="C284" s="35" t="s">
        <v>253</v>
      </c>
      <c r="D284" s="35" t="s">
        <v>253</v>
      </c>
      <c r="E284" s="35" t="s">
        <v>1565</v>
      </c>
      <c r="F284" s="35" t="s">
        <v>1566</v>
      </c>
      <c r="G284" s="35" t="s">
        <v>2015</v>
      </c>
      <c r="H284" s="35" t="s">
        <v>256</v>
      </c>
      <c r="I284" s="35">
        <v>2128</v>
      </c>
      <c r="J284" s="35">
        <v>223.896926622737</v>
      </c>
      <c r="K284" s="35">
        <v>482.91846564765098</v>
      </c>
      <c r="L284" s="35">
        <v>-22.74</v>
      </c>
      <c r="M284" s="35">
        <v>-17.77</v>
      </c>
      <c r="N284" s="35">
        <v>52</v>
      </c>
      <c r="O284" s="35" t="s">
        <v>602</v>
      </c>
      <c r="P284" s="35" t="s">
        <v>603</v>
      </c>
      <c r="Q284" s="35" t="s">
        <v>253</v>
      </c>
      <c r="R284" s="35" t="s">
        <v>253</v>
      </c>
      <c r="S284" s="35" t="s">
        <v>257</v>
      </c>
      <c r="T284" s="35" t="s">
        <v>253</v>
      </c>
      <c r="U284" s="35" t="s">
        <v>253</v>
      </c>
      <c r="V284" s="35" t="s">
        <v>297</v>
      </c>
      <c r="W284" s="35" t="s">
        <v>253</v>
      </c>
      <c r="X284" s="35" t="s">
        <v>1869</v>
      </c>
      <c r="Y284" s="35" t="s">
        <v>1870</v>
      </c>
    </row>
    <row r="285" spans="1:25" x14ac:dyDescent="0.2">
      <c r="A285" s="35">
        <v>1030</v>
      </c>
      <c r="B285" s="35" t="s">
        <v>1871</v>
      </c>
      <c r="C285" s="35" t="s">
        <v>253</v>
      </c>
      <c r="D285" s="35" t="s">
        <v>253</v>
      </c>
      <c r="E285" s="35" t="s">
        <v>1565</v>
      </c>
      <c r="F285" s="35" t="s">
        <v>1566</v>
      </c>
      <c r="G285" s="35" t="s">
        <v>2008</v>
      </c>
      <c r="H285" s="35" t="s">
        <v>521</v>
      </c>
      <c r="I285" s="35">
        <v>3193</v>
      </c>
      <c r="J285" s="35">
        <v>508</v>
      </c>
      <c r="K285" s="35">
        <v>142</v>
      </c>
      <c r="L285" s="35">
        <v>-11.7</v>
      </c>
      <c r="M285" s="35">
        <v>-8.59</v>
      </c>
      <c r="N285" s="35">
        <v>118</v>
      </c>
      <c r="O285" s="35" t="s">
        <v>1086</v>
      </c>
      <c r="P285" s="35" t="s">
        <v>1087</v>
      </c>
      <c r="Q285" s="35" t="s">
        <v>253</v>
      </c>
      <c r="R285" s="35" t="s">
        <v>259</v>
      </c>
      <c r="S285" s="35" t="s">
        <v>257</v>
      </c>
      <c r="T285" s="35" t="s">
        <v>261</v>
      </c>
      <c r="U285" s="35" t="s">
        <v>253</v>
      </c>
      <c r="V285" s="35" t="s">
        <v>297</v>
      </c>
      <c r="W285" s="35" t="s">
        <v>253</v>
      </c>
      <c r="X285" s="35" t="s">
        <v>1872</v>
      </c>
      <c r="Y285" s="35" t="s">
        <v>1873</v>
      </c>
    </row>
    <row r="286" spans="1:25" x14ac:dyDescent="0.2">
      <c r="A286" s="35">
        <v>1033</v>
      </c>
      <c r="B286" s="35" t="s">
        <v>1874</v>
      </c>
      <c r="C286" s="35" t="s">
        <v>253</v>
      </c>
      <c r="D286" s="35" t="s">
        <v>253</v>
      </c>
      <c r="E286" s="35" t="s">
        <v>1565</v>
      </c>
      <c r="F286" s="35" t="s">
        <v>1566</v>
      </c>
      <c r="G286" s="35" t="s">
        <v>2024</v>
      </c>
      <c r="H286" s="35" t="s">
        <v>928</v>
      </c>
      <c r="I286" s="35">
        <v>13999</v>
      </c>
      <c r="J286" s="35">
        <v>597.38834412498602</v>
      </c>
      <c r="K286" s="35">
        <v>374.788700880703</v>
      </c>
      <c r="L286" s="35">
        <v>-19.239999999999998</v>
      </c>
      <c r="M286" s="35">
        <v>-5.7</v>
      </c>
      <c r="N286" s="35">
        <v>3793</v>
      </c>
      <c r="O286" s="35" t="s">
        <v>542</v>
      </c>
      <c r="P286" s="35" t="s">
        <v>543</v>
      </c>
      <c r="Q286" s="35" t="s">
        <v>253</v>
      </c>
      <c r="R286" s="35" t="s">
        <v>253</v>
      </c>
      <c r="S286" s="35" t="s">
        <v>257</v>
      </c>
      <c r="T286" s="35" t="s">
        <v>261</v>
      </c>
      <c r="U286" s="35" t="s">
        <v>253</v>
      </c>
      <c r="V286" s="35" t="s">
        <v>253</v>
      </c>
      <c r="W286" s="35" t="s">
        <v>253</v>
      </c>
      <c r="X286" s="35" t="s">
        <v>1875</v>
      </c>
      <c r="Y286" s="35" t="s">
        <v>1876</v>
      </c>
    </row>
    <row r="287" spans="1:25" x14ac:dyDescent="0.2">
      <c r="A287" s="35">
        <v>1052</v>
      </c>
      <c r="B287" s="35" t="s">
        <v>1877</v>
      </c>
      <c r="C287" s="35" t="s">
        <v>253</v>
      </c>
      <c r="D287" s="35" t="s">
        <v>253</v>
      </c>
      <c r="E287" s="35" t="s">
        <v>1565</v>
      </c>
      <c r="F287" s="35" t="s">
        <v>1566</v>
      </c>
      <c r="G287" s="35" t="s">
        <v>2007</v>
      </c>
      <c r="H287" s="35" t="s">
        <v>256</v>
      </c>
      <c r="I287" s="35">
        <v>9542</v>
      </c>
      <c r="J287" s="35">
        <v>173</v>
      </c>
      <c r="K287" s="35">
        <v>193</v>
      </c>
      <c r="L287" s="35">
        <v>-13.35</v>
      </c>
      <c r="M287" s="35">
        <v>-19.41</v>
      </c>
      <c r="N287" s="35">
        <v>52</v>
      </c>
      <c r="O287" s="35" t="s">
        <v>904</v>
      </c>
      <c r="P287" s="35" t="s">
        <v>905</v>
      </c>
      <c r="Q287" s="35" t="s">
        <v>253</v>
      </c>
      <c r="R287" s="35" t="s">
        <v>259</v>
      </c>
      <c r="S287" s="35" t="s">
        <v>253</v>
      </c>
      <c r="T287" s="35" t="s">
        <v>253</v>
      </c>
      <c r="U287" s="35" t="s">
        <v>258</v>
      </c>
      <c r="V287" s="35" t="s">
        <v>297</v>
      </c>
      <c r="W287" s="35" t="s">
        <v>253</v>
      </c>
      <c r="X287" s="35" t="s">
        <v>1878</v>
      </c>
      <c r="Y287" s="35" t="s">
        <v>1879</v>
      </c>
    </row>
    <row r="288" spans="1:25" x14ac:dyDescent="0.2">
      <c r="A288" s="35">
        <v>7</v>
      </c>
      <c r="B288" s="35" t="s">
        <v>1880</v>
      </c>
      <c r="C288" s="35" t="s">
        <v>253</v>
      </c>
      <c r="D288" s="35" t="s">
        <v>253</v>
      </c>
      <c r="E288" s="35" t="s">
        <v>1882</v>
      </c>
      <c r="F288" s="35" t="s">
        <v>1883</v>
      </c>
      <c r="G288" s="35" t="s">
        <v>522</v>
      </c>
      <c r="H288" s="35" t="s">
        <v>521</v>
      </c>
      <c r="I288" s="35">
        <v>6874</v>
      </c>
      <c r="J288" s="35">
        <v>999.8</v>
      </c>
      <c r="K288" s="35">
        <v>125.2</v>
      </c>
      <c r="L288" s="35">
        <v>-11.15</v>
      </c>
      <c r="M288" s="35">
        <v>7.29</v>
      </c>
      <c r="N288" s="35">
        <v>82</v>
      </c>
      <c r="O288" s="35" t="s">
        <v>1086</v>
      </c>
      <c r="P288" s="35" t="s">
        <v>1087</v>
      </c>
      <c r="Q288" s="35" t="s">
        <v>332</v>
      </c>
      <c r="R288" s="35" t="s">
        <v>253</v>
      </c>
      <c r="S288" s="35" t="s">
        <v>257</v>
      </c>
      <c r="T288" s="35" t="s">
        <v>253</v>
      </c>
      <c r="U288" s="35" t="s">
        <v>253</v>
      </c>
      <c r="V288" s="35" t="s">
        <v>253</v>
      </c>
      <c r="W288" s="35" t="s">
        <v>253</v>
      </c>
      <c r="X288" s="35" t="s">
        <v>1884</v>
      </c>
      <c r="Y288" s="35" t="s">
        <v>1885</v>
      </c>
    </row>
    <row r="289" spans="1:25" x14ac:dyDescent="0.2">
      <c r="A289" s="35">
        <v>37</v>
      </c>
      <c r="B289" s="35" t="s">
        <v>1886</v>
      </c>
      <c r="C289" s="35" t="s">
        <v>253</v>
      </c>
      <c r="D289" s="35" t="s">
        <v>253</v>
      </c>
      <c r="E289" s="35" t="s">
        <v>1882</v>
      </c>
      <c r="F289" s="35" t="s">
        <v>1883</v>
      </c>
      <c r="G289" s="35" t="s">
        <v>2008</v>
      </c>
      <c r="H289" s="35" t="s">
        <v>521</v>
      </c>
      <c r="I289" s="35">
        <v>24148</v>
      </c>
      <c r="J289" s="35">
        <v>760.75069931824805</v>
      </c>
      <c r="K289" s="35">
        <v>143.91335901059799</v>
      </c>
      <c r="L289" s="35">
        <v>-11.76</v>
      </c>
      <c r="M289" s="35">
        <v>-0.43</v>
      </c>
      <c r="N289" s="35">
        <v>82</v>
      </c>
      <c r="O289" s="35" t="s">
        <v>1086</v>
      </c>
      <c r="P289" s="35" t="s">
        <v>1087</v>
      </c>
      <c r="Q289" s="35" t="s">
        <v>253</v>
      </c>
      <c r="R289" s="35" t="s">
        <v>253</v>
      </c>
      <c r="S289" s="35" t="s">
        <v>253</v>
      </c>
      <c r="T289" s="35" t="s">
        <v>261</v>
      </c>
      <c r="U289" s="35" t="s">
        <v>258</v>
      </c>
      <c r="V289" s="35" t="s">
        <v>253</v>
      </c>
      <c r="W289" s="35" t="s">
        <v>266</v>
      </c>
      <c r="X289" s="35" t="s">
        <v>1887</v>
      </c>
      <c r="Y289" s="35" t="s">
        <v>1888</v>
      </c>
    </row>
    <row r="290" spans="1:25" x14ac:dyDescent="0.2">
      <c r="A290" s="35">
        <v>44</v>
      </c>
      <c r="B290" s="35" t="s">
        <v>1889</v>
      </c>
      <c r="C290" s="35" t="s">
        <v>253</v>
      </c>
      <c r="D290" s="35" t="s">
        <v>253</v>
      </c>
      <c r="E290" s="35" t="s">
        <v>1882</v>
      </c>
      <c r="F290" s="35" t="s">
        <v>1883</v>
      </c>
      <c r="G290" s="35" t="s">
        <v>522</v>
      </c>
      <c r="H290" s="35" t="s">
        <v>521</v>
      </c>
      <c r="I290" s="35">
        <v>40934</v>
      </c>
      <c r="J290" s="35">
        <v>945.07341388048098</v>
      </c>
      <c r="K290" s="35">
        <v>4.9171783112570804</v>
      </c>
      <c r="L290" s="35">
        <v>-7.26</v>
      </c>
      <c r="M290" s="35">
        <v>5.53</v>
      </c>
      <c r="N290" s="35">
        <v>118</v>
      </c>
      <c r="O290" s="35" t="s">
        <v>1292</v>
      </c>
      <c r="P290" s="35" t="s">
        <v>1293</v>
      </c>
      <c r="Q290" s="35" t="s">
        <v>253</v>
      </c>
      <c r="R290" s="35" t="s">
        <v>253</v>
      </c>
      <c r="S290" s="35" t="s">
        <v>257</v>
      </c>
      <c r="T290" s="35" t="s">
        <v>261</v>
      </c>
      <c r="U290" s="35" t="s">
        <v>258</v>
      </c>
      <c r="V290" s="35" t="s">
        <v>297</v>
      </c>
      <c r="W290" s="35" t="s">
        <v>253</v>
      </c>
      <c r="X290" s="35" t="s">
        <v>1892</v>
      </c>
      <c r="Y290" s="35" t="s">
        <v>1893</v>
      </c>
    </row>
    <row r="291" spans="1:25" x14ac:dyDescent="0.2">
      <c r="A291" s="35">
        <v>72</v>
      </c>
      <c r="B291" s="35" t="s">
        <v>1894</v>
      </c>
      <c r="C291" s="35" t="s">
        <v>253</v>
      </c>
      <c r="D291" s="35" t="s">
        <v>253</v>
      </c>
      <c r="E291" s="35" t="s">
        <v>1882</v>
      </c>
      <c r="F291" s="35" t="s">
        <v>1883</v>
      </c>
      <c r="G291" s="35" t="s">
        <v>522</v>
      </c>
      <c r="H291" s="35" t="s">
        <v>521</v>
      </c>
      <c r="I291" s="35">
        <v>5048</v>
      </c>
      <c r="J291" s="35">
        <v>1218.4533285099401</v>
      </c>
      <c r="K291" s="35">
        <v>546.422321377412</v>
      </c>
      <c r="L291" s="35">
        <v>-24.79</v>
      </c>
      <c r="M291" s="35">
        <v>14.36</v>
      </c>
      <c r="N291" s="35">
        <v>643</v>
      </c>
      <c r="O291" s="35" t="s">
        <v>564</v>
      </c>
      <c r="P291" s="35" t="s">
        <v>565</v>
      </c>
      <c r="Q291" s="35" t="s">
        <v>253</v>
      </c>
      <c r="R291" s="35" t="s">
        <v>253</v>
      </c>
      <c r="S291" s="35" t="s">
        <v>253</v>
      </c>
      <c r="T291" s="35" t="s">
        <v>253</v>
      </c>
      <c r="U291" s="35" t="s">
        <v>258</v>
      </c>
      <c r="V291" s="35" t="s">
        <v>253</v>
      </c>
      <c r="W291" s="35" t="s">
        <v>253</v>
      </c>
      <c r="X291" s="35" t="s">
        <v>1895</v>
      </c>
      <c r="Y291" s="35" t="s">
        <v>1896</v>
      </c>
    </row>
    <row r="292" spans="1:25" x14ac:dyDescent="0.2">
      <c r="A292" s="35">
        <v>94</v>
      </c>
      <c r="B292" s="35" t="s">
        <v>1897</v>
      </c>
      <c r="C292" s="35" t="s">
        <v>253</v>
      </c>
      <c r="D292" s="35" t="s">
        <v>253</v>
      </c>
      <c r="E292" s="35" t="s">
        <v>1882</v>
      </c>
      <c r="F292" s="35" t="s">
        <v>1883</v>
      </c>
      <c r="G292" s="35" t="s">
        <v>522</v>
      </c>
      <c r="H292" s="35" t="s">
        <v>521</v>
      </c>
      <c r="I292" s="35">
        <v>2428</v>
      </c>
      <c r="J292" s="35">
        <v>1286.6280164110599</v>
      </c>
      <c r="K292" s="35">
        <v>441.13397951470699</v>
      </c>
      <c r="L292" s="35">
        <v>-21.38</v>
      </c>
      <c r="M292" s="35">
        <v>16.559999999999999</v>
      </c>
      <c r="N292" s="35">
        <v>397</v>
      </c>
      <c r="O292" s="35" t="s">
        <v>602</v>
      </c>
      <c r="P292" s="35" t="s">
        <v>603</v>
      </c>
      <c r="Q292" s="35" t="s">
        <v>253</v>
      </c>
      <c r="R292" s="35" t="s">
        <v>253</v>
      </c>
      <c r="S292" s="35" t="s">
        <v>257</v>
      </c>
      <c r="T292" s="35" t="s">
        <v>253</v>
      </c>
      <c r="U292" s="35" t="s">
        <v>253</v>
      </c>
      <c r="V292" s="35" t="s">
        <v>253</v>
      </c>
      <c r="W292" s="35" t="s">
        <v>253</v>
      </c>
      <c r="X292" s="35" t="s">
        <v>1900</v>
      </c>
      <c r="Y292" s="35" t="s">
        <v>1901</v>
      </c>
    </row>
    <row r="293" spans="1:25" x14ac:dyDescent="0.2">
      <c r="A293" s="35">
        <v>112</v>
      </c>
      <c r="B293" s="35" t="s">
        <v>1268</v>
      </c>
      <c r="C293" s="35" t="s">
        <v>253</v>
      </c>
      <c r="D293" s="35" t="s">
        <v>253</v>
      </c>
      <c r="E293" s="35" t="s">
        <v>1882</v>
      </c>
      <c r="F293" s="35" t="s">
        <v>1883</v>
      </c>
      <c r="G293" s="35" t="s">
        <v>2008</v>
      </c>
      <c r="H293" s="35" t="s">
        <v>521</v>
      </c>
      <c r="I293" s="35">
        <v>6955</v>
      </c>
      <c r="J293" s="35">
        <v>744.79202273277303</v>
      </c>
      <c r="K293" s="35">
        <v>146.03469528842399</v>
      </c>
      <c r="L293" s="35">
        <v>-11.83</v>
      </c>
      <c r="M293" s="35">
        <v>-0.94</v>
      </c>
      <c r="N293" s="35">
        <v>328</v>
      </c>
      <c r="O293" s="35" t="s">
        <v>1086</v>
      </c>
      <c r="P293" s="35" t="s">
        <v>1087</v>
      </c>
      <c r="Q293" s="35" t="s">
        <v>253</v>
      </c>
      <c r="R293" s="35" t="s">
        <v>253</v>
      </c>
      <c r="S293" s="35" t="s">
        <v>257</v>
      </c>
      <c r="T293" s="35" t="s">
        <v>253</v>
      </c>
      <c r="U293" s="35" t="s">
        <v>253</v>
      </c>
      <c r="V293" s="35" t="s">
        <v>253</v>
      </c>
      <c r="W293" s="35" t="s">
        <v>253</v>
      </c>
      <c r="X293" s="35" t="s">
        <v>1271</v>
      </c>
      <c r="Y293" s="35" t="s">
        <v>1272</v>
      </c>
    </row>
    <row r="294" spans="1:25" x14ac:dyDescent="0.2">
      <c r="A294" s="35">
        <v>149</v>
      </c>
      <c r="B294" s="35" t="s">
        <v>1273</v>
      </c>
      <c r="C294" s="35" t="s">
        <v>253</v>
      </c>
      <c r="D294" s="35" t="s">
        <v>253</v>
      </c>
      <c r="E294" s="35" t="s">
        <v>1882</v>
      </c>
      <c r="F294" s="35" t="s">
        <v>1883</v>
      </c>
      <c r="G294" s="35" t="s">
        <v>2008</v>
      </c>
      <c r="H294" s="35" t="s">
        <v>521</v>
      </c>
      <c r="I294" s="35">
        <v>9063</v>
      </c>
      <c r="J294" s="35">
        <v>720.67885164813504</v>
      </c>
      <c r="K294" s="35">
        <v>139.78745725923201</v>
      </c>
      <c r="L294" s="35">
        <v>-11.63</v>
      </c>
      <c r="M294" s="35">
        <v>-1.72</v>
      </c>
      <c r="N294" s="35">
        <v>948</v>
      </c>
      <c r="O294" s="35" t="s">
        <v>904</v>
      </c>
      <c r="P294" s="35" t="s">
        <v>905</v>
      </c>
      <c r="Q294" s="35" t="s">
        <v>253</v>
      </c>
      <c r="R294" s="35" t="s">
        <v>253</v>
      </c>
      <c r="S294" s="35" t="s">
        <v>257</v>
      </c>
      <c r="T294" s="35" t="s">
        <v>253</v>
      </c>
      <c r="U294" s="35" t="s">
        <v>253</v>
      </c>
      <c r="V294" s="35" t="s">
        <v>253</v>
      </c>
      <c r="W294" s="35" t="s">
        <v>253</v>
      </c>
      <c r="X294" s="35" t="s">
        <v>1274</v>
      </c>
      <c r="Y294" s="35" t="s">
        <v>1275</v>
      </c>
    </row>
    <row r="295" spans="1:25" x14ac:dyDescent="0.2">
      <c r="A295" s="35">
        <v>150</v>
      </c>
      <c r="B295" s="35" t="s">
        <v>1538</v>
      </c>
      <c r="C295" s="35" t="s">
        <v>253</v>
      </c>
      <c r="D295" s="35" t="s">
        <v>253</v>
      </c>
      <c r="E295" s="35" t="s">
        <v>1882</v>
      </c>
      <c r="F295" s="35" t="s">
        <v>1883</v>
      </c>
      <c r="G295" s="35" t="s">
        <v>522</v>
      </c>
      <c r="H295" s="35" t="s">
        <v>521</v>
      </c>
      <c r="I295" s="35">
        <v>6708</v>
      </c>
      <c r="J295" s="35">
        <v>1055</v>
      </c>
      <c r="K295" s="35">
        <v>163</v>
      </c>
      <c r="L295" s="35">
        <v>-12.38</v>
      </c>
      <c r="M295" s="35">
        <v>9.08</v>
      </c>
      <c r="N295" s="35">
        <v>1588</v>
      </c>
      <c r="O295" s="35" t="s">
        <v>913</v>
      </c>
      <c r="P295" s="35" t="s">
        <v>914</v>
      </c>
      <c r="Q295" s="35" t="s">
        <v>253</v>
      </c>
      <c r="R295" s="35" t="s">
        <v>259</v>
      </c>
      <c r="S295" s="35" t="s">
        <v>257</v>
      </c>
      <c r="T295" s="35" t="s">
        <v>253</v>
      </c>
      <c r="U295" s="35" t="s">
        <v>258</v>
      </c>
      <c r="V295" s="35" t="s">
        <v>253</v>
      </c>
      <c r="W295" s="35" t="s">
        <v>253</v>
      </c>
      <c r="X295" s="35" t="s">
        <v>1541</v>
      </c>
      <c r="Y295" s="35" t="s">
        <v>1542</v>
      </c>
    </row>
    <row r="296" spans="1:25" x14ac:dyDescent="0.2">
      <c r="A296" s="35">
        <v>164</v>
      </c>
      <c r="B296" s="35" t="s">
        <v>1319</v>
      </c>
      <c r="C296" s="35" t="s">
        <v>253</v>
      </c>
      <c r="D296" s="35" t="s">
        <v>253</v>
      </c>
      <c r="E296" s="35" t="s">
        <v>1882</v>
      </c>
      <c r="F296" s="35" t="s">
        <v>1883</v>
      </c>
      <c r="G296" s="35" t="s">
        <v>2008</v>
      </c>
      <c r="H296" s="35" t="s">
        <v>521</v>
      </c>
      <c r="I296" s="35">
        <v>1653</v>
      </c>
      <c r="J296" s="35">
        <v>785.62288063073197</v>
      </c>
      <c r="K296" s="35">
        <v>149.557281217656</v>
      </c>
      <c r="L296" s="35">
        <v>-11.94</v>
      </c>
      <c r="M296" s="35">
        <v>0.38</v>
      </c>
      <c r="N296" s="35">
        <v>161</v>
      </c>
      <c r="O296" s="35" t="s">
        <v>904</v>
      </c>
      <c r="P296" s="35" t="s">
        <v>905</v>
      </c>
      <c r="Q296" s="35" t="s">
        <v>253</v>
      </c>
      <c r="R296" s="35" t="s">
        <v>253</v>
      </c>
      <c r="S296" s="35" t="s">
        <v>257</v>
      </c>
      <c r="T296" s="35" t="s">
        <v>261</v>
      </c>
      <c r="U296" s="35" t="s">
        <v>253</v>
      </c>
      <c r="V296" s="35" t="s">
        <v>253</v>
      </c>
      <c r="W296" s="35" t="s">
        <v>253</v>
      </c>
      <c r="X296" s="35" t="s">
        <v>1322</v>
      </c>
      <c r="Y296" s="35" t="s">
        <v>1323</v>
      </c>
    </row>
    <row r="297" spans="1:25" x14ac:dyDescent="0.2">
      <c r="A297" s="35">
        <v>175</v>
      </c>
      <c r="B297" s="35" t="s">
        <v>925</v>
      </c>
      <c r="C297" s="35" t="s">
        <v>253</v>
      </c>
      <c r="D297" s="35" t="s">
        <v>253</v>
      </c>
      <c r="E297" s="35" t="s">
        <v>1882</v>
      </c>
      <c r="F297" s="35" t="s">
        <v>1883</v>
      </c>
      <c r="G297" s="35" t="s">
        <v>522</v>
      </c>
      <c r="H297" s="35" t="s">
        <v>928</v>
      </c>
      <c r="I297" s="35">
        <v>1574</v>
      </c>
      <c r="J297" s="35">
        <v>800.19976936551302</v>
      </c>
      <c r="K297" s="35">
        <v>251.361960752556</v>
      </c>
      <c r="L297" s="35">
        <v>-15.24</v>
      </c>
      <c r="M297" s="35">
        <v>0.85</v>
      </c>
      <c r="N297" s="35">
        <v>161</v>
      </c>
      <c r="O297" s="35" t="s">
        <v>929</v>
      </c>
      <c r="P297" s="35" t="s">
        <v>930</v>
      </c>
      <c r="Q297" s="35" t="s">
        <v>253</v>
      </c>
      <c r="R297" s="35" t="s">
        <v>253</v>
      </c>
      <c r="S297" s="35" t="s">
        <v>257</v>
      </c>
      <c r="T297" s="35" t="s">
        <v>253</v>
      </c>
      <c r="U297" s="35" t="s">
        <v>253</v>
      </c>
      <c r="V297" s="35" t="s">
        <v>253</v>
      </c>
      <c r="W297" s="35" t="s">
        <v>253</v>
      </c>
      <c r="X297" s="35" t="s">
        <v>931</v>
      </c>
      <c r="Y297" s="35" t="s">
        <v>932</v>
      </c>
    </row>
    <row r="298" spans="1:25" x14ac:dyDescent="0.2">
      <c r="A298" s="35">
        <v>201</v>
      </c>
      <c r="B298" s="35" t="s">
        <v>1902</v>
      </c>
      <c r="C298" s="35" t="s">
        <v>253</v>
      </c>
      <c r="D298" s="35" t="s">
        <v>253</v>
      </c>
      <c r="E298" s="35" t="s">
        <v>1882</v>
      </c>
      <c r="F298" s="35" t="s">
        <v>1883</v>
      </c>
      <c r="G298" s="35" t="s">
        <v>522</v>
      </c>
      <c r="H298" s="35" t="s">
        <v>521</v>
      </c>
      <c r="I298" s="35">
        <v>1680</v>
      </c>
      <c r="J298" s="35">
        <v>988.33699686768796</v>
      </c>
      <c r="K298" s="35">
        <v>0.53827315060854197</v>
      </c>
      <c r="L298" s="35">
        <v>-7.12</v>
      </c>
      <c r="M298" s="35">
        <v>6.92</v>
      </c>
      <c r="N298" s="35">
        <v>643</v>
      </c>
      <c r="O298" s="35" t="s">
        <v>987</v>
      </c>
      <c r="P298" s="35" t="s">
        <v>988</v>
      </c>
      <c r="Q298" s="35" t="s">
        <v>253</v>
      </c>
      <c r="R298" s="35" t="s">
        <v>253</v>
      </c>
      <c r="S298" s="35" t="s">
        <v>257</v>
      </c>
      <c r="T298" s="35" t="s">
        <v>253</v>
      </c>
      <c r="U298" s="35" t="s">
        <v>258</v>
      </c>
      <c r="V298" s="35" t="s">
        <v>253</v>
      </c>
      <c r="W298" s="35" t="s">
        <v>253</v>
      </c>
      <c r="X298" s="35" t="s">
        <v>1903</v>
      </c>
      <c r="Y298" s="35" t="s">
        <v>1904</v>
      </c>
    </row>
    <row r="299" spans="1:25" x14ac:dyDescent="0.2">
      <c r="A299" s="35">
        <v>203</v>
      </c>
      <c r="B299" s="35" t="s">
        <v>1543</v>
      </c>
      <c r="C299" s="35" t="s">
        <v>253</v>
      </c>
      <c r="D299" s="35" t="s">
        <v>253</v>
      </c>
      <c r="E299" s="35" t="s">
        <v>1882</v>
      </c>
      <c r="F299" s="35" t="s">
        <v>1883</v>
      </c>
      <c r="G299" s="35" t="s">
        <v>522</v>
      </c>
      <c r="H299" s="35" t="s">
        <v>521</v>
      </c>
      <c r="I299" s="35">
        <v>23950</v>
      </c>
      <c r="J299" s="35">
        <v>1055.5775183345299</v>
      </c>
      <c r="K299" s="35">
        <v>194.961662283403</v>
      </c>
      <c r="L299" s="35">
        <v>-13.41</v>
      </c>
      <c r="M299" s="35">
        <v>9.09</v>
      </c>
      <c r="N299" s="35">
        <v>397</v>
      </c>
      <c r="O299" s="35" t="s">
        <v>929</v>
      </c>
      <c r="P299" s="35" t="s">
        <v>930</v>
      </c>
      <c r="Q299" s="35" t="s">
        <v>253</v>
      </c>
      <c r="R299" s="35" t="s">
        <v>253</v>
      </c>
      <c r="S299" s="35" t="s">
        <v>257</v>
      </c>
      <c r="T299" s="35" t="s">
        <v>261</v>
      </c>
      <c r="U299" s="35" t="s">
        <v>258</v>
      </c>
      <c r="V299" s="35" t="s">
        <v>253</v>
      </c>
      <c r="W299" s="35" t="s">
        <v>266</v>
      </c>
      <c r="X299" s="35" t="s">
        <v>1544</v>
      </c>
      <c r="Y299" s="35" t="s">
        <v>1545</v>
      </c>
    </row>
    <row r="300" spans="1:25" x14ac:dyDescent="0.2">
      <c r="A300" s="35">
        <v>204</v>
      </c>
      <c r="B300" s="35" t="s">
        <v>1905</v>
      </c>
      <c r="C300" s="35" t="s">
        <v>253</v>
      </c>
      <c r="D300" s="35" t="s">
        <v>253</v>
      </c>
      <c r="E300" s="35" t="s">
        <v>1882</v>
      </c>
      <c r="F300" s="35" t="s">
        <v>1883</v>
      </c>
      <c r="G300" s="35" t="s">
        <v>522</v>
      </c>
      <c r="H300" s="35" t="s">
        <v>521</v>
      </c>
      <c r="I300" s="35">
        <v>5501</v>
      </c>
      <c r="J300" s="35">
        <v>1059.8591144916099</v>
      </c>
      <c r="K300" s="35">
        <v>367.89922342795001</v>
      </c>
      <c r="L300" s="35">
        <v>-19.010000000000002</v>
      </c>
      <c r="M300" s="35">
        <v>9.23</v>
      </c>
      <c r="N300" s="35">
        <v>643</v>
      </c>
      <c r="O300" s="35" t="s">
        <v>945</v>
      </c>
      <c r="P300" s="35" t="s">
        <v>946</v>
      </c>
      <c r="Q300" s="35" t="s">
        <v>253</v>
      </c>
      <c r="R300" s="35" t="s">
        <v>253</v>
      </c>
      <c r="S300" s="35" t="s">
        <v>253</v>
      </c>
      <c r="T300" s="35" t="s">
        <v>253</v>
      </c>
      <c r="U300" s="35" t="s">
        <v>253</v>
      </c>
      <c r="V300" s="35" t="s">
        <v>253</v>
      </c>
      <c r="W300" s="35" t="s">
        <v>253</v>
      </c>
      <c r="X300" s="35" t="s">
        <v>1907</v>
      </c>
      <c r="Y300" s="35" t="s">
        <v>1908</v>
      </c>
    </row>
    <row r="301" spans="1:25" x14ac:dyDescent="0.2">
      <c r="A301" s="35">
        <v>232</v>
      </c>
      <c r="B301" s="35" t="s">
        <v>1546</v>
      </c>
      <c r="C301" s="35" t="s">
        <v>253</v>
      </c>
      <c r="D301" s="35" t="s">
        <v>253</v>
      </c>
      <c r="E301" s="35" t="s">
        <v>1882</v>
      </c>
      <c r="F301" s="35" t="s">
        <v>1883</v>
      </c>
      <c r="G301" s="35" t="s">
        <v>522</v>
      </c>
      <c r="H301" s="35" t="s">
        <v>521</v>
      </c>
      <c r="I301" s="35">
        <v>28229</v>
      </c>
      <c r="J301" s="35">
        <v>1047</v>
      </c>
      <c r="K301" s="35">
        <v>263</v>
      </c>
      <c r="L301" s="35">
        <v>-15.62</v>
      </c>
      <c r="M301" s="35">
        <v>8.82</v>
      </c>
      <c r="N301" s="35">
        <v>840</v>
      </c>
      <c r="O301" s="35" t="s">
        <v>913</v>
      </c>
      <c r="P301" s="35" t="s">
        <v>914</v>
      </c>
      <c r="Q301" s="35" t="s">
        <v>253</v>
      </c>
      <c r="R301" s="35" t="s">
        <v>259</v>
      </c>
      <c r="S301" s="35" t="s">
        <v>253</v>
      </c>
      <c r="T301" s="35" t="s">
        <v>261</v>
      </c>
      <c r="U301" s="35" t="s">
        <v>258</v>
      </c>
      <c r="V301" s="35" t="s">
        <v>297</v>
      </c>
      <c r="W301" s="35" t="s">
        <v>266</v>
      </c>
      <c r="X301" s="35" t="s">
        <v>1547</v>
      </c>
      <c r="Y301" s="35" t="s">
        <v>1548</v>
      </c>
    </row>
    <row r="302" spans="1:25" x14ac:dyDescent="0.2">
      <c r="A302" s="35">
        <v>242</v>
      </c>
      <c r="B302" s="35" t="s">
        <v>1549</v>
      </c>
      <c r="C302" s="35" t="s">
        <v>253</v>
      </c>
      <c r="D302" s="35" t="s">
        <v>253</v>
      </c>
      <c r="E302" s="35" t="s">
        <v>1882</v>
      </c>
      <c r="F302" s="35" t="s">
        <v>1883</v>
      </c>
      <c r="G302" s="35" t="s">
        <v>522</v>
      </c>
      <c r="H302" s="35" t="s">
        <v>521</v>
      </c>
      <c r="I302" s="35">
        <v>18769</v>
      </c>
      <c r="J302" s="35">
        <v>1041</v>
      </c>
      <c r="K302" s="35">
        <v>221.5</v>
      </c>
      <c r="L302" s="35">
        <v>-14.27</v>
      </c>
      <c r="M302" s="35">
        <v>8.6199999999999992</v>
      </c>
      <c r="N302" s="35">
        <v>643</v>
      </c>
      <c r="O302" s="35" t="s">
        <v>918</v>
      </c>
      <c r="P302" s="35" t="s">
        <v>919</v>
      </c>
      <c r="Q302" s="35" t="s">
        <v>253</v>
      </c>
      <c r="R302" s="35" t="s">
        <v>259</v>
      </c>
      <c r="S302" s="35" t="s">
        <v>257</v>
      </c>
      <c r="T302" s="35" t="s">
        <v>261</v>
      </c>
      <c r="U302" s="35" t="s">
        <v>258</v>
      </c>
      <c r="V302" s="35" t="s">
        <v>253</v>
      </c>
      <c r="W302" s="35" t="s">
        <v>253</v>
      </c>
      <c r="X302" s="35" t="s">
        <v>1550</v>
      </c>
      <c r="Y302" s="35" t="s">
        <v>1551</v>
      </c>
    </row>
    <row r="303" spans="1:25" x14ac:dyDescent="0.2">
      <c r="A303" s="35">
        <v>251</v>
      </c>
      <c r="B303" s="35" t="s">
        <v>910</v>
      </c>
      <c r="C303" s="35" t="s">
        <v>253</v>
      </c>
      <c r="D303" s="35" t="s">
        <v>253</v>
      </c>
      <c r="E303" s="35" t="s">
        <v>1882</v>
      </c>
      <c r="F303" s="35" t="s">
        <v>1883</v>
      </c>
      <c r="G303" s="35" t="s">
        <v>2008</v>
      </c>
      <c r="H303" s="35" t="s">
        <v>521</v>
      </c>
      <c r="I303" s="35">
        <v>10208</v>
      </c>
      <c r="J303" s="35">
        <v>838.61736397493598</v>
      </c>
      <c r="K303" s="35">
        <v>313.65918483805001</v>
      </c>
      <c r="L303" s="35">
        <v>-17.260000000000002</v>
      </c>
      <c r="M303" s="35">
        <v>2.09</v>
      </c>
      <c r="N303" s="35">
        <v>52</v>
      </c>
      <c r="O303" s="35" t="s">
        <v>913</v>
      </c>
      <c r="P303" s="35" t="s">
        <v>914</v>
      </c>
      <c r="Q303" s="35" t="s">
        <v>253</v>
      </c>
      <c r="R303" s="35" t="s">
        <v>253</v>
      </c>
      <c r="S303" s="35" t="s">
        <v>257</v>
      </c>
      <c r="T303" s="35" t="s">
        <v>261</v>
      </c>
      <c r="U303" s="35" t="s">
        <v>258</v>
      </c>
      <c r="V303" s="35" t="s">
        <v>253</v>
      </c>
      <c r="W303" s="35" t="s">
        <v>253</v>
      </c>
      <c r="X303" s="35" t="s">
        <v>915</v>
      </c>
      <c r="Y303" s="35" t="s">
        <v>916</v>
      </c>
    </row>
    <row r="304" spans="1:25" x14ac:dyDescent="0.2">
      <c r="A304" s="35">
        <v>259</v>
      </c>
      <c r="B304" s="35" t="s">
        <v>1909</v>
      </c>
      <c r="C304" s="35" t="s">
        <v>253</v>
      </c>
      <c r="D304" s="35" t="s">
        <v>253</v>
      </c>
      <c r="E304" s="35" t="s">
        <v>1882</v>
      </c>
      <c r="F304" s="35" t="s">
        <v>1883</v>
      </c>
      <c r="G304" s="35" t="s">
        <v>260</v>
      </c>
      <c r="H304" s="35" t="s">
        <v>521</v>
      </c>
      <c r="I304" s="35">
        <v>1795</v>
      </c>
      <c r="J304" s="35">
        <v>1140.15850423755</v>
      </c>
      <c r="K304" s="35">
        <v>683.083085991075</v>
      </c>
      <c r="L304" s="35">
        <v>-29.22</v>
      </c>
      <c r="M304" s="35">
        <v>11.83</v>
      </c>
      <c r="N304" s="35">
        <v>266</v>
      </c>
      <c r="O304" s="35" t="s">
        <v>550</v>
      </c>
      <c r="P304" s="35" t="s">
        <v>551</v>
      </c>
      <c r="Q304" s="35" t="s">
        <v>253</v>
      </c>
      <c r="R304" s="35" t="s">
        <v>253</v>
      </c>
      <c r="S304" s="35" t="s">
        <v>257</v>
      </c>
      <c r="T304" s="35" t="s">
        <v>253</v>
      </c>
      <c r="U304" s="35" t="s">
        <v>253</v>
      </c>
      <c r="V304" s="35" t="s">
        <v>253</v>
      </c>
      <c r="W304" s="35" t="s">
        <v>253</v>
      </c>
      <c r="X304" s="35" t="s">
        <v>1910</v>
      </c>
      <c r="Y304" s="35" t="s">
        <v>1911</v>
      </c>
    </row>
    <row r="305" spans="1:25" x14ac:dyDescent="0.2">
      <c r="A305" s="35">
        <v>277</v>
      </c>
      <c r="B305" s="35" t="s">
        <v>1276</v>
      </c>
      <c r="C305" s="35" t="s">
        <v>253</v>
      </c>
      <c r="D305" s="35" t="s">
        <v>253</v>
      </c>
      <c r="E305" s="35" t="s">
        <v>1882</v>
      </c>
      <c r="F305" s="35" t="s">
        <v>1883</v>
      </c>
      <c r="G305" s="35" t="s">
        <v>2008</v>
      </c>
      <c r="H305" s="35" t="s">
        <v>521</v>
      </c>
      <c r="I305" s="35">
        <v>4966</v>
      </c>
      <c r="J305" s="35">
        <v>730.68221721512805</v>
      </c>
      <c r="K305" s="35">
        <v>168.376842508088</v>
      </c>
      <c r="L305" s="35">
        <v>-12.55</v>
      </c>
      <c r="M305" s="35">
        <v>-1.4</v>
      </c>
      <c r="N305" s="35">
        <v>397</v>
      </c>
      <c r="O305" s="35" t="s">
        <v>929</v>
      </c>
      <c r="P305" s="35" t="s">
        <v>930</v>
      </c>
      <c r="Q305" s="35" t="s">
        <v>253</v>
      </c>
      <c r="R305" s="35" t="s">
        <v>253</v>
      </c>
      <c r="S305" s="35" t="s">
        <v>257</v>
      </c>
      <c r="T305" s="35" t="s">
        <v>253</v>
      </c>
      <c r="U305" s="35" t="s">
        <v>253</v>
      </c>
      <c r="V305" s="35" t="s">
        <v>253</v>
      </c>
      <c r="W305" s="35" t="s">
        <v>253</v>
      </c>
      <c r="X305" s="35" t="s">
        <v>1277</v>
      </c>
      <c r="Y305" s="35" t="s">
        <v>1278</v>
      </c>
    </row>
    <row r="306" spans="1:25" x14ac:dyDescent="0.2">
      <c r="A306" s="35">
        <v>288</v>
      </c>
      <c r="B306" s="35" t="s">
        <v>1527</v>
      </c>
      <c r="C306" s="35" t="s">
        <v>253</v>
      </c>
      <c r="D306" s="35" t="s">
        <v>253</v>
      </c>
      <c r="E306" s="35" t="s">
        <v>1882</v>
      </c>
      <c r="F306" s="35" t="s">
        <v>1883</v>
      </c>
      <c r="G306" s="35" t="s">
        <v>2008</v>
      </c>
      <c r="H306" s="35" t="s">
        <v>521</v>
      </c>
      <c r="I306" s="35">
        <v>2345</v>
      </c>
      <c r="J306" s="35">
        <v>670.25332599817796</v>
      </c>
      <c r="K306" s="35">
        <v>138.035895194972</v>
      </c>
      <c r="L306" s="35">
        <v>-11.57</v>
      </c>
      <c r="M306" s="35">
        <v>-3.35</v>
      </c>
      <c r="N306" s="35">
        <v>266</v>
      </c>
      <c r="O306" s="35" t="s">
        <v>1086</v>
      </c>
      <c r="P306" s="35" t="s">
        <v>1087</v>
      </c>
      <c r="Q306" s="35" t="s">
        <v>253</v>
      </c>
      <c r="R306" s="35" t="s">
        <v>253</v>
      </c>
      <c r="S306" s="35" t="s">
        <v>253</v>
      </c>
      <c r="T306" s="35" t="s">
        <v>261</v>
      </c>
      <c r="U306" s="35" t="s">
        <v>258</v>
      </c>
      <c r="V306" s="35" t="s">
        <v>253</v>
      </c>
      <c r="W306" s="35" t="s">
        <v>253</v>
      </c>
      <c r="X306" s="35" t="s">
        <v>1530</v>
      </c>
      <c r="Y306" s="35" t="s">
        <v>1531</v>
      </c>
    </row>
    <row r="307" spans="1:25" x14ac:dyDescent="0.2">
      <c r="A307" s="35">
        <v>300</v>
      </c>
      <c r="B307" s="35" t="s">
        <v>1279</v>
      </c>
      <c r="C307" s="35" t="s">
        <v>253</v>
      </c>
      <c r="D307" s="35" t="s">
        <v>253</v>
      </c>
      <c r="E307" s="35" t="s">
        <v>1882</v>
      </c>
      <c r="F307" s="35" t="s">
        <v>1883</v>
      </c>
      <c r="G307" s="35" t="s">
        <v>2008</v>
      </c>
      <c r="H307" s="35" t="s">
        <v>521</v>
      </c>
      <c r="I307" s="35">
        <v>26031</v>
      </c>
      <c r="J307" s="35">
        <v>714.5</v>
      </c>
      <c r="K307" s="35">
        <v>180</v>
      </c>
      <c r="L307" s="35">
        <v>-12.93</v>
      </c>
      <c r="M307" s="35">
        <v>-1.92</v>
      </c>
      <c r="N307" s="35">
        <v>52</v>
      </c>
      <c r="O307" s="35" t="s">
        <v>904</v>
      </c>
      <c r="P307" s="35" t="s">
        <v>905</v>
      </c>
      <c r="Q307" s="35" t="s">
        <v>253</v>
      </c>
      <c r="R307" s="35" t="s">
        <v>259</v>
      </c>
      <c r="S307" s="35" t="s">
        <v>257</v>
      </c>
      <c r="T307" s="35" t="s">
        <v>261</v>
      </c>
      <c r="U307" s="35" t="s">
        <v>253</v>
      </c>
      <c r="V307" s="35" t="s">
        <v>253</v>
      </c>
      <c r="W307" s="35" t="s">
        <v>253</v>
      </c>
      <c r="X307" s="35" t="s">
        <v>1280</v>
      </c>
      <c r="Y307" s="35" t="s">
        <v>1281</v>
      </c>
    </row>
    <row r="308" spans="1:25" x14ac:dyDescent="0.2">
      <c r="A308" s="35">
        <v>320</v>
      </c>
      <c r="B308" s="35" t="s">
        <v>1552</v>
      </c>
      <c r="C308" s="35" t="s">
        <v>253</v>
      </c>
      <c r="D308" s="35" t="s">
        <v>253</v>
      </c>
      <c r="E308" s="35" t="s">
        <v>1882</v>
      </c>
      <c r="F308" s="35" t="s">
        <v>1883</v>
      </c>
      <c r="G308" s="35" t="s">
        <v>522</v>
      </c>
      <c r="H308" s="35" t="s">
        <v>521</v>
      </c>
      <c r="I308" s="35">
        <v>18686</v>
      </c>
      <c r="J308" s="35">
        <v>1068.8504664214699</v>
      </c>
      <c r="K308" s="35">
        <v>220.651239225875</v>
      </c>
      <c r="L308" s="35">
        <v>-14.24</v>
      </c>
      <c r="M308" s="35">
        <v>9.52</v>
      </c>
      <c r="N308" s="35">
        <v>210</v>
      </c>
      <c r="O308" s="35" t="s">
        <v>929</v>
      </c>
      <c r="P308" s="35" t="s">
        <v>930</v>
      </c>
      <c r="Q308" s="35" t="s">
        <v>253</v>
      </c>
      <c r="R308" s="35" t="s">
        <v>253</v>
      </c>
      <c r="S308" s="35" t="s">
        <v>253</v>
      </c>
      <c r="T308" s="35" t="s">
        <v>261</v>
      </c>
      <c r="U308" s="35" t="s">
        <v>258</v>
      </c>
      <c r="V308" s="35" t="s">
        <v>253</v>
      </c>
      <c r="W308" s="35" t="s">
        <v>253</v>
      </c>
      <c r="X308" s="35" t="s">
        <v>1553</v>
      </c>
      <c r="Y308" s="35" t="s">
        <v>1554</v>
      </c>
    </row>
    <row r="309" spans="1:25" x14ac:dyDescent="0.2">
      <c r="A309" s="35">
        <v>360</v>
      </c>
      <c r="B309" s="35" t="s">
        <v>1532</v>
      </c>
      <c r="C309" s="35" t="s">
        <v>253</v>
      </c>
      <c r="D309" s="35" t="s">
        <v>253</v>
      </c>
      <c r="E309" s="35" t="s">
        <v>1882</v>
      </c>
      <c r="F309" s="35" t="s">
        <v>1883</v>
      </c>
      <c r="G309" s="35" t="s">
        <v>2008</v>
      </c>
      <c r="H309" s="35" t="s">
        <v>521</v>
      </c>
      <c r="I309" s="35">
        <v>5652</v>
      </c>
      <c r="J309" s="35">
        <v>710.30571186757697</v>
      </c>
      <c r="K309" s="35">
        <v>122.38860742092101</v>
      </c>
      <c r="L309" s="35">
        <v>-11.06</v>
      </c>
      <c r="M309" s="35">
        <v>-2.06</v>
      </c>
      <c r="N309" s="35">
        <v>210</v>
      </c>
      <c r="O309" s="35" t="s">
        <v>1086</v>
      </c>
      <c r="P309" s="35" t="s">
        <v>1087</v>
      </c>
      <c r="Q309" s="35" t="s">
        <v>253</v>
      </c>
      <c r="R309" s="35" t="s">
        <v>253</v>
      </c>
      <c r="S309" s="35" t="s">
        <v>257</v>
      </c>
      <c r="T309" s="35" t="s">
        <v>253</v>
      </c>
      <c r="U309" s="35" t="s">
        <v>253</v>
      </c>
      <c r="V309" s="35" t="s">
        <v>253</v>
      </c>
      <c r="W309" s="35" t="s">
        <v>253</v>
      </c>
      <c r="X309" s="35" t="s">
        <v>1533</v>
      </c>
      <c r="Y309" s="35" t="s">
        <v>1534</v>
      </c>
    </row>
    <row r="310" spans="1:25" x14ac:dyDescent="0.2">
      <c r="A310" s="35">
        <v>420</v>
      </c>
      <c r="B310" s="35" t="s">
        <v>1890</v>
      </c>
      <c r="C310" s="35" t="s">
        <v>253</v>
      </c>
      <c r="D310" s="35" t="s">
        <v>253</v>
      </c>
      <c r="E310" s="35" t="s">
        <v>1882</v>
      </c>
      <c r="F310" s="35" t="s">
        <v>1883</v>
      </c>
      <c r="G310" s="35" t="s">
        <v>522</v>
      </c>
      <c r="H310" s="35" t="s">
        <v>521</v>
      </c>
      <c r="I310" s="35">
        <v>2464</v>
      </c>
      <c r="J310" s="35">
        <v>958.69667438027602</v>
      </c>
      <c r="K310" s="35">
        <v>34.966198613663003</v>
      </c>
      <c r="L310" s="35">
        <v>-8.23</v>
      </c>
      <c r="M310" s="35">
        <v>5.97</v>
      </c>
      <c r="N310" s="35">
        <v>328</v>
      </c>
      <c r="O310" s="35" t="s">
        <v>987</v>
      </c>
      <c r="P310" s="35" t="s">
        <v>988</v>
      </c>
      <c r="Q310" s="35" t="s">
        <v>253</v>
      </c>
      <c r="R310" s="35" t="s">
        <v>253</v>
      </c>
      <c r="S310" s="35" t="s">
        <v>253</v>
      </c>
      <c r="T310" s="35" t="s">
        <v>253</v>
      </c>
      <c r="U310" s="35" t="s">
        <v>253</v>
      </c>
      <c r="V310" s="35" t="s">
        <v>253</v>
      </c>
      <c r="W310" s="35" t="s">
        <v>253</v>
      </c>
      <c r="X310" s="35" t="s">
        <v>1912</v>
      </c>
      <c r="Y310" s="35" t="s">
        <v>1913</v>
      </c>
    </row>
    <row r="311" spans="1:25" x14ac:dyDescent="0.2">
      <c r="A311" s="35">
        <v>426</v>
      </c>
      <c r="B311" s="35" t="s">
        <v>1914</v>
      </c>
      <c r="C311" s="35" t="s">
        <v>253</v>
      </c>
      <c r="D311" s="35" t="s">
        <v>253</v>
      </c>
      <c r="E311" s="35" t="s">
        <v>1882</v>
      </c>
      <c r="F311" s="35" t="s">
        <v>1883</v>
      </c>
      <c r="G311" s="35" t="s">
        <v>522</v>
      </c>
      <c r="H311" s="35" t="s">
        <v>521</v>
      </c>
      <c r="I311" s="35">
        <v>7776</v>
      </c>
      <c r="J311" s="35">
        <v>1331.00092203897</v>
      </c>
      <c r="K311" s="35">
        <v>540.03885074322204</v>
      </c>
      <c r="L311" s="35">
        <v>-24.59</v>
      </c>
      <c r="M311" s="35">
        <v>17.989999999999998</v>
      </c>
      <c r="N311" s="35">
        <v>1447</v>
      </c>
      <c r="O311" s="35" t="s">
        <v>564</v>
      </c>
      <c r="P311" s="35" t="s">
        <v>565</v>
      </c>
      <c r="Q311" s="35" t="s">
        <v>253</v>
      </c>
      <c r="R311" s="35" t="s">
        <v>253</v>
      </c>
      <c r="S311" s="35" t="s">
        <v>257</v>
      </c>
      <c r="T311" s="35" t="s">
        <v>253</v>
      </c>
      <c r="U311" s="35" t="s">
        <v>258</v>
      </c>
      <c r="V311" s="35" t="s">
        <v>253</v>
      </c>
      <c r="W311" s="35" t="s">
        <v>253</v>
      </c>
      <c r="X311" s="35" t="s">
        <v>1915</v>
      </c>
      <c r="Y311" s="35" t="s">
        <v>1916</v>
      </c>
    </row>
    <row r="312" spans="1:25" x14ac:dyDescent="0.2">
      <c r="A312" s="35">
        <v>471</v>
      </c>
      <c r="B312" s="35" t="s">
        <v>1555</v>
      </c>
      <c r="C312" s="35" t="s">
        <v>253</v>
      </c>
      <c r="D312" s="35" t="s">
        <v>253</v>
      </c>
      <c r="E312" s="35" t="s">
        <v>1882</v>
      </c>
      <c r="F312" s="35" t="s">
        <v>1883</v>
      </c>
      <c r="G312" s="35" t="s">
        <v>522</v>
      </c>
      <c r="H312" s="35" t="s">
        <v>521</v>
      </c>
      <c r="I312" s="35">
        <v>2274</v>
      </c>
      <c r="J312" s="35">
        <v>1037.57535267409</v>
      </c>
      <c r="K312" s="35">
        <v>287.77498988843797</v>
      </c>
      <c r="L312" s="35">
        <v>-16.420000000000002</v>
      </c>
      <c r="M312" s="35">
        <v>8.51</v>
      </c>
      <c r="N312" s="35">
        <v>1184</v>
      </c>
      <c r="O312" s="35" t="s">
        <v>967</v>
      </c>
      <c r="P312" s="35" t="s">
        <v>968</v>
      </c>
      <c r="Q312" s="35" t="s">
        <v>253</v>
      </c>
      <c r="R312" s="35" t="s">
        <v>253</v>
      </c>
      <c r="S312" s="35" t="s">
        <v>253</v>
      </c>
      <c r="T312" s="35" t="s">
        <v>261</v>
      </c>
      <c r="U312" s="35" t="s">
        <v>253</v>
      </c>
      <c r="V312" s="35" t="s">
        <v>253</v>
      </c>
      <c r="W312" s="35" t="s">
        <v>253</v>
      </c>
      <c r="X312" s="35" t="s">
        <v>1556</v>
      </c>
      <c r="Y312" s="35" t="s">
        <v>1557</v>
      </c>
    </row>
    <row r="313" spans="1:25" x14ac:dyDescent="0.2">
      <c r="A313" s="35">
        <v>488</v>
      </c>
      <c r="B313" s="35" t="s">
        <v>1535</v>
      </c>
      <c r="C313" s="35" t="s">
        <v>253</v>
      </c>
      <c r="D313" s="35" t="s">
        <v>253</v>
      </c>
      <c r="E313" s="35" t="s">
        <v>1882</v>
      </c>
      <c r="F313" s="35" t="s">
        <v>1883</v>
      </c>
      <c r="G313" s="35" t="s">
        <v>2008</v>
      </c>
      <c r="H313" s="35" t="s">
        <v>521</v>
      </c>
      <c r="I313" s="35">
        <v>23019</v>
      </c>
      <c r="J313" s="35">
        <v>679.80907014874902</v>
      </c>
      <c r="K313" s="35">
        <v>145.31460866200601</v>
      </c>
      <c r="L313" s="35">
        <v>-11.81</v>
      </c>
      <c r="M313" s="35">
        <v>-3.04</v>
      </c>
      <c r="N313" s="35">
        <v>397</v>
      </c>
      <c r="O313" s="35" t="s">
        <v>904</v>
      </c>
      <c r="P313" s="35" t="s">
        <v>905</v>
      </c>
      <c r="Q313" s="35" t="s">
        <v>253</v>
      </c>
      <c r="R313" s="35" t="s">
        <v>253</v>
      </c>
      <c r="S313" s="35" t="s">
        <v>257</v>
      </c>
      <c r="T313" s="35" t="s">
        <v>261</v>
      </c>
      <c r="U313" s="35" t="s">
        <v>258</v>
      </c>
      <c r="V313" s="35" t="s">
        <v>253</v>
      </c>
      <c r="W313" s="35" t="s">
        <v>253</v>
      </c>
      <c r="X313" s="35" t="s">
        <v>1536</v>
      </c>
      <c r="Y313" s="35" t="s">
        <v>2028</v>
      </c>
    </row>
    <row r="314" spans="1:25" x14ac:dyDescent="0.2">
      <c r="A314" s="35">
        <v>489</v>
      </c>
      <c r="B314" s="35" t="s">
        <v>1917</v>
      </c>
      <c r="C314" s="35" t="s">
        <v>253</v>
      </c>
      <c r="D314" s="35" t="s">
        <v>253</v>
      </c>
      <c r="E314" s="35" t="s">
        <v>1882</v>
      </c>
      <c r="F314" s="35" t="s">
        <v>1883</v>
      </c>
      <c r="G314" s="35" t="s">
        <v>2008</v>
      </c>
      <c r="H314" s="35" t="s">
        <v>521</v>
      </c>
      <c r="I314" s="35">
        <v>6849</v>
      </c>
      <c r="J314" s="35">
        <v>691.75861578714103</v>
      </c>
      <c r="K314" s="35">
        <v>182.77857503644299</v>
      </c>
      <c r="L314" s="35">
        <v>-13.02</v>
      </c>
      <c r="M314" s="35">
        <v>-2.66</v>
      </c>
      <c r="N314" s="35">
        <v>52</v>
      </c>
      <c r="O314" s="35" t="s">
        <v>904</v>
      </c>
      <c r="P314" s="35" t="s">
        <v>905</v>
      </c>
      <c r="Q314" s="35" t="s">
        <v>253</v>
      </c>
      <c r="R314" s="35" t="s">
        <v>253</v>
      </c>
      <c r="S314" s="35" t="s">
        <v>257</v>
      </c>
      <c r="T314" s="35" t="s">
        <v>253</v>
      </c>
      <c r="U314" s="35" t="s">
        <v>253</v>
      </c>
      <c r="V314" s="35" t="s">
        <v>253</v>
      </c>
      <c r="W314" s="35" t="s">
        <v>253</v>
      </c>
      <c r="X314" s="35" t="s">
        <v>1918</v>
      </c>
      <c r="Y314" s="35" t="s">
        <v>1919</v>
      </c>
    </row>
    <row r="315" spans="1:25" x14ac:dyDescent="0.2">
      <c r="A315" s="35">
        <v>513</v>
      </c>
      <c r="B315" s="35" t="s">
        <v>1920</v>
      </c>
      <c r="C315" s="35" t="s">
        <v>253</v>
      </c>
      <c r="D315" s="35" t="s">
        <v>253</v>
      </c>
      <c r="E315" s="35" t="s">
        <v>1882</v>
      </c>
      <c r="F315" s="35" t="s">
        <v>1883</v>
      </c>
      <c r="G315" s="35" t="s">
        <v>522</v>
      </c>
      <c r="H315" s="35" t="s">
        <v>521</v>
      </c>
      <c r="I315" s="35">
        <v>2565</v>
      </c>
      <c r="J315" s="35">
        <v>808.70457627752796</v>
      </c>
      <c r="K315" s="35">
        <v>27.2593255309216</v>
      </c>
      <c r="L315" s="35">
        <v>-7.98</v>
      </c>
      <c r="M315" s="35">
        <v>1.1200000000000001</v>
      </c>
      <c r="N315" s="35">
        <v>210</v>
      </c>
      <c r="O315" s="35" t="s">
        <v>1292</v>
      </c>
      <c r="P315" s="35" t="s">
        <v>1293</v>
      </c>
      <c r="Q315" s="35" t="s">
        <v>253</v>
      </c>
      <c r="R315" s="35" t="s">
        <v>253</v>
      </c>
      <c r="S315" s="35" t="s">
        <v>253</v>
      </c>
      <c r="T315" s="35" t="s">
        <v>253</v>
      </c>
      <c r="U315" s="35" t="s">
        <v>253</v>
      </c>
      <c r="V315" s="35" t="s">
        <v>253</v>
      </c>
      <c r="W315" s="35" t="s">
        <v>253</v>
      </c>
      <c r="X315" s="35" t="s">
        <v>1921</v>
      </c>
      <c r="Y315" s="35" t="s">
        <v>1922</v>
      </c>
    </row>
    <row r="316" spans="1:25" x14ac:dyDescent="0.2">
      <c r="A316" s="35">
        <v>531</v>
      </c>
      <c r="B316" s="35" t="s">
        <v>1923</v>
      </c>
      <c r="C316" s="35" t="s">
        <v>253</v>
      </c>
      <c r="D316" s="35" t="s">
        <v>253</v>
      </c>
      <c r="E316" s="35" t="s">
        <v>1882</v>
      </c>
      <c r="F316" s="35" t="s">
        <v>1883</v>
      </c>
      <c r="G316" s="35" t="s">
        <v>522</v>
      </c>
      <c r="H316" s="35" t="s">
        <v>521</v>
      </c>
      <c r="I316" s="35">
        <v>1893</v>
      </c>
      <c r="J316" s="35">
        <v>736.52075742932595</v>
      </c>
      <c r="K316" s="35">
        <v>103.257657319066</v>
      </c>
      <c r="L316" s="35">
        <v>-10.44</v>
      </c>
      <c r="M316" s="35">
        <v>-1.21</v>
      </c>
      <c r="N316" s="35">
        <v>472</v>
      </c>
      <c r="O316" s="35" t="s">
        <v>1086</v>
      </c>
      <c r="P316" s="35" t="s">
        <v>1087</v>
      </c>
      <c r="Q316" s="35" t="s">
        <v>253</v>
      </c>
      <c r="R316" s="35" t="s">
        <v>253</v>
      </c>
      <c r="S316" s="35" t="s">
        <v>257</v>
      </c>
      <c r="T316" s="35" t="s">
        <v>253</v>
      </c>
      <c r="U316" s="35" t="s">
        <v>253</v>
      </c>
      <c r="V316" s="35" t="s">
        <v>253</v>
      </c>
      <c r="W316" s="35" t="s">
        <v>253</v>
      </c>
      <c r="X316" s="35" t="s">
        <v>1924</v>
      </c>
      <c r="Y316" s="35" t="s">
        <v>1925</v>
      </c>
    </row>
    <row r="317" spans="1:25" x14ac:dyDescent="0.2">
      <c r="A317" s="35">
        <v>556</v>
      </c>
      <c r="B317" s="35" t="s">
        <v>1926</v>
      </c>
      <c r="C317" s="35" t="s">
        <v>253</v>
      </c>
      <c r="D317" s="35" t="s">
        <v>253</v>
      </c>
      <c r="E317" s="35" t="s">
        <v>1882</v>
      </c>
      <c r="F317" s="35" t="s">
        <v>1883</v>
      </c>
      <c r="G317" s="35" t="s">
        <v>522</v>
      </c>
      <c r="H317" s="35" t="s">
        <v>521</v>
      </c>
      <c r="I317" s="35">
        <v>5081</v>
      </c>
      <c r="J317" s="35">
        <v>739.59572194213695</v>
      </c>
      <c r="K317" s="35">
        <v>66.864089983898396</v>
      </c>
      <c r="L317" s="35">
        <v>-9.27</v>
      </c>
      <c r="M317" s="35">
        <v>-1.1100000000000001</v>
      </c>
      <c r="N317" s="35">
        <v>554</v>
      </c>
      <c r="O317" s="35" t="s">
        <v>956</v>
      </c>
      <c r="P317" s="35" t="s">
        <v>957</v>
      </c>
      <c r="Q317" s="35" t="s">
        <v>253</v>
      </c>
      <c r="R317" s="35" t="s">
        <v>253</v>
      </c>
      <c r="S317" s="35" t="s">
        <v>257</v>
      </c>
      <c r="T317" s="35" t="s">
        <v>261</v>
      </c>
      <c r="U317" s="35" t="s">
        <v>253</v>
      </c>
      <c r="V317" s="35" t="s">
        <v>253</v>
      </c>
      <c r="W317" s="35" t="s">
        <v>253</v>
      </c>
      <c r="X317" s="35" t="s">
        <v>1927</v>
      </c>
      <c r="Y317" s="35" t="s">
        <v>1928</v>
      </c>
    </row>
    <row r="318" spans="1:25" x14ac:dyDescent="0.2">
      <c r="A318" s="35">
        <v>557</v>
      </c>
      <c r="B318" s="35" t="s">
        <v>1282</v>
      </c>
      <c r="C318" s="35" t="s">
        <v>253</v>
      </c>
      <c r="D318" s="35" t="s">
        <v>253</v>
      </c>
      <c r="E318" s="35" t="s">
        <v>1882</v>
      </c>
      <c r="F318" s="35" t="s">
        <v>1883</v>
      </c>
      <c r="G318" s="35" t="s">
        <v>2008</v>
      </c>
      <c r="H318" s="35" t="s">
        <v>521</v>
      </c>
      <c r="I318" s="35">
        <v>8888</v>
      </c>
      <c r="J318" s="35">
        <v>751.50634397910096</v>
      </c>
      <c r="K318" s="35">
        <v>161.604135859618</v>
      </c>
      <c r="L318" s="35">
        <v>-12.33</v>
      </c>
      <c r="M318" s="35">
        <v>-0.73</v>
      </c>
      <c r="N318" s="35">
        <v>472</v>
      </c>
      <c r="O318" s="35" t="s">
        <v>929</v>
      </c>
      <c r="P318" s="35" t="s">
        <v>930</v>
      </c>
      <c r="Q318" s="35" t="s">
        <v>253</v>
      </c>
      <c r="R318" s="35" t="s">
        <v>253</v>
      </c>
      <c r="S318" s="35" t="s">
        <v>257</v>
      </c>
      <c r="T318" s="35" t="s">
        <v>253</v>
      </c>
      <c r="U318" s="35" t="s">
        <v>258</v>
      </c>
      <c r="V318" s="35" t="s">
        <v>253</v>
      </c>
      <c r="W318" s="35" t="s">
        <v>253</v>
      </c>
      <c r="X318" s="35" t="s">
        <v>1283</v>
      </c>
      <c r="Y318" s="35" t="s">
        <v>1284</v>
      </c>
    </row>
    <row r="319" spans="1:25" x14ac:dyDescent="0.2">
      <c r="A319" s="35">
        <v>613</v>
      </c>
      <c r="B319" s="35" t="s">
        <v>1929</v>
      </c>
      <c r="C319" s="35" t="s">
        <v>253</v>
      </c>
      <c r="D319" s="35" t="s">
        <v>253</v>
      </c>
      <c r="E319" s="35" t="s">
        <v>1882</v>
      </c>
      <c r="F319" s="35" t="s">
        <v>1883</v>
      </c>
      <c r="G319" s="35" t="s">
        <v>522</v>
      </c>
      <c r="H319" s="35" t="s">
        <v>521</v>
      </c>
      <c r="I319" s="35">
        <v>5614</v>
      </c>
      <c r="J319" s="35">
        <v>726.011385043769</v>
      </c>
      <c r="K319" s="35">
        <v>60.811469961846399</v>
      </c>
      <c r="L319" s="35">
        <v>-9.07</v>
      </c>
      <c r="M319" s="35">
        <v>-1.55</v>
      </c>
      <c r="N319" s="35">
        <v>397</v>
      </c>
      <c r="O319" s="35" t="s">
        <v>956</v>
      </c>
      <c r="P319" s="35" t="s">
        <v>957</v>
      </c>
      <c r="Q319" s="35" t="s">
        <v>253</v>
      </c>
      <c r="R319" s="35" t="s">
        <v>253</v>
      </c>
      <c r="S319" s="35" t="s">
        <v>253</v>
      </c>
      <c r="T319" s="35" t="s">
        <v>253</v>
      </c>
      <c r="U319" s="35" t="s">
        <v>253</v>
      </c>
      <c r="V319" s="35" t="s">
        <v>253</v>
      </c>
      <c r="W319" s="35" t="s">
        <v>253</v>
      </c>
      <c r="X319" s="35" t="s">
        <v>1930</v>
      </c>
      <c r="Y319" s="35" t="s">
        <v>1931</v>
      </c>
    </row>
    <row r="320" spans="1:25" x14ac:dyDescent="0.2">
      <c r="A320" s="35">
        <v>615</v>
      </c>
      <c r="B320" s="35" t="s">
        <v>1285</v>
      </c>
      <c r="C320" s="35" t="s">
        <v>253</v>
      </c>
      <c r="D320" s="35" t="s">
        <v>253</v>
      </c>
      <c r="E320" s="35" t="s">
        <v>1882</v>
      </c>
      <c r="F320" s="35" t="s">
        <v>1883</v>
      </c>
      <c r="G320" s="35" t="s">
        <v>2008</v>
      </c>
      <c r="H320" s="35" t="s">
        <v>521</v>
      </c>
      <c r="I320" s="35">
        <v>19389</v>
      </c>
      <c r="J320" s="35">
        <v>767.71802397385795</v>
      </c>
      <c r="K320" s="35">
        <v>167.831912088096</v>
      </c>
      <c r="L320" s="35">
        <v>-12.53</v>
      </c>
      <c r="M320" s="35">
        <v>-0.2</v>
      </c>
      <c r="N320" s="35">
        <v>554</v>
      </c>
      <c r="O320" s="35" t="s">
        <v>929</v>
      </c>
      <c r="P320" s="35" t="s">
        <v>930</v>
      </c>
      <c r="Q320" s="35" t="s">
        <v>253</v>
      </c>
      <c r="R320" s="35" t="s">
        <v>253</v>
      </c>
      <c r="S320" s="35" t="s">
        <v>257</v>
      </c>
      <c r="T320" s="35" t="s">
        <v>253</v>
      </c>
      <c r="U320" s="35" t="s">
        <v>253</v>
      </c>
      <c r="V320" s="35" t="s">
        <v>253</v>
      </c>
      <c r="W320" s="35" t="s">
        <v>253</v>
      </c>
      <c r="X320" s="35" t="s">
        <v>1286</v>
      </c>
      <c r="Y320" s="35" t="s">
        <v>1287</v>
      </c>
    </row>
    <row r="321" spans="1:25" x14ac:dyDescent="0.2">
      <c r="A321" s="35">
        <v>674</v>
      </c>
      <c r="B321" s="35" t="s">
        <v>1932</v>
      </c>
      <c r="C321" s="35" t="s">
        <v>253</v>
      </c>
      <c r="D321" s="35" t="s">
        <v>253</v>
      </c>
      <c r="E321" s="35" t="s">
        <v>1882</v>
      </c>
      <c r="F321" s="35" t="s">
        <v>1883</v>
      </c>
      <c r="G321" s="35" t="s">
        <v>522</v>
      </c>
      <c r="H321" s="35" t="s">
        <v>521</v>
      </c>
      <c r="I321" s="35">
        <v>9845</v>
      </c>
      <c r="J321" s="35">
        <v>804.16997671116701</v>
      </c>
      <c r="K321" s="35">
        <v>47.188209462050999</v>
      </c>
      <c r="L321" s="35">
        <v>-8.6300000000000008</v>
      </c>
      <c r="M321" s="35">
        <v>0.97</v>
      </c>
      <c r="N321" s="35">
        <v>30</v>
      </c>
      <c r="O321" s="35" t="s">
        <v>987</v>
      </c>
      <c r="P321" s="35" t="s">
        <v>988</v>
      </c>
      <c r="Q321" s="35" t="s">
        <v>253</v>
      </c>
      <c r="R321" s="35" t="s">
        <v>253</v>
      </c>
      <c r="S321" s="35" t="s">
        <v>257</v>
      </c>
      <c r="T321" s="35" t="s">
        <v>261</v>
      </c>
      <c r="U321" s="35" t="s">
        <v>253</v>
      </c>
      <c r="V321" s="35" t="s">
        <v>253</v>
      </c>
      <c r="W321" s="35" t="s">
        <v>253</v>
      </c>
      <c r="X321" s="35" t="s">
        <v>1933</v>
      </c>
      <c r="Y321" s="35" t="s">
        <v>1934</v>
      </c>
    </row>
    <row r="322" spans="1:25" x14ac:dyDescent="0.2">
      <c r="A322" s="35">
        <v>676</v>
      </c>
      <c r="B322" s="35" t="s">
        <v>2029</v>
      </c>
      <c r="C322" s="35" t="s">
        <v>253</v>
      </c>
      <c r="D322" s="35" t="s">
        <v>253</v>
      </c>
      <c r="E322" s="35" t="s">
        <v>1882</v>
      </c>
      <c r="F322" s="35" t="s">
        <v>1883</v>
      </c>
      <c r="G322" s="35" t="s">
        <v>522</v>
      </c>
      <c r="H322" s="35" t="s">
        <v>521</v>
      </c>
      <c r="I322" s="35">
        <v>9540</v>
      </c>
      <c r="J322" s="35">
        <v>813.99818607173404</v>
      </c>
      <c r="K322" s="35">
        <v>123.906627876613</v>
      </c>
      <c r="L322" s="35">
        <v>-11.11</v>
      </c>
      <c r="M322" s="35">
        <v>1.29</v>
      </c>
      <c r="N322" s="35">
        <v>472</v>
      </c>
      <c r="O322" s="35" t="s">
        <v>904</v>
      </c>
      <c r="P322" s="35" t="s">
        <v>905</v>
      </c>
      <c r="Q322" s="35" t="s">
        <v>253</v>
      </c>
      <c r="R322" s="35" t="s">
        <v>253</v>
      </c>
      <c r="S322" s="35" t="s">
        <v>253</v>
      </c>
      <c r="T322" s="35" t="s">
        <v>253</v>
      </c>
      <c r="U322" s="35" t="s">
        <v>253</v>
      </c>
      <c r="V322" s="35" t="s">
        <v>253</v>
      </c>
      <c r="W322" s="35" t="s">
        <v>253</v>
      </c>
      <c r="X322" s="35" t="s">
        <v>1324</v>
      </c>
      <c r="Y322" s="35" t="s">
        <v>2030</v>
      </c>
    </row>
    <row r="323" spans="1:25" x14ac:dyDescent="0.2">
      <c r="A323" s="35">
        <v>677</v>
      </c>
      <c r="B323" s="35" t="s">
        <v>900</v>
      </c>
      <c r="C323" s="35" t="s">
        <v>253</v>
      </c>
      <c r="D323" s="35" t="s">
        <v>253</v>
      </c>
      <c r="E323" s="35" t="s">
        <v>1882</v>
      </c>
      <c r="F323" s="35" t="s">
        <v>1883</v>
      </c>
      <c r="G323" s="35" t="s">
        <v>522</v>
      </c>
      <c r="H323" s="35" t="s">
        <v>521</v>
      </c>
      <c r="I323" s="35">
        <v>38425</v>
      </c>
      <c r="J323" s="35">
        <v>828.88646361793894</v>
      </c>
      <c r="K323" s="35">
        <v>183.53758526428899</v>
      </c>
      <c r="L323" s="35">
        <v>-13.04</v>
      </c>
      <c r="M323" s="35">
        <v>1.77</v>
      </c>
      <c r="N323" s="35">
        <v>82</v>
      </c>
      <c r="O323" s="35" t="s">
        <v>904</v>
      </c>
      <c r="P323" s="35" t="s">
        <v>905</v>
      </c>
      <c r="Q323" s="35" t="s">
        <v>253</v>
      </c>
      <c r="R323" s="35" t="s">
        <v>253</v>
      </c>
      <c r="S323" s="35" t="s">
        <v>257</v>
      </c>
      <c r="T323" s="35" t="s">
        <v>261</v>
      </c>
      <c r="U323" s="35" t="s">
        <v>258</v>
      </c>
      <c r="V323" s="35" t="s">
        <v>253</v>
      </c>
      <c r="W323" s="35" t="s">
        <v>266</v>
      </c>
      <c r="X323" s="35" t="s">
        <v>906</v>
      </c>
      <c r="Y323" s="35" t="s">
        <v>907</v>
      </c>
    </row>
    <row r="324" spans="1:25" x14ac:dyDescent="0.2">
      <c r="A324" s="35">
        <v>711</v>
      </c>
      <c r="B324" s="35" t="s">
        <v>1935</v>
      </c>
      <c r="C324" s="35" t="s">
        <v>253</v>
      </c>
      <c r="D324" s="35" t="s">
        <v>253</v>
      </c>
      <c r="E324" s="35" t="s">
        <v>1882</v>
      </c>
      <c r="F324" s="35" t="s">
        <v>1883</v>
      </c>
      <c r="G324" s="35" t="s">
        <v>522</v>
      </c>
      <c r="H324" s="35" t="s">
        <v>521</v>
      </c>
      <c r="I324" s="35">
        <v>17687</v>
      </c>
      <c r="J324" s="35">
        <v>734.74973356435203</v>
      </c>
      <c r="K324" s="35">
        <v>121.473902787364</v>
      </c>
      <c r="L324" s="35">
        <v>-11.03</v>
      </c>
      <c r="M324" s="35">
        <v>-1.27</v>
      </c>
      <c r="N324" s="35">
        <v>397</v>
      </c>
      <c r="O324" s="35" t="s">
        <v>904</v>
      </c>
      <c r="P324" s="35" t="s">
        <v>905</v>
      </c>
      <c r="Q324" s="35" t="s">
        <v>253</v>
      </c>
      <c r="R324" s="35" t="s">
        <v>253</v>
      </c>
      <c r="S324" s="35" t="s">
        <v>253</v>
      </c>
      <c r="T324" s="35" t="s">
        <v>261</v>
      </c>
      <c r="U324" s="35" t="s">
        <v>258</v>
      </c>
      <c r="V324" s="35" t="s">
        <v>253</v>
      </c>
      <c r="W324" s="35" t="s">
        <v>253</v>
      </c>
      <c r="X324" s="35" t="s">
        <v>1936</v>
      </c>
      <c r="Y324" s="35" t="s">
        <v>1937</v>
      </c>
    </row>
    <row r="325" spans="1:25" x14ac:dyDescent="0.2">
      <c r="A325" s="35">
        <v>718</v>
      </c>
      <c r="B325" s="35" t="s">
        <v>1938</v>
      </c>
      <c r="C325" s="35" t="s">
        <v>253</v>
      </c>
      <c r="D325" s="35" t="s">
        <v>253</v>
      </c>
      <c r="E325" s="35" t="s">
        <v>1882</v>
      </c>
      <c r="F325" s="35" t="s">
        <v>1883</v>
      </c>
      <c r="G325" s="35" t="s">
        <v>522</v>
      </c>
      <c r="H325" s="35" t="s">
        <v>521</v>
      </c>
      <c r="I325" s="35">
        <v>15629</v>
      </c>
      <c r="J325" s="35">
        <v>1236.75</v>
      </c>
      <c r="K325" s="35">
        <v>550.5</v>
      </c>
      <c r="L325" s="35">
        <v>-24.93</v>
      </c>
      <c r="M325" s="35">
        <v>14.95</v>
      </c>
      <c r="N325" s="35">
        <v>52</v>
      </c>
      <c r="O325" s="35" t="s">
        <v>568</v>
      </c>
      <c r="P325" s="35" t="s">
        <v>569</v>
      </c>
      <c r="Q325" s="35" t="s">
        <v>253</v>
      </c>
      <c r="R325" s="35" t="s">
        <v>259</v>
      </c>
      <c r="S325" s="35" t="s">
        <v>257</v>
      </c>
      <c r="T325" s="35" t="s">
        <v>253</v>
      </c>
      <c r="U325" s="35" t="s">
        <v>258</v>
      </c>
      <c r="V325" s="35" t="s">
        <v>253</v>
      </c>
      <c r="W325" s="35" t="s">
        <v>253</v>
      </c>
      <c r="X325" s="35" t="s">
        <v>1939</v>
      </c>
      <c r="Y325" s="35" t="s">
        <v>1940</v>
      </c>
    </row>
    <row r="326" spans="1:25" x14ac:dyDescent="0.2">
      <c r="A326" s="35">
        <v>755</v>
      </c>
      <c r="B326" s="35" t="s">
        <v>1941</v>
      </c>
      <c r="C326" s="35" t="s">
        <v>253</v>
      </c>
      <c r="D326" s="35" t="s">
        <v>253</v>
      </c>
      <c r="E326" s="35" t="s">
        <v>1882</v>
      </c>
      <c r="F326" s="35" t="s">
        <v>1883</v>
      </c>
      <c r="G326" s="35" t="s">
        <v>260</v>
      </c>
      <c r="H326" s="35" t="s">
        <v>521</v>
      </c>
      <c r="I326" s="35">
        <v>12016</v>
      </c>
      <c r="J326" s="35">
        <v>1176.08498835558</v>
      </c>
      <c r="K326" s="35">
        <v>679.93027427540801</v>
      </c>
      <c r="L326" s="35">
        <v>-29.12</v>
      </c>
      <c r="M326" s="35">
        <v>12.99</v>
      </c>
      <c r="N326" s="35">
        <v>266</v>
      </c>
      <c r="O326" s="35" t="s">
        <v>564</v>
      </c>
      <c r="P326" s="35" t="s">
        <v>565</v>
      </c>
      <c r="Q326" s="35" t="s">
        <v>253</v>
      </c>
      <c r="R326" s="35" t="s">
        <v>253</v>
      </c>
      <c r="S326" s="35" t="s">
        <v>253</v>
      </c>
      <c r="T326" s="35" t="s">
        <v>261</v>
      </c>
      <c r="U326" s="35" t="s">
        <v>258</v>
      </c>
      <c r="V326" s="35" t="s">
        <v>253</v>
      </c>
      <c r="W326" s="35" t="s">
        <v>253</v>
      </c>
      <c r="X326" s="35" t="s">
        <v>1942</v>
      </c>
      <c r="Y326" s="35" t="s">
        <v>1943</v>
      </c>
    </row>
    <row r="327" spans="1:25" x14ac:dyDescent="0.2">
      <c r="A327" s="35">
        <v>793</v>
      </c>
      <c r="B327" s="35" t="s">
        <v>1944</v>
      </c>
      <c r="C327" s="35" t="s">
        <v>253</v>
      </c>
      <c r="D327" s="35" t="s">
        <v>253</v>
      </c>
      <c r="E327" s="35" t="s">
        <v>1882</v>
      </c>
      <c r="F327" s="35" t="s">
        <v>1883</v>
      </c>
      <c r="G327" s="35" t="s">
        <v>2008</v>
      </c>
      <c r="H327" s="35" t="s">
        <v>521</v>
      </c>
      <c r="I327" s="35">
        <v>6813</v>
      </c>
      <c r="J327" s="35">
        <v>647.89171697779898</v>
      </c>
      <c r="K327" s="35">
        <v>69.802821891711403</v>
      </c>
      <c r="L327" s="35">
        <v>-9.36</v>
      </c>
      <c r="M327" s="35">
        <v>-4.07</v>
      </c>
      <c r="N327" s="35">
        <v>397</v>
      </c>
      <c r="O327" s="35" t="s">
        <v>956</v>
      </c>
      <c r="P327" s="35" t="s">
        <v>957</v>
      </c>
      <c r="Q327" s="35" t="s">
        <v>253</v>
      </c>
      <c r="R327" s="35" t="s">
        <v>253</v>
      </c>
      <c r="S327" s="35" t="s">
        <v>257</v>
      </c>
      <c r="T327" s="35" t="s">
        <v>253</v>
      </c>
      <c r="U327" s="35" t="s">
        <v>258</v>
      </c>
      <c r="V327" s="35" t="s">
        <v>253</v>
      </c>
      <c r="W327" s="35" t="s">
        <v>253</v>
      </c>
      <c r="X327" s="35" t="s">
        <v>1945</v>
      </c>
      <c r="Y327" s="35" t="s">
        <v>1946</v>
      </c>
    </row>
    <row r="328" spans="1:25" x14ac:dyDescent="0.2">
      <c r="A328" s="35">
        <v>799</v>
      </c>
      <c r="B328" s="35" t="s">
        <v>1947</v>
      </c>
      <c r="C328" s="35" t="s">
        <v>253</v>
      </c>
      <c r="D328" s="35" t="s">
        <v>253</v>
      </c>
      <c r="E328" s="35" t="s">
        <v>1882</v>
      </c>
      <c r="F328" s="35" t="s">
        <v>1883</v>
      </c>
      <c r="G328" s="35" t="s">
        <v>522</v>
      </c>
      <c r="H328" s="35" t="s">
        <v>521</v>
      </c>
      <c r="I328" s="35">
        <v>2173</v>
      </c>
      <c r="J328" s="35">
        <v>1275.5542518048001</v>
      </c>
      <c r="K328" s="35">
        <v>439.51865005544602</v>
      </c>
      <c r="L328" s="35">
        <v>-21.33</v>
      </c>
      <c r="M328" s="35">
        <v>16.2</v>
      </c>
      <c r="N328" s="35">
        <v>52</v>
      </c>
      <c r="O328" s="35" t="s">
        <v>945</v>
      </c>
      <c r="P328" s="35" t="s">
        <v>946</v>
      </c>
      <c r="Q328" s="35" t="s">
        <v>253</v>
      </c>
      <c r="R328" s="35" t="s">
        <v>253</v>
      </c>
      <c r="S328" s="35" t="s">
        <v>253</v>
      </c>
      <c r="T328" s="35" t="s">
        <v>253</v>
      </c>
      <c r="U328" s="35" t="s">
        <v>253</v>
      </c>
      <c r="V328" s="35" t="s">
        <v>253</v>
      </c>
      <c r="W328" s="35" t="s">
        <v>253</v>
      </c>
      <c r="X328" s="35" t="s">
        <v>1948</v>
      </c>
      <c r="Y328" s="35" t="s">
        <v>1949</v>
      </c>
    </row>
    <row r="329" spans="1:25" x14ac:dyDescent="0.2">
      <c r="A329" s="35">
        <v>800</v>
      </c>
      <c r="B329" s="35" t="s">
        <v>1950</v>
      </c>
      <c r="C329" s="35" t="s">
        <v>253</v>
      </c>
      <c r="D329" s="35" t="s">
        <v>253</v>
      </c>
      <c r="E329" s="35" t="s">
        <v>1882</v>
      </c>
      <c r="F329" s="35" t="s">
        <v>1883</v>
      </c>
      <c r="G329" s="35" t="s">
        <v>522</v>
      </c>
      <c r="H329" s="35" t="s">
        <v>521</v>
      </c>
      <c r="I329" s="35">
        <v>9903</v>
      </c>
      <c r="J329" s="35">
        <v>1282.9302742754001</v>
      </c>
      <c r="K329" s="35">
        <v>450.670261864564</v>
      </c>
      <c r="L329" s="35">
        <v>-21.69</v>
      </c>
      <c r="M329" s="35">
        <v>16.440000000000001</v>
      </c>
      <c r="N329" s="35">
        <v>328</v>
      </c>
      <c r="O329" s="35" t="s">
        <v>945</v>
      </c>
      <c r="P329" s="35" t="s">
        <v>946</v>
      </c>
      <c r="Q329" s="35" t="s">
        <v>253</v>
      </c>
      <c r="R329" s="35" t="s">
        <v>253</v>
      </c>
      <c r="S329" s="35" t="s">
        <v>257</v>
      </c>
      <c r="T329" s="35" t="s">
        <v>253</v>
      </c>
      <c r="U329" s="35" t="s">
        <v>258</v>
      </c>
      <c r="V329" s="35" t="s">
        <v>253</v>
      </c>
      <c r="W329" s="35" t="s">
        <v>253</v>
      </c>
      <c r="X329" s="35" t="s">
        <v>1951</v>
      </c>
      <c r="Y329" s="35" t="s">
        <v>1952</v>
      </c>
    </row>
    <row r="330" spans="1:25" x14ac:dyDescent="0.2">
      <c r="A330" s="35">
        <v>817</v>
      </c>
      <c r="B330" s="35" t="s">
        <v>1953</v>
      </c>
      <c r="C330" s="35" t="s">
        <v>253</v>
      </c>
      <c r="D330" s="35" t="s">
        <v>253</v>
      </c>
      <c r="E330" s="35" t="s">
        <v>1882</v>
      </c>
      <c r="F330" s="35" t="s">
        <v>1883</v>
      </c>
      <c r="G330" s="35" t="s">
        <v>522</v>
      </c>
      <c r="H330" s="35" t="s">
        <v>521</v>
      </c>
      <c r="I330" s="35">
        <v>28728</v>
      </c>
      <c r="J330" s="35">
        <v>794.94508317273403</v>
      </c>
      <c r="K330" s="35">
        <v>88.894848392139096</v>
      </c>
      <c r="L330" s="35">
        <v>-9.98</v>
      </c>
      <c r="M330" s="35">
        <v>0.68</v>
      </c>
      <c r="N330" s="35">
        <v>82</v>
      </c>
      <c r="O330" s="35" t="s">
        <v>956</v>
      </c>
      <c r="P330" s="35" t="s">
        <v>957</v>
      </c>
      <c r="Q330" s="35" t="s">
        <v>253</v>
      </c>
      <c r="R330" s="35" t="s">
        <v>253</v>
      </c>
      <c r="S330" s="35" t="s">
        <v>253</v>
      </c>
      <c r="T330" s="35" t="s">
        <v>253</v>
      </c>
      <c r="U330" s="35" t="s">
        <v>258</v>
      </c>
      <c r="V330" s="35" t="s">
        <v>297</v>
      </c>
      <c r="W330" s="35" t="s">
        <v>253</v>
      </c>
      <c r="X330" s="35" t="s">
        <v>1954</v>
      </c>
      <c r="Y330" s="35" t="s">
        <v>1955</v>
      </c>
    </row>
    <row r="331" spans="1:25" x14ac:dyDescent="0.2">
      <c r="A331" s="35">
        <v>838</v>
      </c>
      <c r="B331" s="35" t="s">
        <v>1956</v>
      </c>
      <c r="C331" s="35" t="s">
        <v>253</v>
      </c>
      <c r="D331" s="35" t="s">
        <v>253</v>
      </c>
      <c r="E331" s="35" t="s">
        <v>1882</v>
      </c>
      <c r="F331" s="35" t="s">
        <v>1883</v>
      </c>
      <c r="G331" s="35" t="s">
        <v>522</v>
      </c>
      <c r="H331" s="35" t="s">
        <v>521</v>
      </c>
      <c r="I331" s="35">
        <v>3700</v>
      </c>
      <c r="J331" s="35">
        <v>1076.1486416892201</v>
      </c>
      <c r="K331" s="35">
        <v>33.798490570823397</v>
      </c>
      <c r="L331" s="35">
        <v>-8.19</v>
      </c>
      <c r="M331" s="35">
        <v>9.76</v>
      </c>
      <c r="N331" s="35">
        <v>3573</v>
      </c>
      <c r="O331" s="35" t="s">
        <v>913</v>
      </c>
      <c r="P331" s="35" t="s">
        <v>914</v>
      </c>
      <c r="Q331" s="35" t="s">
        <v>253</v>
      </c>
      <c r="R331" s="35" t="s">
        <v>253</v>
      </c>
      <c r="S331" s="35" t="s">
        <v>253</v>
      </c>
      <c r="T331" s="35" t="s">
        <v>261</v>
      </c>
      <c r="U331" s="35" t="s">
        <v>253</v>
      </c>
      <c r="V331" s="35" t="s">
        <v>253</v>
      </c>
      <c r="W331" s="35" t="s">
        <v>253</v>
      </c>
      <c r="X331" s="35" t="s">
        <v>1957</v>
      </c>
      <c r="Y331" s="35" t="s">
        <v>1958</v>
      </c>
    </row>
    <row r="332" spans="1:25" x14ac:dyDescent="0.2">
      <c r="A332" s="35">
        <v>840</v>
      </c>
      <c r="B332" s="35" t="s">
        <v>1959</v>
      </c>
      <c r="C332" s="35" t="s">
        <v>253</v>
      </c>
      <c r="D332" s="35" t="s">
        <v>253</v>
      </c>
      <c r="E332" s="35" t="s">
        <v>1882</v>
      </c>
      <c r="F332" s="35" t="s">
        <v>1883</v>
      </c>
      <c r="G332" s="35" t="s">
        <v>522</v>
      </c>
      <c r="H332" s="35" t="s">
        <v>521</v>
      </c>
      <c r="I332" s="35">
        <v>2122</v>
      </c>
      <c r="J332" s="35">
        <v>722.23579570525499</v>
      </c>
      <c r="K332" s="35">
        <v>71.028915336693004</v>
      </c>
      <c r="L332" s="35">
        <v>-9.4</v>
      </c>
      <c r="M332" s="35">
        <v>-1.67</v>
      </c>
      <c r="N332" s="35">
        <v>210</v>
      </c>
      <c r="O332" s="35" t="s">
        <v>987</v>
      </c>
      <c r="P332" s="35" t="s">
        <v>988</v>
      </c>
      <c r="Q332" s="35" t="s">
        <v>253</v>
      </c>
      <c r="R332" s="35" t="s">
        <v>253</v>
      </c>
      <c r="S332" s="35" t="s">
        <v>253</v>
      </c>
      <c r="T332" s="35" t="s">
        <v>253</v>
      </c>
      <c r="U332" s="35" t="s">
        <v>258</v>
      </c>
      <c r="V332" s="35" t="s">
        <v>253</v>
      </c>
      <c r="W332" s="35" t="s">
        <v>253</v>
      </c>
      <c r="X332" s="35" t="s">
        <v>1960</v>
      </c>
      <c r="Y332" s="35" t="s">
        <v>1961</v>
      </c>
    </row>
    <row r="333" spans="1:25" x14ac:dyDescent="0.2">
      <c r="A333" s="35">
        <v>843</v>
      </c>
      <c r="B333" s="35" t="s">
        <v>901</v>
      </c>
      <c r="C333" s="35" t="s">
        <v>253</v>
      </c>
      <c r="D333" s="35" t="s">
        <v>253</v>
      </c>
      <c r="E333" s="35" t="s">
        <v>1882</v>
      </c>
      <c r="F333" s="35" t="s">
        <v>1883</v>
      </c>
      <c r="G333" s="35" t="s">
        <v>522</v>
      </c>
      <c r="H333" s="35" t="s">
        <v>521</v>
      </c>
      <c r="I333" s="35">
        <v>6589</v>
      </c>
      <c r="J333" s="35">
        <v>816.10006054884502</v>
      </c>
      <c r="K333" s="35">
        <v>178.59428788293499</v>
      </c>
      <c r="L333" s="35">
        <v>-12.88</v>
      </c>
      <c r="M333" s="35">
        <v>1.36</v>
      </c>
      <c r="N333" s="35">
        <v>52</v>
      </c>
      <c r="O333" s="35" t="s">
        <v>904</v>
      </c>
      <c r="P333" s="35" t="s">
        <v>905</v>
      </c>
      <c r="Q333" s="35" t="s">
        <v>253</v>
      </c>
      <c r="R333" s="35" t="s">
        <v>253</v>
      </c>
      <c r="S333" s="35" t="s">
        <v>253</v>
      </c>
      <c r="T333" s="35" t="s">
        <v>261</v>
      </c>
      <c r="U333" s="35" t="s">
        <v>258</v>
      </c>
      <c r="V333" s="35" t="s">
        <v>253</v>
      </c>
      <c r="W333" s="35" t="s">
        <v>253</v>
      </c>
      <c r="X333" s="35" t="s">
        <v>908</v>
      </c>
      <c r="Y333" s="35" t="s">
        <v>2031</v>
      </c>
    </row>
    <row r="334" spans="1:25" x14ac:dyDescent="0.2">
      <c r="A334" s="35">
        <v>846</v>
      </c>
      <c r="B334" s="35" t="s">
        <v>1962</v>
      </c>
      <c r="C334" s="35" t="s">
        <v>253</v>
      </c>
      <c r="D334" s="35" t="s">
        <v>253</v>
      </c>
      <c r="E334" s="35" t="s">
        <v>1882</v>
      </c>
      <c r="F334" s="35" t="s">
        <v>1883</v>
      </c>
      <c r="G334" s="35" t="s">
        <v>522</v>
      </c>
      <c r="H334" s="35" t="s">
        <v>521</v>
      </c>
      <c r="I334" s="35">
        <v>21977</v>
      </c>
      <c r="J334" s="35">
        <v>1264.5</v>
      </c>
      <c r="K334" s="35">
        <v>552.5</v>
      </c>
      <c r="L334" s="35">
        <v>-24.99</v>
      </c>
      <c r="M334" s="35">
        <v>15.84</v>
      </c>
      <c r="N334" s="35">
        <v>161</v>
      </c>
      <c r="O334" s="35" t="s">
        <v>568</v>
      </c>
      <c r="P334" s="35" t="s">
        <v>569</v>
      </c>
      <c r="Q334" s="35" t="s">
        <v>253</v>
      </c>
      <c r="R334" s="35" t="s">
        <v>259</v>
      </c>
      <c r="S334" s="35" t="s">
        <v>253</v>
      </c>
      <c r="T334" s="35" t="s">
        <v>261</v>
      </c>
      <c r="U334" s="35" t="s">
        <v>258</v>
      </c>
      <c r="V334" s="35" t="s">
        <v>253</v>
      </c>
      <c r="W334" s="35" t="s">
        <v>253</v>
      </c>
      <c r="X334" s="35" t="s">
        <v>1963</v>
      </c>
      <c r="Y334" s="35" t="s">
        <v>1964</v>
      </c>
    </row>
    <row r="335" spans="1:25" x14ac:dyDescent="0.2">
      <c r="A335" s="35">
        <v>865</v>
      </c>
      <c r="B335" s="35" t="s">
        <v>933</v>
      </c>
      <c r="C335" s="35" t="s">
        <v>253</v>
      </c>
      <c r="D335" s="35" t="s">
        <v>253</v>
      </c>
      <c r="E335" s="35" t="s">
        <v>1882</v>
      </c>
      <c r="F335" s="35" t="s">
        <v>1883</v>
      </c>
      <c r="G335" s="35" t="s">
        <v>522</v>
      </c>
      <c r="H335" s="35" t="s">
        <v>521</v>
      </c>
      <c r="I335" s="35">
        <v>19383</v>
      </c>
      <c r="J335" s="35">
        <v>810.67021814964096</v>
      </c>
      <c r="K335" s="35">
        <v>227.79372008791</v>
      </c>
      <c r="L335" s="35">
        <v>-14.48</v>
      </c>
      <c r="M335" s="35">
        <v>1.18</v>
      </c>
      <c r="N335" s="35">
        <v>82</v>
      </c>
      <c r="O335" s="35" t="s">
        <v>929</v>
      </c>
      <c r="P335" s="35" t="s">
        <v>930</v>
      </c>
      <c r="Q335" s="35" t="s">
        <v>253</v>
      </c>
      <c r="R335" s="35" t="s">
        <v>253</v>
      </c>
      <c r="S335" s="35" t="s">
        <v>257</v>
      </c>
      <c r="T335" s="35" t="s">
        <v>261</v>
      </c>
      <c r="U335" s="35" t="s">
        <v>258</v>
      </c>
      <c r="V335" s="35" t="s">
        <v>253</v>
      </c>
      <c r="W335" s="35" t="s">
        <v>253</v>
      </c>
      <c r="X335" s="35" t="s">
        <v>934</v>
      </c>
      <c r="Y335" s="35" t="s">
        <v>935</v>
      </c>
    </row>
    <row r="336" spans="1:25" x14ac:dyDescent="0.2">
      <c r="A336" s="35">
        <v>866</v>
      </c>
      <c r="B336" s="35" t="s">
        <v>1558</v>
      </c>
      <c r="C336" s="35" t="s">
        <v>253</v>
      </c>
      <c r="D336" s="35" t="s">
        <v>253</v>
      </c>
      <c r="E336" s="35" t="s">
        <v>1882</v>
      </c>
      <c r="F336" s="35" t="s">
        <v>1883</v>
      </c>
      <c r="G336" s="35" t="s">
        <v>522</v>
      </c>
      <c r="H336" s="35" t="s">
        <v>521</v>
      </c>
      <c r="I336" s="35">
        <v>14562</v>
      </c>
      <c r="J336" s="35">
        <v>1040.75</v>
      </c>
      <c r="K336" s="35">
        <v>280.75</v>
      </c>
      <c r="L336" s="35">
        <v>-16.190000000000001</v>
      </c>
      <c r="M336" s="35">
        <v>8.6199999999999992</v>
      </c>
      <c r="N336" s="35">
        <v>840</v>
      </c>
      <c r="O336" s="35" t="s">
        <v>913</v>
      </c>
      <c r="P336" s="35" t="s">
        <v>914</v>
      </c>
      <c r="Q336" s="35" t="s">
        <v>253</v>
      </c>
      <c r="R336" s="35" t="s">
        <v>259</v>
      </c>
      <c r="S336" s="35" t="s">
        <v>253</v>
      </c>
      <c r="T336" s="35" t="s">
        <v>261</v>
      </c>
      <c r="U336" s="35" t="s">
        <v>253</v>
      </c>
      <c r="V336" s="35" t="s">
        <v>253</v>
      </c>
      <c r="W336" s="35" t="s">
        <v>253</v>
      </c>
      <c r="X336" s="35" t="s">
        <v>1559</v>
      </c>
      <c r="Y336" s="35" t="s">
        <v>1560</v>
      </c>
    </row>
    <row r="337" spans="1:25" x14ac:dyDescent="0.2">
      <c r="A337" s="35">
        <v>888</v>
      </c>
      <c r="B337" s="35" t="s">
        <v>917</v>
      </c>
      <c r="C337" s="35" t="s">
        <v>253</v>
      </c>
      <c r="D337" s="35" t="s">
        <v>253</v>
      </c>
      <c r="E337" s="35" t="s">
        <v>1882</v>
      </c>
      <c r="F337" s="35" t="s">
        <v>1883</v>
      </c>
      <c r="G337" s="35" t="s">
        <v>522</v>
      </c>
      <c r="H337" s="35" t="s">
        <v>521</v>
      </c>
      <c r="I337" s="35">
        <v>2945</v>
      </c>
      <c r="J337" s="35">
        <v>817.77377541024896</v>
      </c>
      <c r="K337" s="35">
        <v>256.79180315176097</v>
      </c>
      <c r="L337" s="35">
        <v>-15.42</v>
      </c>
      <c r="M337" s="35">
        <v>1.41</v>
      </c>
      <c r="N337" s="35">
        <v>161</v>
      </c>
      <c r="O337" s="35" t="s">
        <v>918</v>
      </c>
      <c r="P337" s="35" t="s">
        <v>919</v>
      </c>
      <c r="Q337" s="35" t="s">
        <v>253</v>
      </c>
      <c r="R337" s="35" t="s">
        <v>253</v>
      </c>
      <c r="S337" s="35" t="s">
        <v>257</v>
      </c>
      <c r="T337" s="35" t="s">
        <v>261</v>
      </c>
      <c r="U337" s="35" t="s">
        <v>253</v>
      </c>
      <c r="V337" s="35" t="s">
        <v>253</v>
      </c>
      <c r="W337" s="35" t="s">
        <v>253</v>
      </c>
      <c r="X337" s="35" t="s">
        <v>920</v>
      </c>
      <c r="Y337" s="35" t="s">
        <v>921</v>
      </c>
    </row>
    <row r="338" spans="1:25" x14ac:dyDescent="0.2">
      <c r="A338" s="35">
        <v>916</v>
      </c>
      <c r="B338" s="35" t="s">
        <v>1965</v>
      </c>
      <c r="C338" s="35" t="s">
        <v>253</v>
      </c>
      <c r="D338" s="35" t="s">
        <v>253</v>
      </c>
      <c r="E338" s="35" t="s">
        <v>1882</v>
      </c>
      <c r="F338" s="35" t="s">
        <v>1883</v>
      </c>
      <c r="G338" s="35" t="s">
        <v>522</v>
      </c>
      <c r="H338" s="35" t="s">
        <v>521</v>
      </c>
      <c r="I338" s="35">
        <v>22126</v>
      </c>
      <c r="J338" s="35">
        <v>1287.8151862546199</v>
      </c>
      <c r="K338" s="35">
        <v>650.91272941084299</v>
      </c>
      <c r="L338" s="35">
        <v>-28.18</v>
      </c>
      <c r="M338" s="35">
        <v>16.600000000000001</v>
      </c>
      <c r="N338" s="35">
        <v>2051</v>
      </c>
      <c r="O338" s="35" t="s">
        <v>542</v>
      </c>
      <c r="P338" s="35" t="s">
        <v>543</v>
      </c>
      <c r="Q338" s="35" t="s">
        <v>253</v>
      </c>
      <c r="R338" s="35" t="s">
        <v>253</v>
      </c>
      <c r="S338" s="35" t="s">
        <v>257</v>
      </c>
      <c r="T338" s="35" t="s">
        <v>261</v>
      </c>
      <c r="U338" s="35" t="s">
        <v>253</v>
      </c>
      <c r="V338" s="35" t="s">
        <v>297</v>
      </c>
      <c r="W338" s="35" t="s">
        <v>266</v>
      </c>
      <c r="X338" s="35" t="s">
        <v>1966</v>
      </c>
      <c r="Y338" s="35" t="s">
        <v>1967</v>
      </c>
    </row>
    <row r="339" spans="1:25" x14ac:dyDescent="0.2">
      <c r="A339" s="35">
        <v>947</v>
      </c>
      <c r="B339" s="35" t="s">
        <v>922</v>
      </c>
      <c r="C339" s="35" t="s">
        <v>253</v>
      </c>
      <c r="D339" s="35" t="s">
        <v>253</v>
      </c>
      <c r="E339" s="35" t="s">
        <v>1882</v>
      </c>
      <c r="F339" s="35" t="s">
        <v>1883</v>
      </c>
      <c r="G339" s="35" t="s">
        <v>2008</v>
      </c>
      <c r="H339" s="35" t="s">
        <v>521</v>
      </c>
      <c r="I339" s="35">
        <v>3372</v>
      </c>
      <c r="J339" s="35">
        <v>859</v>
      </c>
      <c r="K339" s="35">
        <v>323</v>
      </c>
      <c r="L339" s="35">
        <v>-17.559999999999999</v>
      </c>
      <c r="M339" s="35">
        <v>2.75</v>
      </c>
      <c r="N339" s="35">
        <v>82</v>
      </c>
      <c r="O339" s="35" t="s">
        <v>913</v>
      </c>
      <c r="P339" s="35" t="s">
        <v>914</v>
      </c>
      <c r="Q339" s="35" t="s">
        <v>253</v>
      </c>
      <c r="R339" s="35" t="s">
        <v>259</v>
      </c>
      <c r="S339" s="35" t="s">
        <v>257</v>
      </c>
      <c r="T339" s="35" t="s">
        <v>261</v>
      </c>
      <c r="U339" s="35" t="s">
        <v>258</v>
      </c>
      <c r="V339" s="35" t="s">
        <v>253</v>
      </c>
      <c r="W339" s="35" t="s">
        <v>253</v>
      </c>
      <c r="X339" s="35" t="s">
        <v>923</v>
      </c>
      <c r="Y339" s="35" t="s">
        <v>924</v>
      </c>
    </row>
    <row r="340" spans="1:25" x14ac:dyDescent="0.2">
      <c r="A340" s="35">
        <v>972</v>
      </c>
      <c r="B340" s="35" t="s">
        <v>936</v>
      </c>
      <c r="C340" s="35" t="s">
        <v>253</v>
      </c>
      <c r="D340" s="35" t="s">
        <v>253</v>
      </c>
      <c r="E340" s="35" t="s">
        <v>1882</v>
      </c>
      <c r="F340" s="35" t="s">
        <v>1883</v>
      </c>
      <c r="G340" s="35" t="s">
        <v>2008</v>
      </c>
      <c r="H340" s="35" t="s">
        <v>928</v>
      </c>
      <c r="I340" s="35">
        <v>3183</v>
      </c>
      <c r="J340" s="35">
        <v>765.5</v>
      </c>
      <c r="K340" s="35">
        <v>242</v>
      </c>
      <c r="L340" s="35">
        <v>-14.94</v>
      </c>
      <c r="M340" s="35">
        <v>-0.27</v>
      </c>
      <c r="N340" s="35">
        <v>82</v>
      </c>
      <c r="O340" s="35" t="s">
        <v>929</v>
      </c>
      <c r="P340" s="35" t="s">
        <v>930</v>
      </c>
      <c r="Q340" s="35" t="s">
        <v>253</v>
      </c>
      <c r="R340" s="35" t="s">
        <v>259</v>
      </c>
      <c r="S340" s="35" t="s">
        <v>253</v>
      </c>
      <c r="T340" s="35" t="s">
        <v>253</v>
      </c>
      <c r="U340" s="35" t="s">
        <v>253</v>
      </c>
      <c r="V340" s="35" t="s">
        <v>253</v>
      </c>
      <c r="W340" s="35" t="s">
        <v>253</v>
      </c>
      <c r="X340" s="35" t="s">
        <v>937</v>
      </c>
      <c r="Y340" s="35" t="s">
        <v>938</v>
      </c>
    </row>
    <row r="341" spans="1:25" x14ac:dyDescent="0.2">
      <c r="A341" s="35">
        <v>999</v>
      </c>
      <c r="B341" s="35" t="s">
        <v>1561</v>
      </c>
      <c r="C341" s="35" t="s">
        <v>253</v>
      </c>
      <c r="D341" s="35" t="s">
        <v>253</v>
      </c>
      <c r="E341" s="35" t="s">
        <v>1882</v>
      </c>
      <c r="F341" s="35" t="s">
        <v>1883</v>
      </c>
      <c r="G341" s="35" t="s">
        <v>522</v>
      </c>
      <c r="H341" s="35" t="s">
        <v>521</v>
      </c>
      <c r="I341" s="35">
        <v>36053</v>
      </c>
      <c r="J341" s="35">
        <v>1054.1178832809801</v>
      </c>
      <c r="K341" s="35">
        <v>243.49939326410299</v>
      </c>
      <c r="L341" s="35">
        <v>-14.98</v>
      </c>
      <c r="M341" s="35">
        <v>9.0500000000000007</v>
      </c>
      <c r="N341" s="35">
        <v>82</v>
      </c>
      <c r="O341" s="35" t="s">
        <v>929</v>
      </c>
      <c r="P341" s="35" t="s">
        <v>930</v>
      </c>
      <c r="Q341" s="35" t="s">
        <v>253</v>
      </c>
      <c r="R341" s="35" t="s">
        <v>253</v>
      </c>
      <c r="S341" s="35" t="s">
        <v>253</v>
      </c>
      <c r="T341" s="35" t="s">
        <v>261</v>
      </c>
      <c r="U341" s="35" t="s">
        <v>258</v>
      </c>
      <c r="V341" s="35" t="s">
        <v>297</v>
      </c>
      <c r="W341" s="35" t="s">
        <v>253</v>
      </c>
      <c r="X341" s="35" t="s">
        <v>1562</v>
      </c>
      <c r="Y341" s="35" t="s">
        <v>1563</v>
      </c>
    </row>
    <row r="342" spans="1:25" x14ac:dyDescent="0.2">
      <c r="A342" s="35">
        <v>1036</v>
      </c>
      <c r="B342" s="35" t="s">
        <v>1968</v>
      </c>
      <c r="C342" s="35" t="s">
        <v>253</v>
      </c>
      <c r="D342" s="35" t="s">
        <v>253</v>
      </c>
      <c r="E342" s="35" t="s">
        <v>1882</v>
      </c>
      <c r="F342" s="35" t="s">
        <v>1883</v>
      </c>
      <c r="G342" s="35" t="s">
        <v>522</v>
      </c>
      <c r="H342" s="35" t="s">
        <v>521</v>
      </c>
      <c r="I342" s="35">
        <v>22465</v>
      </c>
      <c r="J342" s="35">
        <v>1194.10661581674</v>
      </c>
      <c r="K342" s="35">
        <v>494.14792465962603</v>
      </c>
      <c r="L342" s="35">
        <v>-23.1</v>
      </c>
      <c r="M342" s="35">
        <v>13.57</v>
      </c>
      <c r="N342" s="35">
        <v>5515</v>
      </c>
      <c r="O342" s="35" t="s">
        <v>726</v>
      </c>
      <c r="P342" s="35" t="s">
        <v>727</v>
      </c>
      <c r="Q342" s="35" t="s">
        <v>253</v>
      </c>
      <c r="R342" s="35" t="s">
        <v>253</v>
      </c>
      <c r="S342" s="35" t="s">
        <v>253</v>
      </c>
      <c r="T342" s="35" t="s">
        <v>261</v>
      </c>
      <c r="U342" s="35" t="s">
        <v>258</v>
      </c>
      <c r="V342" s="35" t="s">
        <v>297</v>
      </c>
      <c r="W342" s="35" t="s">
        <v>266</v>
      </c>
      <c r="X342" s="35" t="s">
        <v>1969</v>
      </c>
      <c r="Y342" s="35" t="s">
        <v>1970</v>
      </c>
    </row>
    <row r="343" spans="1:25" x14ac:dyDescent="0.2">
      <c r="A343" s="35">
        <v>6</v>
      </c>
      <c r="B343" s="35" t="s">
        <v>269</v>
      </c>
      <c r="C343" s="35" t="s">
        <v>44</v>
      </c>
      <c r="D343" s="35" t="s">
        <v>1974</v>
      </c>
      <c r="E343" s="35" t="s">
        <v>268</v>
      </c>
      <c r="F343" s="35" t="s">
        <v>537</v>
      </c>
      <c r="G343" s="35" t="s">
        <v>2024</v>
      </c>
      <c r="H343" s="35" t="s">
        <v>256</v>
      </c>
      <c r="I343" s="35">
        <v>100109</v>
      </c>
      <c r="J343" s="35">
        <v>433</v>
      </c>
      <c r="K343" s="35">
        <v>666</v>
      </c>
      <c r="L343" s="35">
        <v>-28.67</v>
      </c>
      <c r="M343" s="35">
        <v>-11.01</v>
      </c>
      <c r="N343" s="35">
        <v>13</v>
      </c>
      <c r="O343" s="35" t="s">
        <v>564</v>
      </c>
      <c r="P343" s="35" t="s">
        <v>565</v>
      </c>
      <c r="Q343" s="35" t="s">
        <v>332</v>
      </c>
      <c r="R343" s="35" t="s">
        <v>259</v>
      </c>
      <c r="S343" s="35" t="s">
        <v>257</v>
      </c>
      <c r="T343" s="35" t="s">
        <v>261</v>
      </c>
      <c r="U343" s="35" t="s">
        <v>258</v>
      </c>
      <c r="V343" s="35" t="s">
        <v>297</v>
      </c>
      <c r="W343" s="35" t="s">
        <v>266</v>
      </c>
      <c r="X343" s="35" t="s">
        <v>643</v>
      </c>
      <c r="Y343" s="35" t="s">
        <v>644</v>
      </c>
    </row>
    <row r="344" spans="1:25" x14ac:dyDescent="0.2">
      <c r="A344" s="35">
        <v>19</v>
      </c>
      <c r="B344" s="35" t="s">
        <v>270</v>
      </c>
      <c r="C344" s="35" t="s">
        <v>61</v>
      </c>
      <c r="D344" s="35" t="s">
        <v>1976</v>
      </c>
      <c r="E344" s="35" t="s">
        <v>268</v>
      </c>
      <c r="F344" s="35" t="s">
        <v>537</v>
      </c>
      <c r="G344" s="35" t="s">
        <v>2024</v>
      </c>
      <c r="H344" s="35" t="s">
        <v>256</v>
      </c>
      <c r="I344" s="35">
        <v>3360</v>
      </c>
      <c r="J344" s="35">
        <v>346.5</v>
      </c>
      <c r="K344" s="35">
        <v>693.5</v>
      </c>
      <c r="L344" s="35">
        <v>-29.56</v>
      </c>
      <c r="M344" s="35">
        <v>-13.81</v>
      </c>
      <c r="N344" s="35">
        <v>118</v>
      </c>
      <c r="O344" s="35" t="s">
        <v>550</v>
      </c>
      <c r="P344" s="35" t="s">
        <v>551</v>
      </c>
      <c r="Q344" s="35" t="s">
        <v>253</v>
      </c>
      <c r="R344" s="35" t="s">
        <v>259</v>
      </c>
      <c r="S344" s="35" t="s">
        <v>257</v>
      </c>
      <c r="T344" s="35" t="s">
        <v>261</v>
      </c>
      <c r="U344" s="35" t="s">
        <v>253</v>
      </c>
      <c r="V344" s="35" t="s">
        <v>253</v>
      </c>
      <c r="W344" s="35" t="s">
        <v>253</v>
      </c>
      <c r="X344" s="35" t="s">
        <v>799</v>
      </c>
      <c r="Y344" s="35" t="s">
        <v>2032</v>
      </c>
    </row>
    <row r="345" spans="1:25" x14ac:dyDescent="0.2">
      <c r="A345" s="35">
        <v>22</v>
      </c>
      <c r="B345" s="35" t="s">
        <v>271</v>
      </c>
      <c r="C345" s="35" t="s">
        <v>50</v>
      </c>
      <c r="D345" s="35" t="s">
        <v>1973</v>
      </c>
      <c r="E345" s="35" t="s">
        <v>268</v>
      </c>
      <c r="F345" s="35" t="s">
        <v>537</v>
      </c>
      <c r="G345" s="35" t="s">
        <v>2024</v>
      </c>
      <c r="H345" s="35" t="s">
        <v>256</v>
      </c>
      <c r="I345" s="35">
        <v>6916</v>
      </c>
      <c r="J345" s="35">
        <v>655.59859006054103</v>
      </c>
      <c r="K345" s="35">
        <v>934.33493320873094</v>
      </c>
      <c r="L345" s="35">
        <v>-37.35</v>
      </c>
      <c r="M345" s="35">
        <v>-3.82</v>
      </c>
      <c r="N345" s="35">
        <v>82</v>
      </c>
      <c r="O345" s="35" t="s">
        <v>538</v>
      </c>
      <c r="P345" s="35" t="s">
        <v>539</v>
      </c>
      <c r="Q345" s="35" t="s">
        <v>253</v>
      </c>
      <c r="R345" s="35" t="s">
        <v>253</v>
      </c>
      <c r="S345" s="35" t="s">
        <v>257</v>
      </c>
      <c r="T345" s="35" t="s">
        <v>253</v>
      </c>
      <c r="U345" s="35" t="s">
        <v>253</v>
      </c>
      <c r="V345" s="35" t="s">
        <v>253</v>
      </c>
      <c r="W345" s="35" t="s">
        <v>253</v>
      </c>
      <c r="X345" s="35" t="s">
        <v>655</v>
      </c>
      <c r="Y345" s="35" t="s">
        <v>656</v>
      </c>
    </row>
    <row r="346" spans="1:25" x14ac:dyDescent="0.2">
      <c r="A346" s="35">
        <v>33</v>
      </c>
      <c r="B346" s="35" t="s">
        <v>272</v>
      </c>
      <c r="C346" s="35" t="s">
        <v>61</v>
      </c>
      <c r="D346" s="35" t="s">
        <v>1976</v>
      </c>
      <c r="E346" s="35" t="s">
        <v>268</v>
      </c>
      <c r="F346" s="35" t="s">
        <v>537</v>
      </c>
      <c r="G346" s="35" t="s">
        <v>2024</v>
      </c>
      <c r="H346" s="35" t="s">
        <v>256</v>
      </c>
      <c r="I346" s="35">
        <v>1652</v>
      </c>
      <c r="J346" s="35">
        <v>447.47409322509401</v>
      </c>
      <c r="K346" s="35">
        <v>835.44952378093001</v>
      </c>
      <c r="L346" s="35">
        <v>-34.15</v>
      </c>
      <c r="M346" s="35">
        <v>-10.55</v>
      </c>
      <c r="N346" s="35">
        <v>554</v>
      </c>
      <c r="O346" s="35" t="s">
        <v>538</v>
      </c>
      <c r="P346" s="35" t="s">
        <v>539</v>
      </c>
      <c r="Q346" s="35" t="s">
        <v>253</v>
      </c>
      <c r="R346" s="35" t="s">
        <v>253</v>
      </c>
      <c r="S346" s="35" t="s">
        <v>253</v>
      </c>
      <c r="T346" s="35" t="s">
        <v>253</v>
      </c>
      <c r="U346" s="35" t="s">
        <v>253</v>
      </c>
      <c r="V346" s="35" t="s">
        <v>253</v>
      </c>
      <c r="W346" s="35" t="s">
        <v>253</v>
      </c>
      <c r="X346" s="35" t="s">
        <v>540</v>
      </c>
      <c r="Y346" s="35" t="s">
        <v>541</v>
      </c>
    </row>
    <row r="347" spans="1:25" x14ac:dyDescent="0.2">
      <c r="A347" s="35">
        <v>39</v>
      </c>
      <c r="B347" s="35" t="s">
        <v>273</v>
      </c>
      <c r="C347" s="35" t="s">
        <v>58</v>
      </c>
      <c r="D347" s="35" t="s">
        <v>1977</v>
      </c>
      <c r="E347" s="35" t="s">
        <v>268</v>
      </c>
      <c r="F347" s="35" t="s">
        <v>537</v>
      </c>
      <c r="G347" s="35" t="s">
        <v>2015</v>
      </c>
      <c r="H347" s="35" t="s">
        <v>256</v>
      </c>
      <c r="I347" s="35">
        <v>5892</v>
      </c>
      <c r="J347" s="35">
        <v>303.96277476010602</v>
      </c>
      <c r="K347" s="35">
        <v>583.90574955256398</v>
      </c>
      <c r="L347" s="35">
        <v>-26.01</v>
      </c>
      <c r="M347" s="35">
        <v>-15.18</v>
      </c>
      <c r="N347" s="35">
        <v>82</v>
      </c>
      <c r="O347" s="35" t="s">
        <v>568</v>
      </c>
      <c r="P347" s="35" t="s">
        <v>569</v>
      </c>
      <c r="Q347" s="35" t="s">
        <v>253</v>
      </c>
      <c r="R347" s="35" t="s">
        <v>253</v>
      </c>
      <c r="S347" s="35" t="s">
        <v>257</v>
      </c>
      <c r="T347" s="35" t="s">
        <v>253</v>
      </c>
      <c r="U347" s="35" t="s">
        <v>253</v>
      </c>
      <c r="V347" s="35" t="s">
        <v>253</v>
      </c>
      <c r="W347" s="35" t="s">
        <v>253</v>
      </c>
      <c r="X347" s="35" t="s">
        <v>748</v>
      </c>
      <c r="Y347" s="35" t="s">
        <v>749</v>
      </c>
    </row>
    <row r="348" spans="1:25" x14ac:dyDescent="0.2">
      <c r="A348" s="35">
        <v>43</v>
      </c>
      <c r="B348" s="35" t="s">
        <v>274</v>
      </c>
      <c r="C348" s="35" t="s">
        <v>64</v>
      </c>
      <c r="D348" s="35" t="s">
        <v>1971</v>
      </c>
      <c r="E348" s="35" t="s">
        <v>268</v>
      </c>
      <c r="F348" s="35" t="s">
        <v>537</v>
      </c>
      <c r="G348" s="35" t="s">
        <v>340</v>
      </c>
      <c r="H348" s="35" t="s">
        <v>256</v>
      </c>
      <c r="I348" s="35">
        <v>16601</v>
      </c>
      <c r="J348" s="35">
        <v>1142.5717675260801</v>
      </c>
      <c r="K348" s="35">
        <v>800.65182410430998</v>
      </c>
      <c r="L348" s="35">
        <v>-33.03</v>
      </c>
      <c r="M348" s="35">
        <v>11.9</v>
      </c>
      <c r="N348" s="35">
        <v>82</v>
      </c>
      <c r="O348" s="35" t="s">
        <v>554</v>
      </c>
      <c r="P348" s="35" t="s">
        <v>555</v>
      </c>
      <c r="Q348" s="35" t="s">
        <v>253</v>
      </c>
      <c r="R348" s="35" t="s">
        <v>253</v>
      </c>
      <c r="S348" s="35" t="s">
        <v>257</v>
      </c>
      <c r="T348" s="35" t="s">
        <v>253</v>
      </c>
      <c r="U348" s="35" t="s">
        <v>253</v>
      </c>
      <c r="V348" s="35" t="s">
        <v>253</v>
      </c>
      <c r="W348" s="35" t="s">
        <v>253</v>
      </c>
      <c r="X348" s="35" t="s">
        <v>684</v>
      </c>
      <c r="Y348" s="35" t="s">
        <v>2033</v>
      </c>
    </row>
    <row r="349" spans="1:25" x14ac:dyDescent="0.2">
      <c r="A349" s="35">
        <v>47</v>
      </c>
      <c r="B349" s="35" t="s">
        <v>275</v>
      </c>
      <c r="C349" s="35" t="s">
        <v>58</v>
      </c>
      <c r="D349" s="35" t="s">
        <v>1977</v>
      </c>
      <c r="E349" s="35" t="s">
        <v>268</v>
      </c>
      <c r="F349" s="35" t="s">
        <v>537</v>
      </c>
      <c r="G349" s="35" t="s">
        <v>2024</v>
      </c>
      <c r="H349" s="35" t="s">
        <v>256</v>
      </c>
      <c r="I349" s="35">
        <v>18598</v>
      </c>
      <c r="J349" s="35">
        <v>402.03078855791898</v>
      </c>
      <c r="K349" s="35">
        <v>642.07707188668996</v>
      </c>
      <c r="L349" s="35">
        <v>-27.89</v>
      </c>
      <c r="M349" s="35">
        <v>-12.01</v>
      </c>
      <c r="N349" s="35">
        <v>82</v>
      </c>
      <c r="O349" s="35" t="s">
        <v>564</v>
      </c>
      <c r="P349" s="35" t="s">
        <v>565</v>
      </c>
      <c r="Q349" s="35" t="s">
        <v>253</v>
      </c>
      <c r="R349" s="35" t="s">
        <v>253</v>
      </c>
      <c r="S349" s="35" t="s">
        <v>253</v>
      </c>
      <c r="T349" s="35" t="s">
        <v>261</v>
      </c>
      <c r="U349" s="35" t="s">
        <v>253</v>
      </c>
      <c r="V349" s="35" t="s">
        <v>253</v>
      </c>
      <c r="W349" s="35" t="s">
        <v>253</v>
      </c>
      <c r="X349" s="35" t="s">
        <v>712</v>
      </c>
      <c r="Y349" s="35" t="s">
        <v>713</v>
      </c>
    </row>
    <row r="350" spans="1:25" x14ac:dyDescent="0.2">
      <c r="A350" s="35">
        <v>52</v>
      </c>
      <c r="B350" s="35" t="s">
        <v>276</v>
      </c>
      <c r="C350" s="35" t="s">
        <v>64</v>
      </c>
      <c r="D350" s="35" t="s">
        <v>1971</v>
      </c>
      <c r="E350" s="35" t="s">
        <v>268</v>
      </c>
      <c r="F350" s="35" t="s">
        <v>537</v>
      </c>
      <c r="G350" s="35" t="s">
        <v>260</v>
      </c>
      <c r="H350" s="35" t="s">
        <v>256</v>
      </c>
      <c r="I350" s="35">
        <v>1727</v>
      </c>
      <c r="J350" s="35">
        <v>1084.67291040195</v>
      </c>
      <c r="K350" s="35">
        <v>773.46368850686099</v>
      </c>
      <c r="L350" s="35">
        <v>-32.15</v>
      </c>
      <c r="M350" s="35">
        <v>10.029999999999999</v>
      </c>
      <c r="N350" s="35">
        <v>210</v>
      </c>
      <c r="O350" s="35" t="s">
        <v>554</v>
      </c>
      <c r="P350" s="35" t="s">
        <v>555</v>
      </c>
      <c r="Q350" s="35" t="s">
        <v>253</v>
      </c>
      <c r="R350" s="35" t="s">
        <v>253</v>
      </c>
      <c r="S350" s="35" t="s">
        <v>253</v>
      </c>
      <c r="T350" s="35" t="s">
        <v>253</v>
      </c>
      <c r="U350" s="35" t="s">
        <v>253</v>
      </c>
      <c r="V350" s="35" t="s">
        <v>253</v>
      </c>
      <c r="W350" s="35" t="s">
        <v>253</v>
      </c>
      <c r="X350" s="35" t="s">
        <v>686</v>
      </c>
      <c r="Y350" s="35" t="s">
        <v>687</v>
      </c>
    </row>
    <row r="351" spans="1:25" x14ac:dyDescent="0.2">
      <c r="A351" s="35">
        <v>58</v>
      </c>
      <c r="B351" s="35" t="s">
        <v>277</v>
      </c>
      <c r="C351" s="35" t="s">
        <v>50</v>
      </c>
      <c r="D351" s="35" t="s">
        <v>1973</v>
      </c>
      <c r="E351" s="35" t="s">
        <v>268</v>
      </c>
      <c r="F351" s="35" t="s">
        <v>537</v>
      </c>
      <c r="G351" s="35" t="s">
        <v>2024</v>
      </c>
      <c r="H351" s="35" t="s">
        <v>256</v>
      </c>
      <c r="I351" s="35">
        <v>14433</v>
      </c>
      <c r="J351" s="35">
        <v>590.30424866509304</v>
      </c>
      <c r="K351" s="35">
        <v>837.53193645732699</v>
      </c>
      <c r="L351" s="35">
        <v>-34.22</v>
      </c>
      <c r="M351" s="35">
        <v>-5.93</v>
      </c>
      <c r="N351" s="35">
        <v>397</v>
      </c>
      <c r="O351" s="35" t="s">
        <v>538</v>
      </c>
      <c r="P351" s="35" t="s">
        <v>539</v>
      </c>
      <c r="Q351" s="35" t="s">
        <v>253</v>
      </c>
      <c r="R351" s="35" t="s">
        <v>253</v>
      </c>
      <c r="S351" s="35" t="s">
        <v>257</v>
      </c>
      <c r="T351" s="35" t="s">
        <v>253</v>
      </c>
      <c r="U351" s="35" t="s">
        <v>258</v>
      </c>
      <c r="V351" s="35" t="s">
        <v>253</v>
      </c>
      <c r="W351" s="35" t="s">
        <v>253</v>
      </c>
      <c r="X351" s="35" t="s">
        <v>811</v>
      </c>
      <c r="Y351" s="35" t="s">
        <v>812</v>
      </c>
    </row>
    <row r="352" spans="1:25" x14ac:dyDescent="0.2">
      <c r="A352" s="35">
        <v>65</v>
      </c>
      <c r="B352" s="35" t="s">
        <v>278</v>
      </c>
      <c r="C352" s="35" t="s">
        <v>44</v>
      </c>
      <c r="D352" s="35" t="s">
        <v>1974</v>
      </c>
      <c r="E352" s="35" t="s">
        <v>268</v>
      </c>
      <c r="F352" s="35" t="s">
        <v>537</v>
      </c>
      <c r="G352" s="35" t="s">
        <v>2015</v>
      </c>
      <c r="H352" s="35" t="s">
        <v>256</v>
      </c>
      <c r="I352" s="35">
        <v>11053</v>
      </c>
      <c r="J352" s="35">
        <v>376.78883303187001</v>
      </c>
      <c r="K352" s="35">
        <v>566.81828852567696</v>
      </c>
      <c r="L352" s="35">
        <v>-25.45</v>
      </c>
      <c r="M352" s="35">
        <v>-12.83</v>
      </c>
      <c r="N352" s="35">
        <v>161</v>
      </c>
      <c r="O352" s="35" t="s">
        <v>568</v>
      </c>
      <c r="P352" s="35" t="s">
        <v>569</v>
      </c>
      <c r="Q352" s="35" t="s">
        <v>253</v>
      </c>
      <c r="R352" s="35" t="s">
        <v>253</v>
      </c>
      <c r="S352" s="35" t="s">
        <v>253</v>
      </c>
      <c r="T352" s="35" t="s">
        <v>261</v>
      </c>
      <c r="U352" s="35" t="s">
        <v>258</v>
      </c>
      <c r="V352" s="35" t="s">
        <v>253</v>
      </c>
      <c r="W352" s="35" t="s">
        <v>253</v>
      </c>
      <c r="X352" s="35" t="s">
        <v>598</v>
      </c>
      <c r="Y352" s="35" t="s">
        <v>599</v>
      </c>
    </row>
    <row r="353" spans="1:25" x14ac:dyDescent="0.2">
      <c r="A353" s="35">
        <v>70</v>
      </c>
      <c r="B353" s="35" t="s">
        <v>61</v>
      </c>
      <c r="C353" s="35" t="s">
        <v>61</v>
      </c>
      <c r="D353" s="35" t="s">
        <v>1976</v>
      </c>
      <c r="E353" s="35" t="s">
        <v>268</v>
      </c>
      <c r="F353" s="35" t="s">
        <v>537</v>
      </c>
      <c r="G353" s="35" t="s">
        <v>2024</v>
      </c>
      <c r="H353" s="35" t="s">
        <v>256</v>
      </c>
      <c r="I353" s="35">
        <v>29657</v>
      </c>
      <c r="J353" s="35">
        <v>422.1</v>
      </c>
      <c r="K353" s="35">
        <v>675.82</v>
      </c>
      <c r="L353" s="35">
        <v>-28.98</v>
      </c>
      <c r="M353" s="35">
        <v>-11.37</v>
      </c>
      <c r="N353" s="35">
        <v>13</v>
      </c>
      <c r="O353" s="35" t="s">
        <v>564</v>
      </c>
      <c r="P353" s="35" t="s">
        <v>565</v>
      </c>
      <c r="Q353" s="35" t="s">
        <v>253</v>
      </c>
      <c r="R353" s="35" t="s">
        <v>259</v>
      </c>
      <c r="S353" s="35" t="s">
        <v>257</v>
      </c>
      <c r="T353" s="35" t="s">
        <v>253</v>
      </c>
      <c r="U353" s="35" t="s">
        <v>253</v>
      </c>
      <c r="V353" s="35" t="s">
        <v>253</v>
      </c>
      <c r="W353" s="35" t="s">
        <v>253</v>
      </c>
      <c r="X353" s="35" t="s">
        <v>787</v>
      </c>
      <c r="Y353" s="35" t="s">
        <v>788</v>
      </c>
    </row>
    <row r="354" spans="1:25" x14ac:dyDescent="0.2">
      <c r="A354" s="35">
        <v>74</v>
      </c>
      <c r="B354" s="35" t="s">
        <v>279</v>
      </c>
      <c r="C354" s="35" t="s">
        <v>44</v>
      </c>
      <c r="D354" s="35" t="s">
        <v>1974</v>
      </c>
      <c r="E354" s="35" t="s">
        <v>268</v>
      </c>
      <c r="F354" s="35" t="s">
        <v>537</v>
      </c>
      <c r="G354" s="35" t="s">
        <v>2024</v>
      </c>
      <c r="H354" s="35" t="s">
        <v>256</v>
      </c>
      <c r="I354" s="35">
        <v>1773</v>
      </c>
      <c r="J354" s="35">
        <v>407.908252373545</v>
      </c>
      <c r="K354" s="35">
        <v>619.71546286631201</v>
      </c>
      <c r="L354" s="35">
        <v>-27.17</v>
      </c>
      <c r="M354" s="35">
        <v>-11.82</v>
      </c>
      <c r="N354" s="35">
        <v>118</v>
      </c>
      <c r="O354" s="35" t="s">
        <v>564</v>
      </c>
      <c r="P354" s="35" t="s">
        <v>565</v>
      </c>
      <c r="Q354" s="35" t="s">
        <v>253</v>
      </c>
      <c r="R354" s="35" t="s">
        <v>253</v>
      </c>
      <c r="S354" s="35" t="s">
        <v>257</v>
      </c>
      <c r="T354" s="35" t="s">
        <v>253</v>
      </c>
      <c r="U354" s="35" t="s">
        <v>253</v>
      </c>
      <c r="V354" s="35" t="s">
        <v>253</v>
      </c>
      <c r="W354" s="35" t="s">
        <v>253</v>
      </c>
      <c r="X354" s="35" t="s">
        <v>714</v>
      </c>
      <c r="Y354" s="35" t="s">
        <v>715</v>
      </c>
    </row>
    <row r="355" spans="1:25" x14ac:dyDescent="0.2">
      <c r="A355" s="35">
        <v>78</v>
      </c>
      <c r="B355" s="35" t="s">
        <v>280</v>
      </c>
      <c r="C355" s="35" t="s">
        <v>64</v>
      </c>
      <c r="D355" s="35" t="s">
        <v>1971</v>
      </c>
      <c r="E355" s="35" t="s">
        <v>268</v>
      </c>
      <c r="F355" s="35" t="s">
        <v>537</v>
      </c>
      <c r="G355" s="35" t="s">
        <v>260</v>
      </c>
      <c r="H355" s="35" t="s">
        <v>256</v>
      </c>
      <c r="I355" s="35">
        <v>9554</v>
      </c>
      <c r="J355" s="35">
        <v>1141.8516808996601</v>
      </c>
      <c r="K355" s="35">
        <v>762.35100029916998</v>
      </c>
      <c r="L355" s="35">
        <v>-31.79</v>
      </c>
      <c r="M355" s="35">
        <v>11.88</v>
      </c>
      <c r="N355" s="35">
        <v>82</v>
      </c>
      <c r="O355" s="35" t="s">
        <v>554</v>
      </c>
      <c r="P355" s="35" t="s">
        <v>555</v>
      </c>
      <c r="Q355" s="35" t="s">
        <v>253</v>
      </c>
      <c r="R355" s="35" t="s">
        <v>253</v>
      </c>
      <c r="S355" s="35" t="s">
        <v>253</v>
      </c>
      <c r="T355" s="35" t="s">
        <v>253</v>
      </c>
      <c r="U355" s="35" t="s">
        <v>258</v>
      </c>
      <c r="V355" s="35" t="s">
        <v>253</v>
      </c>
      <c r="W355" s="35" t="s">
        <v>253</v>
      </c>
      <c r="X355" s="35" t="s">
        <v>688</v>
      </c>
      <c r="Y355" s="35" t="s">
        <v>689</v>
      </c>
    </row>
    <row r="356" spans="1:25" x14ac:dyDescent="0.2">
      <c r="A356" s="35">
        <v>86</v>
      </c>
      <c r="B356" s="35" t="s">
        <v>281</v>
      </c>
      <c r="C356" s="35" t="s">
        <v>64</v>
      </c>
      <c r="D356" s="35" t="s">
        <v>1971</v>
      </c>
      <c r="E356" s="35" t="s">
        <v>268</v>
      </c>
      <c r="F356" s="35" t="s">
        <v>537</v>
      </c>
      <c r="G356" s="35" t="s">
        <v>2024</v>
      </c>
      <c r="H356" s="35" t="s">
        <v>256</v>
      </c>
      <c r="I356" s="35">
        <v>1705</v>
      </c>
      <c r="J356" s="35">
        <v>815.32158852028601</v>
      </c>
      <c r="K356" s="35">
        <v>782.51342583886799</v>
      </c>
      <c r="L356" s="35">
        <v>-32.44</v>
      </c>
      <c r="M356" s="35">
        <v>1.33</v>
      </c>
      <c r="N356" s="35">
        <v>1447</v>
      </c>
      <c r="O356" s="35" t="s">
        <v>538</v>
      </c>
      <c r="P356" s="35" t="s">
        <v>539</v>
      </c>
      <c r="Q356" s="35" t="s">
        <v>253</v>
      </c>
      <c r="R356" s="35" t="s">
        <v>253</v>
      </c>
      <c r="S356" s="35" t="s">
        <v>257</v>
      </c>
      <c r="T356" s="35" t="s">
        <v>253</v>
      </c>
      <c r="U356" s="35" t="s">
        <v>253</v>
      </c>
      <c r="V356" s="35" t="s">
        <v>253</v>
      </c>
      <c r="W356" s="35" t="s">
        <v>253</v>
      </c>
      <c r="X356" s="35" t="s">
        <v>766</v>
      </c>
      <c r="Y356" s="35" t="s">
        <v>767</v>
      </c>
    </row>
    <row r="357" spans="1:25" x14ac:dyDescent="0.2">
      <c r="A357" s="35">
        <v>87</v>
      </c>
      <c r="B357" s="35" t="s">
        <v>282</v>
      </c>
      <c r="C357" s="35" t="s">
        <v>64</v>
      </c>
      <c r="D357" s="35" t="s">
        <v>1971</v>
      </c>
      <c r="E357" s="35" t="s">
        <v>268</v>
      </c>
      <c r="F357" s="35" t="s">
        <v>537</v>
      </c>
      <c r="G357" s="35" t="s">
        <v>340</v>
      </c>
      <c r="H357" s="35" t="s">
        <v>256</v>
      </c>
      <c r="I357" s="35">
        <v>14383</v>
      </c>
      <c r="J357" s="35">
        <v>1105</v>
      </c>
      <c r="K357" s="35">
        <v>838</v>
      </c>
      <c r="L357" s="35">
        <v>-34.24</v>
      </c>
      <c r="M357" s="35">
        <v>10.69</v>
      </c>
      <c r="N357" s="35">
        <v>118</v>
      </c>
      <c r="O357" s="35" t="s">
        <v>542</v>
      </c>
      <c r="P357" s="35" t="s">
        <v>543</v>
      </c>
      <c r="Q357" s="35" t="s">
        <v>253</v>
      </c>
      <c r="R357" s="35" t="s">
        <v>259</v>
      </c>
      <c r="S357" s="35" t="s">
        <v>257</v>
      </c>
      <c r="T357" s="35" t="s">
        <v>261</v>
      </c>
      <c r="U357" s="35" t="s">
        <v>253</v>
      </c>
      <c r="V357" s="35" t="s">
        <v>253</v>
      </c>
      <c r="W357" s="35" t="s">
        <v>253</v>
      </c>
      <c r="X357" s="35" t="s">
        <v>827</v>
      </c>
      <c r="Y357" s="35" t="s">
        <v>828</v>
      </c>
    </row>
    <row r="358" spans="1:25" x14ac:dyDescent="0.2">
      <c r="A358" s="35">
        <v>99</v>
      </c>
      <c r="B358" s="35" t="s">
        <v>283</v>
      </c>
      <c r="C358" s="35" t="s">
        <v>64</v>
      </c>
      <c r="D358" s="35" t="s">
        <v>1971</v>
      </c>
      <c r="E358" s="35" t="s">
        <v>268</v>
      </c>
      <c r="F358" s="35" t="s">
        <v>537</v>
      </c>
      <c r="G358" s="35" t="s">
        <v>2024</v>
      </c>
      <c r="H358" s="35" t="s">
        <v>256</v>
      </c>
      <c r="I358" s="35">
        <v>6128</v>
      </c>
      <c r="J358" s="35">
        <v>910.25625240314605</v>
      </c>
      <c r="K358" s="35">
        <v>854.26908507136204</v>
      </c>
      <c r="L358" s="35">
        <v>-34.76</v>
      </c>
      <c r="M358" s="35">
        <v>4.4000000000000004</v>
      </c>
      <c r="N358" s="35">
        <v>118</v>
      </c>
      <c r="O358" s="35" t="s">
        <v>542</v>
      </c>
      <c r="P358" s="35" t="s">
        <v>543</v>
      </c>
      <c r="Q358" s="35" t="s">
        <v>253</v>
      </c>
      <c r="R358" s="35" t="s">
        <v>253</v>
      </c>
      <c r="S358" s="35" t="s">
        <v>257</v>
      </c>
      <c r="T358" s="35" t="s">
        <v>261</v>
      </c>
      <c r="U358" s="35" t="s">
        <v>253</v>
      </c>
      <c r="V358" s="35" t="s">
        <v>253</v>
      </c>
      <c r="W358" s="35" t="s">
        <v>253</v>
      </c>
      <c r="X358" s="35" t="s">
        <v>736</v>
      </c>
      <c r="Y358" s="35" t="s">
        <v>737</v>
      </c>
    </row>
    <row r="359" spans="1:25" x14ac:dyDescent="0.2">
      <c r="A359" s="35">
        <v>100</v>
      </c>
      <c r="B359" s="35" t="s">
        <v>284</v>
      </c>
      <c r="C359" s="35" t="s">
        <v>50</v>
      </c>
      <c r="D359" s="35" t="s">
        <v>1973</v>
      </c>
      <c r="E359" s="35" t="s">
        <v>268</v>
      </c>
      <c r="F359" s="35" t="s">
        <v>537</v>
      </c>
      <c r="G359" s="35" t="s">
        <v>2024</v>
      </c>
      <c r="H359" s="35" t="s">
        <v>256</v>
      </c>
      <c r="I359" s="35">
        <v>1956</v>
      </c>
      <c r="J359" s="35">
        <v>738.79778811286303</v>
      </c>
      <c r="K359" s="35">
        <v>879.21911358670195</v>
      </c>
      <c r="L359" s="35">
        <v>-35.57</v>
      </c>
      <c r="M359" s="35">
        <v>-1.1399999999999999</v>
      </c>
      <c r="N359" s="35">
        <v>52</v>
      </c>
      <c r="O359" s="35" t="s">
        <v>542</v>
      </c>
      <c r="P359" s="35" t="s">
        <v>543</v>
      </c>
      <c r="Q359" s="35" t="s">
        <v>253</v>
      </c>
      <c r="R359" s="35" t="s">
        <v>253</v>
      </c>
      <c r="S359" s="35" t="s">
        <v>257</v>
      </c>
      <c r="T359" s="35" t="s">
        <v>253</v>
      </c>
      <c r="U359" s="35" t="s">
        <v>253</v>
      </c>
      <c r="V359" s="35" t="s">
        <v>253</v>
      </c>
      <c r="W359" s="35" t="s">
        <v>253</v>
      </c>
      <c r="X359" s="35" t="s">
        <v>883</v>
      </c>
      <c r="Y359" s="35" t="s">
        <v>2034</v>
      </c>
    </row>
    <row r="360" spans="1:25" x14ac:dyDescent="0.2">
      <c r="A360" s="35">
        <v>103</v>
      </c>
      <c r="B360" s="35" t="s">
        <v>285</v>
      </c>
      <c r="C360" s="35" t="s">
        <v>50</v>
      </c>
      <c r="D360" s="35" t="s">
        <v>1973</v>
      </c>
      <c r="E360" s="35" t="s">
        <v>268</v>
      </c>
      <c r="F360" s="35" t="s">
        <v>537</v>
      </c>
      <c r="G360" s="35" t="s">
        <v>2024</v>
      </c>
      <c r="H360" s="35" t="s">
        <v>256</v>
      </c>
      <c r="I360" s="35">
        <v>3268</v>
      </c>
      <c r="J360" s="35">
        <v>516.5</v>
      </c>
      <c r="K360" s="35">
        <v>620</v>
      </c>
      <c r="L360" s="35">
        <v>-27.18</v>
      </c>
      <c r="M360" s="35">
        <v>-8.32</v>
      </c>
      <c r="N360" s="35">
        <v>210</v>
      </c>
      <c r="O360" s="35" t="s">
        <v>564</v>
      </c>
      <c r="P360" s="35" t="s">
        <v>565</v>
      </c>
      <c r="Q360" s="35" t="s">
        <v>253</v>
      </c>
      <c r="R360" s="35" t="s">
        <v>259</v>
      </c>
      <c r="S360" s="35" t="s">
        <v>257</v>
      </c>
      <c r="T360" s="35" t="s">
        <v>261</v>
      </c>
      <c r="U360" s="35" t="s">
        <v>253</v>
      </c>
      <c r="V360" s="35" t="s">
        <v>253</v>
      </c>
      <c r="W360" s="35" t="s">
        <v>253</v>
      </c>
      <c r="X360" s="35" t="s">
        <v>734</v>
      </c>
      <c r="Y360" s="35" t="s">
        <v>735</v>
      </c>
    </row>
    <row r="361" spans="1:25" x14ac:dyDescent="0.2">
      <c r="A361" s="35">
        <v>108</v>
      </c>
      <c r="B361" s="35" t="s">
        <v>286</v>
      </c>
      <c r="C361" s="35" t="s">
        <v>64</v>
      </c>
      <c r="D361" s="35" t="s">
        <v>1971</v>
      </c>
      <c r="E361" s="35" t="s">
        <v>268</v>
      </c>
      <c r="F361" s="35" t="s">
        <v>537</v>
      </c>
      <c r="G361" s="35" t="s">
        <v>2024</v>
      </c>
      <c r="H361" s="35" t="s">
        <v>256</v>
      </c>
      <c r="I361" s="35">
        <v>4134</v>
      </c>
      <c r="J361" s="35">
        <v>845.5</v>
      </c>
      <c r="K361" s="35">
        <v>830</v>
      </c>
      <c r="L361" s="35">
        <v>-33.979999999999997</v>
      </c>
      <c r="M361" s="35">
        <v>2.31</v>
      </c>
      <c r="N361" s="35">
        <v>52</v>
      </c>
      <c r="O361" s="35" t="s">
        <v>542</v>
      </c>
      <c r="P361" s="35" t="s">
        <v>543</v>
      </c>
      <c r="Q361" s="35" t="s">
        <v>253</v>
      </c>
      <c r="R361" s="35" t="s">
        <v>259</v>
      </c>
      <c r="S361" s="35" t="s">
        <v>257</v>
      </c>
      <c r="T361" s="35" t="s">
        <v>253</v>
      </c>
      <c r="U361" s="35" t="s">
        <v>253</v>
      </c>
      <c r="V361" s="35" t="s">
        <v>253</v>
      </c>
      <c r="W361" s="35" t="s">
        <v>253</v>
      </c>
      <c r="X361" s="35" t="s">
        <v>768</v>
      </c>
      <c r="Y361" s="35" t="s">
        <v>2035</v>
      </c>
    </row>
    <row r="362" spans="1:25" x14ac:dyDescent="0.2">
      <c r="A362" s="35">
        <v>115</v>
      </c>
      <c r="B362" s="35" t="s">
        <v>287</v>
      </c>
      <c r="C362" s="35" t="s">
        <v>44</v>
      </c>
      <c r="D362" s="35" t="s">
        <v>1974</v>
      </c>
      <c r="E362" s="35" t="s">
        <v>268</v>
      </c>
      <c r="F362" s="35" t="s">
        <v>537</v>
      </c>
      <c r="G362" s="35" t="s">
        <v>2024</v>
      </c>
      <c r="H362" s="35" t="s">
        <v>256</v>
      </c>
      <c r="I362" s="35">
        <v>4744</v>
      </c>
      <c r="J362" s="35">
        <v>410.45774826707799</v>
      </c>
      <c r="K362" s="35">
        <v>653.85146131865599</v>
      </c>
      <c r="L362" s="35">
        <v>-28.27</v>
      </c>
      <c r="M362" s="35">
        <v>-11.74</v>
      </c>
      <c r="N362" s="35">
        <v>52</v>
      </c>
      <c r="O362" s="35" t="s">
        <v>564</v>
      </c>
      <c r="P362" s="35" t="s">
        <v>565</v>
      </c>
      <c r="Q362" s="35" t="s">
        <v>253</v>
      </c>
      <c r="R362" s="35" t="s">
        <v>253</v>
      </c>
      <c r="S362" s="35" t="s">
        <v>257</v>
      </c>
      <c r="T362" s="35" t="s">
        <v>253</v>
      </c>
      <c r="U362" s="35" t="s">
        <v>253</v>
      </c>
      <c r="V362" s="35" t="s">
        <v>253</v>
      </c>
      <c r="W362" s="35" t="s">
        <v>253</v>
      </c>
      <c r="X362" s="35" t="s">
        <v>716</v>
      </c>
      <c r="Y362" s="35" t="s">
        <v>717</v>
      </c>
    </row>
    <row r="363" spans="1:25" x14ac:dyDescent="0.2">
      <c r="A363" s="35">
        <v>117</v>
      </c>
      <c r="B363" s="35" t="s">
        <v>288</v>
      </c>
      <c r="C363" s="35" t="s">
        <v>64</v>
      </c>
      <c r="D363" s="35" t="s">
        <v>1971</v>
      </c>
      <c r="E363" s="35" t="s">
        <v>268</v>
      </c>
      <c r="F363" s="35" t="s">
        <v>537</v>
      </c>
      <c r="G363" s="35" t="s">
        <v>2024</v>
      </c>
      <c r="H363" s="35" t="s">
        <v>256</v>
      </c>
      <c r="I363" s="35">
        <v>7044</v>
      </c>
      <c r="J363" s="35">
        <v>931</v>
      </c>
      <c r="K363" s="35">
        <v>913</v>
      </c>
      <c r="L363" s="35">
        <v>-36.659999999999997</v>
      </c>
      <c r="M363" s="35">
        <v>5.07</v>
      </c>
      <c r="N363" s="35">
        <v>118</v>
      </c>
      <c r="O363" s="35" t="s">
        <v>538</v>
      </c>
      <c r="P363" s="35" t="s">
        <v>539</v>
      </c>
      <c r="Q363" s="35" t="s">
        <v>253</v>
      </c>
      <c r="R363" s="35" t="s">
        <v>259</v>
      </c>
      <c r="S363" s="35" t="s">
        <v>253</v>
      </c>
      <c r="T363" s="35" t="s">
        <v>253</v>
      </c>
      <c r="U363" s="35" t="s">
        <v>258</v>
      </c>
      <c r="V363" s="35" t="s">
        <v>253</v>
      </c>
      <c r="W363" s="35" t="s">
        <v>253</v>
      </c>
      <c r="X363" s="35" t="s">
        <v>841</v>
      </c>
      <c r="Y363" s="35" t="s">
        <v>842</v>
      </c>
    </row>
    <row r="364" spans="1:25" x14ac:dyDescent="0.2">
      <c r="A364" s="35">
        <v>121</v>
      </c>
      <c r="B364" s="35" t="s">
        <v>289</v>
      </c>
      <c r="C364" s="35" t="s">
        <v>58</v>
      </c>
      <c r="D364" s="35" t="s">
        <v>1977</v>
      </c>
      <c r="E364" s="35" t="s">
        <v>268</v>
      </c>
      <c r="F364" s="35" t="s">
        <v>537</v>
      </c>
      <c r="G364" s="35" t="s">
        <v>2024</v>
      </c>
      <c r="H364" s="35" t="s">
        <v>256</v>
      </c>
      <c r="I364" s="35">
        <v>1784</v>
      </c>
      <c r="J364" s="35">
        <v>251.98030505302901</v>
      </c>
      <c r="K364" s="35">
        <v>590.62007079889099</v>
      </c>
      <c r="L364" s="35">
        <v>-26.22</v>
      </c>
      <c r="M364" s="35">
        <v>-16.86</v>
      </c>
      <c r="N364" s="35">
        <v>82</v>
      </c>
      <c r="O364" s="35" t="s">
        <v>568</v>
      </c>
      <c r="P364" s="35" t="s">
        <v>569</v>
      </c>
      <c r="Q364" s="35" t="s">
        <v>253</v>
      </c>
      <c r="R364" s="35" t="s">
        <v>253</v>
      </c>
      <c r="S364" s="35" t="s">
        <v>257</v>
      </c>
      <c r="T364" s="35" t="s">
        <v>253</v>
      </c>
      <c r="U364" s="35" t="s">
        <v>253</v>
      </c>
      <c r="V364" s="35" t="s">
        <v>253</v>
      </c>
      <c r="W364" s="35" t="s">
        <v>253</v>
      </c>
      <c r="X364" s="35" t="s">
        <v>750</v>
      </c>
      <c r="Y364" s="35" t="s">
        <v>751</v>
      </c>
    </row>
    <row r="365" spans="1:25" x14ac:dyDescent="0.2">
      <c r="A365" s="35">
        <v>122</v>
      </c>
      <c r="B365" s="35" t="s">
        <v>290</v>
      </c>
      <c r="C365" s="35" t="s">
        <v>64</v>
      </c>
      <c r="D365" s="35" t="s">
        <v>1971</v>
      </c>
      <c r="E365" s="35" t="s">
        <v>268</v>
      </c>
      <c r="F365" s="35" t="s">
        <v>537</v>
      </c>
      <c r="G365" s="35" t="s">
        <v>260</v>
      </c>
      <c r="H365" s="35" t="s">
        <v>256</v>
      </c>
      <c r="I365" s="35">
        <v>3608</v>
      </c>
      <c r="J365" s="35">
        <v>1142.4744585225101</v>
      </c>
      <c r="K365" s="35">
        <v>706.33993784429697</v>
      </c>
      <c r="L365" s="35">
        <v>-29.97</v>
      </c>
      <c r="M365" s="35">
        <v>11.9</v>
      </c>
      <c r="N365" s="35">
        <v>118</v>
      </c>
      <c r="O365" s="35" t="s">
        <v>550</v>
      </c>
      <c r="P365" s="35" t="s">
        <v>551</v>
      </c>
      <c r="Q365" s="35" t="s">
        <v>253</v>
      </c>
      <c r="R365" s="35" t="s">
        <v>253</v>
      </c>
      <c r="S365" s="35" t="s">
        <v>257</v>
      </c>
      <c r="T365" s="35" t="s">
        <v>253</v>
      </c>
      <c r="U365" s="35" t="s">
        <v>258</v>
      </c>
      <c r="V365" s="35" t="s">
        <v>253</v>
      </c>
      <c r="W365" s="35" t="s">
        <v>253</v>
      </c>
      <c r="X365" s="35" t="s">
        <v>690</v>
      </c>
      <c r="Y365" s="35" t="s">
        <v>691</v>
      </c>
    </row>
    <row r="366" spans="1:25" x14ac:dyDescent="0.2">
      <c r="A366" s="35">
        <v>135</v>
      </c>
      <c r="B366" s="35" t="s">
        <v>291</v>
      </c>
      <c r="C366" s="35" t="s">
        <v>64</v>
      </c>
      <c r="D366" s="35" t="s">
        <v>1971</v>
      </c>
      <c r="E366" s="35" t="s">
        <v>268</v>
      </c>
      <c r="F366" s="35" t="s">
        <v>537</v>
      </c>
      <c r="G366" s="35" t="s">
        <v>2024</v>
      </c>
      <c r="H366" s="35" t="s">
        <v>256</v>
      </c>
      <c r="I366" s="35">
        <v>8105</v>
      </c>
      <c r="J366" s="35">
        <v>899.82472722044599</v>
      </c>
      <c r="K366" s="35">
        <v>889.04732294726796</v>
      </c>
      <c r="L366" s="35">
        <v>-35.89</v>
      </c>
      <c r="M366" s="35">
        <v>4.0599999999999996</v>
      </c>
      <c r="N366" s="35">
        <v>118</v>
      </c>
      <c r="O366" s="35" t="s">
        <v>542</v>
      </c>
      <c r="P366" s="35" t="s">
        <v>543</v>
      </c>
      <c r="Q366" s="35" t="s">
        <v>253</v>
      </c>
      <c r="R366" s="35" t="s">
        <v>253</v>
      </c>
      <c r="S366" s="35" t="s">
        <v>253</v>
      </c>
      <c r="T366" s="35" t="s">
        <v>253</v>
      </c>
      <c r="U366" s="35" t="s">
        <v>258</v>
      </c>
      <c r="V366" s="35" t="s">
        <v>253</v>
      </c>
      <c r="W366" s="35" t="s">
        <v>253</v>
      </c>
      <c r="X366" s="35" t="s">
        <v>892</v>
      </c>
      <c r="Y366" s="35" t="s">
        <v>893</v>
      </c>
    </row>
    <row r="367" spans="1:25" x14ac:dyDescent="0.2">
      <c r="A367" s="35">
        <v>141</v>
      </c>
      <c r="B367" s="35" t="s">
        <v>292</v>
      </c>
      <c r="C367" s="35" t="s">
        <v>64</v>
      </c>
      <c r="D367" s="35" t="s">
        <v>1971</v>
      </c>
      <c r="E367" s="35" t="s">
        <v>268</v>
      </c>
      <c r="F367" s="35" t="s">
        <v>537</v>
      </c>
      <c r="G367" s="35" t="s">
        <v>260</v>
      </c>
      <c r="H367" s="35" t="s">
        <v>256</v>
      </c>
      <c r="I367" s="35">
        <v>24844</v>
      </c>
      <c r="J367" s="35">
        <v>1029.82955598992</v>
      </c>
      <c r="K367" s="35">
        <v>755.75344985712695</v>
      </c>
      <c r="L367" s="35">
        <v>-31.57</v>
      </c>
      <c r="M367" s="35">
        <v>8.26</v>
      </c>
      <c r="N367" s="35">
        <v>554</v>
      </c>
      <c r="O367" s="35" t="s">
        <v>542</v>
      </c>
      <c r="P367" s="35" t="s">
        <v>543</v>
      </c>
      <c r="Q367" s="35" t="s">
        <v>253</v>
      </c>
      <c r="R367" s="35" t="s">
        <v>253</v>
      </c>
      <c r="S367" s="35" t="s">
        <v>253</v>
      </c>
      <c r="T367" s="35" t="s">
        <v>261</v>
      </c>
      <c r="U367" s="35" t="s">
        <v>258</v>
      </c>
      <c r="V367" s="35" t="s">
        <v>297</v>
      </c>
      <c r="W367" s="35" t="s">
        <v>253</v>
      </c>
      <c r="X367" s="35" t="s">
        <v>815</v>
      </c>
      <c r="Y367" s="35" t="s">
        <v>816</v>
      </c>
    </row>
    <row r="368" spans="1:25" x14ac:dyDescent="0.2">
      <c r="A368" s="35">
        <v>143</v>
      </c>
      <c r="B368" s="35" t="s">
        <v>293</v>
      </c>
      <c r="C368" s="35" t="s">
        <v>50</v>
      </c>
      <c r="D368" s="35" t="s">
        <v>1973</v>
      </c>
      <c r="E368" s="35" t="s">
        <v>268</v>
      </c>
      <c r="F368" s="35" t="s">
        <v>537</v>
      </c>
      <c r="G368" s="35" t="s">
        <v>2024</v>
      </c>
      <c r="H368" s="35" t="s">
        <v>256</v>
      </c>
      <c r="I368" s="35">
        <v>11784</v>
      </c>
      <c r="J368" s="35">
        <v>535.65551226019898</v>
      </c>
      <c r="K368" s="35">
        <v>859.50430946342601</v>
      </c>
      <c r="L368" s="35">
        <v>-34.93</v>
      </c>
      <c r="M368" s="35">
        <v>-7.7</v>
      </c>
      <c r="N368" s="35">
        <v>52</v>
      </c>
      <c r="O368" s="35" t="s">
        <v>542</v>
      </c>
      <c r="P368" s="35" t="s">
        <v>543</v>
      </c>
      <c r="Q368" s="35" t="s">
        <v>253</v>
      </c>
      <c r="R368" s="35" t="s">
        <v>253</v>
      </c>
      <c r="S368" s="35" t="s">
        <v>257</v>
      </c>
      <c r="T368" s="35" t="s">
        <v>261</v>
      </c>
      <c r="U368" s="35" t="s">
        <v>253</v>
      </c>
      <c r="V368" s="35" t="s">
        <v>253</v>
      </c>
      <c r="W368" s="35" t="s">
        <v>253</v>
      </c>
      <c r="X368" s="35" t="s">
        <v>574</v>
      </c>
      <c r="Y368" s="35" t="s">
        <v>575</v>
      </c>
    </row>
    <row r="369" spans="1:25" x14ac:dyDescent="0.2">
      <c r="A369" s="35">
        <v>156</v>
      </c>
      <c r="B369" s="35" t="s">
        <v>295</v>
      </c>
      <c r="C369" s="35" t="s">
        <v>44</v>
      </c>
      <c r="D369" s="35" t="s">
        <v>1974</v>
      </c>
      <c r="E369" s="35" t="s">
        <v>268</v>
      </c>
      <c r="F369" s="35" t="s">
        <v>537</v>
      </c>
      <c r="G369" s="35" t="s">
        <v>2024</v>
      </c>
      <c r="H369" s="35" t="s">
        <v>256</v>
      </c>
      <c r="I369" s="35">
        <v>11553</v>
      </c>
      <c r="J369" s="35">
        <v>415</v>
      </c>
      <c r="K369" s="35">
        <v>568</v>
      </c>
      <c r="L369" s="35">
        <v>-25.49</v>
      </c>
      <c r="M369" s="35">
        <v>-11.6</v>
      </c>
      <c r="N369" s="35">
        <v>82</v>
      </c>
      <c r="O369" s="35" t="s">
        <v>568</v>
      </c>
      <c r="P369" s="35" t="s">
        <v>569</v>
      </c>
      <c r="Q369" s="35" t="s">
        <v>253</v>
      </c>
      <c r="R369" s="35" t="s">
        <v>259</v>
      </c>
      <c r="S369" s="35" t="s">
        <v>253</v>
      </c>
      <c r="T369" s="35" t="s">
        <v>253</v>
      </c>
      <c r="U369" s="35" t="s">
        <v>253</v>
      </c>
      <c r="V369" s="35" t="s">
        <v>253</v>
      </c>
      <c r="W369" s="35" t="s">
        <v>253</v>
      </c>
      <c r="X369" s="35" t="s">
        <v>600</v>
      </c>
      <c r="Y369" s="35" t="s">
        <v>601</v>
      </c>
    </row>
    <row r="370" spans="1:25" x14ac:dyDescent="0.2">
      <c r="A370" s="35">
        <v>157</v>
      </c>
      <c r="B370" s="35" t="s">
        <v>296</v>
      </c>
      <c r="C370" s="35" t="s">
        <v>61</v>
      </c>
      <c r="D370" s="35" t="s">
        <v>1976</v>
      </c>
      <c r="E370" s="35" t="s">
        <v>268</v>
      </c>
      <c r="F370" s="35" t="s">
        <v>537</v>
      </c>
      <c r="G370" s="35" t="s">
        <v>2024</v>
      </c>
      <c r="H370" s="35" t="s">
        <v>256</v>
      </c>
      <c r="I370" s="35">
        <v>4343</v>
      </c>
      <c r="J370" s="35">
        <v>365.09229080275998</v>
      </c>
      <c r="K370" s="35">
        <v>811.35581449700601</v>
      </c>
      <c r="L370" s="35">
        <v>-33.369999999999997</v>
      </c>
      <c r="M370" s="35">
        <v>-13.21</v>
      </c>
      <c r="N370" s="35">
        <v>210</v>
      </c>
      <c r="O370" s="35" t="s">
        <v>554</v>
      </c>
      <c r="P370" s="35" t="s">
        <v>555</v>
      </c>
      <c r="Q370" s="35" t="s">
        <v>253</v>
      </c>
      <c r="R370" s="35" t="s">
        <v>253</v>
      </c>
      <c r="S370" s="35" t="s">
        <v>253</v>
      </c>
      <c r="T370" s="35" t="s">
        <v>253</v>
      </c>
      <c r="U370" s="35" t="s">
        <v>253</v>
      </c>
      <c r="V370" s="35" t="s">
        <v>253</v>
      </c>
      <c r="W370" s="35" t="s">
        <v>253</v>
      </c>
      <c r="X370" s="35" t="s">
        <v>645</v>
      </c>
      <c r="Y370" s="35" t="s">
        <v>646</v>
      </c>
    </row>
    <row r="371" spans="1:25" x14ac:dyDescent="0.2">
      <c r="A371" s="35">
        <v>169</v>
      </c>
      <c r="B371" s="35" t="s">
        <v>50</v>
      </c>
      <c r="C371" s="35" t="s">
        <v>50</v>
      </c>
      <c r="D371" s="35" t="s">
        <v>1973</v>
      </c>
      <c r="E371" s="35" t="s">
        <v>268</v>
      </c>
      <c r="F371" s="35" t="s">
        <v>537</v>
      </c>
      <c r="G371" s="35" t="s">
        <v>2024</v>
      </c>
      <c r="H371" s="35" t="s">
        <v>256</v>
      </c>
      <c r="I371" s="35">
        <v>32035</v>
      </c>
      <c r="J371" s="35">
        <v>550.5</v>
      </c>
      <c r="K371" s="35">
        <v>830.5</v>
      </c>
      <c r="L371" s="35">
        <v>-33.99</v>
      </c>
      <c r="M371" s="35">
        <v>-7.22</v>
      </c>
      <c r="N371" s="35">
        <v>13</v>
      </c>
      <c r="O371" s="35" t="s">
        <v>542</v>
      </c>
      <c r="P371" s="35" t="s">
        <v>543</v>
      </c>
      <c r="Q371" s="35" t="s">
        <v>253</v>
      </c>
      <c r="R371" s="35" t="s">
        <v>259</v>
      </c>
      <c r="S371" s="35" t="s">
        <v>257</v>
      </c>
      <c r="T371" s="35" t="s">
        <v>253</v>
      </c>
      <c r="U371" s="35" t="s">
        <v>258</v>
      </c>
      <c r="V371" s="35" t="s">
        <v>253</v>
      </c>
      <c r="W371" s="35" t="s">
        <v>253</v>
      </c>
      <c r="X371" s="35" t="s">
        <v>576</v>
      </c>
      <c r="Y371" s="35" t="s">
        <v>577</v>
      </c>
    </row>
    <row r="372" spans="1:25" x14ac:dyDescent="0.2">
      <c r="A372" s="35">
        <v>178</v>
      </c>
      <c r="B372" s="35" t="s">
        <v>298</v>
      </c>
      <c r="C372" s="35" t="s">
        <v>64</v>
      </c>
      <c r="D372" s="35" t="s">
        <v>1971</v>
      </c>
      <c r="E372" s="35" t="s">
        <v>268</v>
      </c>
      <c r="F372" s="35" t="s">
        <v>537</v>
      </c>
      <c r="G372" s="35" t="s">
        <v>2024</v>
      </c>
      <c r="H372" s="35" t="s">
        <v>256</v>
      </c>
      <c r="I372" s="35">
        <v>19230</v>
      </c>
      <c r="J372" s="35">
        <v>772</v>
      </c>
      <c r="K372" s="35">
        <v>861.5</v>
      </c>
      <c r="L372" s="35">
        <v>-35</v>
      </c>
      <c r="M372" s="35">
        <v>-0.06</v>
      </c>
      <c r="N372" s="35">
        <v>82</v>
      </c>
      <c r="O372" s="35" t="s">
        <v>542</v>
      </c>
      <c r="P372" s="35" t="s">
        <v>543</v>
      </c>
      <c r="Q372" s="35" t="s">
        <v>253</v>
      </c>
      <c r="R372" s="35" t="s">
        <v>259</v>
      </c>
      <c r="S372" s="35" t="s">
        <v>257</v>
      </c>
      <c r="T372" s="35" t="s">
        <v>261</v>
      </c>
      <c r="U372" s="35" t="s">
        <v>258</v>
      </c>
      <c r="V372" s="35" t="s">
        <v>253</v>
      </c>
      <c r="W372" s="35" t="s">
        <v>253</v>
      </c>
      <c r="X372" s="35" t="s">
        <v>756</v>
      </c>
      <c r="Y372" s="35" t="s">
        <v>757</v>
      </c>
    </row>
    <row r="373" spans="1:25" x14ac:dyDescent="0.2">
      <c r="A373" s="35">
        <v>182</v>
      </c>
      <c r="B373" s="35" t="s">
        <v>299</v>
      </c>
      <c r="C373" s="35" t="s">
        <v>58</v>
      </c>
      <c r="D373" s="35" t="s">
        <v>1977</v>
      </c>
      <c r="E373" s="35" t="s">
        <v>268</v>
      </c>
      <c r="F373" s="35" t="s">
        <v>537</v>
      </c>
      <c r="G373" s="35" t="s">
        <v>2024</v>
      </c>
      <c r="H373" s="35" t="s">
        <v>256</v>
      </c>
      <c r="I373" s="35">
        <v>8500</v>
      </c>
      <c r="J373" s="35">
        <v>286.19415070822998</v>
      </c>
      <c r="K373" s="35">
        <v>682.14891955680298</v>
      </c>
      <c r="L373" s="35">
        <v>-29.19</v>
      </c>
      <c r="M373" s="35">
        <v>-15.76</v>
      </c>
      <c r="N373" s="35">
        <v>161</v>
      </c>
      <c r="O373" s="35" t="s">
        <v>550</v>
      </c>
      <c r="P373" s="35" t="s">
        <v>551</v>
      </c>
      <c r="Q373" s="35" t="s">
        <v>253</v>
      </c>
      <c r="R373" s="35" t="s">
        <v>253</v>
      </c>
      <c r="S373" s="35" t="s">
        <v>257</v>
      </c>
      <c r="T373" s="35" t="s">
        <v>253</v>
      </c>
      <c r="U373" s="35" t="s">
        <v>258</v>
      </c>
      <c r="V373" s="35" t="s">
        <v>253</v>
      </c>
      <c r="W373" s="35" t="s">
        <v>253</v>
      </c>
      <c r="X373" s="35" t="s">
        <v>704</v>
      </c>
      <c r="Y373" s="35" t="s">
        <v>705</v>
      </c>
    </row>
    <row r="374" spans="1:25" x14ac:dyDescent="0.2">
      <c r="A374" s="35">
        <v>192</v>
      </c>
      <c r="B374" s="35" t="s">
        <v>300</v>
      </c>
      <c r="C374" s="35" t="s">
        <v>44</v>
      </c>
      <c r="D374" s="35" t="s">
        <v>1974</v>
      </c>
      <c r="E374" s="35" t="s">
        <v>268</v>
      </c>
      <c r="F374" s="35" t="s">
        <v>537</v>
      </c>
      <c r="G374" s="35" t="s">
        <v>2024</v>
      </c>
      <c r="H374" s="35" t="s">
        <v>256</v>
      </c>
      <c r="I374" s="35">
        <v>14971</v>
      </c>
      <c r="J374" s="35">
        <v>365.15067620490203</v>
      </c>
      <c r="K374" s="35">
        <v>591.612622635305</v>
      </c>
      <c r="L374" s="35">
        <v>-26.26</v>
      </c>
      <c r="M374" s="35">
        <v>-13.21</v>
      </c>
      <c r="N374" s="35">
        <v>52</v>
      </c>
      <c r="O374" s="35" t="s">
        <v>568</v>
      </c>
      <c r="P374" s="35" t="s">
        <v>569</v>
      </c>
      <c r="Q374" s="35" t="s">
        <v>253</v>
      </c>
      <c r="R374" s="35" t="s">
        <v>253</v>
      </c>
      <c r="S374" s="35" t="s">
        <v>257</v>
      </c>
      <c r="T374" s="35" t="s">
        <v>261</v>
      </c>
      <c r="U374" s="35" t="s">
        <v>258</v>
      </c>
      <c r="V374" s="35" t="s">
        <v>253</v>
      </c>
      <c r="W374" s="35" t="s">
        <v>253</v>
      </c>
      <c r="X374" s="35" t="s">
        <v>879</v>
      </c>
      <c r="Y374" s="35" t="s">
        <v>880</v>
      </c>
    </row>
    <row r="375" spans="1:25" x14ac:dyDescent="0.2">
      <c r="A375" s="35">
        <v>195</v>
      </c>
      <c r="B375" s="35" t="s">
        <v>301</v>
      </c>
      <c r="C375" s="35" t="s">
        <v>64</v>
      </c>
      <c r="D375" s="35" t="s">
        <v>1971</v>
      </c>
      <c r="E375" s="35" t="s">
        <v>268</v>
      </c>
      <c r="F375" s="35" t="s">
        <v>537</v>
      </c>
      <c r="G375" s="35" t="s">
        <v>2024</v>
      </c>
      <c r="H375" s="35" t="s">
        <v>256</v>
      </c>
      <c r="I375" s="35">
        <v>1784</v>
      </c>
      <c r="J375" s="35">
        <v>898.07316515618595</v>
      </c>
      <c r="K375" s="35">
        <v>811.88128311628395</v>
      </c>
      <c r="L375" s="35">
        <v>-33.39</v>
      </c>
      <c r="M375" s="35">
        <v>4.01</v>
      </c>
      <c r="N375" s="35">
        <v>554</v>
      </c>
      <c r="O375" s="35" t="s">
        <v>542</v>
      </c>
      <c r="P375" s="35" t="s">
        <v>543</v>
      </c>
      <c r="Q375" s="35" t="s">
        <v>253</v>
      </c>
      <c r="R375" s="35" t="s">
        <v>253</v>
      </c>
      <c r="S375" s="35" t="s">
        <v>253</v>
      </c>
      <c r="T375" s="35" t="s">
        <v>253</v>
      </c>
      <c r="U375" s="35" t="s">
        <v>258</v>
      </c>
      <c r="V375" s="35" t="s">
        <v>253</v>
      </c>
      <c r="W375" s="35" t="s">
        <v>253</v>
      </c>
      <c r="X375" s="35" t="s">
        <v>738</v>
      </c>
      <c r="Y375" s="35" t="s">
        <v>739</v>
      </c>
    </row>
    <row r="376" spans="1:25" x14ac:dyDescent="0.2">
      <c r="A376" s="35">
        <v>208</v>
      </c>
      <c r="B376" s="35" t="s">
        <v>302</v>
      </c>
      <c r="C376" s="35" t="s">
        <v>61</v>
      </c>
      <c r="D376" s="35" t="s">
        <v>1976</v>
      </c>
      <c r="E376" s="35" t="s">
        <v>268</v>
      </c>
      <c r="F376" s="35" t="s">
        <v>537</v>
      </c>
      <c r="G376" s="35" t="s">
        <v>2024</v>
      </c>
      <c r="H376" s="35" t="s">
        <v>256</v>
      </c>
      <c r="I376" s="35">
        <v>4216</v>
      </c>
      <c r="J376" s="35">
        <v>414.48634101487499</v>
      </c>
      <c r="K376" s="35">
        <v>794.56028048082999</v>
      </c>
      <c r="L376" s="35">
        <v>-32.83</v>
      </c>
      <c r="M376" s="35">
        <v>-11.61</v>
      </c>
      <c r="N376" s="35">
        <v>738</v>
      </c>
      <c r="O376" s="35" t="s">
        <v>542</v>
      </c>
      <c r="P376" s="35" t="s">
        <v>543</v>
      </c>
      <c r="Q376" s="35" t="s">
        <v>253</v>
      </c>
      <c r="R376" s="35" t="s">
        <v>253</v>
      </c>
      <c r="S376" s="35" t="s">
        <v>257</v>
      </c>
      <c r="T376" s="35" t="s">
        <v>253</v>
      </c>
      <c r="U376" s="35" t="s">
        <v>253</v>
      </c>
      <c r="V376" s="35" t="s">
        <v>253</v>
      </c>
      <c r="W376" s="35" t="s">
        <v>253</v>
      </c>
      <c r="X376" s="35" t="s">
        <v>647</v>
      </c>
      <c r="Y376" s="35" t="s">
        <v>648</v>
      </c>
    </row>
    <row r="377" spans="1:25" x14ac:dyDescent="0.2">
      <c r="A377" s="35">
        <v>209</v>
      </c>
      <c r="B377" s="35" t="s">
        <v>303</v>
      </c>
      <c r="C377" s="35" t="s">
        <v>64</v>
      </c>
      <c r="D377" s="35" t="s">
        <v>1971</v>
      </c>
      <c r="E377" s="35" t="s">
        <v>268</v>
      </c>
      <c r="F377" s="35" t="s">
        <v>537</v>
      </c>
      <c r="G377" s="35" t="s">
        <v>2024</v>
      </c>
      <c r="H377" s="35" t="s">
        <v>256</v>
      </c>
      <c r="I377" s="35">
        <v>1856</v>
      </c>
      <c r="J377" s="35">
        <v>816.76176177312095</v>
      </c>
      <c r="K377" s="35">
        <v>806.64605872421998</v>
      </c>
      <c r="L377" s="35">
        <v>-33.22</v>
      </c>
      <c r="M377" s="35">
        <v>1.38</v>
      </c>
      <c r="N377" s="35">
        <v>328</v>
      </c>
      <c r="O377" s="35" t="s">
        <v>542</v>
      </c>
      <c r="P377" s="35" t="s">
        <v>543</v>
      </c>
      <c r="Q377" s="35" t="s">
        <v>253</v>
      </c>
      <c r="R377" s="35" t="s">
        <v>253</v>
      </c>
      <c r="S377" s="35" t="s">
        <v>253</v>
      </c>
      <c r="T377" s="35" t="s">
        <v>253</v>
      </c>
      <c r="U377" s="35" t="s">
        <v>253</v>
      </c>
      <c r="V377" s="35" t="s">
        <v>253</v>
      </c>
      <c r="W377" s="35" t="s">
        <v>253</v>
      </c>
      <c r="X377" s="35" t="s">
        <v>770</v>
      </c>
      <c r="Y377" s="35" t="s">
        <v>771</v>
      </c>
    </row>
    <row r="378" spans="1:25" x14ac:dyDescent="0.2">
      <c r="A378" s="35">
        <v>210</v>
      </c>
      <c r="B378" s="35" t="s">
        <v>304</v>
      </c>
      <c r="C378" s="35" t="s">
        <v>64</v>
      </c>
      <c r="D378" s="35" t="s">
        <v>1971</v>
      </c>
      <c r="E378" s="35" t="s">
        <v>268</v>
      </c>
      <c r="F378" s="35" t="s">
        <v>537</v>
      </c>
      <c r="G378" s="35" t="s">
        <v>2024</v>
      </c>
      <c r="H378" s="35" t="s">
        <v>256</v>
      </c>
      <c r="I378" s="35">
        <v>4057</v>
      </c>
      <c r="J378" s="35">
        <v>844.375</v>
      </c>
      <c r="K378" s="35">
        <v>826.625</v>
      </c>
      <c r="L378" s="35">
        <v>-33.869999999999997</v>
      </c>
      <c r="M378" s="35">
        <v>2.27</v>
      </c>
      <c r="N378" s="35">
        <v>266</v>
      </c>
      <c r="O378" s="35" t="s">
        <v>554</v>
      </c>
      <c r="P378" s="35" t="s">
        <v>555</v>
      </c>
      <c r="Q378" s="35" t="s">
        <v>253</v>
      </c>
      <c r="R378" s="35" t="s">
        <v>259</v>
      </c>
      <c r="S378" s="35" t="s">
        <v>253</v>
      </c>
      <c r="T378" s="35" t="s">
        <v>253</v>
      </c>
      <c r="U378" s="35" t="s">
        <v>253</v>
      </c>
      <c r="V378" s="35" t="s">
        <v>253</v>
      </c>
      <c r="W378" s="35" t="s">
        <v>253</v>
      </c>
      <c r="X378" s="35" t="s">
        <v>773</v>
      </c>
      <c r="Y378" s="35" t="s">
        <v>2036</v>
      </c>
    </row>
    <row r="379" spans="1:25" x14ac:dyDescent="0.2">
      <c r="A379" s="35">
        <v>211</v>
      </c>
      <c r="B379" s="35" t="s">
        <v>305</v>
      </c>
      <c r="C379" s="35" t="s">
        <v>64</v>
      </c>
      <c r="D379" s="35" t="s">
        <v>1971</v>
      </c>
      <c r="E379" s="35" t="s">
        <v>268</v>
      </c>
      <c r="F379" s="35" t="s">
        <v>537</v>
      </c>
      <c r="G379" s="35" t="s">
        <v>340</v>
      </c>
      <c r="H379" s="35" t="s">
        <v>256</v>
      </c>
      <c r="I379" s="35">
        <v>4433</v>
      </c>
      <c r="J379" s="35">
        <v>1155.0662435844699</v>
      </c>
      <c r="K379" s="35">
        <v>822.77989151611996</v>
      </c>
      <c r="L379" s="35">
        <v>-33.74</v>
      </c>
      <c r="M379" s="35">
        <v>12.31</v>
      </c>
      <c r="N379" s="35">
        <v>82</v>
      </c>
      <c r="O379" s="35" t="s">
        <v>554</v>
      </c>
      <c r="P379" s="35" t="s">
        <v>555</v>
      </c>
      <c r="Q379" s="35" t="s">
        <v>253</v>
      </c>
      <c r="R379" s="35" t="s">
        <v>253</v>
      </c>
      <c r="S379" s="35" t="s">
        <v>257</v>
      </c>
      <c r="T379" s="35" t="s">
        <v>253</v>
      </c>
      <c r="U379" s="35" t="s">
        <v>253</v>
      </c>
      <c r="V379" s="35" t="s">
        <v>253</v>
      </c>
      <c r="W379" s="35" t="s">
        <v>253</v>
      </c>
      <c r="X379" s="35" t="s">
        <v>608</v>
      </c>
      <c r="Y379" s="35" t="s">
        <v>609</v>
      </c>
    </row>
    <row r="380" spans="1:25" x14ac:dyDescent="0.2">
      <c r="A380" s="35">
        <v>222</v>
      </c>
      <c r="B380" s="35" t="s">
        <v>307</v>
      </c>
      <c r="C380" s="35" t="s">
        <v>50</v>
      </c>
      <c r="D380" s="35" t="s">
        <v>1973</v>
      </c>
      <c r="E380" s="35" t="s">
        <v>268</v>
      </c>
      <c r="F380" s="35" t="s">
        <v>537</v>
      </c>
      <c r="G380" s="35" t="s">
        <v>2024</v>
      </c>
      <c r="H380" s="35" t="s">
        <v>256</v>
      </c>
      <c r="I380" s="35">
        <v>2200</v>
      </c>
      <c r="J380" s="35">
        <v>623.33092447674005</v>
      </c>
      <c r="K380" s="35">
        <v>864.87576646048797</v>
      </c>
      <c r="L380" s="35">
        <v>-35.11</v>
      </c>
      <c r="M380" s="35">
        <v>-4.87</v>
      </c>
      <c r="N380" s="35">
        <v>30</v>
      </c>
      <c r="O380" s="35" t="s">
        <v>542</v>
      </c>
      <c r="P380" s="35" t="s">
        <v>543</v>
      </c>
      <c r="Q380" s="35" t="s">
        <v>253</v>
      </c>
      <c r="R380" s="35" t="s">
        <v>253</v>
      </c>
      <c r="S380" s="35" t="s">
        <v>257</v>
      </c>
      <c r="T380" s="35" t="s">
        <v>253</v>
      </c>
      <c r="U380" s="35" t="s">
        <v>258</v>
      </c>
      <c r="V380" s="35" t="s">
        <v>253</v>
      </c>
      <c r="W380" s="35" t="s">
        <v>253</v>
      </c>
      <c r="X380" s="35" t="s">
        <v>657</v>
      </c>
      <c r="Y380" s="35" t="s">
        <v>658</v>
      </c>
    </row>
    <row r="381" spans="1:25" x14ac:dyDescent="0.2">
      <c r="A381" s="35">
        <v>226</v>
      </c>
      <c r="B381" s="35" t="s">
        <v>308</v>
      </c>
      <c r="C381" s="35" t="s">
        <v>61</v>
      </c>
      <c r="D381" s="35" t="s">
        <v>1976</v>
      </c>
      <c r="E381" s="35" t="s">
        <v>268</v>
      </c>
      <c r="F381" s="35" t="s">
        <v>537</v>
      </c>
      <c r="G381" s="35" t="s">
        <v>2024</v>
      </c>
      <c r="H381" s="35" t="s">
        <v>256</v>
      </c>
      <c r="I381" s="35">
        <v>18673</v>
      </c>
      <c r="J381" s="35">
        <v>412.42339013919201</v>
      </c>
      <c r="K381" s="35">
        <v>762.85700711773404</v>
      </c>
      <c r="L381" s="35">
        <v>-31.8</v>
      </c>
      <c r="M381" s="35">
        <v>-11.68</v>
      </c>
      <c r="N381" s="35">
        <v>1063</v>
      </c>
      <c r="O381" s="35" t="s">
        <v>538</v>
      </c>
      <c r="P381" s="35" t="s">
        <v>539</v>
      </c>
      <c r="Q381" s="35" t="s">
        <v>253</v>
      </c>
      <c r="R381" s="35" t="s">
        <v>253</v>
      </c>
      <c r="S381" s="35" t="s">
        <v>257</v>
      </c>
      <c r="T381" s="35" t="s">
        <v>253</v>
      </c>
      <c r="U381" s="35" t="s">
        <v>253</v>
      </c>
      <c r="V381" s="35" t="s">
        <v>253</v>
      </c>
      <c r="W381" s="35" t="s">
        <v>253</v>
      </c>
      <c r="X381" s="35" t="s">
        <v>649</v>
      </c>
      <c r="Y381" s="35" t="s">
        <v>650</v>
      </c>
    </row>
    <row r="382" spans="1:25" x14ac:dyDescent="0.2">
      <c r="A382" s="35">
        <v>236</v>
      </c>
      <c r="B382" s="35" t="s">
        <v>309</v>
      </c>
      <c r="C382" s="35" t="s">
        <v>64</v>
      </c>
      <c r="D382" s="35" t="s">
        <v>1971</v>
      </c>
      <c r="E382" s="35" t="s">
        <v>268</v>
      </c>
      <c r="F382" s="35" t="s">
        <v>537</v>
      </c>
      <c r="G382" s="35" t="s">
        <v>2024</v>
      </c>
      <c r="H382" s="35" t="s">
        <v>256</v>
      </c>
      <c r="I382" s="35">
        <v>2831</v>
      </c>
      <c r="J382" s="35">
        <v>871.5</v>
      </c>
      <c r="K382" s="35">
        <v>835.5</v>
      </c>
      <c r="L382" s="35">
        <v>-34.15</v>
      </c>
      <c r="M382" s="35">
        <v>3.15</v>
      </c>
      <c r="N382" s="35">
        <v>82</v>
      </c>
      <c r="O382" s="35" t="s">
        <v>542</v>
      </c>
      <c r="P382" s="35" t="s">
        <v>543</v>
      </c>
      <c r="Q382" s="35" t="s">
        <v>253</v>
      </c>
      <c r="R382" s="35" t="s">
        <v>259</v>
      </c>
      <c r="S382" s="35" t="s">
        <v>257</v>
      </c>
      <c r="T382" s="35" t="s">
        <v>261</v>
      </c>
      <c r="U382" s="35" t="s">
        <v>258</v>
      </c>
      <c r="V382" s="35" t="s">
        <v>253</v>
      </c>
      <c r="W382" s="35" t="s">
        <v>253</v>
      </c>
      <c r="X382" s="35" t="s">
        <v>894</v>
      </c>
      <c r="Y382" s="35" t="s">
        <v>895</v>
      </c>
    </row>
    <row r="383" spans="1:25" x14ac:dyDescent="0.2">
      <c r="A383" s="35">
        <v>246</v>
      </c>
      <c r="B383" s="35" t="s">
        <v>310</v>
      </c>
      <c r="C383" s="35" t="s">
        <v>61</v>
      </c>
      <c r="D383" s="35" t="s">
        <v>1976</v>
      </c>
      <c r="E383" s="35" t="s">
        <v>268</v>
      </c>
      <c r="F383" s="35" t="s">
        <v>537</v>
      </c>
      <c r="G383" s="35" t="s">
        <v>2024</v>
      </c>
      <c r="H383" s="35" t="s">
        <v>256</v>
      </c>
      <c r="I383" s="35">
        <v>1788</v>
      </c>
      <c r="J383" s="35">
        <v>381.08989098966202</v>
      </c>
      <c r="K383" s="35">
        <v>724.77026312044904</v>
      </c>
      <c r="L383" s="35">
        <v>-30.57</v>
      </c>
      <c r="M383" s="35">
        <v>-12.69</v>
      </c>
      <c r="N383" s="35">
        <v>397</v>
      </c>
      <c r="O383" s="35" t="s">
        <v>554</v>
      </c>
      <c r="P383" s="35" t="s">
        <v>555</v>
      </c>
      <c r="Q383" s="35" t="s">
        <v>253</v>
      </c>
      <c r="R383" s="35" t="s">
        <v>253</v>
      </c>
      <c r="S383" s="35" t="s">
        <v>257</v>
      </c>
      <c r="T383" s="35" t="s">
        <v>261</v>
      </c>
      <c r="U383" s="35" t="s">
        <v>253</v>
      </c>
      <c r="V383" s="35" t="s">
        <v>253</v>
      </c>
      <c r="W383" s="35" t="s">
        <v>253</v>
      </c>
      <c r="X383" s="35" t="s">
        <v>801</v>
      </c>
      <c r="Y383" s="35" t="s">
        <v>802</v>
      </c>
    </row>
    <row r="384" spans="1:25" x14ac:dyDescent="0.2">
      <c r="A384" s="35">
        <v>247</v>
      </c>
      <c r="B384" s="35" t="s">
        <v>311</v>
      </c>
      <c r="C384" s="35" t="s">
        <v>50</v>
      </c>
      <c r="D384" s="35" t="s">
        <v>1973</v>
      </c>
      <c r="E384" s="35" t="s">
        <v>268</v>
      </c>
      <c r="F384" s="35" t="s">
        <v>537</v>
      </c>
      <c r="G384" s="35" t="s">
        <v>2024</v>
      </c>
      <c r="H384" s="35" t="s">
        <v>256</v>
      </c>
      <c r="I384" s="35">
        <v>23261</v>
      </c>
      <c r="J384" s="35">
        <v>596.31794508571704</v>
      </c>
      <c r="K384" s="35">
        <v>894.59393615075601</v>
      </c>
      <c r="L384" s="35">
        <v>-36.07</v>
      </c>
      <c r="M384" s="35">
        <v>-5.74</v>
      </c>
      <c r="N384" s="35">
        <v>82</v>
      </c>
      <c r="O384" s="35" t="s">
        <v>542</v>
      </c>
      <c r="P384" s="35" t="s">
        <v>543</v>
      </c>
      <c r="Q384" s="35" t="s">
        <v>253</v>
      </c>
      <c r="R384" s="35" t="s">
        <v>253</v>
      </c>
      <c r="S384" s="35" t="s">
        <v>253</v>
      </c>
      <c r="T384" s="35" t="s">
        <v>261</v>
      </c>
      <c r="U384" s="35" t="s">
        <v>253</v>
      </c>
      <c r="V384" s="35" t="s">
        <v>297</v>
      </c>
      <c r="W384" s="35" t="s">
        <v>253</v>
      </c>
      <c r="X384" s="35" t="s">
        <v>659</v>
      </c>
      <c r="Y384" s="35" t="s">
        <v>660</v>
      </c>
    </row>
    <row r="385" spans="1:25" x14ac:dyDescent="0.2">
      <c r="A385" s="35">
        <v>260</v>
      </c>
      <c r="B385" s="35" t="s">
        <v>312</v>
      </c>
      <c r="C385" s="35" t="s">
        <v>64</v>
      </c>
      <c r="D385" s="35" t="s">
        <v>1971</v>
      </c>
      <c r="E385" s="35" t="s">
        <v>268</v>
      </c>
      <c r="F385" s="35" t="s">
        <v>537</v>
      </c>
      <c r="G385" s="35" t="s">
        <v>260</v>
      </c>
      <c r="H385" s="35" t="s">
        <v>256</v>
      </c>
      <c r="I385" s="35">
        <v>1875</v>
      </c>
      <c r="J385" s="35">
        <v>1193.25029658532</v>
      </c>
      <c r="K385" s="35">
        <v>790.41491692874899</v>
      </c>
      <c r="L385" s="35">
        <v>-32.69</v>
      </c>
      <c r="M385" s="35">
        <v>13.54</v>
      </c>
      <c r="N385" s="35">
        <v>52</v>
      </c>
      <c r="O385" s="35" t="s">
        <v>554</v>
      </c>
      <c r="P385" s="35" t="s">
        <v>555</v>
      </c>
      <c r="Q385" s="35" t="s">
        <v>253</v>
      </c>
      <c r="R385" s="35" t="s">
        <v>253</v>
      </c>
      <c r="S385" s="35" t="s">
        <v>253</v>
      </c>
      <c r="T385" s="35" t="s">
        <v>253</v>
      </c>
      <c r="U385" s="35" t="s">
        <v>258</v>
      </c>
      <c r="V385" s="35" t="s">
        <v>253</v>
      </c>
      <c r="W385" s="35" t="s">
        <v>253</v>
      </c>
      <c r="X385" s="35" t="s">
        <v>673</v>
      </c>
      <c r="Y385" s="35" t="s">
        <v>674</v>
      </c>
    </row>
    <row r="386" spans="1:25" x14ac:dyDescent="0.2">
      <c r="A386" s="35">
        <v>261</v>
      </c>
      <c r="B386" s="35" t="s">
        <v>313</v>
      </c>
      <c r="C386" s="35" t="s">
        <v>64</v>
      </c>
      <c r="D386" s="35" t="s">
        <v>1971</v>
      </c>
      <c r="E386" s="35" t="s">
        <v>268</v>
      </c>
      <c r="F386" s="35" t="s">
        <v>537</v>
      </c>
      <c r="G386" s="35" t="s">
        <v>2024</v>
      </c>
      <c r="H386" s="35" t="s">
        <v>256</v>
      </c>
      <c r="I386" s="35">
        <v>2192</v>
      </c>
      <c r="J386" s="35">
        <v>852.20170087330303</v>
      </c>
      <c r="K386" s="35">
        <v>840.70420997370798</v>
      </c>
      <c r="L386" s="35">
        <v>-34.32</v>
      </c>
      <c r="M386" s="35">
        <v>2.5299999999999998</v>
      </c>
      <c r="N386" s="35">
        <v>82</v>
      </c>
      <c r="O386" s="35" t="s">
        <v>542</v>
      </c>
      <c r="P386" s="35" t="s">
        <v>543</v>
      </c>
      <c r="Q386" s="35" t="s">
        <v>253</v>
      </c>
      <c r="R386" s="35" t="s">
        <v>253</v>
      </c>
      <c r="S386" s="35" t="s">
        <v>257</v>
      </c>
      <c r="T386" s="35" t="s">
        <v>261</v>
      </c>
      <c r="U386" s="35" t="s">
        <v>253</v>
      </c>
      <c r="V386" s="35" t="s">
        <v>253</v>
      </c>
      <c r="W386" s="35" t="s">
        <v>253</v>
      </c>
      <c r="X386" s="35" t="s">
        <v>896</v>
      </c>
      <c r="Y386" s="35" t="s">
        <v>897</v>
      </c>
    </row>
    <row r="387" spans="1:25" x14ac:dyDescent="0.2">
      <c r="A387" s="35">
        <v>262</v>
      </c>
      <c r="B387" s="35" t="s">
        <v>315</v>
      </c>
      <c r="C387" s="35" t="s">
        <v>64</v>
      </c>
      <c r="D387" s="35" t="s">
        <v>1971</v>
      </c>
      <c r="E387" s="35" t="s">
        <v>268</v>
      </c>
      <c r="F387" s="35" t="s">
        <v>537</v>
      </c>
      <c r="G387" s="35" t="s">
        <v>340</v>
      </c>
      <c r="H387" s="35" t="s">
        <v>256</v>
      </c>
      <c r="I387" s="35">
        <v>8656</v>
      </c>
      <c r="J387" s="35">
        <v>1167.32717803428</v>
      </c>
      <c r="K387" s="35">
        <v>846.32867038005202</v>
      </c>
      <c r="L387" s="35">
        <v>-34.5</v>
      </c>
      <c r="M387" s="35">
        <v>12.7</v>
      </c>
      <c r="N387" s="35">
        <v>52</v>
      </c>
      <c r="O387" s="35" t="s">
        <v>542</v>
      </c>
      <c r="P387" s="35" t="s">
        <v>543</v>
      </c>
      <c r="Q387" s="35" t="s">
        <v>253</v>
      </c>
      <c r="R387" s="35" t="s">
        <v>253</v>
      </c>
      <c r="S387" s="35" t="s">
        <v>257</v>
      </c>
      <c r="T387" s="35" t="s">
        <v>253</v>
      </c>
      <c r="U387" s="35" t="s">
        <v>253</v>
      </c>
      <c r="V387" s="35" t="s">
        <v>253</v>
      </c>
      <c r="W387" s="35" t="s">
        <v>253</v>
      </c>
      <c r="X387" s="35" t="s">
        <v>653</v>
      </c>
      <c r="Y387" s="35" t="s">
        <v>2037</v>
      </c>
    </row>
    <row r="388" spans="1:25" x14ac:dyDescent="0.2">
      <c r="A388" s="35">
        <v>263</v>
      </c>
      <c r="B388" s="35" t="s">
        <v>316</v>
      </c>
      <c r="C388" s="35" t="s">
        <v>50</v>
      </c>
      <c r="D388" s="35" t="s">
        <v>1973</v>
      </c>
      <c r="E388" s="35" t="s">
        <v>268</v>
      </c>
      <c r="F388" s="35" t="s">
        <v>537</v>
      </c>
      <c r="G388" s="35" t="s">
        <v>2024</v>
      </c>
      <c r="H388" s="35" t="s">
        <v>256</v>
      </c>
      <c r="I388" s="35">
        <v>1634</v>
      </c>
      <c r="J388" s="35">
        <v>669.92247538603999</v>
      </c>
      <c r="K388" s="35">
        <v>887.91853850585596</v>
      </c>
      <c r="L388" s="35">
        <v>-35.85</v>
      </c>
      <c r="M388" s="35">
        <v>-3.36</v>
      </c>
      <c r="N388" s="35">
        <v>472</v>
      </c>
      <c r="O388" s="35" t="s">
        <v>538</v>
      </c>
      <c r="P388" s="35" t="s">
        <v>539</v>
      </c>
      <c r="Q388" s="35" t="s">
        <v>253</v>
      </c>
      <c r="R388" s="35" t="s">
        <v>253</v>
      </c>
      <c r="S388" s="35" t="s">
        <v>257</v>
      </c>
      <c r="T388" s="35" t="s">
        <v>253</v>
      </c>
      <c r="U388" s="35" t="s">
        <v>258</v>
      </c>
      <c r="V388" s="35" t="s">
        <v>253</v>
      </c>
      <c r="W388" s="35" t="s">
        <v>253</v>
      </c>
      <c r="X388" s="35" t="s">
        <v>885</v>
      </c>
      <c r="Y388" s="35" t="s">
        <v>886</v>
      </c>
    </row>
    <row r="389" spans="1:25" x14ac:dyDescent="0.2">
      <c r="A389" s="35">
        <v>271</v>
      </c>
      <c r="B389" s="35" t="s">
        <v>317</v>
      </c>
      <c r="C389" s="35" t="s">
        <v>58</v>
      </c>
      <c r="D389" s="35" t="s">
        <v>1977</v>
      </c>
      <c r="E389" s="35" t="s">
        <v>268</v>
      </c>
      <c r="F389" s="35" t="s">
        <v>537</v>
      </c>
      <c r="G389" s="35" t="s">
        <v>2024</v>
      </c>
      <c r="H389" s="35" t="s">
        <v>256</v>
      </c>
      <c r="I389" s="35">
        <v>1895</v>
      </c>
      <c r="J389" s="35">
        <v>391.988499389499</v>
      </c>
      <c r="K389" s="35">
        <v>617.53574118634504</v>
      </c>
      <c r="L389" s="35">
        <v>-27.1</v>
      </c>
      <c r="M389" s="35">
        <v>-12.34</v>
      </c>
      <c r="N389" s="35">
        <v>82</v>
      </c>
      <c r="O389" s="35" t="s">
        <v>564</v>
      </c>
      <c r="P389" s="35" t="s">
        <v>565</v>
      </c>
      <c r="Q389" s="35" t="s">
        <v>253</v>
      </c>
      <c r="R389" s="35" t="s">
        <v>253</v>
      </c>
      <c r="S389" s="35" t="s">
        <v>257</v>
      </c>
      <c r="T389" s="35" t="s">
        <v>253</v>
      </c>
      <c r="U389" s="35" t="s">
        <v>253</v>
      </c>
      <c r="V389" s="35" t="s">
        <v>253</v>
      </c>
      <c r="W389" s="35" t="s">
        <v>253</v>
      </c>
      <c r="X389" s="35" t="s">
        <v>566</v>
      </c>
      <c r="Y389" s="35" t="s">
        <v>567</v>
      </c>
    </row>
    <row r="390" spans="1:25" x14ac:dyDescent="0.2">
      <c r="A390" s="35">
        <v>281</v>
      </c>
      <c r="B390" s="35" t="s">
        <v>318</v>
      </c>
      <c r="C390" s="35" t="s">
        <v>64</v>
      </c>
      <c r="D390" s="35" t="s">
        <v>1971</v>
      </c>
      <c r="E390" s="35" t="s">
        <v>268</v>
      </c>
      <c r="F390" s="35" t="s">
        <v>537</v>
      </c>
      <c r="G390" s="35" t="s">
        <v>260</v>
      </c>
      <c r="H390" s="35" t="s">
        <v>256</v>
      </c>
      <c r="I390" s="35">
        <v>5319</v>
      </c>
      <c r="J390" s="35">
        <v>1111.17988297441</v>
      </c>
      <c r="K390" s="35">
        <v>677.38077838187496</v>
      </c>
      <c r="L390" s="35">
        <v>-29.03</v>
      </c>
      <c r="M390" s="35">
        <v>10.89</v>
      </c>
      <c r="N390" s="35">
        <v>554</v>
      </c>
      <c r="O390" s="35" t="s">
        <v>550</v>
      </c>
      <c r="P390" s="35" t="s">
        <v>551</v>
      </c>
      <c r="Q390" s="35" t="s">
        <v>253</v>
      </c>
      <c r="R390" s="35" t="s">
        <v>253</v>
      </c>
      <c r="S390" s="35" t="s">
        <v>257</v>
      </c>
      <c r="T390" s="35" t="s">
        <v>253</v>
      </c>
      <c r="U390" s="35" t="s">
        <v>253</v>
      </c>
      <c r="V390" s="35" t="s">
        <v>253</v>
      </c>
      <c r="W390" s="35" t="s">
        <v>253</v>
      </c>
      <c r="X390" s="35" t="s">
        <v>855</v>
      </c>
      <c r="Y390" s="35" t="s">
        <v>856</v>
      </c>
    </row>
    <row r="391" spans="1:25" x14ac:dyDescent="0.2">
      <c r="A391" s="35">
        <v>282</v>
      </c>
      <c r="B391" s="35" t="s">
        <v>319</v>
      </c>
      <c r="C391" s="35" t="s">
        <v>61</v>
      </c>
      <c r="D391" s="35" t="s">
        <v>1976</v>
      </c>
      <c r="E391" s="35" t="s">
        <v>268</v>
      </c>
      <c r="F391" s="35" t="s">
        <v>537</v>
      </c>
      <c r="G391" s="35" t="s">
        <v>2024</v>
      </c>
      <c r="H391" s="35" t="s">
        <v>256</v>
      </c>
      <c r="I391" s="35">
        <v>2212</v>
      </c>
      <c r="J391" s="35">
        <v>369.802046575546</v>
      </c>
      <c r="K391" s="35">
        <v>700.89063364437902</v>
      </c>
      <c r="L391" s="35">
        <v>-29.8</v>
      </c>
      <c r="M391" s="35">
        <v>-13.06</v>
      </c>
      <c r="N391" s="35">
        <v>52</v>
      </c>
      <c r="O391" s="35" t="s">
        <v>550</v>
      </c>
      <c r="P391" s="35" t="s">
        <v>551</v>
      </c>
      <c r="Q391" s="35" t="s">
        <v>253</v>
      </c>
      <c r="R391" s="35" t="s">
        <v>253</v>
      </c>
      <c r="S391" s="35" t="s">
        <v>257</v>
      </c>
      <c r="T391" s="35" t="s">
        <v>253</v>
      </c>
      <c r="U391" s="35" t="s">
        <v>258</v>
      </c>
      <c r="V391" s="35" t="s">
        <v>253</v>
      </c>
      <c r="W391" s="35" t="s">
        <v>253</v>
      </c>
      <c r="X391" s="35" t="s">
        <v>803</v>
      </c>
      <c r="Y391" s="35" t="s">
        <v>804</v>
      </c>
    </row>
    <row r="392" spans="1:25" x14ac:dyDescent="0.2">
      <c r="A392" s="35">
        <v>283</v>
      </c>
      <c r="B392" s="35" t="s">
        <v>320</v>
      </c>
      <c r="C392" s="35" t="s">
        <v>50</v>
      </c>
      <c r="D392" s="35" t="s">
        <v>1973</v>
      </c>
      <c r="E392" s="35" t="s">
        <v>268</v>
      </c>
      <c r="F392" s="35" t="s">
        <v>537</v>
      </c>
      <c r="G392" s="35" t="s">
        <v>2024</v>
      </c>
      <c r="H392" s="35" t="s">
        <v>256</v>
      </c>
      <c r="I392" s="35">
        <v>19837</v>
      </c>
      <c r="J392" s="35">
        <v>645.28383568212405</v>
      </c>
      <c r="K392" s="35">
        <v>940.21239702435696</v>
      </c>
      <c r="L392" s="35">
        <v>-37.54</v>
      </c>
      <c r="M392" s="35">
        <v>-4.16</v>
      </c>
      <c r="N392" s="35">
        <v>13</v>
      </c>
      <c r="O392" s="35" t="s">
        <v>538</v>
      </c>
      <c r="P392" s="35" t="s">
        <v>539</v>
      </c>
      <c r="Q392" s="35" t="s">
        <v>253</v>
      </c>
      <c r="R392" s="35" t="s">
        <v>253</v>
      </c>
      <c r="S392" s="35" t="s">
        <v>253</v>
      </c>
      <c r="T392" s="35" t="s">
        <v>253</v>
      </c>
      <c r="U392" s="35" t="s">
        <v>253</v>
      </c>
      <c r="V392" s="35" t="s">
        <v>253</v>
      </c>
      <c r="W392" s="35" t="s">
        <v>253</v>
      </c>
      <c r="X392" s="35" t="s">
        <v>661</v>
      </c>
      <c r="Y392" s="35" t="s">
        <v>662</v>
      </c>
    </row>
    <row r="393" spans="1:25" x14ac:dyDescent="0.2">
      <c r="A393" s="35">
        <v>297</v>
      </c>
      <c r="B393" s="35" t="s">
        <v>321</v>
      </c>
      <c r="C393" s="35" t="s">
        <v>64</v>
      </c>
      <c r="D393" s="35" t="s">
        <v>1971</v>
      </c>
      <c r="E393" s="35" t="s">
        <v>268</v>
      </c>
      <c r="F393" s="35" t="s">
        <v>537</v>
      </c>
      <c r="G393" s="35" t="s">
        <v>340</v>
      </c>
      <c r="H393" s="35" t="s">
        <v>256</v>
      </c>
      <c r="I393" s="35">
        <v>31105</v>
      </c>
      <c r="J393" s="35">
        <v>1194</v>
      </c>
      <c r="K393" s="35">
        <v>816</v>
      </c>
      <c r="L393" s="35">
        <v>-33.520000000000003</v>
      </c>
      <c r="M393" s="35">
        <v>13.57</v>
      </c>
      <c r="N393" s="35">
        <v>52</v>
      </c>
      <c r="O393" s="35" t="s">
        <v>554</v>
      </c>
      <c r="P393" s="35" t="s">
        <v>555</v>
      </c>
      <c r="Q393" s="35" t="s">
        <v>253</v>
      </c>
      <c r="R393" s="35" t="s">
        <v>259</v>
      </c>
      <c r="S393" s="35" t="s">
        <v>253</v>
      </c>
      <c r="T393" s="35" t="s">
        <v>261</v>
      </c>
      <c r="U393" s="35" t="s">
        <v>258</v>
      </c>
      <c r="V393" s="35" t="s">
        <v>297</v>
      </c>
      <c r="W393" s="35" t="s">
        <v>266</v>
      </c>
      <c r="X393" s="35" t="s">
        <v>610</v>
      </c>
      <c r="Y393" s="35" t="s">
        <v>611</v>
      </c>
    </row>
    <row r="394" spans="1:25" x14ac:dyDescent="0.2">
      <c r="A394" s="35">
        <v>305</v>
      </c>
      <c r="B394" s="35" t="s">
        <v>322</v>
      </c>
      <c r="C394" s="35" t="s">
        <v>64</v>
      </c>
      <c r="D394" s="35" t="s">
        <v>1971</v>
      </c>
      <c r="E394" s="35" t="s">
        <v>268</v>
      </c>
      <c r="F394" s="35" t="s">
        <v>537</v>
      </c>
      <c r="G394" s="35" t="s">
        <v>260</v>
      </c>
      <c r="H394" s="35" t="s">
        <v>256</v>
      </c>
      <c r="I394" s="35">
        <v>10757</v>
      </c>
      <c r="J394" s="35">
        <v>1056.4922229680899</v>
      </c>
      <c r="K394" s="35">
        <v>798.45264062362799</v>
      </c>
      <c r="L394" s="35">
        <v>-32.950000000000003</v>
      </c>
      <c r="M394" s="35">
        <v>9.1199999999999992</v>
      </c>
      <c r="N394" s="35">
        <v>52</v>
      </c>
      <c r="O394" s="35" t="s">
        <v>554</v>
      </c>
      <c r="P394" s="35" t="s">
        <v>555</v>
      </c>
      <c r="Q394" s="35" t="s">
        <v>253</v>
      </c>
      <c r="R394" s="35" t="s">
        <v>253</v>
      </c>
      <c r="S394" s="35" t="s">
        <v>257</v>
      </c>
      <c r="T394" s="35" t="s">
        <v>261</v>
      </c>
      <c r="U394" s="35" t="s">
        <v>258</v>
      </c>
      <c r="V394" s="35" t="s">
        <v>253</v>
      </c>
      <c r="W394" s="35" t="s">
        <v>253</v>
      </c>
      <c r="X394" s="35" t="s">
        <v>817</v>
      </c>
      <c r="Y394" s="35" t="s">
        <v>818</v>
      </c>
    </row>
    <row r="395" spans="1:25" x14ac:dyDescent="0.2">
      <c r="A395" s="35">
        <v>315</v>
      </c>
      <c r="B395" s="35" t="s">
        <v>323</v>
      </c>
      <c r="C395" s="35" t="s">
        <v>64</v>
      </c>
      <c r="D395" s="35" t="s">
        <v>1971</v>
      </c>
      <c r="E395" s="35" t="s">
        <v>268</v>
      </c>
      <c r="F395" s="35" t="s">
        <v>537</v>
      </c>
      <c r="G395" s="35" t="s">
        <v>2024</v>
      </c>
      <c r="H395" s="35" t="s">
        <v>256</v>
      </c>
      <c r="I395" s="35">
        <v>1850</v>
      </c>
      <c r="J395" s="35">
        <v>797.397270062698</v>
      </c>
      <c r="K395" s="35">
        <v>788.35196605306601</v>
      </c>
      <c r="L395" s="35">
        <v>-32.630000000000003</v>
      </c>
      <c r="M395" s="35">
        <v>0.76</v>
      </c>
      <c r="N395" s="35">
        <v>2572</v>
      </c>
      <c r="O395" s="35" t="s">
        <v>560</v>
      </c>
      <c r="P395" s="35" t="s">
        <v>561</v>
      </c>
      <c r="Q395" s="35" t="s">
        <v>253</v>
      </c>
      <c r="R395" s="35" t="s">
        <v>253</v>
      </c>
      <c r="S395" s="35" t="s">
        <v>257</v>
      </c>
      <c r="T395" s="35" t="s">
        <v>253</v>
      </c>
      <c r="U395" s="35" t="s">
        <v>253</v>
      </c>
      <c r="V395" s="35" t="s">
        <v>253</v>
      </c>
      <c r="W395" s="35" t="s">
        <v>253</v>
      </c>
      <c r="X395" s="35" t="s">
        <v>758</v>
      </c>
      <c r="Y395" s="35" t="s">
        <v>759</v>
      </c>
    </row>
    <row r="396" spans="1:25" x14ac:dyDescent="0.2">
      <c r="A396" s="35">
        <v>326</v>
      </c>
      <c r="B396" s="35" t="s">
        <v>324</v>
      </c>
      <c r="C396" s="35" t="s">
        <v>44</v>
      </c>
      <c r="D396" s="35" t="s">
        <v>1974</v>
      </c>
      <c r="E396" s="35" t="s">
        <v>268</v>
      </c>
      <c r="F396" s="35" t="s">
        <v>537</v>
      </c>
      <c r="G396" s="35" t="s">
        <v>2015</v>
      </c>
      <c r="H396" s="35" t="s">
        <v>256</v>
      </c>
      <c r="I396" s="35">
        <v>9267</v>
      </c>
      <c r="J396" s="35">
        <v>338</v>
      </c>
      <c r="K396" s="35">
        <v>571</v>
      </c>
      <c r="L396" s="35">
        <v>-25.59</v>
      </c>
      <c r="M396" s="35">
        <v>-14.08</v>
      </c>
      <c r="N396" s="35">
        <v>82</v>
      </c>
      <c r="O396" s="35" t="s">
        <v>568</v>
      </c>
      <c r="P396" s="35" t="s">
        <v>569</v>
      </c>
      <c r="Q396" s="35" t="s">
        <v>253</v>
      </c>
      <c r="R396" s="35" t="s">
        <v>259</v>
      </c>
      <c r="S396" s="35" t="s">
        <v>253</v>
      </c>
      <c r="T396" s="35" t="s">
        <v>253</v>
      </c>
      <c r="U396" s="35" t="s">
        <v>253</v>
      </c>
      <c r="V396" s="35" t="s">
        <v>253</v>
      </c>
      <c r="W396" s="35" t="s">
        <v>253</v>
      </c>
      <c r="X396" s="35" t="s">
        <v>881</v>
      </c>
      <c r="Y396" s="35" t="s">
        <v>2038</v>
      </c>
    </row>
    <row r="397" spans="1:25" x14ac:dyDescent="0.2">
      <c r="A397" s="35">
        <v>349</v>
      </c>
      <c r="B397" s="35" t="s">
        <v>325</v>
      </c>
      <c r="C397" s="35" t="s">
        <v>61</v>
      </c>
      <c r="D397" s="35" t="s">
        <v>1976</v>
      </c>
      <c r="E397" s="35" t="s">
        <v>268</v>
      </c>
      <c r="F397" s="35" t="s">
        <v>537</v>
      </c>
      <c r="G397" s="35" t="s">
        <v>2024</v>
      </c>
      <c r="H397" s="35" t="s">
        <v>256</v>
      </c>
      <c r="I397" s="35">
        <v>2822</v>
      </c>
      <c r="J397" s="35">
        <v>489</v>
      </c>
      <c r="K397" s="35">
        <v>840</v>
      </c>
      <c r="L397" s="35">
        <v>-34.299999999999997</v>
      </c>
      <c r="M397" s="35">
        <v>-9.2100000000000009</v>
      </c>
      <c r="N397" s="35">
        <v>161</v>
      </c>
      <c r="O397" s="35" t="s">
        <v>542</v>
      </c>
      <c r="P397" s="35" t="s">
        <v>543</v>
      </c>
      <c r="Q397" s="35" t="s">
        <v>253</v>
      </c>
      <c r="R397" s="35" t="s">
        <v>259</v>
      </c>
      <c r="S397" s="35" t="s">
        <v>257</v>
      </c>
      <c r="T397" s="35" t="s">
        <v>253</v>
      </c>
      <c r="U397" s="35" t="s">
        <v>258</v>
      </c>
      <c r="V397" s="35" t="s">
        <v>253</v>
      </c>
      <c r="W397" s="35" t="s">
        <v>253</v>
      </c>
      <c r="X397" s="35" t="s">
        <v>586</v>
      </c>
      <c r="Y397" s="35" t="s">
        <v>587</v>
      </c>
    </row>
    <row r="398" spans="1:25" x14ac:dyDescent="0.2">
      <c r="A398" s="35">
        <v>351</v>
      </c>
      <c r="B398" s="35" t="s">
        <v>326</v>
      </c>
      <c r="C398" s="35" t="s">
        <v>61</v>
      </c>
      <c r="D398" s="35" t="s">
        <v>1976</v>
      </c>
      <c r="E398" s="35" t="s">
        <v>268</v>
      </c>
      <c r="F398" s="35" t="s">
        <v>537</v>
      </c>
      <c r="G398" s="35" t="s">
        <v>2015</v>
      </c>
      <c r="H398" s="35" t="s">
        <v>256</v>
      </c>
      <c r="I398" s="35">
        <v>8507</v>
      </c>
      <c r="J398" s="35">
        <v>415.84866706485502</v>
      </c>
      <c r="K398" s="35">
        <v>871.74578211252799</v>
      </c>
      <c r="L398" s="35">
        <v>-35.33</v>
      </c>
      <c r="M398" s="35">
        <v>-11.57</v>
      </c>
      <c r="N398" s="35">
        <v>266</v>
      </c>
      <c r="O398" s="35" t="s">
        <v>542</v>
      </c>
      <c r="P398" s="35" t="s">
        <v>543</v>
      </c>
      <c r="Q398" s="35" t="s">
        <v>253</v>
      </c>
      <c r="R398" s="35" t="s">
        <v>253</v>
      </c>
      <c r="S398" s="35" t="s">
        <v>253</v>
      </c>
      <c r="T398" s="35" t="s">
        <v>253</v>
      </c>
      <c r="U398" s="35" t="s">
        <v>253</v>
      </c>
      <c r="V398" s="35" t="s">
        <v>253</v>
      </c>
      <c r="W398" s="35" t="s">
        <v>253</v>
      </c>
      <c r="X398" s="35" t="s">
        <v>620</v>
      </c>
      <c r="Y398" s="35" t="s">
        <v>621</v>
      </c>
    </row>
    <row r="399" spans="1:25" x14ac:dyDescent="0.2">
      <c r="A399" s="35">
        <v>376</v>
      </c>
      <c r="B399" s="35" t="s">
        <v>162</v>
      </c>
      <c r="C399" s="35" t="s">
        <v>50</v>
      </c>
      <c r="D399" s="35" t="s">
        <v>1973</v>
      </c>
      <c r="E399" s="35" t="s">
        <v>268</v>
      </c>
      <c r="F399" s="35" t="s">
        <v>537</v>
      </c>
      <c r="G399" s="35" t="s">
        <v>2024</v>
      </c>
      <c r="H399" s="35" t="s">
        <v>256</v>
      </c>
      <c r="I399" s="35">
        <v>23705</v>
      </c>
      <c r="J399" s="35">
        <v>523.80327562537695</v>
      </c>
      <c r="K399" s="35">
        <v>531.10588421549903</v>
      </c>
      <c r="L399" s="35">
        <v>-24.3</v>
      </c>
      <c r="M399" s="35">
        <v>-8.08</v>
      </c>
      <c r="N399" s="35">
        <v>266</v>
      </c>
      <c r="O399" s="35" t="s">
        <v>602</v>
      </c>
      <c r="P399" s="35" t="s">
        <v>603</v>
      </c>
      <c r="Q399" s="35" t="s">
        <v>253</v>
      </c>
      <c r="R399" s="35" t="s">
        <v>253</v>
      </c>
      <c r="S399" s="35" t="s">
        <v>257</v>
      </c>
      <c r="T399" s="35" t="s">
        <v>253</v>
      </c>
      <c r="U399" s="35" t="s">
        <v>258</v>
      </c>
      <c r="V399" s="35" t="s">
        <v>253</v>
      </c>
      <c r="W399" s="35" t="s">
        <v>253</v>
      </c>
      <c r="X399" s="35" t="s">
        <v>718</v>
      </c>
      <c r="Y399" s="35" t="s">
        <v>719</v>
      </c>
    </row>
    <row r="400" spans="1:25" x14ac:dyDescent="0.2">
      <c r="A400" s="35">
        <v>378</v>
      </c>
      <c r="B400" s="35" t="s">
        <v>327</v>
      </c>
      <c r="C400" s="35" t="s">
        <v>64</v>
      </c>
      <c r="D400" s="35" t="s">
        <v>1971</v>
      </c>
      <c r="E400" s="35" t="s">
        <v>268</v>
      </c>
      <c r="F400" s="35" t="s">
        <v>537</v>
      </c>
      <c r="G400" s="35" t="s">
        <v>260</v>
      </c>
      <c r="H400" s="35" t="s">
        <v>256</v>
      </c>
      <c r="I400" s="35">
        <v>2932</v>
      </c>
      <c r="J400" s="35">
        <v>1116.5</v>
      </c>
      <c r="K400" s="35">
        <v>791.5</v>
      </c>
      <c r="L400" s="35">
        <v>-32.729999999999997</v>
      </c>
      <c r="M400" s="35">
        <v>11.06</v>
      </c>
      <c r="N400" s="35">
        <v>161</v>
      </c>
      <c r="O400" s="35" t="s">
        <v>554</v>
      </c>
      <c r="P400" s="35" t="s">
        <v>555</v>
      </c>
      <c r="Q400" s="35" t="s">
        <v>253</v>
      </c>
      <c r="R400" s="35" t="s">
        <v>259</v>
      </c>
      <c r="S400" s="35" t="s">
        <v>253</v>
      </c>
      <c r="T400" s="35" t="s">
        <v>253</v>
      </c>
      <c r="U400" s="35" t="s">
        <v>253</v>
      </c>
      <c r="V400" s="35" t="s">
        <v>253</v>
      </c>
      <c r="W400" s="35" t="s">
        <v>253</v>
      </c>
      <c r="X400" s="35" t="s">
        <v>829</v>
      </c>
      <c r="Y400" s="35" t="s">
        <v>830</v>
      </c>
    </row>
    <row r="401" spans="1:25" x14ac:dyDescent="0.2">
      <c r="A401" s="35">
        <v>380</v>
      </c>
      <c r="B401" s="35" t="s">
        <v>328</v>
      </c>
      <c r="C401" s="35" t="s">
        <v>61</v>
      </c>
      <c r="D401" s="35" t="s">
        <v>1976</v>
      </c>
      <c r="E401" s="35" t="s">
        <v>268</v>
      </c>
      <c r="F401" s="35" t="s">
        <v>537</v>
      </c>
      <c r="G401" s="35" t="s">
        <v>2015</v>
      </c>
      <c r="H401" s="35" t="s">
        <v>256</v>
      </c>
      <c r="I401" s="35">
        <v>32536</v>
      </c>
      <c r="J401" s="35">
        <v>345.82510809590599</v>
      </c>
      <c r="K401" s="35">
        <v>885.93343483302897</v>
      </c>
      <c r="L401" s="35">
        <v>-35.79</v>
      </c>
      <c r="M401" s="35">
        <v>-13.83</v>
      </c>
      <c r="N401" s="35">
        <v>118</v>
      </c>
      <c r="O401" s="35" t="s">
        <v>542</v>
      </c>
      <c r="P401" s="35" t="s">
        <v>543</v>
      </c>
      <c r="Q401" s="35" t="s">
        <v>253</v>
      </c>
      <c r="R401" s="35" t="s">
        <v>253</v>
      </c>
      <c r="S401" s="35" t="s">
        <v>257</v>
      </c>
      <c r="T401" s="35" t="s">
        <v>261</v>
      </c>
      <c r="U401" s="35" t="s">
        <v>258</v>
      </c>
      <c r="V401" s="35" t="s">
        <v>253</v>
      </c>
      <c r="W401" s="35" t="s">
        <v>253</v>
      </c>
      <c r="X401" s="35" t="s">
        <v>623</v>
      </c>
      <c r="Y401" s="35" t="s">
        <v>2039</v>
      </c>
    </row>
    <row r="402" spans="1:25" x14ac:dyDescent="0.2">
      <c r="A402" s="35">
        <v>381</v>
      </c>
      <c r="B402" s="35" t="s">
        <v>329</v>
      </c>
      <c r="C402" s="35" t="s">
        <v>50</v>
      </c>
      <c r="D402" s="35" t="s">
        <v>1973</v>
      </c>
      <c r="E402" s="35" t="s">
        <v>268</v>
      </c>
      <c r="F402" s="35" t="s">
        <v>537</v>
      </c>
      <c r="G402" s="35" t="s">
        <v>2024</v>
      </c>
      <c r="H402" s="35" t="s">
        <v>256</v>
      </c>
      <c r="I402" s="35">
        <v>1799</v>
      </c>
      <c r="J402" s="35">
        <v>522.304716970399</v>
      </c>
      <c r="K402" s="35">
        <v>899.16745931854496</v>
      </c>
      <c r="L402" s="35">
        <v>-36.22</v>
      </c>
      <c r="M402" s="35">
        <v>-8.1300000000000008</v>
      </c>
      <c r="N402" s="35">
        <v>52</v>
      </c>
      <c r="O402" s="35" t="s">
        <v>542</v>
      </c>
      <c r="P402" s="35" t="s">
        <v>543</v>
      </c>
      <c r="Q402" s="35" t="s">
        <v>253</v>
      </c>
      <c r="R402" s="35" t="s">
        <v>253</v>
      </c>
      <c r="S402" s="35" t="s">
        <v>253</v>
      </c>
      <c r="T402" s="35" t="s">
        <v>253</v>
      </c>
      <c r="U402" s="35" t="s">
        <v>253</v>
      </c>
      <c r="V402" s="35" t="s">
        <v>253</v>
      </c>
      <c r="W402" s="35" t="s">
        <v>253</v>
      </c>
      <c r="X402" s="35" t="s">
        <v>578</v>
      </c>
      <c r="Y402" s="35" t="s">
        <v>579</v>
      </c>
    </row>
    <row r="403" spans="1:25" x14ac:dyDescent="0.2">
      <c r="A403" s="35">
        <v>396</v>
      </c>
      <c r="B403" s="35" t="s">
        <v>330</v>
      </c>
      <c r="C403" s="35" t="s">
        <v>61</v>
      </c>
      <c r="D403" s="35" t="s">
        <v>1976</v>
      </c>
      <c r="E403" s="35" t="s">
        <v>268</v>
      </c>
      <c r="F403" s="35" t="s">
        <v>537</v>
      </c>
      <c r="G403" s="35" t="s">
        <v>2024</v>
      </c>
      <c r="H403" s="35" t="s">
        <v>256</v>
      </c>
      <c r="I403" s="35">
        <v>5387</v>
      </c>
      <c r="J403" s="35">
        <v>478.08750574820601</v>
      </c>
      <c r="K403" s="35">
        <v>696.41441948015995</v>
      </c>
      <c r="L403" s="35">
        <v>-29.65</v>
      </c>
      <c r="M403" s="35">
        <v>-9.56</v>
      </c>
      <c r="N403" s="35">
        <v>328</v>
      </c>
      <c r="O403" s="35" t="s">
        <v>554</v>
      </c>
      <c r="P403" s="35" t="s">
        <v>555</v>
      </c>
      <c r="Q403" s="35" t="s">
        <v>253</v>
      </c>
      <c r="R403" s="35" t="s">
        <v>253</v>
      </c>
      <c r="S403" s="35" t="s">
        <v>257</v>
      </c>
      <c r="T403" s="35" t="s">
        <v>253</v>
      </c>
      <c r="U403" s="35" t="s">
        <v>253</v>
      </c>
      <c r="V403" s="35" t="s">
        <v>253</v>
      </c>
      <c r="W403" s="35" t="s">
        <v>253</v>
      </c>
      <c r="X403" s="35" t="s">
        <v>789</v>
      </c>
      <c r="Y403" s="35" t="s">
        <v>790</v>
      </c>
    </row>
    <row r="404" spans="1:25" x14ac:dyDescent="0.2">
      <c r="A404" s="35">
        <v>397</v>
      </c>
      <c r="B404" s="35" t="s">
        <v>331</v>
      </c>
      <c r="C404" s="35" t="s">
        <v>64</v>
      </c>
      <c r="D404" s="35" t="s">
        <v>1971</v>
      </c>
      <c r="E404" s="35" t="s">
        <v>268</v>
      </c>
      <c r="F404" s="35" t="s">
        <v>537</v>
      </c>
      <c r="G404" s="35" t="s">
        <v>260</v>
      </c>
      <c r="H404" s="35" t="s">
        <v>256</v>
      </c>
      <c r="I404" s="35">
        <v>1924</v>
      </c>
      <c r="J404" s="35">
        <v>1092.6911722961199</v>
      </c>
      <c r="K404" s="35">
        <v>741.48794993376896</v>
      </c>
      <c r="L404" s="35">
        <v>-31.11</v>
      </c>
      <c r="M404" s="35">
        <v>10.29</v>
      </c>
      <c r="N404" s="35">
        <v>472</v>
      </c>
      <c r="O404" s="35" t="s">
        <v>554</v>
      </c>
      <c r="P404" s="35" t="s">
        <v>555</v>
      </c>
      <c r="Q404" s="35" t="s">
        <v>253</v>
      </c>
      <c r="R404" s="35" t="s">
        <v>253</v>
      </c>
      <c r="S404" s="35" t="s">
        <v>253</v>
      </c>
      <c r="T404" s="35" t="s">
        <v>253</v>
      </c>
      <c r="U404" s="35" t="s">
        <v>258</v>
      </c>
      <c r="V404" s="35" t="s">
        <v>253</v>
      </c>
      <c r="W404" s="35" t="s">
        <v>253</v>
      </c>
      <c r="X404" s="35" t="s">
        <v>692</v>
      </c>
      <c r="Y404" s="35" t="s">
        <v>693</v>
      </c>
    </row>
    <row r="405" spans="1:25" x14ac:dyDescent="0.2">
      <c r="A405" s="35">
        <v>398</v>
      </c>
      <c r="B405" s="35" t="s">
        <v>333</v>
      </c>
      <c r="C405" s="35" t="s">
        <v>64</v>
      </c>
      <c r="D405" s="35" t="s">
        <v>1971</v>
      </c>
      <c r="E405" s="35" t="s">
        <v>268</v>
      </c>
      <c r="F405" s="35" t="s">
        <v>537</v>
      </c>
      <c r="G405" s="35" t="s">
        <v>2024</v>
      </c>
      <c r="H405" s="35" t="s">
        <v>256</v>
      </c>
      <c r="I405" s="35">
        <v>22577</v>
      </c>
      <c r="J405" s="35">
        <v>919.38383693800904</v>
      </c>
      <c r="K405" s="35">
        <v>749.40890282436499</v>
      </c>
      <c r="L405" s="35">
        <v>-31.37</v>
      </c>
      <c r="M405" s="35">
        <v>4.7</v>
      </c>
      <c r="N405" s="35">
        <v>82</v>
      </c>
      <c r="O405" s="35" t="s">
        <v>550</v>
      </c>
      <c r="P405" s="35" t="s">
        <v>551</v>
      </c>
      <c r="Q405" s="35" t="s">
        <v>253</v>
      </c>
      <c r="R405" s="35" t="s">
        <v>253</v>
      </c>
      <c r="S405" s="35" t="s">
        <v>257</v>
      </c>
      <c r="T405" s="35" t="s">
        <v>253</v>
      </c>
      <c r="U405" s="35" t="s">
        <v>258</v>
      </c>
      <c r="V405" s="35" t="s">
        <v>253</v>
      </c>
      <c r="W405" s="35" t="s">
        <v>253</v>
      </c>
      <c r="X405" s="35" t="s">
        <v>552</v>
      </c>
      <c r="Y405" s="35" t="s">
        <v>2040</v>
      </c>
    </row>
    <row r="406" spans="1:25" x14ac:dyDescent="0.2">
      <c r="A406" s="35">
        <v>400</v>
      </c>
      <c r="B406" s="35" t="s">
        <v>334</v>
      </c>
      <c r="C406" s="35" t="s">
        <v>64</v>
      </c>
      <c r="D406" s="35" t="s">
        <v>1971</v>
      </c>
      <c r="E406" s="35" t="s">
        <v>268</v>
      </c>
      <c r="F406" s="35" t="s">
        <v>537</v>
      </c>
      <c r="G406" s="35" t="s">
        <v>2024</v>
      </c>
      <c r="H406" s="35" t="s">
        <v>256</v>
      </c>
      <c r="I406" s="35">
        <v>1801</v>
      </c>
      <c r="J406" s="35">
        <v>954.47346362533904</v>
      </c>
      <c r="K406" s="35">
        <v>835.44952378093001</v>
      </c>
      <c r="L406" s="35">
        <v>-34.15</v>
      </c>
      <c r="M406" s="35">
        <v>5.83</v>
      </c>
      <c r="N406" s="35">
        <v>161</v>
      </c>
      <c r="O406" s="35" t="s">
        <v>542</v>
      </c>
      <c r="P406" s="35" t="s">
        <v>543</v>
      </c>
      <c r="Q406" s="35" t="s">
        <v>253</v>
      </c>
      <c r="R406" s="35" t="s">
        <v>253</v>
      </c>
      <c r="S406" s="35" t="s">
        <v>253</v>
      </c>
      <c r="T406" s="35" t="s">
        <v>253</v>
      </c>
      <c r="U406" s="35" t="s">
        <v>258</v>
      </c>
      <c r="V406" s="35" t="s">
        <v>253</v>
      </c>
      <c r="W406" s="35" t="s">
        <v>253</v>
      </c>
      <c r="X406" s="35" t="s">
        <v>740</v>
      </c>
      <c r="Y406" s="35" t="s">
        <v>741</v>
      </c>
    </row>
    <row r="407" spans="1:25" x14ac:dyDescent="0.2">
      <c r="A407" s="35">
        <v>401</v>
      </c>
      <c r="B407" s="35" t="s">
        <v>335</v>
      </c>
      <c r="C407" s="35" t="s">
        <v>50</v>
      </c>
      <c r="D407" s="35" t="s">
        <v>1973</v>
      </c>
      <c r="E407" s="35" t="s">
        <v>268</v>
      </c>
      <c r="F407" s="35" t="s">
        <v>537</v>
      </c>
      <c r="G407" s="35" t="s">
        <v>2024</v>
      </c>
      <c r="H407" s="35" t="s">
        <v>256</v>
      </c>
      <c r="I407" s="35">
        <v>1811</v>
      </c>
      <c r="J407" s="35">
        <v>683.42896508155195</v>
      </c>
      <c r="K407" s="35">
        <v>911.52570277193104</v>
      </c>
      <c r="L407" s="35">
        <v>-36.619999999999997</v>
      </c>
      <c r="M407" s="35">
        <v>-2.93</v>
      </c>
      <c r="N407" s="35">
        <v>52</v>
      </c>
      <c r="O407" s="35" t="s">
        <v>538</v>
      </c>
      <c r="P407" s="35" t="s">
        <v>539</v>
      </c>
      <c r="Q407" s="35" t="s">
        <v>253</v>
      </c>
      <c r="R407" s="35" t="s">
        <v>253</v>
      </c>
      <c r="S407" s="35" t="s">
        <v>257</v>
      </c>
      <c r="T407" s="35" t="s">
        <v>253</v>
      </c>
      <c r="U407" s="35" t="s">
        <v>258</v>
      </c>
      <c r="V407" s="35" t="s">
        <v>253</v>
      </c>
      <c r="W407" s="35" t="s">
        <v>253</v>
      </c>
      <c r="X407" s="35" t="s">
        <v>888</v>
      </c>
      <c r="Y407" s="35" t="s">
        <v>2041</v>
      </c>
    </row>
    <row r="408" spans="1:25" x14ac:dyDescent="0.2">
      <c r="A408" s="35">
        <v>414</v>
      </c>
      <c r="B408" s="35" t="s">
        <v>336</v>
      </c>
      <c r="C408" s="35" t="s">
        <v>61</v>
      </c>
      <c r="D408" s="35" t="s">
        <v>1976</v>
      </c>
      <c r="E408" s="35" t="s">
        <v>268</v>
      </c>
      <c r="F408" s="35" t="s">
        <v>537</v>
      </c>
      <c r="G408" s="35" t="s">
        <v>2024</v>
      </c>
      <c r="H408" s="35" t="s">
        <v>256</v>
      </c>
      <c r="I408" s="35">
        <v>1905</v>
      </c>
      <c r="J408" s="35">
        <v>500.85781258357798</v>
      </c>
      <c r="K408" s="35">
        <v>760.63836183633896</v>
      </c>
      <c r="L408" s="35">
        <v>-31.73</v>
      </c>
      <c r="M408" s="35">
        <v>-8.82</v>
      </c>
      <c r="N408" s="35">
        <v>948</v>
      </c>
      <c r="O408" s="35" t="s">
        <v>542</v>
      </c>
      <c r="P408" s="35" t="s">
        <v>543</v>
      </c>
      <c r="Q408" s="35" t="s">
        <v>253</v>
      </c>
      <c r="R408" s="35" t="s">
        <v>253</v>
      </c>
      <c r="S408" s="35" t="s">
        <v>253</v>
      </c>
      <c r="T408" s="35" t="s">
        <v>261</v>
      </c>
      <c r="U408" s="35" t="s">
        <v>253</v>
      </c>
      <c r="V408" s="35" t="s">
        <v>253</v>
      </c>
      <c r="W408" s="35" t="s">
        <v>253</v>
      </c>
      <c r="X408" s="35" t="s">
        <v>588</v>
      </c>
      <c r="Y408" s="35" t="s">
        <v>589</v>
      </c>
    </row>
    <row r="409" spans="1:25" x14ac:dyDescent="0.2">
      <c r="A409" s="35">
        <v>434</v>
      </c>
      <c r="B409" s="35" t="s">
        <v>337</v>
      </c>
      <c r="C409" s="35" t="s">
        <v>64</v>
      </c>
      <c r="D409" s="35" t="s">
        <v>1971</v>
      </c>
      <c r="E409" s="35" t="s">
        <v>268</v>
      </c>
      <c r="F409" s="35" t="s">
        <v>537</v>
      </c>
      <c r="G409" s="35" t="s">
        <v>2024</v>
      </c>
      <c r="H409" s="35" t="s">
        <v>256</v>
      </c>
      <c r="I409" s="35">
        <v>10701</v>
      </c>
      <c r="J409" s="35">
        <v>982.22599144349397</v>
      </c>
      <c r="K409" s="35">
        <v>798.88080023933605</v>
      </c>
      <c r="L409" s="35">
        <v>-32.97</v>
      </c>
      <c r="M409" s="35">
        <v>6.73</v>
      </c>
      <c r="N409" s="35">
        <v>554</v>
      </c>
      <c r="O409" s="35" t="s">
        <v>542</v>
      </c>
      <c r="P409" s="35" t="s">
        <v>543</v>
      </c>
      <c r="Q409" s="35" t="s">
        <v>253</v>
      </c>
      <c r="R409" s="35" t="s">
        <v>253</v>
      </c>
      <c r="S409" s="35" t="s">
        <v>257</v>
      </c>
      <c r="T409" s="35" t="s">
        <v>253</v>
      </c>
      <c r="U409" s="35" t="s">
        <v>258</v>
      </c>
      <c r="V409" s="35" t="s">
        <v>253</v>
      </c>
      <c r="W409" s="35" t="s">
        <v>253</v>
      </c>
      <c r="X409" s="35" t="s">
        <v>819</v>
      </c>
      <c r="Y409" s="35" t="s">
        <v>820</v>
      </c>
    </row>
    <row r="410" spans="1:25" x14ac:dyDescent="0.2">
      <c r="A410" s="35">
        <v>449</v>
      </c>
      <c r="B410" s="35" t="s">
        <v>338</v>
      </c>
      <c r="C410" s="35" t="s">
        <v>44</v>
      </c>
      <c r="D410" s="35" t="s">
        <v>1974</v>
      </c>
      <c r="E410" s="35" t="s">
        <v>268</v>
      </c>
      <c r="F410" s="35" t="s">
        <v>537</v>
      </c>
      <c r="G410" s="35" t="s">
        <v>2024</v>
      </c>
      <c r="H410" s="35" t="s">
        <v>256</v>
      </c>
      <c r="I410" s="35">
        <v>5619</v>
      </c>
      <c r="J410" s="35">
        <v>444.69105572299299</v>
      </c>
      <c r="K410" s="35">
        <v>603.62055367583901</v>
      </c>
      <c r="L410" s="35">
        <v>-26.65</v>
      </c>
      <c r="M410" s="35">
        <v>-10.64</v>
      </c>
      <c r="N410" s="35">
        <v>161</v>
      </c>
      <c r="O410" s="35" t="s">
        <v>568</v>
      </c>
      <c r="P410" s="35" t="s">
        <v>569</v>
      </c>
      <c r="Q410" s="35" t="s">
        <v>253</v>
      </c>
      <c r="R410" s="35" t="s">
        <v>253</v>
      </c>
      <c r="S410" s="35" t="s">
        <v>253</v>
      </c>
      <c r="T410" s="35" t="s">
        <v>253</v>
      </c>
      <c r="U410" s="35" t="s">
        <v>253</v>
      </c>
      <c r="V410" s="35" t="s">
        <v>253</v>
      </c>
      <c r="W410" s="35" t="s">
        <v>253</v>
      </c>
      <c r="X410" s="35" t="s">
        <v>835</v>
      </c>
      <c r="Y410" s="35" t="s">
        <v>836</v>
      </c>
    </row>
    <row r="411" spans="1:25" x14ac:dyDescent="0.2">
      <c r="A411" s="35">
        <v>450</v>
      </c>
      <c r="B411" s="35" t="s">
        <v>339</v>
      </c>
      <c r="C411" s="35" t="s">
        <v>61</v>
      </c>
      <c r="D411" s="35" t="s">
        <v>1976</v>
      </c>
      <c r="E411" s="35" t="s">
        <v>268</v>
      </c>
      <c r="F411" s="35" t="s">
        <v>537</v>
      </c>
      <c r="G411" s="35" t="s">
        <v>2024</v>
      </c>
      <c r="H411" s="35" t="s">
        <v>256</v>
      </c>
      <c r="I411" s="35">
        <v>4150</v>
      </c>
      <c r="J411" s="35">
        <v>427.37005308753902</v>
      </c>
      <c r="K411" s="35">
        <v>807.52183975634898</v>
      </c>
      <c r="L411" s="35">
        <v>-33.25</v>
      </c>
      <c r="M411" s="35">
        <v>-11.2</v>
      </c>
      <c r="N411" s="35">
        <v>840</v>
      </c>
      <c r="O411" s="35" t="s">
        <v>542</v>
      </c>
      <c r="P411" s="35" t="s">
        <v>543</v>
      </c>
      <c r="Q411" s="35" t="s">
        <v>253</v>
      </c>
      <c r="R411" s="35" t="s">
        <v>253</v>
      </c>
      <c r="S411" s="35" t="s">
        <v>257</v>
      </c>
      <c r="T411" s="35" t="s">
        <v>253</v>
      </c>
      <c r="U411" s="35" t="s">
        <v>258</v>
      </c>
      <c r="V411" s="35" t="s">
        <v>253</v>
      </c>
      <c r="W411" s="35" t="s">
        <v>253</v>
      </c>
      <c r="X411" s="35" t="s">
        <v>544</v>
      </c>
      <c r="Y411" s="35" t="s">
        <v>545</v>
      </c>
    </row>
    <row r="412" spans="1:25" x14ac:dyDescent="0.2">
      <c r="A412" s="35">
        <v>451</v>
      </c>
      <c r="B412" s="35" t="s">
        <v>341</v>
      </c>
      <c r="C412" s="35" t="s">
        <v>61</v>
      </c>
      <c r="D412" s="35" t="s">
        <v>1976</v>
      </c>
      <c r="E412" s="35" t="s">
        <v>268</v>
      </c>
      <c r="F412" s="35" t="s">
        <v>537</v>
      </c>
      <c r="G412" s="35" t="s">
        <v>2024</v>
      </c>
      <c r="H412" s="35" t="s">
        <v>256</v>
      </c>
      <c r="I412" s="35">
        <v>2171</v>
      </c>
      <c r="J412" s="35">
        <v>457.43853519065902</v>
      </c>
      <c r="K412" s="35">
        <v>860.710941107694</v>
      </c>
      <c r="L412" s="35">
        <v>-34.97</v>
      </c>
      <c r="M412" s="35">
        <v>-10.220000000000001</v>
      </c>
      <c r="N412" s="35">
        <v>161</v>
      </c>
      <c r="O412" s="35" t="s">
        <v>542</v>
      </c>
      <c r="P412" s="35" t="s">
        <v>543</v>
      </c>
      <c r="Q412" s="35" t="s">
        <v>253</v>
      </c>
      <c r="R412" s="35" t="s">
        <v>253</v>
      </c>
      <c r="S412" s="35" t="s">
        <v>253</v>
      </c>
      <c r="T412" s="35" t="s">
        <v>253</v>
      </c>
      <c r="U412" s="35" t="s">
        <v>253</v>
      </c>
      <c r="V412" s="35" t="s">
        <v>253</v>
      </c>
      <c r="W412" s="35" t="s">
        <v>253</v>
      </c>
      <c r="X412" s="35" t="s">
        <v>546</v>
      </c>
      <c r="Y412" s="35" t="s">
        <v>2042</v>
      </c>
    </row>
    <row r="413" spans="1:25" x14ac:dyDescent="0.2">
      <c r="A413" s="35">
        <v>453</v>
      </c>
      <c r="B413" s="35" t="s">
        <v>342</v>
      </c>
      <c r="C413" s="35" t="s">
        <v>50</v>
      </c>
      <c r="D413" s="35" t="s">
        <v>1973</v>
      </c>
      <c r="E413" s="35" t="s">
        <v>268</v>
      </c>
      <c r="F413" s="35" t="s">
        <v>537</v>
      </c>
      <c r="G413" s="35" t="s">
        <v>2024</v>
      </c>
      <c r="H413" s="35" t="s">
        <v>256</v>
      </c>
      <c r="I413" s="35">
        <v>1931</v>
      </c>
      <c r="J413" s="35">
        <v>590.86864088579898</v>
      </c>
      <c r="K413" s="35">
        <v>899.26476832211495</v>
      </c>
      <c r="L413" s="35">
        <v>-36.22</v>
      </c>
      <c r="M413" s="35">
        <v>-5.92</v>
      </c>
      <c r="N413" s="35">
        <v>52</v>
      </c>
      <c r="O413" s="35" t="s">
        <v>542</v>
      </c>
      <c r="P413" s="35" t="s">
        <v>543</v>
      </c>
      <c r="Q413" s="35" t="s">
        <v>253</v>
      </c>
      <c r="R413" s="35" t="s">
        <v>253</v>
      </c>
      <c r="S413" s="35" t="s">
        <v>257</v>
      </c>
      <c r="T413" s="35" t="s">
        <v>253</v>
      </c>
      <c r="U413" s="35" t="s">
        <v>253</v>
      </c>
      <c r="V413" s="35" t="s">
        <v>253</v>
      </c>
      <c r="W413" s="35" t="s">
        <v>253</v>
      </c>
      <c r="X413" s="35" t="s">
        <v>663</v>
      </c>
      <c r="Y413" s="35" t="s">
        <v>664</v>
      </c>
    </row>
    <row r="414" spans="1:25" x14ac:dyDescent="0.2">
      <c r="A414" s="35">
        <v>454</v>
      </c>
      <c r="B414" s="35" t="s">
        <v>343</v>
      </c>
      <c r="C414" s="35" t="s">
        <v>64</v>
      </c>
      <c r="D414" s="35" t="s">
        <v>1971</v>
      </c>
      <c r="E414" s="35" t="s">
        <v>268</v>
      </c>
      <c r="F414" s="35" t="s">
        <v>537</v>
      </c>
      <c r="G414" s="35" t="s">
        <v>2024</v>
      </c>
      <c r="H414" s="35" t="s">
        <v>256</v>
      </c>
      <c r="I414" s="35">
        <v>1923</v>
      </c>
      <c r="J414" s="35">
        <v>908.40738133531602</v>
      </c>
      <c r="K414" s="35">
        <v>913.49134464404403</v>
      </c>
      <c r="L414" s="35">
        <v>-36.68</v>
      </c>
      <c r="M414" s="35">
        <v>4.34</v>
      </c>
      <c r="N414" s="35">
        <v>52</v>
      </c>
      <c r="O414" s="35" t="s">
        <v>538</v>
      </c>
      <c r="P414" s="35" t="s">
        <v>539</v>
      </c>
      <c r="Q414" s="35" t="s">
        <v>253</v>
      </c>
      <c r="R414" s="35" t="s">
        <v>253</v>
      </c>
      <c r="S414" s="35" t="s">
        <v>257</v>
      </c>
      <c r="T414" s="35" t="s">
        <v>253</v>
      </c>
      <c r="U414" s="35" t="s">
        <v>253</v>
      </c>
      <c r="V414" s="35" t="s">
        <v>253</v>
      </c>
      <c r="W414" s="35" t="s">
        <v>253</v>
      </c>
      <c r="X414" s="35" t="s">
        <v>843</v>
      </c>
      <c r="Y414" s="35" t="s">
        <v>844</v>
      </c>
    </row>
    <row r="415" spans="1:25" x14ac:dyDescent="0.2">
      <c r="A415" s="35">
        <v>462</v>
      </c>
      <c r="B415" s="35" t="s">
        <v>344</v>
      </c>
      <c r="C415" s="35" t="s">
        <v>58</v>
      </c>
      <c r="D415" s="35" t="s">
        <v>1977</v>
      </c>
      <c r="E415" s="35" t="s">
        <v>268</v>
      </c>
      <c r="F415" s="35" t="s">
        <v>537</v>
      </c>
      <c r="G415" s="35" t="s">
        <v>2015</v>
      </c>
      <c r="H415" s="35" t="s">
        <v>256</v>
      </c>
      <c r="I415" s="35">
        <v>18184</v>
      </c>
      <c r="J415" s="35">
        <v>227.5</v>
      </c>
      <c r="K415" s="35">
        <v>683.5</v>
      </c>
      <c r="L415" s="35">
        <v>-29.23</v>
      </c>
      <c r="M415" s="35">
        <v>-17.649999999999999</v>
      </c>
      <c r="N415" s="35">
        <v>82</v>
      </c>
      <c r="O415" s="35" t="s">
        <v>550</v>
      </c>
      <c r="P415" s="35" t="s">
        <v>551</v>
      </c>
      <c r="Q415" s="35" t="s">
        <v>253</v>
      </c>
      <c r="R415" s="35" t="s">
        <v>259</v>
      </c>
      <c r="S415" s="35" t="s">
        <v>253</v>
      </c>
      <c r="T415" s="35" t="s">
        <v>253</v>
      </c>
      <c r="U415" s="35" t="s">
        <v>258</v>
      </c>
      <c r="V415" s="35" t="s">
        <v>253</v>
      </c>
      <c r="W415" s="35" t="s">
        <v>253</v>
      </c>
      <c r="X415" s="35" t="s">
        <v>706</v>
      </c>
      <c r="Y415" s="35" t="s">
        <v>2043</v>
      </c>
    </row>
    <row r="416" spans="1:25" x14ac:dyDescent="0.2">
      <c r="A416" s="35">
        <v>464</v>
      </c>
      <c r="B416" s="35" t="s">
        <v>345</v>
      </c>
      <c r="C416" s="35" t="s">
        <v>64</v>
      </c>
      <c r="D416" s="35" t="s">
        <v>1971</v>
      </c>
      <c r="E416" s="35" t="s">
        <v>268</v>
      </c>
      <c r="F416" s="35" t="s">
        <v>537</v>
      </c>
      <c r="G416" s="35" t="s">
        <v>2024</v>
      </c>
      <c r="H416" s="35" t="s">
        <v>256</v>
      </c>
      <c r="I416" s="35">
        <v>9340</v>
      </c>
      <c r="J416" s="35">
        <v>940.88912672697199</v>
      </c>
      <c r="K416" s="35">
        <v>893.93223492648099</v>
      </c>
      <c r="L416" s="35">
        <v>-36.049999999999997</v>
      </c>
      <c r="M416" s="35">
        <v>5.39</v>
      </c>
      <c r="N416" s="35">
        <v>118</v>
      </c>
      <c r="O416" s="35" t="s">
        <v>542</v>
      </c>
      <c r="P416" s="35" t="s">
        <v>543</v>
      </c>
      <c r="Q416" s="35" t="s">
        <v>253</v>
      </c>
      <c r="R416" s="35" t="s">
        <v>253</v>
      </c>
      <c r="S416" s="35" t="s">
        <v>257</v>
      </c>
      <c r="T416" s="35" t="s">
        <v>253</v>
      </c>
      <c r="U416" s="35" t="s">
        <v>253</v>
      </c>
      <c r="V416" s="35" t="s">
        <v>253</v>
      </c>
      <c r="W416" s="35" t="s">
        <v>253</v>
      </c>
      <c r="X416" s="35" t="s">
        <v>845</v>
      </c>
      <c r="Y416" s="35" t="s">
        <v>846</v>
      </c>
    </row>
    <row r="417" spans="1:25" x14ac:dyDescent="0.2">
      <c r="A417" s="35">
        <v>492</v>
      </c>
      <c r="B417" s="35" t="s">
        <v>346</v>
      </c>
      <c r="C417" s="35" t="s">
        <v>64</v>
      </c>
      <c r="D417" s="35" t="s">
        <v>1971</v>
      </c>
      <c r="E417" s="35" t="s">
        <v>268</v>
      </c>
      <c r="F417" s="35" t="s">
        <v>537</v>
      </c>
      <c r="G417" s="35" t="s">
        <v>2024</v>
      </c>
      <c r="H417" s="35" t="s">
        <v>256</v>
      </c>
      <c r="I417" s="35">
        <v>23430</v>
      </c>
      <c r="J417" s="35">
        <v>776.04767467944703</v>
      </c>
      <c r="K417" s="35">
        <v>684.62056824748004</v>
      </c>
      <c r="L417" s="35">
        <v>-29.27</v>
      </c>
      <c r="M417" s="35">
        <v>7.0000000000000007E-2</v>
      </c>
      <c r="N417" s="35">
        <v>1736</v>
      </c>
      <c r="O417" s="35" t="s">
        <v>538</v>
      </c>
      <c r="P417" s="35" t="s">
        <v>539</v>
      </c>
      <c r="Q417" s="35" t="s">
        <v>253</v>
      </c>
      <c r="R417" s="35" t="s">
        <v>253</v>
      </c>
      <c r="S417" s="35" t="s">
        <v>257</v>
      </c>
      <c r="T417" s="35" t="s">
        <v>261</v>
      </c>
      <c r="U417" s="35" t="s">
        <v>258</v>
      </c>
      <c r="V417" s="35" t="s">
        <v>253</v>
      </c>
      <c r="W417" s="35" t="s">
        <v>253</v>
      </c>
      <c r="X417" s="35" t="s">
        <v>710</v>
      </c>
      <c r="Y417" s="35" t="s">
        <v>2044</v>
      </c>
    </row>
    <row r="418" spans="1:25" x14ac:dyDescent="0.2">
      <c r="A418" s="35">
        <v>493</v>
      </c>
      <c r="B418" s="35" t="s">
        <v>347</v>
      </c>
      <c r="C418" s="35" t="s">
        <v>64</v>
      </c>
      <c r="D418" s="35" t="s">
        <v>1971</v>
      </c>
      <c r="E418" s="35" t="s">
        <v>268</v>
      </c>
      <c r="F418" s="35" t="s">
        <v>537</v>
      </c>
      <c r="G418" s="35" t="s">
        <v>260</v>
      </c>
      <c r="H418" s="35" t="s">
        <v>256</v>
      </c>
      <c r="I418" s="35">
        <v>17058</v>
      </c>
      <c r="J418" s="35">
        <v>1091.5623878547101</v>
      </c>
      <c r="K418" s="35">
        <v>710.73830480565903</v>
      </c>
      <c r="L418" s="35">
        <v>-30.11</v>
      </c>
      <c r="M418" s="35">
        <v>10.26</v>
      </c>
      <c r="N418" s="35">
        <v>266</v>
      </c>
      <c r="O418" s="35" t="s">
        <v>554</v>
      </c>
      <c r="P418" s="35" t="s">
        <v>555</v>
      </c>
      <c r="Q418" s="35" t="s">
        <v>253</v>
      </c>
      <c r="R418" s="35" t="s">
        <v>253</v>
      </c>
      <c r="S418" s="35" t="s">
        <v>257</v>
      </c>
      <c r="T418" s="35" t="s">
        <v>253</v>
      </c>
      <c r="U418" s="35" t="s">
        <v>253</v>
      </c>
      <c r="V418" s="35" t="s">
        <v>253</v>
      </c>
      <c r="W418" s="35" t="s">
        <v>253</v>
      </c>
      <c r="X418" s="35" t="s">
        <v>694</v>
      </c>
      <c r="Y418" s="35" t="s">
        <v>695</v>
      </c>
    </row>
    <row r="419" spans="1:25" x14ac:dyDescent="0.2">
      <c r="A419" s="35">
        <v>494</v>
      </c>
      <c r="B419" s="35" t="s">
        <v>348</v>
      </c>
      <c r="C419" s="35" t="s">
        <v>64</v>
      </c>
      <c r="D419" s="35" t="s">
        <v>1971</v>
      </c>
      <c r="E419" s="35" t="s">
        <v>268</v>
      </c>
      <c r="F419" s="35" t="s">
        <v>537</v>
      </c>
      <c r="G419" s="35" t="s">
        <v>2024</v>
      </c>
      <c r="H419" s="35" t="s">
        <v>256</v>
      </c>
      <c r="I419" s="35">
        <v>17983</v>
      </c>
      <c r="J419" s="35">
        <v>906.53904846677301</v>
      </c>
      <c r="K419" s="35">
        <v>930.20903145736395</v>
      </c>
      <c r="L419" s="35">
        <v>-37.22</v>
      </c>
      <c r="M419" s="35">
        <v>4.28</v>
      </c>
      <c r="N419" s="35">
        <v>52</v>
      </c>
      <c r="O419" s="35" t="s">
        <v>538</v>
      </c>
      <c r="P419" s="35" t="s">
        <v>539</v>
      </c>
      <c r="Q419" s="35" t="s">
        <v>253</v>
      </c>
      <c r="R419" s="35" t="s">
        <v>253</v>
      </c>
      <c r="S419" s="35" t="s">
        <v>257</v>
      </c>
      <c r="T419" s="35" t="s">
        <v>253</v>
      </c>
      <c r="U419" s="35" t="s">
        <v>258</v>
      </c>
      <c r="V419" s="35" t="s">
        <v>253</v>
      </c>
      <c r="W419" s="35" t="s">
        <v>253</v>
      </c>
      <c r="X419" s="35" t="s">
        <v>847</v>
      </c>
      <c r="Y419" s="35" t="s">
        <v>848</v>
      </c>
    </row>
    <row r="420" spans="1:25" x14ac:dyDescent="0.2">
      <c r="A420" s="35">
        <v>504</v>
      </c>
      <c r="B420" s="35" t="s">
        <v>349</v>
      </c>
      <c r="C420" s="35" t="s">
        <v>64</v>
      </c>
      <c r="D420" s="35" t="s">
        <v>1971</v>
      </c>
      <c r="E420" s="35" t="s">
        <v>268</v>
      </c>
      <c r="F420" s="35" t="s">
        <v>537</v>
      </c>
      <c r="G420" s="35" t="s">
        <v>2024</v>
      </c>
      <c r="H420" s="35" t="s">
        <v>256</v>
      </c>
      <c r="I420" s="35">
        <v>3698</v>
      </c>
      <c r="J420" s="35">
        <v>879</v>
      </c>
      <c r="K420" s="35">
        <v>824</v>
      </c>
      <c r="L420" s="35">
        <v>-33.78</v>
      </c>
      <c r="M420" s="35">
        <v>3.39</v>
      </c>
      <c r="N420" s="35">
        <v>82</v>
      </c>
      <c r="O420" s="35" t="s">
        <v>554</v>
      </c>
      <c r="P420" s="35" t="s">
        <v>555</v>
      </c>
      <c r="Q420" s="35" t="s">
        <v>253</v>
      </c>
      <c r="R420" s="35" t="s">
        <v>259</v>
      </c>
      <c r="S420" s="35" t="s">
        <v>257</v>
      </c>
      <c r="T420" s="35" t="s">
        <v>253</v>
      </c>
      <c r="U420" s="35" t="s">
        <v>253</v>
      </c>
      <c r="V420" s="35" t="s">
        <v>253</v>
      </c>
      <c r="W420" s="35" t="s">
        <v>253</v>
      </c>
      <c r="X420" s="35" t="s">
        <v>742</v>
      </c>
      <c r="Y420" s="35" t="s">
        <v>743</v>
      </c>
    </row>
    <row r="421" spans="1:25" x14ac:dyDescent="0.2">
      <c r="A421" s="35">
        <v>522</v>
      </c>
      <c r="B421" s="35" t="s">
        <v>350</v>
      </c>
      <c r="C421" s="35" t="s">
        <v>64</v>
      </c>
      <c r="D421" s="35" t="s">
        <v>1971</v>
      </c>
      <c r="E421" s="35" t="s">
        <v>268</v>
      </c>
      <c r="F421" s="35" t="s">
        <v>537</v>
      </c>
      <c r="G421" s="35" t="s">
        <v>2024</v>
      </c>
      <c r="H421" s="35" t="s">
        <v>256</v>
      </c>
      <c r="I421" s="35">
        <v>1974</v>
      </c>
      <c r="J421" s="35">
        <v>741.17212779996999</v>
      </c>
      <c r="K421" s="35">
        <v>812.15374832628004</v>
      </c>
      <c r="L421" s="35">
        <v>-33.4</v>
      </c>
      <c r="M421" s="35">
        <v>-1.06</v>
      </c>
      <c r="N421" s="35">
        <v>840</v>
      </c>
      <c r="O421" s="35" t="s">
        <v>542</v>
      </c>
      <c r="P421" s="35" t="s">
        <v>543</v>
      </c>
      <c r="Q421" s="35" t="s">
        <v>253</v>
      </c>
      <c r="R421" s="35" t="s">
        <v>253</v>
      </c>
      <c r="S421" s="35" t="s">
        <v>253</v>
      </c>
      <c r="T421" s="35" t="s">
        <v>253</v>
      </c>
      <c r="U421" s="35" t="s">
        <v>258</v>
      </c>
      <c r="V421" s="35" t="s">
        <v>253</v>
      </c>
      <c r="W421" s="35" t="s">
        <v>253</v>
      </c>
      <c r="X421" s="35" t="s">
        <v>760</v>
      </c>
      <c r="Y421" s="35" t="s">
        <v>761</v>
      </c>
    </row>
    <row r="422" spans="1:25" x14ac:dyDescent="0.2">
      <c r="A422" s="35">
        <v>536</v>
      </c>
      <c r="B422" s="35" t="s">
        <v>351</v>
      </c>
      <c r="C422" s="35" t="s">
        <v>58</v>
      </c>
      <c r="D422" s="35" t="s">
        <v>1977</v>
      </c>
      <c r="E422" s="35" t="s">
        <v>268</v>
      </c>
      <c r="F422" s="35" t="s">
        <v>537</v>
      </c>
      <c r="G422" s="35" t="s">
        <v>2024</v>
      </c>
      <c r="H422" s="35" t="s">
        <v>256</v>
      </c>
      <c r="I422" s="35">
        <v>2083</v>
      </c>
      <c r="J422" s="35">
        <v>261.76959081216802</v>
      </c>
      <c r="K422" s="35">
        <v>594.14265672812405</v>
      </c>
      <c r="L422" s="35">
        <v>-26.34</v>
      </c>
      <c r="M422" s="35">
        <v>-16.54</v>
      </c>
      <c r="N422" s="35">
        <v>266</v>
      </c>
      <c r="O422" s="35" t="s">
        <v>568</v>
      </c>
      <c r="P422" s="35" t="s">
        <v>569</v>
      </c>
      <c r="Q422" s="35" t="s">
        <v>253</v>
      </c>
      <c r="R422" s="35" t="s">
        <v>253</v>
      </c>
      <c r="S422" s="35" t="s">
        <v>257</v>
      </c>
      <c r="T422" s="35" t="s">
        <v>253</v>
      </c>
      <c r="U422" s="35" t="s">
        <v>253</v>
      </c>
      <c r="V422" s="35" t="s">
        <v>253</v>
      </c>
      <c r="W422" s="35" t="s">
        <v>253</v>
      </c>
      <c r="X422" s="35" t="s">
        <v>752</v>
      </c>
      <c r="Y422" s="35" t="s">
        <v>2045</v>
      </c>
    </row>
    <row r="423" spans="1:25" x14ac:dyDescent="0.2">
      <c r="A423" s="35">
        <v>538</v>
      </c>
      <c r="B423" s="35" t="s">
        <v>352</v>
      </c>
      <c r="C423" s="35" t="s">
        <v>58</v>
      </c>
      <c r="D423" s="35" t="s">
        <v>1977</v>
      </c>
      <c r="E423" s="35" t="s">
        <v>268</v>
      </c>
      <c r="F423" s="35" t="s">
        <v>537</v>
      </c>
      <c r="G423" s="35" t="s">
        <v>2024</v>
      </c>
      <c r="H423" s="35" t="s">
        <v>256</v>
      </c>
      <c r="I423" s="35">
        <v>2159</v>
      </c>
      <c r="J423" s="35">
        <v>239.99183581320901</v>
      </c>
      <c r="K423" s="35">
        <v>738.121058410248</v>
      </c>
      <c r="L423" s="35">
        <v>-31</v>
      </c>
      <c r="M423" s="35">
        <v>-17.25</v>
      </c>
      <c r="N423" s="35">
        <v>266</v>
      </c>
      <c r="O423" s="35" t="s">
        <v>550</v>
      </c>
      <c r="P423" s="35" t="s">
        <v>551</v>
      </c>
      <c r="Q423" s="35" t="s">
        <v>253</v>
      </c>
      <c r="R423" s="35" t="s">
        <v>253</v>
      </c>
      <c r="S423" s="35" t="s">
        <v>257</v>
      </c>
      <c r="T423" s="35" t="s">
        <v>253</v>
      </c>
      <c r="U423" s="35" t="s">
        <v>253</v>
      </c>
      <c r="V423" s="35" t="s">
        <v>253</v>
      </c>
      <c r="W423" s="35" t="s">
        <v>253</v>
      </c>
      <c r="X423" s="35" t="s">
        <v>779</v>
      </c>
      <c r="Y423" s="35" t="s">
        <v>2046</v>
      </c>
    </row>
    <row r="424" spans="1:25" x14ac:dyDescent="0.2">
      <c r="A424" s="35">
        <v>541</v>
      </c>
      <c r="B424" s="35" t="s">
        <v>353</v>
      </c>
      <c r="C424" s="35" t="s">
        <v>50</v>
      </c>
      <c r="D424" s="35" t="s">
        <v>1973</v>
      </c>
      <c r="E424" s="35" t="s">
        <v>268</v>
      </c>
      <c r="F424" s="35" t="s">
        <v>537</v>
      </c>
      <c r="G424" s="35" t="s">
        <v>2024</v>
      </c>
      <c r="H424" s="35" t="s">
        <v>256</v>
      </c>
      <c r="I424" s="35">
        <v>13762</v>
      </c>
      <c r="J424" s="35">
        <v>598.01112174783395</v>
      </c>
      <c r="K424" s="35">
        <v>819.29622918831501</v>
      </c>
      <c r="L424" s="35">
        <v>-33.630000000000003</v>
      </c>
      <c r="M424" s="35">
        <v>-5.68</v>
      </c>
      <c r="N424" s="35">
        <v>161</v>
      </c>
      <c r="O424" s="35" t="s">
        <v>554</v>
      </c>
      <c r="P424" s="35" t="s">
        <v>555</v>
      </c>
      <c r="Q424" s="35" t="s">
        <v>253</v>
      </c>
      <c r="R424" s="35" t="s">
        <v>253</v>
      </c>
      <c r="S424" s="35" t="s">
        <v>257</v>
      </c>
      <c r="T424" s="35" t="s">
        <v>261</v>
      </c>
      <c r="U424" s="35" t="s">
        <v>253</v>
      </c>
      <c r="V424" s="35" t="s">
        <v>253</v>
      </c>
      <c r="W424" s="35" t="s">
        <v>253</v>
      </c>
      <c r="X424" s="35" t="s">
        <v>813</v>
      </c>
      <c r="Y424" s="35" t="s">
        <v>814</v>
      </c>
    </row>
    <row r="425" spans="1:25" x14ac:dyDescent="0.2">
      <c r="A425" s="35">
        <v>542</v>
      </c>
      <c r="B425" s="35" t="s">
        <v>354</v>
      </c>
      <c r="C425" s="35" t="s">
        <v>64</v>
      </c>
      <c r="D425" s="35" t="s">
        <v>1971</v>
      </c>
      <c r="E425" s="35" t="s">
        <v>268</v>
      </c>
      <c r="F425" s="35" t="s">
        <v>537</v>
      </c>
      <c r="G425" s="35" t="s">
        <v>2024</v>
      </c>
      <c r="H425" s="35" t="s">
        <v>256</v>
      </c>
      <c r="I425" s="35">
        <v>10379</v>
      </c>
      <c r="J425" s="35">
        <v>991.97635360120501</v>
      </c>
      <c r="K425" s="35">
        <v>858.20036881558804</v>
      </c>
      <c r="L425" s="35">
        <v>-34.89</v>
      </c>
      <c r="M425" s="35">
        <v>7.04</v>
      </c>
      <c r="N425" s="35">
        <v>82</v>
      </c>
      <c r="O425" s="35" t="s">
        <v>542</v>
      </c>
      <c r="P425" s="35" t="s">
        <v>543</v>
      </c>
      <c r="Q425" s="35" t="s">
        <v>253</v>
      </c>
      <c r="R425" s="35" t="s">
        <v>253</v>
      </c>
      <c r="S425" s="35" t="s">
        <v>257</v>
      </c>
      <c r="T425" s="35" t="s">
        <v>261</v>
      </c>
      <c r="U425" s="35" t="s">
        <v>253</v>
      </c>
      <c r="V425" s="35" t="s">
        <v>253</v>
      </c>
      <c r="W425" s="35" t="s">
        <v>253</v>
      </c>
      <c r="X425" s="35" t="s">
        <v>744</v>
      </c>
      <c r="Y425" s="35" t="s">
        <v>745</v>
      </c>
    </row>
    <row r="426" spans="1:25" x14ac:dyDescent="0.2">
      <c r="A426" s="35">
        <v>543</v>
      </c>
      <c r="B426" s="35" t="s">
        <v>355</v>
      </c>
      <c r="C426" s="35" t="s">
        <v>61</v>
      </c>
      <c r="D426" s="35" t="s">
        <v>1976</v>
      </c>
      <c r="E426" s="35" t="s">
        <v>268</v>
      </c>
      <c r="F426" s="35" t="s">
        <v>537</v>
      </c>
      <c r="G426" s="35" t="s">
        <v>2015</v>
      </c>
      <c r="H426" s="35" t="s">
        <v>256</v>
      </c>
      <c r="I426" s="35">
        <v>25544</v>
      </c>
      <c r="J426" s="35">
        <v>402.28379196720101</v>
      </c>
      <c r="K426" s="35">
        <v>892.64775607935701</v>
      </c>
      <c r="L426" s="35">
        <v>-36</v>
      </c>
      <c r="M426" s="35">
        <v>-12.01</v>
      </c>
      <c r="N426" s="35">
        <v>118</v>
      </c>
      <c r="O426" s="35" t="s">
        <v>542</v>
      </c>
      <c r="P426" s="35" t="s">
        <v>543</v>
      </c>
      <c r="Q426" s="35" t="s">
        <v>253</v>
      </c>
      <c r="R426" s="35" t="s">
        <v>253</v>
      </c>
      <c r="S426" s="35" t="s">
        <v>257</v>
      </c>
      <c r="T426" s="35" t="s">
        <v>261</v>
      </c>
      <c r="U426" s="35" t="s">
        <v>253</v>
      </c>
      <c r="V426" s="35" t="s">
        <v>297</v>
      </c>
      <c r="W426" s="35" t="s">
        <v>266</v>
      </c>
      <c r="X426" s="35" t="s">
        <v>625</v>
      </c>
      <c r="Y426" s="35" t="s">
        <v>626</v>
      </c>
    </row>
    <row r="427" spans="1:25" x14ac:dyDescent="0.2">
      <c r="A427" s="35">
        <v>544</v>
      </c>
      <c r="B427" s="35" t="s">
        <v>356</v>
      </c>
      <c r="C427" s="35" t="s">
        <v>61</v>
      </c>
      <c r="D427" s="35" t="s">
        <v>1976</v>
      </c>
      <c r="E427" s="35" t="s">
        <v>268</v>
      </c>
      <c r="F427" s="35" t="s">
        <v>537</v>
      </c>
      <c r="G427" s="35" t="s">
        <v>2015</v>
      </c>
      <c r="H427" s="35" t="s">
        <v>256</v>
      </c>
      <c r="I427" s="35">
        <v>12339</v>
      </c>
      <c r="J427" s="35">
        <v>293.5</v>
      </c>
      <c r="K427" s="35">
        <v>939</v>
      </c>
      <c r="L427" s="35">
        <v>-37.51</v>
      </c>
      <c r="M427" s="35">
        <v>-15.52</v>
      </c>
      <c r="N427" s="35">
        <v>52</v>
      </c>
      <c r="O427" s="35" t="s">
        <v>538</v>
      </c>
      <c r="P427" s="35" t="s">
        <v>539</v>
      </c>
      <c r="Q427" s="35" t="s">
        <v>253</v>
      </c>
      <c r="R427" s="35" t="s">
        <v>259</v>
      </c>
      <c r="S427" s="35" t="s">
        <v>257</v>
      </c>
      <c r="T427" s="35" t="s">
        <v>253</v>
      </c>
      <c r="U427" s="35" t="s">
        <v>258</v>
      </c>
      <c r="V427" s="35" t="s">
        <v>253</v>
      </c>
      <c r="W427" s="35" t="s">
        <v>253</v>
      </c>
      <c r="X427" s="35" t="s">
        <v>627</v>
      </c>
      <c r="Y427" s="35" t="s">
        <v>628</v>
      </c>
    </row>
    <row r="428" spans="1:25" x14ac:dyDescent="0.2">
      <c r="A428" s="35">
        <v>563</v>
      </c>
      <c r="B428" s="35" t="s">
        <v>357</v>
      </c>
      <c r="C428" s="35" t="s">
        <v>61</v>
      </c>
      <c r="D428" s="35" t="s">
        <v>1976</v>
      </c>
      <c r="E428" s="35" t="s">
        <v>268</v>
      </c>
      <c r="F428" s="35" t="s">
        <v>537</v>
      </c>
      <c r="G428" s="35" t="s">
        <v>2024</v>
      </c>
      <c r="H428" s="35" t="s">
        <v>256</v>
      </c>
      <c r="I428" s="35">
        <v>11612</v>
      </c>
      <c r="J428" s="35">
        <v>386.71435139600601</v>
      </c>
      <c r="K428" s="35">
        <v>700.55978303224094</v>
      </c>
      <c r="L428" s="35">
        <v>-29.78</v>
      </c>
      <c r="M428" s="35">
        <v>-12.51</v>
      </c>
      <c r="N428" s="35">
        <v>328</v>
      </c>
      <c r="O428" s="35" t="s">
        <v>550</v>
      </c>
      <c r="P428" s="35" t="s">
        <v>551</v>
      </c>
      <c r="Q428" s="35" t="s">
        <v>253</v>
      </c>
      <c r="R428" s="35" t="s">
        <v>253</v>
      </c>
      <c r="S428" s="35" t="s">
        <v>253</v>
      </c>
      <c r="T428" s="35" t="s">
        <v>253</v>
      </c>
      <c r="U428" s="35" t="s">
        <v>258</v>
      </c>
      <c r="V428" s="35" t="s">
        <v>253</v>
      </c>
      <c r="W428" s="35" t="s">
        <v>253</v>
      </c>
      <c r="X428" s="35" t="s">
        <v>805</v>
      </c>
      <c r="Y428" s="35" t="s">
        <v>806</v>
      </c>
    </row>
    <row r="429" spans="1:25" x14ac:dyDescent="0.2">
      <c r="A429" s="35">
        <v>564</v>
      </c>
      <c r="B429" s="35" t="s">
        <v>358</v>
      </c>
      <c r="C429" s="35" t="s">
        <v>44</v>
      </c>
      <c r="D429" s="35" t="s">
        <v>1974</v>
      </c>
      <c r="E429" s="35" t="s">
        <v>268</v>
      </c>
      <c r="F429" s="35" t="s">
        <v>537</v>
      </c>
      <c r="G429" s="35" t="s">
        <v>2024</v>
      </c>
      <c r="H429" s="35" t="s">
        <v>256</v>
      </c>
      <c r="I429" s="35">
        <v>16032</v>
      </c>
      <c r="J429" s="35">
        <v>513.19659423625001</v>
      </c>
      <c r="K429" s="35">
        <v>699.37261318868696</v>
      </c>
      <c r="L429" s="35">
        <v>-29.75</v>
      </c>
      <c r="M429" s="35">
        <v>-8.42</v>
      </c>
      <c r="N429" s="35">
        <v>1063</v>
      </c>
      <c r="O429" s="35" t="s">
        <v>542</v>
      </c>
      <c r="P429" s="35" t="s">
        <v>543</v>
      </c>
      <c r="Q429" s="35" t="s">
        <v>253</v>
      </c>
      <c r="R429" s="35" t="s">
        <v>253</v>
      </c>
      <c r="S429" s="35" t="s">
        <v>257</v>
      </c>
      <c r="T429" s="35" t="s">
        <v>253</v>
      </c>
      <c r="U429" s="35" t="s">
        <v>253</v>
      </c>
      <c r="V429" s="35" t="s">
        <v>253</v>
      </c>
      <c r="W429" s="35" t="s">
        <v>253</v>
      </c>
      <c r="X429" s="35" t="s">
        <v>837</v>
      </c>
      <c r="Y429" s="35" t="s">
        <v>838</v>
      </c>
    </row>
    <row r="430" spans="1:25" x14ac:dyDescent="0.2">
      <c r="A430" s="35">
        <v>581</v>
      </c>
      <c r="B430" s="35" t="s">
        <v>359</v>
      </c>
      <c r="C430" s="35" t="s">
        <v>58</v>
      </c>
      <c r="D430" s="35" t="s">
        <v>1977</v>
      </c>
      <c r="E430" s="35" t="s">
        <v>268</v>
      </c>
      <c r="F430" s="35" t="s">
        <v>537</v>
      </c>
      <c r="G430" s="35" t="s">
        <v>2024</v>
      </c>
      <c r="H430" s="35" t="s">
        <v>256</v>
      </c>
      <c r="I430" s="35">
        <v>25350</v>
      </c>
      <c r="J430" s="35">
        <v>357.44380312215998</v>
      </c>
      <c r="K430" s="35">
        <v>607.35721941292604</v>
      </c>
      <c r="L430" s="35">
        <v>-26.77</v>
      </c>
      <c r="M430" s="35">
        <v>-13.45</v>
      </c>
      <c r="N430" s="35">
        <v>118</v>
      </c>
      <c r="O430" s="35" t="s">
        <v>568</v>
      </c>
      <c r="P430" s="35" t="s">
        <v>569</v>
      </c>
      <c r="Q430" s="35" t="s">
        <v>253</v>
      </c>
      <c r="R430" s="35" t="s">
        <v>253</v>
      </c>
      <c r="S430" s="35" t="s">
        <v>253</v>
      </c>
      <c r="T430" s="35" t="s">
        <v>261</v>
      </c>
      <c r="U430" s="35" t="s">
        <v>258</v>
      </c>
      <c r="V430" s="35" t="s">
        <v>253</v>
      </c>
      <c r="W430" s="35" t="s">
        <v>253</v>
      </c>
      <c r="X430" s="35" t="s">
        <v>570</v>
      </c>
      <c r="Y430" s="35" t="s">
        <v>571</v>
      </c>
    </row>
    <row r="431" spans="1:25" x14ac:dyDescent="0.2">
      <c r="A431" s="35">
        <v>583</v>
      </c>
      <c r="B431" s="35" t="s">
        <v>360</v>
      </c>
      <c r="C431" s="35" t="s">
        <v>50</v>
      </c>
      <c r="D431" s="35" t="s">
        <v>1973</v>
      </c>
      <c r="E431" s="35" t="s">
        <v>268</v>
      </c>
      <c r="F431" s="35" t="s">
        <v>537</v>
      </c>
      <c r="G431" s="35" t="s">
        <v>2024</v>
      </c>
      <c r="H431" s="35" t="s">
        <v>256</v>
      </c>
      <c r="I431" s="35">
        <v>33357</v>
      </c>
      <c r="J431" s="35">
        <v>565.35422014975302</v>
      </c>
      <c r="K431" s="35">
        <v>822.52688810683799</v>
      </c>
      <c r="L431" s="35">
        <v>-33.729999999999997</v>
      </c>
      <c r="M431" s="35">
        <v>-6.74</v>
      </c>
      <c r="N431" s="35">
        <v>118</v>
      </c>
      <c r="O431" s="35" t="s">
        <v>554</v>
      </c>
      <c r="P431" s="35" t="s">
        <v>555</v>
      </c>
      <c r="Q431" s="35" t="s">
        <v>253</v>
      </c>
      <c r="R431" s="35" t="s">
        <v>253</v>
      </c>
      <c r="S431" s="35" t="s">
        <v>257</v>
      </c>
      <c r="T431" s="35" t="s">
        <v>261</v>
      </c>
      <c r="U431" s="35" t="s">
        <v>258</v>
      </c>
      <c r="V431" s="35" t="s">
        <v>253</v>
      </c>
      <c r="W431" s="35" t="s">
        <v>266</v>
      </c>
      <c r="X431" s="35" t="s">
        <v>580</v>
      </c>
      <c r="Y431" s="35" t="s">
        <v>581</v>
      </c>
    </row>
    <row r="432" spans="1:25" x14ac:dyDescent="0.2">
      <c r="A432" s="35">
        <v>584</v>
      </c>
      <c r="B432" s="35" t="s">
        <v>361</v>
      </c>
      <c r="C432" s="35" t="s">
        <v>61</v>
      </c>
      <c r="D432" s="35" t="s">
        <v>1976</v>
      </c>
      <c r="E432" s="35" t="s">
        <v>268</v>
      </c>
      <c r="F432" s="35" t="s">
        <v>537</v>
      </c>
      <c r="G432" s="35" t="s">
        <v>2024</v>
      </c>
      <c r="H432" s="35" t="s">
        <v>256</v>
      </c>
      <c r="I432" s="35">
        <v>6268</v>
      </c>
      <c r="J432" s="35">
        <v>326.36330738191202</v>
      </c>
      <c r="K432" s="35">
        <v>827.606418093191</v>
      </c>
      <c r="L432" s="35">
        <v>-33.9</v>
      </c>
      <c r="M432" s="35">
        <v>-14.46</v>
      </c>
      <c r="N432" s="35">
        <v>554</v>
      </c>
      <c r="O432" s="35" t="s">
        <v>538</v>
      </c>
      <c r="P432" s="35" t="s">
        <v>539</v>
      </c>
      <c r="Q432" s="35" t="s">
        <v>253</v>
      </c>
      <c r="R432" s="35" t="s">
        <v>253</v>
      </c>
      <c r="S432" s="35" t="s">
        <v>253</v>
      </c>
      <c r="T432" s="35" t="s">
        <v>253</v>
      </c>
      <c r="U432" s="35" t="s">
        <v>253</v>
      </c>
      <c r="V432" s="35" t="s">
        <v>253</v>
      </c>
      <c r="W432" s="35" t="s">
        <v>253</v>
      </c>
      <c r="X432" s="35" t="s">
        <v>865</v>
      </c>
      <c r="Y432" s="35" t="s">
        <v>866</v>
      </c>
    </row>
    <row r="433" spans="1:25" x14ac:dyDescent="0.2">
      <c r="A433" s="35">
        <v>587</v>
      </c>
      <c r="B433" s="35" t="s">
        <v>362</v>
      </c>
      <c r="C433" s="35" t="s">
        <v>61</v>
      </c>
      <c r="D433" s="35" t="s">
        <v>1976</v>
      </c>
      <c r="E433" s="35" t="s">
        <v>268</v>
      </c>
      <c r="F433" s="35" t="s">
        <v>537</v>
      </c>
      <c r="G433" s="35" t="s">
        <v>2015</v>
      </c>
      <c r="H433" s="35" t="s">
        <v>256</v>
      </c>
      <c r="I433" s="35">
        <v>4459</v>
      </c>
      <c r="J433" s="35">
        <v>309.022842945744</v>
      </c>
      <c r="K433" s="35">
        <v>901.38610459994004</v>
      </c>
      <c r="L433" s="35">
        <v>-36.29</v>
      </c>
      <c r="M433" s="35">
        <v>-15.02</v>
      </c>
      <c r="N433" s="35">
        <v>82</v>
      </c>
      <c r="O433" s="35" t="s">
        <v>542</v>
      </c>
      <c r="P433" s="35" t="s">
        <v>543</v>
      </c>
      <c r="Q433" s="35" t="s">
        <v>253</v>
      </c>
      <c r="R433" s="35" t="s">
        <v>253</v>
      </c>
      <c r="S433" s="35" t="s">
        <v>253</v>
      </c>
      <c r="T433" s="35" t="s">
        <v>253</v>
      </c>
      <c r="U433" s="35" t="s">
        <v>258</v>
      </c>
      <c r="V433" s="35" t="s">
        <v>253</v>
      </c>
      <c r="W433" s="35" t="s">
        <v>253</v>
      </c>
      <c r="X433" s="35" t="s">
        <v>867</v>
      </c>
      <c r="Y433" s="35" t="s">
        <v>868</v>
      </c>
    </row>
    <row r="434" spans="1:25" x14ac:dyDescent="0.2">
      <c r="A434" s="35">
        <v>603</v>
      </c>
      <c r="B434" s="35" t="s">
        <v>363</v>
      </c>
      <c r="C434" s="35" t="s">
        <v>50</v>
      </c>
      <c r="D434" s="35" t="s">
        <v>1973</v>
      </c>
      <c r="E434" s="35" t="s">
        <v>268</v>
      </c>
      <c r="F434" s="35" t="s">
        <v>537</v>
      </c>
      <c r="G434" s="35" t="s">
        <v>2024</v>
      </c>
      <c r="H434" s="35" t="s">
        <v>256</v>
      </c>
      <c r="I434" s="35">
        <v>2675</v>
      </c>
      <c r="J434" s="35">
        <v>633.78191146015399</v>
      </c>
      <c r="K434" s="35">
        <v>839.92573794514897</v>
      </c>
      <c r="L434" s="35">
        <v>-34.299999999999997</v>
      </c>
      <c r="M434" s="35">
        <v>-4.53</v>
      </c>
      <c r="N434" s="35">
        <v>161</v>
      </c>
      <c r="O434" s="35" t="s">
        <v>542</v>
      </c>
      <c r="P434" s="35" t="s">
        <v>543</v>
      </c>
      <c r="Q434" s="35" t="s">
        <v>253</v>
      </c>
      <c r="R434" s="35" t="s">
        <v>253</v>
      </c>
      <c r="S434" s="35" t="s">
        <v>257</v>
      </c>
      <c r="T434" s="35" t="s">
        <v>253</v>
      </c>
      <c r="U434" s="35" t="s">
        <v>253</v>
      </c>
      <c r="V434" s="35" t="s">
        <v>253</v>
      </c>
      <c r="W434" s="35" t="s">
        <v>253</v>
      </c>
      <c r="X434" s="35" t="s">
        <v>665</v>
      </c>
      <c r="Y434" s="35" t="s">
        <v>2047</v>
      </c>
    </row>
    <row r="435" spans="1:25" x14ac:dyDescent="0.2">
      <c r="A435" s="35">
        <v>604</v>
      </c>
      <c r="B435" s="35" t="s">
        <v>364</v>
      </c>
      <c r="C435" s="35" t="s">
        <v>61</v>
      </c>
      <c r="D435" s="35" t="s">
        <v>1976</v>
      </c>
      <c r="E435" s="35" t="s">
        <v>268</v>
      </c>
      <c r="F435" s="35" t="s">
        <v>537</v>
      </c>
      <c r="G435" s="35" t="s">
        <v>2024</v>
      </c>
      <c r="H435" s="35" t="s">
        <v>256</v>
      </c>
      <c r="I435" s="35">
        <v>1954</v>
      </c>
      <c r="J435" s="35">
        <v>405.02790586787398</v>
      </c>
      <c r="K435" s="35">
        <v>850.27941592499303</v>
      </c>
      <c r="L435" s="35">
        <v>-34.630000000000003</v>
      </c>
      <c r="M435" s="35">
        <v>-11.92</v>
      </c>
      <c r="N435" s="35">
        <v>210</v>
      </c>
      <c r="O435" s="35" t="s">
        <v>542</v>
      </c>
      <c r="P435" s="35" t="s">
        <v>543</v>
      </c>
      <c r="Q435" s="35" t="s">
        <v>253</v>
      </c>
      <c r="R435" s="35" t="s">
        <v>253</v>
      </c>
      <c r="S435" s="35" t="s">
        <v>257</v>
      </c>
      <c r="T435" s="35" t="s">
        <v>253</v>
      </c>
      <c r="U435" s="35" t="s">
        <v>258</v>
      </c>
      <c r="V435" s="35" t="s">
        <v>253</v>
      </c>
      <c r="W435" s="35" t="s">
        <v>253</v>
      </c>
      <c r="X435" s="35" t="s">
        <v>629</v>
      </c>
      <c r="Y435" s="35" t="s">
        <v>630</v>
      </c>
    </row>
    <row r="436" spans="1:25" x14ac:dyDescent="0.2">
      <c r="A436" s="35">
        <v>620</v>
      </c>
      <c r="B436" s="35" t="s">
        <v>365</v>
      </c>
      <c r="C436" s="35" t="s">
        <v>58</v>
      </c>
      <c r="D436" s="35" t="s">
        <v>1977</v>
      </c>
      <c r="E436" s="35" t="s">
        <v>268</v>
      </c>
      <c r="F436" s="35" t="s">
        <v>537</v>
      </c>
      <c r="G436" s="35" t="s">
        <v>2024</v>
      </c>
      <c r="H436" s="35" t="s">
        <v>256</v>
      </c>
      <c r="I436" s="35">
        <v>53796</v>
      </c>
      <c r="J436" s="35">
        <v>366.25</v>
      </c>
      <c r="K436" s="35">
        <v>659.25</v>
      </c>
      <c r="L436" s="35">
        <v>-28.45</v>
      </c>
      <c r="M436" s="35">
        <v>-13.17</v>
      </c>
      <c r="N436" s="35">
        <v>118</v>
      </c>
      <c r="O436" s="35" t="s">
        <v>564</v>
      </c>
      <c r="P436" s="35" t="s">
        <v>565</v>
      </c>
      <c r="Q436" s="35" t="s">
        <v>253</v>
      </c>
      <c r="R436" s="35" t="s">
        <v>259</v>
      </c>
      <c r="S436" s="35" t="s">
        <v>257</v>
      </c>
      <c r="T436" s="35" t="s">
        <v>253</v>
      </c>
      <c r="U436" s="35" t="s">
        <v>258</v>
      </c>
      <c r="V436" s="35" t="s">
        <v>253</v>
      </c>
      <c r="W436" s="35" t="s">
        <v>253</v>
      </c>
      <c r="X436" s="35" t="s">
        <v>572</v>
      </c>
      <c r="Y436" s="35" t="s">
        <v>573</v>
      </c>
    </row>
    <row r="437" spans="1:25" x14ac:dyDescent="0.2">
      <c r="A437" s="35">
        <v>624</v>
      </c>
      <c r="B437" s="35" t="s">
        <v>366</v>
      </c>
      <c r="C437" s="35" t="s">
        <v>64</v>
      </c>
      <c r="D437" s="35" t="s">
        <v>1971</v>
      </c>
      <c r="E437" s="35" t="s">
        <v>268</v>
      </c>
      <c r="F437" s="35" t="s">
        <v>537</v>
      </c>
      <c r="G437" s="35" t="s">
        <v>2024</v>
      </c>
      <c r="H437" s="35" t="s">
        <v>256</v>
      </c>
      <c r="I437" s="35">
        <v>16602</v>
      </c>
      <c r="J437" s="35">
        <v>733.56256372079895</v>
      </c>
      <c r="K437" s="35">
        <v>843.21478226581303</v>
      </c>
      <c r="L437" s="35">
        <v>-34.4</v>
      </c>
      <c r="M437" s="35">
        <v>-1.31</v>
      </c>
      <c r="N437" s="35">
        <v>397</v>
      </c>
      <c r="O437" s="35" t="s">
        <v>538</v>
      </c>
      <c r="P437" s="35" t="s">
        <v>539</v>
      </c>
      <c r="Q437" s="35" t="s">
        <v>253</v>
      </c>
      <c r="R437" s="35" t="s">
        <v>253</v>
      </c>
      <c r="S437" s="35" t="s">
        <v>257</v>
      </c>
      <c r="T437" s="35" t="s">
        <v>253</v>
      </c>
      <c r="U437" s="35" t="s">
        <v>258</v>
      </c>
      <c r="V437" s="35" t="s">
        <v>253</v>
      </c>
      <c r="W437" s="35" t="s">
        <v>253</v>
      </c>
      <c r="X437" s="35" t="s">
        <v>762</v>
      </c>
      <c r="Y437" s="35" t="s">
        <v>763</v>
      </c>
    </row>
    <row r="438" spans="1:25" x14ac:dyDescent="0.2">
      <c r="A438" s="35">
        <v>625</v>
      </c>
      <c r="B438" s="35" t="s">
        <v>367</v>
      </c>
      <c r="C438" s="35" t="s">
        <v>61</v>
      </c>
      <c r="D438" s="35" t="s">
        <v>1976</v>
      </c>
      <c r="E438" s="35" t="s">
        <v>268</v>
      </c>
      <c r="F438" s="35" t="s">
        <v>537</v>
      </c>
      <c r="G438" s="35" t="s">
        <v>2015</v>
      </c>
      <c r="H438" s="35" t="s">
        <v>256</v>
      </c>
      <c r="I438" s="35">
        <v>4974</v>
      </c>
      <c r="J438" s="35">
        <v>411.54760910706199</v>
      </c>
      <c r="K438" s="35">
        <v>859.660003869138</v>
      </c>
      <c r="L438" s="35">
        <v>-34.94</v>
      </c>
      <c r="M438" s="35">
        <v>-11.71</v>
      </c>
      <c r="N438" s="35">
        <v>30</v>
      </c>
      <c r="O438" s="35" t="s">
        <v>542</v>
      </c>
      <c r="P438" s="35" t="s">
        <v>543</v>
      </c>
      <c r="Q438" s="35" t="s">
        <v>253</v>
      </c>
      <c r="R438" s="35" t="s">
        <v>253</v>
      </c>
      <c r="S438" s="35" t="s">
        <v>253</v>
      </c>
      <c r="T438" s="35" t="s">
        <v>261</v>
      </c>
      <c r="U438" s="35" t="s">
        <v>253</v>
      </c>
      <c r="V438" s="35" t="s">
        <v>253</v>
      </c>
      <c r="W438" s="35" t="s">
        <v>253</v>
      </c>
      <c r="X438" s="35" t="s">
        <v>631</v>
      </c>
      <c r="Y438" s="35" t="s">
        <v>632</v>
      </c>
    </row>
    <row r="439" spans="1:25" x14ac:dyDescent="0.2">
      <c r="A439" s="35">
        <v>646</v>
      </c>
      <c r="B439" s="35" t="s">
        <v>368</v>
      </c>
      <c r="C439" s="35" t="s">
        <v>64</v>
      </c>
      <c r="D439" s="35" t="s">
        <v>1971</v>
      </c>
      <c r="E439" s="35" t="s">
        <v>268</v>
      </c>
      <c r="F439" s="35" t="s">
        <v>537</v>
      </c>
      <c r="G439" s="35" t="s">
        <v>2024</v>
      </c>
      <c r="H439" s="35" t="s">
        <v>256</v>
      </c>
      <c r="I439" s="35">
        <v>13225</v>
      </c>
      <c r="J439" s="35">
        <v>843.13250174058203</v>
      </c>
      <c r="K439" s="35">
        <v>784.40122050812499</v>
      </c>
      <c r="L439" s="35">
        <v>-32.5</v>
      </c>
      <c r="M439" s="35">
        <v>2.23</v>
      </c>
      <c r="N439" s="35">
        <v>266</v>
      </c>
      <c r="O439" s="35" t="s">
        <v>542</v>
      </c>
      <c r="P439" s="35" t="s">
        <v>543</v>
      </c>
      <c r="Q439" s="35" t="s">
        <v>253</v>
      </c>
      <c r="R439" s="35" t="s">
        <v>253</v>
      </c>
      <c r="S439" s="35" t="s">
        <v>253</v>
      </c>
      <c r="T439" s="35" t="s">
        <v>253</v>
      </c>
      <c r="U439" s="35" t="s">
        <v>253</v>
      </c>
      <c r="V439" s="35" t="s">
        <v>253</v>
      </c>
      <c r="W439" s="35" t="s">
        <v>253</v>
      </c>
      <c r="X439" s="35" t="s">
        <v>775</v>
      </c>
      <c r="Y439" s="35" t="s">
        <v>776</v>
      </c>
    </row>
    <row r="440" spans="1:25" x14ac:dyDescent="0.2">
      <c r="A440" s="35">
        <v>647</v>
      </c>
      <c r="B440" s="35" t="s">
        <v>369</v>
      </c>
      <c r="C440" s="35" t="s">
        <v>61</v>
      </c>
      <c r="D440" s="35" t="s">
        <v>1976</v>
      </c>
      <c r="E440" s="35" t="s">
        <v>268</v>
      </c>
      <c r="F440" s="35" t="s">
        <v>537</v>
      </c>
      <c r="G440" s="35" t="s">
        <v>2024</v>
      </c>
      <c r="H440" s="35" t="s">
        <v>256</v>
      </c>
      <c r="I440" s="35">
        <v>17676</v>
      </c>
      <c r="J440" s="35">
        <v>354.174220602209</v>
      </c>
      <c r="K440" s="35">
        <v>829.08551494745404</v>
      </c>
      <c r="L440" s="35">
        <v>-33.950000000000003</v>
      </c>
      <c r="M440" s="35">
        <v>-13.56</v>
      </c>
      <c r="N440" s="35">
        <v>161</v>
      </c>
      <c r="O440" s="35" t="s">
        <v>542</v>
      </c>
      <c r="P440" s="35" t="s">
        <v>543</v>
      </c>
      <c r="Q440" s="35" t="s">
        <v>253</v>
      </c>
      <c r="R440" s="35" t="s">
        <v>253</v>
      </c>
      <c r="S440" s="35" t="s">
        <v>253</v>
      </c>
      <c r="T440" s="35" t="s">
        <v>261</v>
      </c>
      <c r="U440" s="35" t="s">
        <v>253</v>
      </c>
      <c r="V440" s="35" t="s">
        <v>253</v>
      </c>
      <c r="W440" s="35" t="s">
        <v>253</v>
      </c>
      <c r="X440" s="35" t="s">
        <v>633</v>
      </c>
      <c r="Y440" s="35" t="s">
        <v>634</v>
      </c>
    </row>
    <row r="441" spans="1:25" x14ac:dyDescent="0.2">
      <c r="A441" s="35">
        <v>658</v>
      </c>
      <c r="B441" s="35" t="s">
        <v>370</v>
      </c>
      <c r="C441" s="35" t="s">
        <v>44</v>
      </c>
      <c r="D441" s="35" t="s">
        <v>1974</v>
      </c>
      <c r="E441" s="35" t="s">
        <v>268</v>
      </c>
      <c r="F441" s="35" t="s">
        <v>537</v>
      </c>
      <c r="G441" s="35" t="s">
        <v>2015</v>
      </c>
      <c r="H441" s="35" t="s">
        <v>256</v>
      </c>
      <c r="I441" s="35">
        <v>1958</v>
      </c>
      <c r="J441" s="35">
        <v>410.12689765494099</v>
      </c>
      <c r="K441" s="35">
        <v>528.28392311197001</v>
      </c>
      <c r="L441" s="35">
        <v>-24.21</v>
      </c>
      <c r="M441" s="35">
        <v>-11.75</v>
      </c>
      <c r="N441" s="35">
        <v>82</v>
      </c>
      <c r="O441" s="35" t="s">
        <v>602</v>
      </c>
      <c r="P441" s="35" t="s">
        <v>603</v>
      </c>
      <c r="Q441" s="35" t="s">
        <v>253</v>
      </c>
      <c r="R441" s="35" t="s">
        <v>253</v>
      </c>
      <c r="S441" s="35" t="s">
        <v>253</v>
      </c>
      <c r="T441" s="35" t="s">
        <v>261</v>
      </c>
      <c r="U441" s="35" t="s">
        <v>258</v>
      </c>
      <c r="V441" s="35" t="s">
        <v>253</v>
      </c>
      <c r="W441" s="35" t="s">
        <v>253</v>
      </c>
      <c r="X441" s="35" t="s">
        <v>604</v>
      </c>
      <c r="Y441" s="35" t="s">
        <v>605</v>
      </c>
    </row>
    <row r="442" spans="1:25" x14ac:dyDescent="0.2">
      <c r="A442" s="35">
        <v>660</v>
      </c>
      <c r="B442" s="35" t="s">
        <v>371</v>
      </c>
      <c r="C442" s="35" t="s">
        <v>64</v>
      </c>
      <c r="D442" s="35" t="s">
        <v>1971</v>
      </c>
      <c r="E442" s="35" t="s">
        <v>268</v>
      </c>
      <c r="F442" s="35" t="s">
        <v>537</v>
      </c>
      <c r="G442" s="35" t="s">
        <v>260</v>
      </c>
      <c r="H442" s="35" t="s">
        <v>256</v>
      </c>
      <c r="I442" s="35">
        <v>12334</v>
      </c>
      <c r="J442" s="35">
        <v>1169.5847469171099</v>
      </c>
      <c r="K442" s="35">
        <v>724.78972492116304</v>
      </c>
      <c r="L442" s="35">
        <v>-30.57</v>
      </c>
      <c r="M442" s="35">
        <v>12.78</v>
      </c>
      <c r="N442" s="35">
        <v>210</v>
      </c>
      <c r="O442" s="35" t="s">
        <v>550</v>
      </c>
      <c r="P442" s="35" t="s">
        <v>551</v>
      </c>
      <c r="Q442" s="35" t="s">
        <v>253</v>
      </c>
      <c r="R442" s="35" t="s">
        <v>253</v>
      </c>
      <c r="S442" s="35" t="s">
        <v>257</v>
      </c>
      <c r="T442" s="35" t="s">
        <v>253</v>
      </c>
      <c r="U442" s="35" t="s">
        <v>253</v>
      </c>
      <c r="V442" s="35" t="s">
        <v>253</v>
      </c>
      <c r="W442" s="35" t="s">
        <v>253</v>
      </c>
      <c r="X442" s="35" t="s">
        <v>675</v>
      </c>
      <c r="Y442" s="35" t="s">
        <v>676</v>
      </c>
    </row>
    <row r="443" spans="1:25" x14ac:dyDescent="0.2">
      <c r="A443" s="35">
        <v>662</v>
      </c>
      <c r="B443" s="35" t="s">
        <v>372</v>
      </c>
      <c r="C443" s="35" t="s">
        <v>50</v>
      </c>
      <c r="D443" s="35" t="s">
        <v>1973</v>
      </c>
      <c r="E443" s="35" t="s">
        <v>268</v>
      </c>
      <c r="F443" s="35" t="s">
        <v>537</v>
      </c>
      <c r="G443" s="35" t="s">
        <v>2024</v>
      </c>
      <c r="H443" s="35" t="s">
        <v>256</v>
      </c>
      <c r="I443" s="35">
        <v>19353</v>
      </c>
      <c r="J443" s="35">
        <v>525.98299730534404</v>
      </c>
      <c r="K443" s="35">
        <v>919.97212428180399</v>
      </c>
      <c r="L443" s="35">
        <v>-36.89</v>
      </c>
      <c r="M443" s="35">
        <v>-8.01</v>
      </c>
      <c r="N443" s="35">
        <v>52</v>
      </c>
      <c r="O443" s="35" t="s">
        <v>538</v>
      </c>
      <c r="P443" s="35" t="s">
        <v>539</v>
      </c>
      <c r="Q443" s="35" t="s">
        <v>253</v>
      </c>
      <c r="R443" s="35" t="s">
        <v>253</v>
      </c>
      <c r="S443" s="35" t="s">
        <v>257</v>
      </c>
      <c r="T443" s="35" t="s">
        <v>261</v>
      </c>
      <c r="U443" s="35" t="s">
        <v>253</v>
      </c>
      <c r="V443" s="35" t="s">
        <v>253</v>
      </c>
      <c r="W443" s="35" t="s">
        <v>253</v>
      </c>
      <c r="X443" s="35" t="s">
        <v>582</v>
      </c>
      <c r="Y443" s="35" t="s">
        <v>583</v>
      </c>
    </row>
    <row r="444" spans="1:25" x14ac:dyDescent="0.2">
      <c r="A444" s="35">
        <v>682</v>
      </c>
      <c r="B444" s="35" t="s">
        <v>373</v>
      </c>
      <c r="C444" s="35" t="s">
        <v>64</v>
      </c>
      <c r="D444" s="35" t="s">
        <v>1971</v>
      </c>
      <c r="E444" s="35" t="s">
        <v>268</v>
      </c>
      <c r="F444" s="35" t="s">
        <v>537</v>
      </c>
      <c r="G444" s="35" t="s">
        <v>2024</v>
      </c>
      <c r="H444" s="35" t="s">
        <v>256</v>
      </c>
      <c r="I444" s="35">
        <v>2101</v>
      </c>
      <c r="J444" s="35">
        <v>1007.0008637524001</v>
      </c>
      <c r="K444" s="35">
        <v>776.59703842181398</v>
      </c>
      <c r="L444" s="35">
        <v>-32.25</v>
      </c>
      <c r="M444" s="35">
        <v>7.53</v>
      </c>
      <c r="N444" s="35">
        <v>554</v>
      </c>
      <c r="O444" s="35" t="s">
        <v>542</v>
      </c>
      <c r="P444" s="35" t="s">
        <v>543</v>
      </c>
      <c r="Q444" s="35" t="s">
        <v>253</v>
      </c>
      <c r="R444" s="35" t="s">
        <v>253</v>
      </c>
      <c r="S444" s="35" t="s">
        <v>257</v>
      </c>
      <c r="T444" s="35" t="s">
        <v>253</v>
      </c>
      <c r="U444" s="35" t="s">
        <v>253</v>
      </c>
      <c r="V444" s="35" t="s">
        <v>253</v>
      </c>
      <c r="W444" s="35" t="s">
        <v>253</v>
      </c>
      <c r="X444" s="35" t="s">
        <v>821</v>
      </c>
      <c r="Y444" s="35" t="s">
        <v>822</v>
      </c>
    </row>
    <row r="445" spans="1:25" x14ac:dyDescent="0.2">
      <c r="A445" s="35">
        <v>692</v>
      </c>
      <c r="B445" s="35" t="s">
        <v>374</v>
      </c>
      <c r="C445" s="35" t="s">
        <v>64</v>
      </c>
      <c r="D445" s="35" t="s">
        <v>1971</v>
      </c>
      <c r="E445" s="35" t="s">
        <v>268</v>
      </c>
      <c r="F445" s="35" t="s">
        <v>537</v>
      </c>
      <c r="G445" s="35" t="s">
        <v>260</v>
      </c>
      <c r="H445" s="35" t="s">
        <v>256</v>
      </c>
      <c r="I445" s="35">
        <v>26830</v>
      </c>
      <c r="J445" s="35">
        <v>993.82522466903401</v>
      </c>
      <c r="K445" s="35">
        <v>627.753186561191</v>
      </c>
      <c r="L445" s="35">
        <v>-27.43</v>
      </c>
      <c r="M445" s="35">
        <v>7.1</v>
      </c>
      <c r="N445" s="35">
        <v>1184</v>
      </c>
      <c r="O445" s="35" t="s">
        <v>554</v>
      </c>
      <c r="P445" s="35" t="s">
        <v>555</v>
      </c>
      <c r="Q445" s="35" t="s">
        <v>253</v>
      </c>
      <c r="R445" s="35" t="s">
        <v>253</v>
      </c>
      <c r="S445" s="35" t="s">
        <v>253</v>
      </c>
      <c r="T445" s="35" t="s">
        <v>261</v>
      </c>
      <c r="U445" s="35" t="s">
        <v>253</v>
      </c>
      <c r="V445" s="35" t="s">
        <v>253</v>
      </c>
      <c r="W445" s="35" t="s">
        <v>253</v>
      </c>
      <c r="X445" s="35" t="s">
        <v>857</v>
      </c>
      <c r="Y445" s="35" t="s">
        <v>2048</v>
      </c>
    </row>
    <row r="446" spans="1:25" x14ac:dyDescent="0.2">
      <c r="A446" s="35">
        <v>720</v>
      </c>
      <c r="B446" s="35" t="s">
        <v>375</v>
      </c>
      <c r="C446" s="35" t="s">
        <v>61</v>
      </c>
      <c r="D446" s="35" t="s">
        <v>1976</v>
      </c>
      <c r="E446" s="35" t="s">
        <v>268</v>
      </c>
      <c r="F446" s="35" t="s">
        <v>537</v>
      </c>
      <c r="G446" s="35" t="s">
        <v>2024</v>
      </c>
      <c r="H446" s="35" t="s">
        <v>256</v>
      </c>
      <c r="I446" s="35">
        <v>12238</v>
      </c>
      <c r="J446" s="35">
        <v>266.94642980208999</v>
      </c>
      <c r="K446" s="35">
        <v>820.07470121687504</v>
      </c>
      <c r="L446" s="35">
        <v>-33.65</v>
      </c>
      <c r="M446" s="35">
        <v>-16.38</v>
      </c>
      <c r="N446" s="35">
        <v>840</v>
      </c>
      <c r="O446" s="35" t="s">
        <v>542</v>
      </c>
      <c r="P446" s="35" t="s">
        <v>543</v>
      </c>
      <c r="Q446" s="35" t="s">
        <v>253</v>
      </c>
      <c r="R446" s="35" t="s">
        <v>253</v>
      </c>
      <c r="S446" s="35" t="s">
        <v>253</v>
      </c>
      <c r="T446" s="35" t="s">
        <v>253</v>
      </c>
      <c r="U446" s="35" t="s">
        <v>253</v>
      </c>
      <c r="V446" s="35" t="s">
        <v>253</v>
      </c>
      <c r="W446" s="35" t="s">
        <v>253</v>
      </c>
      <c r="X446" s="35" t="s">
        <v>869</v>
      </c>
      <c r="Y446" s="35" t="s">
        <v>870</v>
      </c>
    </row>
    <row r="447" spans="1:25" x14ac:dyDescent="0.2">
      <c r="A447" s="35">
        <v>721</v>
      </c>
      <c r="B447" s="35" t="s">
        <v>376</v>
      </c>
      <c r="C447" s="35" t="s">
        <v>61</v>
      </c>
      <c r="D447" s="35" t="s">
        <v>1976</v>
      </c>
      <c r="E447" s="35" t="s">
        <v>268</v>
      </c>
      <c r="F447" s="35" t="s">
        <v>537</v>
      </c>
      <c r="G447" s="35" t="s">
        <v>2015</v>
      </c>
      <c r="H447" s="35" t="s">
        <v>256</v>
      </c>
      <c r="I447" s="35">
        <v>2191</v>
      </c>
      <c r="J447" s="35">
        <v>369.08195994912802</v>
      </c>
      <c r="K447" s="35">
        <v>857.07158437417695</v>
      </c>
      <c r="L447" s="35">
        <v>-34.85</v>
      </c>
      <c r="M447" s="35">
        <v>-13.08</v>
      </c>
      <c r="N447" s="35">
        <v>266</v>
      </c>
      <c r="O447" s="35" t="s">
        <v>542</v>
      </c>
      <c r="P447" s="35" t="s">
        <v>543</v>
      </c>
      <c r="Q447" s="35" t="s">
        <v>253</v>
      </c>
      <c r="R447" s="35" t="s">
        <v>253</v>
      </c>
      <c r="S447" s="35" t="s">
        <v>257</v>
      </c>
      <c r="T447" s="35" t="s">
        <v>253</v>
      </c>
      <c r="U447" s="35" t="s">
        <v>253</v>
      </c>
      <c r="V447" s="35" t="s">
        <v>253</v>
      </c>
      <c r="W447" s="35" t="s">
        <v>253</v>
      </c>
      <c r="X447" s="35" t="s">
        <v>635</v>
      </c>
      <c r="Y447" s="35" t="s">
        <v>636</v>
      </c>
    </row>
    <row r="448" spans="1:25" x14ac:dyDescent="0.2">
      <c r="A448" s="35">
        <v>734</v>
      </c>
      <c r="B448" s="35" t="s">
        <v>377</v>
      </c>
      <c r="C448" s="35" t="s">
        <v>58</v>
      </c>
      <c r="D448" s="35" t="s">
        <v>1977</v>
      </c>
      <c r="E448" s="35" t="s">
        <v>268</v>
      </c>
      <c r="F448" s="35" t="s">
        <v>537</v>
      </c>
      <c r="G448" s="35" t="s">
        <v>2024</v>
      </c>
      <c r="H448" s="35" t="s">
        <v>256</v>
      </c>
      <c r="I448" s="35">
        <v>11279</v>
      </c>
      <c r="J448" s="35">
        <v>280.10260708474999</v>
      </c>
      <c r="K448" s="35">
        <v>661.63618160425403</v>
      </c>
      <c r="L448" s="35">
        <v>-28.52</v>
      </c>
      <c r="M448" s="35">
        <v>-15.95</v>
      </c>
      <c r="N448" s="35">
        <v>397</v>
      </c>
      <c r="O448" s="35" t="s">
        <v>550</v>
      </c>
      <c r="P448" s="35" t="s">
        <v>551</v>
      </c>
      <c r="Q448" s="35" t="s">
        <v>253</v>
      </c>
      <c r="R448" s="35" t="s">
        <v>253</v>
      </c>
      <c r="S448" s="35" t="s">
        <v>253</v>
      </c>
      <c r="T448" s="35" t="s">
        <v>261</v>
      </c>
      <c r="U448" s="35" t="s">
        <v>253</v>
      </c>
      <c r="V448" s="35" t="s">
        <v>253</v>
      </c>
      <c r="W448" s="35" t="s">
        <v>253</v>
      </c>
      <c r="X448" s="35" t="s">
        <v>708</v>
      </c>
      <c r="Y448" s="35" t="s">
        <v>709</v>
      </c>
    </row>
    <row r="449" spans="1:25" x14ac:dyDescent="0.2">
      <c r="A449" s="35">
        <v>735</v>
      </c>
      <c r="B449" s="35" t="s">
        <v>378</v>
      </c>
      <c r="C449" s="35" t="s">
        <v>50</v>
      </c>
      <c r="D449" s="35" t="s">
        <v>1973</v>
      </c>
      <c r="E449" s="35" t="s">
        <v>268</v>
      </c>
      <c r="F449" s="35" t="s">
        <v>537</v>
      </c>
      <c r="G449" s="35" t="s">
        <v>2024</v>
      </c>
      <c r="H449" s="35" t="s">
        <v>256</v>
      </c>
      <c r="I449" s="35">
        <v>15815</v>
      </c>
      <c r="J449" s="35">
        <v>729.86482158514002</v>
      </c>
      <c r="K449" s="35">
        <v>722.92139205261901</v>
      </c>
      <c r="L449" s="35">
        <v>-30.51</v>
      </c>
      <c r="M449" s="35">
        <v>-1.43</v>
      </c>
      <c r="N449" s="35">
        <v>948</v>
      </c>
      <c r="O449" s="35" t="s">
        <v>542</v>
      </c>
      <c r="P449" s="35" t="s">
        <v>543</v>
      </c>
      <c r="Q449" s="35" t="s">
        <v>253</v>
      </c>
      <c r="R449" s="35" t="s">
        <v>253</v>
      </c>
      <c r="S449" s="35" t="s">
        <v>257</v>
      </c>
      <c r="T449" s="35" t="s">
        <v>261</v>
      </c>
      <c r="U449" s="35" t="s">
        <v>253</v>
      </c>
      <c r="V449" s="35" t="s">
        <v>253</v>
      </c>
      <c r="W449" s="35" t="s">
        <v>253</v>
      </c>
      <c r="X449" s="35" t="s">
        <v>781</v>
      </c>
      <c r="Y449" s="35" t="s">
        <v>782</v>
      </c>
    </row>
    <row r="450" spans="1:25" x14ac:dyDescent="0.2">
      <c r="A450" s="35">
        <v>736</v>
      </c>
      <c r="B450" s="35" t="s">
        <v>379</v>
      </c>
      <c r="C450" s="35" t="s">
        <v>64</v>
      </c>
      <c r="D450" s="35" t="s">
        <v>1971</v>
      </c>
      <c r="E450" s="35" t="s">
        <v>268</v>
      </c>
      <c r="F450" s="35" t="s">
        <v>537</v>
      </c>
      <c r="G450" s="35" t="s">
        <v>260</v>
      </c>
      <c r="H450" s="35" t="s">
        <v>256</v>
      </c>
      <c r="I450" s="35">
        <v>2220</v>
      </c>
      <c r="J450" s="35">
        <v>1123.2461994170901</v>
      </c>
      <c r="K450" s="35">
        <v>743.08381759231702</v>
      </c>
      <c r="L450" s="35">
        <v>-31.16</v>
      </c>
      <c r="M450" s="35">
        <v>11.28</v>
      </c>
      <c r="N450" s="35">
        <v>328</v>
      </c>
      <c r="O450" s="35" t="s">
        <v>550</v>
      </c>
      <c r="P450" s="35" t="s">
        <v>551</v>
      </c>
      <c r="Q450" s="35" t="s">
        <v>253</v>
      </c>
      <c r="R450" s="35" t="s">
        <v>253</v>
      </c>
      <c r="S450" s="35" t="s">
        <v>253</v>
      </c>
      <c r="T450" s="35" t="s">
        <v>253</v>
      </c>
      <c r="U450" s="35" t="s">
        <v>253</v>
      </c>
      <c r="V450" s="35" t="s">
        <v>253</v>
      </c>
      <c r="W450" s="35" t="s">
        <v>253</v>
      </c>
      <c r="X450" s="35" t="s">
        <v>696</v>
      </c>
      <c r="Y450" s="35" t="s">
        <v>697</v>
      </c>
    </row>
    <row r="451" spans="1:25" x14ac:dyDescent="0.2">
      <c r="A451" s="35">
        <v>737</v>
      </c>
      <c r="B451" s="35" t="s">
        <v>380</v>
      </c>
      <c r="C451" s="35" t="s">
        <v>64</v>
      </c>
      <c r="D451" s="35" t="s">
        <v>1971</v>
      </c>
      <c r="E451" s="35" t="s">
        <v>268</v>
      </c>
      <c r="F451" s="35" t="s">
        <v>537</v>
      </c>
      <c r="G451" s="35" t="s">
        <v>260</v>
      </c>
      <c r="H451" s="35" t="s">
        <v>256</v>
      </c>
      <c r="I451" s="35">
        <v>19306</v>
      </c>
      <c r="J451" s="35">
        <v>1040.9422441976101</v>
      </c>
      <c r="K451" s="35">
        <v>773.61938291257297</v>
      </c>
      <c r="L451" s="35">
        <v>-32.15</v>
      </c>
      <c r="M451" s="35">
        <v>8.6199999999999992</v>
      </c>
      <c r="N451" s="35">
        <v>328</v>
      </c>
      <c r="O451" s="35" t="s">
        <v>554</v>
      </c>
      <c r="P451" s="35" t="s">
        <v>555</v>
      </c>
      <c r="Q451" s="35" t="s">
        <v>253</v>
      </c>
      <c r="R451" s="35" t="s">
        <v>253</v>
      </c>
      <c r="S451" s="35" t="s">
        <v>257</v>
      </c>
      <c r="T451" s="35" t="s">
        <v>253</v>
      </c>
      <c r="U451" s="35" t="s">
        <v>258</v>
      </c>
      <c r="V451" s="35" t="s">
        <v>253</v>
      </c>
      <c r="W451" s="35" t="s">
        <v>253</v>
      </c>
      <c r="X451" s="35" t="s">
        <v>823</v>
      </c>
      <c r="Y451" s="35" t="s">
        <v>824</v>
      </c>
    </row>
    <row r="452" spans="1:25" x14ac:dyDescent="0.2">
      <c r="A452" s="35">
        <v>738</v>
      </c>
      <c r="B452" s="35" t="s">
        <v>381</v>
      </c>
      <c r="C452" s="35" t="s">
        <v>64</v>
      </c>
      <c r="D452" s="35" t="s">
        <v>1971</v>
      </c>
      <c r="E452" s="35" t="s">
        <v>268</v>
      </c>
      <c r="F452" s="35" t="s">
        <v>537</v>
      </c>
      <c r="G452" s="35" t="s">
        <v>340</v>
      </c>
      <c r="H452" s="35" t="s">
        <v>256</v>
      </c>
      <c r="I452" s="35">
        <v>4936</v>
      </c>
      <c r="J452" s="35">
        <v>1218.1224778978001</v>
      </c>
      <c r="K452" s="35">
        <v>791.64101037373098</v>
      </c>
      <c r="L452" s="35">
        <v>-32.729999999999997</v>
      </c>
      <c r="M452" s="35">
        <v>14.35</v>
      </c>
      <c r="N452" s="35">
        <v>52</v>
      </c>
      <c r="O452" s="35" t="s">
        <v>554</v>
      </c>
      <c r="P452" s="35" t="s">
        <v>555</v>
      </c>
      <c r="Q452" s="35" t="s">
        <v>253</v>
      </c>
      <c r="R452" s="35" t="s">
        <v>253</v>
      </c>
      <c r="S452" s="35" t="s">
        <v>253</v>
      </c>
      <c r="T452" s="35" t="s">
        <v>261</v>
      </c>
      <c r="U452" s="35" t="s">
        <v>253</v>
      </c>
      <c r="V452" s="35" t="s">
        <v>253</v>
      </c>
      <c r="W452" s="35" t="s">
        <v>253</v>
      </c>
      <c r="X452" s="35" t="s">
        <v>677</v>
      </c>
      <c r="Y452" s="35" t="s">
        <v>678</v>
      </c>
    </row>
    <row r="453" spans="1:25" x14ac:dyDescent="0.2">
      <c r="A453" s="35">
        <v>739</v>
      </c>
      <c r="B453" s="35" t="s">
        <v>382</v>
      </c>
      <c r="C453" s="35" t="s">
        <v>61</v>
      </c>
      <c r="D453" s="35" t="s">
        <v>1976</v>
      </c>
      <c r="E453" s="35" t="s">
        <v>268</v>
      </c>
      <c r="F453" s="35" t="s">
        <v>537</v>
      </c>
      <c r="G453" s="35" t="s">
        <v>2024</v>
      </c>
      <c r="H453" s="35" t="s">
        <v>256</v>
      </c>
      <c r="I453" s="35">
        <v>1961</v>
      </c>
      <c r="J453" s="35">
        <v>447.532478627236</v>
      </c>
      <c r="K453" s="35">
        <v>849.34524949072102</v>
      </c>
      <c r="L453" s="35">
        <v>-34.6</v>
      </c>
      <c r="M453" s="35">
        <v>-10.54</v>
      </c>
      <c r="N453" s="35">
        <v>472</v>
      </c>
      <c r="O453" s="35" t="s">
        <v>538</v>
      </c>
      <c r="P453" s="35" t="s">
        <v>539</v>
      </c>
      <c r="Q453" s="35" t="s">
        <v>253</v>
      </c>
      <c r="R453" s="35" t="s">
        <v>253</v>
      </c>
      <c r="S453" s="35" t="s">
        <v>253</v>
      </c>
      <c r="T453" s="35" t="s">
        <v>253</v>
      </c>
      <c r="U453" s="35" t="s">
        <v>253</v>
      </c>
      <c r="V453" s="35" t="s">
        <v>253</v>
      </c>
      <c r="W453" s="35" t="s">
        <v>253</v>
      </c>
      <c r="X453" s="35" t="s">
        <v>548</v>
      </c>
      <c r="Y453" s="35" t="s">
        <v>549</v>
      </c>
    </row>
    <row r="454" spans="1:25" x14ac:dyDescent="0.2">
      <c r="A454" s="35">
        <v>751</v>
      </c>
      <c r="B454" s="35" t="s">
        <v>383</v>
      </c>
      <c r="C454" s="35" t="s">
        <v>58</v>
      </c>
      <c r="D454" s="35" t="s">
        <v>1977</v>
      </c>
      <c r="E454" s="35" t="s">
        <v>268</v>
      </c>
      <c r="F454" s="35" t="s">
        <v>537</v>
      </c>
      <c r="G454" s="35" t="s">
        <v>2015</v>
      </c>
      <c r="H454" s="35" t="s">
        <v>256</v>
      </c>
      <c r="I454" s="35">
        <v>12031</v>
      </c>
      <c r="J454" s="35">
        <v>224.753245854152</v>
      </c>
      <c r="K454" s="35">
        <v>580.655628833327</v>
      </c>
      <c r="L454" s="35">
        <v>-25.9</v>
      </c>
      <c r="M454" s="35">
        <v>-17.739999999999998</v>
      </c>
      <c r="N454" s="35">
        <v>161</v>
      </c>
      <c r="O454" s="35" t="s">
        <v>568</v>
      </c>
      <c r="P454" s="35" t="s">
        <v>569</v>
      </c>
      <c r="Q454" s="35" t="s">
        <v>253</v>
      </c>
      <c r="R454" s="35" t="s">
        <v>253</v>
      </c>
      <c r="S454" s="35" t="s">
        <v>257</v>
      </c>
      <c r="T454" s="35" t="s">
        <v>253</v>
      </c>
      <c r="U454" s="35" t="s">
        <v>253</v>
      </c>
      <c r="V454" s="35" t="s">
        <v>253</v>
      </c>
      <c r="W454" s="35" t="s">
        <v>253</v>
      </c>
      <c r="X454" s="35" t="s">
        <v>754</v>
      </c>
      <c r="Y454" s="35" t="s">
        <v>755</v>
      </c>
    </row>
    <row r="455" spans="1:25" x14ac:dyDescent="0.2">
      <c r="A455" s="35">
        <v>758</v>
      </c>
      <c r="B455" s="35" t="s">
        <v>384</v>
      </c>
      <c r="C455" s="35" t="s">
        <v>61</v>
      </c>
      <c r="D455" s="35" t="s">
        <v>1976</v>
      </c>
      <c r="E455" s="35" t="s">
        <v>268</v>
      </c>
      <c r="F455" s="35" t="s">
        <v>537</v>
      </c>
      <c r="G455" s="35" t="s">
        <v>2024</v>
      </c>
      <c r="H455" s="35" t="s">
        <v>256</v>
      </c>
      <c r="I455" s="35">
        <v>2121</v>
      </c>
      <c r="J455" s="35">
        <v>489.47265916589203</v>
      </c>
      <c r="K455" s="35">
        <v>762.27315309631399</v>
      </c>
      <c r="L455" s="35">
        <v>-31.78</v>
      </c>
      <c r="M455" s="35">
        <v>-9.19</v>
      </c>
      <c r="N455" s="35">
        <v>738</v>
      </c>
      <c r="O455" s="35" t="s">
        <v>542</v>
      </c>
      <c r="P455" s="35" t="s">
        <v>543</v>
      </c>
      <c r="Q455" s="35" t="s">
        <v>253</v>
      </c>
      <c r="R455" s="35" t="s">
        <v>253</v>
      </c>
      <c r="S455" s="35" t="s">
        <v>257</v>
      </c>
      <c r="T455" s="35" t="s">
        <v>253</v>
      </c>
      <c r="U455" s="35" t="s">
        <v>258</v>
      </c>
      <c r="V455" s="35" t="s">
        <v>253</v>
      </c>
      <c r="W455" s="35" t="s">
        <v>253</v>
      </c>
      <c r="X455" s="35" t="s">
        <v>590</v>
      </c>
      <c r="Y455" s="35" t="s">
        <v>591</v>
      </c>
    </row>
    <row r="456" spans="1:25" x14ac:dyDescent="0.2">
      <c r="A456" s="35">
        <v>759</v>
      </c>
      <c r="B456" s="35" t="s">
        <v>385</v>
      </c>
      <c r="C456" s="35" t="s">
        <v>64</v>
      </c>
      <c r="D456" s="35" t="s">
        <v>1971</v>
      </c>
      <c r="E456" s="35" t="s">
        <v>268</v>
      </c>
      <c r="F456" s="35" t="s">
        <v>537</v>
      </c>
      <c r="G456" s="35" t="s">
        <v>260</v>
      </c>
      <c r="H456" s="35" t="s">
        <v>256</v>
      </c>
      <c r="I456" s="35">
        <v>3795</v>
      </c>
      <c r="J456" s="35">
        <v>1082.3180325155599</v>
      </c>
      <c r="K456" s="35">
        <v>798.04394280863403</v>
      </c>
      <c r="L456" s="35">
        <v>-32.94</v>
      </c>
      <c r="M456" s="35">
        <v>9.9600000000000009</v>
      </c>
      <c r="N456" s="35">
        <v>210</v>
      </c>
      <c r="O456" s="35" t="s">
        <v>554</v>
      </c>
      <c r="P456" s="35" t="s">
        <v>555</v>
      </c>
      <c r="Q456" s="35" t="s">
        <v>253</v>
      </c>
      <c r="R456" s="35" t="s">
        <v>253</v>
      </c>
      <c r="S456" s="35" t="s">
        <v>257</v>
      </c>
      <c r="T456" s="35" t="s">
        <v>253</v>
      </c>
      <c r="U456" s="35" t="s">
        <v>253</v>
      </c>
      <c r="V456" s="35" t="s">
        <v>253</v>
      </c>
      <c r="W456" s="35" t="s">
        <v>253</v>
      </c>
      <c r="X456" s="35" t="s">
        <v>825</v>
      </c>
      <c r="Y456" s="35" t="s">
        <v>826</v>
      </c>
    </row>
    <row r="457" spans="1:25" x14ac:dyDescent="0.2">
      <c r="A457" s="35">
        <v>760</v>
      </c>
      <c r="B457" s="35" t="s">
        <v>386</v>
      </c>
      <c r="C457" s="35" t="s">
        <v>61</v>
      </c>
      <c r="D457" s="35" t="s">
        <v>1976</v>
      </c>
      <c r="E457" s="35" t="s">
        <v>268</v>
      </c>
      <c r="F457" s="35" t="s">
        <v>537</v>
      </c>
      <c r="G457" s="35" t="s">
        <v>2024</v>
      </c>
      <c r="H457" s="35" t="s">
        <v>256</v>
      </c>
      <c r="I457" s="35">
        <v>2514</v>
      </c>
      <c r="J457" s="35">
        <v>383.269612669629</v>
      </c>
      <c r="K457" s="35">
        <v>817.73928513119597</v>
      </c>
      <c r="L457" s="35">
        <v>-33.58</v>
      </c>
      <c r="M457" s="35">
        <v>-12.62</v>
      </c>
      <c r="N457" s="35">
        <v>397</v>
      </c>
      <c r="O457" s="35" t="s">
        <v>542</v>
      </c>
      <c r="P457" s="35" t="s">
        <v>543</v>
      </c>
      <c r="Q457" s="35" t="s">
        <v>253</v>
      </c>
      <c r="R457" s="35" t="s">
        <v>253</v>
      </c>
      <c r="S457" s="35" t="s">
        <v>257</v>
      </c>
      <c r="T457" s="35" t="s">
        <v>253</v>
      </c>
      <c r="U457" s="35" t="s">
        <v>253</v>
      </c>
      <c r="V457" s="35" t="s">
        <v>253</v>
      </c>
      <c r="W457" s="35" t="s">
        <v>253</v>
      </c>
      <c r="X457" s="35" t="s">
        <v>651</v>
      </c>
      <c r="Y457" s="35" t="s">
        <v>652</v>
      </c>
    </row>
    <row r="458" spans="1:25" x14ac:dyDescent="0.2">
      <c r="A458" s="35">
        <v>761</v>
      </c>
      <c r="B458" s="35" t="s">
        <v>387</v>
      </c>
      <c r="C458" s="35" t="s">
        <v>50</v>
      </c>
      <c r="D458" s="35" t="s">
        <v>1973</v>
      </c>
      <c r="E458" s="35" t="s">
        <v>268</v>
      </c>
      <c r="F458" s="35" t="s">
        <v>537</v>
      </c>
      <c r="G458" s="35" t="s">
        <v>2024</v>
      </c>
      <c r="H458" s="35" t="s">
        <v>256</v>
      </c>
      <c r="I458" s="35">
        <v>2154</v>
      </c>
      <c r="J458" s="35">
        <v>671.30426323673396</v>
      </c>
      <c r="K458" s="35">
        <v>839.98412334729005</v>
      </c>
      <c r="L458" s="35">
        <v>-34.299999999999997</v>
      </c>
      <c r="M458" s="35">
        <v>-3.32</v>
      </c>
      <c r="N458" s="35">
        <v>948</v>
      </c>
      <c r="O458" s="35" t="s">
        <v>538</v>
      </c>
      <c r="P458" s="35" t="s">
        <v>539</v>
      </c>
      <c r="Q458" s="35" t="s">
        <v>253</v>
      </c>
      <c r="R458" s="35" t="s">
        <v>253</v>
      </c>
      <c r="S458" s="35" t="s">
        <v>253</v>
      </c>
      <c r="T458" s="35" t="s">
        <v>253</v>
      </c>
      <c r="U458" s="35" t="s">
        <v>253</v>
      </c>
      <c r="V458" s="35" t="s">
        <v>253</v>
      </c>
      <c r="W458" s="35" t="s">
        <v>253</v>
      </c>
      <c r="X458" s="35" t="s">
        <v>667</v>
      </c>
      <c r="Y458" s="35" t="s">
        <v>668</v>
      </c>
    </row>
    <row r="459" spans="1:25" x14ac:dyDescent="0.2">
      <c r="A459" s="35">
        <v>763</v>
      </c>
      <c r="B459" s="35" t="s">
        <v>388</v>
      </c>
      <c r="C459" s="35" t="s">
        <v>61</v>
      </c>
      <c r="D459" s="35" t="s">
        <v>1976</v>
      </c>
      <c r="E459" s="35" t="s">
        <v>268</v>
      </c>
      <c r="F459" s="35" t="s">
        <v>537</v>
      </c>
      <c r="G459" s="35" t="s">
        <v>2024</v>
      </c>
      <c r="H459" s="35" t="s">
        <v>256</v>
      </c>
      <c r="I459" s="35">
        <v>1971</v>
      </c>
      <c r="J459" s="35">
        <v>390.02285751738498</v>
      </c>
      <c r="K459" s="35">
        <v>846.87360080004396</v>
      </c>
      <c r="L459" s="35">
        <v>-34.520000000000003</v>
      </c>
      <c r="M459" s="35">
        <v>-12.4</v>
      </c>
      <c r="N459" s="35">
        <v>397</v>
      </c>
      <c r="O459" s="35" t="s">
        <v>538</v>
      </c>
      <c r="P459" s="35" t="s">
        <v>539</v>
      </c>
      <c r="Q459" s="35" t="s">
        <v>253</v>
      </c>
      <c r="R459" s="35" t="s">
        <v>253</v>
      </c>
      <c r="S459" s="35" t="s">
        <v>257</v>
      </c>
      <c r="T459" s="35" t="s">
        <v>253</v>
      </c>
      <c r="U459" s="35" t="s">
        <v>253</v>
      </c>
      <c r="V459" s="35" t="s">
        <v>253</v>
      </c>
      <c r="W459" s="35" t="s">
        <v>253</v>
      </c>
      <c r="X459" s="35" t="s">
        <v>637</v>
      </c>
      <c r="Y459" s="35" t="s">
        <v>638</v>
      </c>
    </row>
    <row r="460" spans="1:25" x14ac:dyDescent="0.2">
      <c r="A460" s="35">
        <v>780</v>
      </c>
      <c r="B460" s="35" t="s">
        <v>389</v>
      </c>
      <c r="C460" s="35" t="s">
        <v>61</v>
      </c>
      <c r="D460" s="35" t="s">
        <v>1976</v>
      </c>
      <c r="E460" s="35" t="s">
        <v>268</v>
      </c>
      <c r="F460" s="35" t="s">
        <v>537</v>
      </c>
      <c r="G460" s="35" t="s">
        <v>2024</v>
      </c>
      <c r="H460" s="35" t="s">
        <v>256</v>
      </c>
      <c r="I460" s="35">
        <v>11051</v>
      </c>
      <c r="J460" s="35">
        <v>376.69152402830002</v>
      </c>
      <c r="K460" s="35">
        <v>734.07300386173802</v>
      </c>
      <c r="L460" s="35">
        <v>-30.87</v>
      </c>
      <c r="M460" s="35">
        <v>-12.83</v>
      </c>
      <c r="N460" s="35">
        <v>210</v>
      </c>
      <c r="O460" s="35" t="s">
        <v>550</v>
      </c>
      <c r="P460" s="35" t="s">
        <v>551</v>
      </c>
      <c r="Q460" s="35" t="s">
        <v>253</v>
      </c>
      <c r="R460" s="35" t="s">
        <v>253</v>
      </c>
      <c r="S460" s="35" t="s">
        <v>257</v>
      </c>
      <c r="T460" s="35" t="s">
        <v>261</v>
      </c>
      <c r="U460" s="35" t="s">
        <v>253</v>
      </c>
      <c r="V460" s="35" t="s">
        <v>253</v>
      </c>
      <c r="W460" s="35" t="s">
        <v>253</v>
      </c>
      <c r="X460" s="35" t="s">
        <v>807</v>
      </c>
      <c r="Y460" s="35" t="s">
        <v>808</v>
      </c>
    </row>
    <row r="461" spans="1:25" x14ac:dyDescent="0.2">
      <c r="A461" s="35">
        <v>782</v>
      </c>
      <c r="B461" s="35" t="s">
        <v>390</v>
      </c>
      <c r="C461" s="35" t="s">
        <v>50</v>
      </c>
      <c r="D461" s="35" t="s">
        <v>1973</v>
      </c>
      <c r="E461" s="35" t="s">
        <v>268</v>
      </c>
      <c r="F461" s="35" t="s">
        <v>537</v>
      </c>
      <c r="G461" s="35" t="s">
        <v>2024</v>
      </c>
      <c r="H461" s="35" t="s">
        <v>256</v>
      </c>
      <c r="I461" s="35">
        <v>14779</v>
      </c>
      <c r="J461" s="35">
        <v>686.25092618508097</v>
      </c>
      <c r="K461" s="35">
        <v>862.22896156338504</v>
      </c>
      <c r="L461" s="35">
        <v>-35.020000000000003</v>
      </c>
      <c r="M461" s="35">
        <v>-2.83</v>
      </c>
      <c r="N461" s="35">
        <v>328</v>
      </c>
      <c r="O461" s="35" t="s">
        <v>542</v>
      </c>
      <c r="P461" s="35" t="s">
        <v>543</v>
      </c>
      <c r="Q461" s="35" t="s">
        <v>253</v>
      </c>
      <c r="R461" s="35" t="s">
        <v>253</v>
      </c>
      <c r="S461" s="35" t="s">
        <v>253</v>
      </c>
      <c r="T461" s="35" t="s">
        <v>261</v>
      </c>
      <c r="U461" s="35" t="s">
        <v>253</v>
      </c>
      <c r="V461" s="35" t="s">
        <v>253</v>
      </c>
      <c r="W461" s="35" t="s">
        <v>253</v>
      </c>
      <c r="X461" s="35" t="s">
        <v>890</v>
      </c>
      <c r="Y461" s="35" t="s">
        <v>891</v>
      </c>
    </row>
    <row r="462" spans="1:25" x14ac:dyDescent="0.2">
      <c r="A462" s="35">
        <v>783</v>
      </c>
      <c r="B462" s="35" t="s">
        <v>392</v>
      </c>
      <c r="C462" s="35" t="s">
        <v>64</v>
      </c>
      <c r="D462" s="35" t="s">
        <v>1971</v>
      </c>
      <c r="E462" s="35" t="s">
        <v>268</v>
      </c>
      <c r="F462" s="35" t="s">
        <v>537</v>
      </c>
      <c r="G462" s="35" t="s">
        <v>2024</v>
      </c>
      <c r="H462" s="35" t="s">
        <v>256</v>
      </c>
      <c r="I462" s="35">
        <v>1968</v>
      </c>
      <c r="J462" s="35">
        <v>848.542882339073</v>
      </c>
      <c r="K462" s="35">
        <v>868.02857817615495</v>
      </c>
      <c r="L462" s="35">
        <v>-35.21</v>
      </c>
      <c r="M462" s="35">
        <v>2.41</v>
      </c>
      <c r="N462" s="35">
        <v>328</v>
      </c>
      <c r="O462" s="35" t="s">
        <v>542</v>
      </c>
      <c r="P462" s="35" t="s">
        <v>543</v>
      </c>
      <c r="Q462" s="35" t="s">
        <v>253</v>
      </c>
      <c r="R462" s="35" t="s">
        <v>253</v>
      </c>
      <c r="S462" s="35" t="s">
        <v>257</v>
      </c>
      <c r="T462" s="35" t="s">
        <v>253</v>
      </c>
      <c r="U462" s="35" t="s">
        <v>253</v>
      </c>
      <c r="V462" s="35" t="s">
        <v>253</v>
      </c>
      <c r="W462" s="35" t="s">
        <v>253</v>
      </c>
      <c r="X462" s="35" t="s">
        <v>898</v>
      </c>
      <c r="Y462" s="35" t="s">
        <v>899</v>
      </c>
    </row>
    <row r="463" spans="1:25" x14ac:dyDescent="0.2">
      <c r="A463" s="35">
        <v>803</v>
      </c>
      <c r="B463" s="35" t="s">
        <v>393</v>
      </c>
      <c r="C463" s="35" t="s">
        <v>64</v>
      </c>
      <c r="D463" s="35" t="s">
        <v>1971</v>
      </c>
      <c r="E463" s="35" t="s">
        <v>268</v>
      </c>
      <c r="F463" s="35" t="s">
        <v>537</v>
      </c>
      <c r="G463" s="35" t="s">
        <v>260</v>
      </c>
      <c r="H463" s="35" t="s">
        <v>256</v>
      </c>
      <c r="I463" s="35">
        <v>13504</v>
      </c>
      <c r="J463" s="35">
        <v>1106.95667221947</v>
      </c>
      <c r="K463" s="35">
        <v>767.352683082667</v>
      </c>
      <c r="L463" s="35">
        <v>-31.95</v>
      </c>
      <c r="M463" s="35">
        <v>10.75</v>
      </c>
      <c r="N463" s="35">
        <v>328</v>
      </c>
      <c r="O463" s="35" t="s">
        <v>554</v>
      </c>
      <c r="P463" s="35" t="s">
        <v>555</v>
      </c>
      <c r="Q463" s="35" t="s">
        <v>253</v>
      </c>
      <c r="R463" s="35" t="s">
        <v>253</v>
      </c>
      <c r="S463" s="35" t="s">
        <v>253</v>
      </c>
      <c r="T463" s="35" t="s">
        <v>253</v>
      </c>
      <c r="U463" s="35" t="s">
        <v>258</v>
      </c>
      <c r="V463" s="35" t="s">
        <v>253</v>
      </c>
      <c r="W463" s="35" t="s">
        <v>253</v>
      </c>
      <c r="X463" s="35" t="s">
        <v>698</v>
      </c>
      <c r="Y463" s="35" t="s">
        <v>699</v>
      </c>
    </row>
    <row r="464" spans="1:25" x14ac:dyDescent="0.2">
      <c r="A464" s="35">
        <v>804</v>
      </c>
      <c r="B464" s="35" t="s">
        <v>394</v>
      </c>
      <c r="C464" s="35" t="s">
        <v>64</v>
      </c>
      <c r="D464" s="35" t="s">
        <v>1971</v>
      </c>
      <c r="E464" s="35" t="s">
        <v>268</v>
      </c>
      <c r="F464" s="35" t="s">
        <v>537</v>
      </c>
      <c r="G464" s="35" t="s">
        <v>340</v>
      </c>
      <c r="H464" s="35" t="s">
        <v>256</v>
      </c>
      <c r="I464" s="35">
        <v>14884</v>
      </c>
      <c r="J464" s="35">
        <v>1204.05159598159</v>
      </c>
      <c r="K464" s="35">
        <v>781.65710660745196</v>
      </c>
      <c r="L464" s="35">
        <v>-32.409999999999997</v>
      </c>
      <c r="M464" s="35">
        <v>13.89</v>
      </c>
      <c r="N464" s="35">
        <v>30</v>
      </c>
      <c r="O464" s="35" t="s">
        <v>554</v>
      </c>
      <c r="P464" s="35" t="s">
        <v>555</v>
      </c>
      <c r="Q464" s="35" t="s">
        <v>253</v>
      </c>
      <c r="R464" s="35" t="s">
        <v>253</v>
      </c>
      <c r="S464" s="35" t="s">
        <v>257</v>
      </c>
      <c r="T464" s="35" t="s">
        <v>261</v>
      </c>
      <c r="U464" s="35" t="s">
        <v>253</v>
      </c>
      <c r="V464" s="35" t="s">
        <v>253</v>
      </c>
      <c r="W464" s="35" t="s">
        <v>253</v>
      </c>
      <c r="X464" s="35" t="s">
        <v>679</v>
      </c>
      <c r="Y464" s="35" t="s">
        <v>680</v>
      </c>
    </row>
    <row r="465" spans="1:25" x14ac:dyDescent="0.2">
      <c r="A465" s="35">
        <v>805</v>
      </c>
      <c r="B465" s="35" t="s">
        <v>396</v>
      </c>
      <c r="C465" s="35" t="s">
        <v>64</v>
      </c>
      <c r="D465" s="35" t="s">
        <v>1971</v>
      </c>
      <c r="E465" s="35" t="s">
        <v>268</v>
      </c>
      <c r="F465" s="35" t="s">
        <v>537</v>
      </c>
      <c r="G465" s="35" t="s">
        <v>260</v>
      </c>
      <c r="H465" s="35" t="s">
        <v>256</v>
      </c>
      <c r="I465" s="35">
        <v>6371</v>
      </c>
      <c r="J465" s="35">
        <v>1103.14215927953</v>
      </c>
      <c r="K465" s="35">
        <v>795.299828907961</v>
      </c>
      <c r="L465" s="35">
        <v>-32.85</v>
      </c>
      <c r="M465" s="35">
        <v>10.63</v>
      </c>
      <c r="N465" s="35">
        <v>30</v>
      </c>
      <c r="O465" s="35" t="s">
        <v>554</v>
      </c>
      <c r="P465" s="35" t="s">
        <v>555</v>
      </c>
      <c r="Q465" s="35" t="s">
        <v>253</v>
      </c>
      <c r="R465" s="35" t="s">
        <v>253</v>
      </c>
      <c r="S465" s="35" t="s">
        <v>257</v>
      </c>
      <c r="T465" s="35" t="s">
        <v>261</v>
      </c>
      <c r="U465" s="35" t="s">
        <v>253</v>
      </c>
      <c r="V465" s="35" t="s">
        <v>253</v>
      </c>
      <c r="W465" s="35" t="s">
        <v>253</v>
      </c>
      <c r="X465" s="35" t="s">
        <v>831</v>
      </c>
      <c r="Y465" s="35" t="s">
        <v>832</v>
      </c>
    </row>
    <row r="466" spans="1:25" x14ac:dyDescent="0.2">
      <c r="A466" s="35">
        <v>826</v>
      </c>
      <c r="B466" s="35" t="s">
        <v>397</v>
      </c>
      <c r="C466" s="35" t="s">
        <v>64</v>
      </c>
      <c r="D466" s="35" t="s">
        <v>1971</v>
      </c>
      <c r="E466" s="35" t="s">
        <v>268</v>
      </c>
      <c r="F466" s="35" t="s">
        <v>537</v>
      </c>
      <c r="G466" s="35" t="s">
        <v>260</v>
      </c>
      <c r="H466" s="35" t="s">
        <v>256</v>
      </c>
      <c r="I466" s="35">
        <v>10378</v>
      </c>
      <c r="J466" s="35">
        <v>1009.06381462809</v>
      </c>
      <c r="K466" s="35">
        <v>679.77457986969603</v>
      </c>
      <c r="L466" s="35">
        <v>-29.11</v>
      </c>
      <c r="M466" s="35">
        <v>7.59</v>
      </c>
      <c r="N466" s="35">
        <v>2759</v>
      </c>
      <c r="O466" s="35" t="s">
        <v>612</v>
      </c>
      <c r="P466" s="35" t="s">
        <v>613</v>
      </c>
      <c r="Q466" s="35" t="s">
        <v>253</v>
      </c>
      <c r="R466" s="35" t="s">
        <v>253</v>
      </c>
      <c r="S466" s="35" t="s">
        <v>257</v>
      </c>
      <c r="T466" s="35" t="s">
        <v>253</v>
      </c>
      <c r="U466" s="35" t="s">
        <v>253</v>
      </c>
      <c r="V466" s="35" t="s">
        <v>253</v>
      </c>
      <c r="W466" s="35" t="s">
        <v>253</v>
      </c>
      <c r="X466" s="35" t="s">
        <v>614</v>
      </c>
      <c r="Y466" s="35" t="s">
        <v>615</v>
      </c>
    </row>
    <row r="467" spans="1:25" x14ac:dyDescent="0.2">
      <c r="A467" s="35">
        <v>828</v>
      </c>
      <c r="B467" s="35" t="s">
        <v>398</v>
      </c>
      <c r="C467" s="35" t="s">
        <v>61</v>
      </c>
      <c r="D467" s="35" t="s">
        <v>1976</v>
      </c>
      <c r="E467" s="35" t="s">
        <v>268</v>
      </c>
      <c r="F467" s="35" t="s">
        <v>537</v>
      </c>
      <c r="G467" s="35" t="s">
        <v>2015</v>
      </c>
      <c r="H467" s="35" t="s">
        <v>256</v>
      </c>
      <c r="I467" s="35">
        <v>3202</v>
      </c>
      <c r="J467" s="35">
        <v>389.5</v>
      </c>
      <c r="K467" s="35">
        <v>877.5</v>
      </c>
      <c r="L467" s="35">
        <v>-35.51</v>
      </c>
      <c r="M467" s="35">
        <v>-12.42</v>
      </c>
      <c r="N467" s="35">
        <v>13</v>
      </c>
      <c r="O467" s="35" t="s">
        <v>542</v>
      </c>
      <c r="P467" s="35" t="s">
        <v>543</v>
      </c>
      <c r="Q467" s="35" t="s">
        <v>253</v>
      </c>
      <c r="R467" s="35" t="s">
        <v>259</v>
      </c>
      <c r="S467" s="35" t="s">
        <v>257</v>
      </c>
      <c r="T467" s="35" t="s">
        <v>253</v>
      </c>
      <c r="U467" s="35" t="s">
        <v>258</v>
      </c>
      <c r="V467" s="35" t="s">
        <v>253</v>
      </c>
      <c r="W467" s="35" t="s">
        <v>253</v>
      </c>
      <c r="X467" s="35" t="s">
        <v>639</v>
      </c>
      <c r="Y467" s="35" t="s">
        <v>2049</v>
      </c>
    </row>
    <row r="468" spans="1:25" x14ac:dyDescent="0.2">
      <c r="A468" s="35">
        <v>847</v>
      </c>
      <c r="B468" s="35" t="s">
        <v>399</v>
      </c>
      <c r="C468" s="35" t="s">
        <v>44</v>
      </c>
      <c r="D468" s="35" t="s">
        <v>1974</v>
      </c>
      <c r="E468" s="35" t="s">
        <v>268</v>
      </c>
      <c r="F468" s="35" t="s">
        <v>537</v>
      </c>
      <c r="G468" s="35" t="s">
        <v>2024</v>
      </c>
      <c r="H468" s="35" t="s">
        <v>256</v>
      </c>
      <c r="I468" s="35">
        <v>15417</v>
      </c>
      <c r="J468" s="35">
        <v>502.823454455692</v>
      </c>
      <c r="K468" s="35">
        <v>657.02373483503698</v>
      </c>
      <c r="L468" s="35">
        <v>-28.38</v>
      </c>
      <c r="M468" s="35">
        <v>-8.76</v>
      </c>
      <c r="N468" s="35">
        <v>118</v>
      </c>
      <c r="O468" s="35" t="s">
        <v>564</v>
      </c>
      <c r="P468" s="35" t="s">
        <v>565</v>
      </c>
      <c r="Q468" s="35" t="s">
        <v>253</v>
      </c>
      <c r="R468" s="35" t="s">
        <v>253</v>
      </c>
      <c r="S468" s="35" t="s">
        <v>257</v>
      </c>
      <c r="T468" s="35" t="s">
        <v>253</v>
      </c>
      <c r="U468" s="35" t="s">
        <v>253</v>
      </c>
      <c r="V468" s="35" t="s">
        <v>253</v>
      </c>
      <c r="W468" s="35" t="s">
        <v>253</v>
      </c>
      <c r="X468" s="35" t="s">
        <v>839</v>
      </c>
      <c r="Y468" s="35" t="s">
        <v>840</v>
      </c>
    </row>
    <row r="469" spans="1:25" x14ac:dyDescent="0.2">
      <c r="A469" s="35">
        <v>848</v>
      </c>
      <c r="B469" s="35" t="s">
        <v>400</v>
      </c>
      <c r="C469" s="35" t="s">
        <v>61</v>
      </c>
      <c r="D469" s="35" t="s">
        <v>1976</v>
      </c>
      <c r="E469" s="35" t="s">
        <v>268</v>
      </c>
      <c r="F469" s="35" t="s">
        <v>537</v>
      </c>
      <c r="G469" s="35" t="s">
        <v>2024</v>
      </c>
      <c r="H469" s="35" t="s">
        <v>256</v>
      </c>
      <c r="I469" s="35">
        <v>2156</v>
      </c>
      <c r="J469" s="35">
        <v>404.40512824502599</v>
      </c>
      <c r="K469" s="35">
        <v>712.15901625778099</v>
      </c>
      <c r="L469" s="35">
        <v>-30.16</v>
      </c>
      <c r="M469" s="35">
        <v>-11.94</v>
      </c>
      <c r="N469" s="35">
        <v>554</v>
      </c>
      <c r="O469" s="35" t="s">
        <v>554</v>
      </c>
      <c r="P469" s="35" t="s">
        <v>555</v>
      </c>
      <c r="Q469" s="35" t="s">
        <v>253</v>
      </c>
      <c r="R469" s="35" t="s">
        <v>253</v>
      </c>
      <c r="S469" s="35" t="s">
        <v>257</v>
      </c>
      <c r="T469" s="35" t="s">
        <v>253</v>
      </c>
      <c r="U469" s="35" t="s">
        <v>258</v>
      </c>
      <c r="V469" s="35" t="s">
        <v>253</v>
      </c>
      <c r="W469" s="35" t="s">
        <v>253</v>
      </c>
      <c r="X469" s="35" t="s">
        <v>809</v>
      </c>
      <c r="Y469" s="35" t="s">
        <v>810</v>
      </c>
    </row>
    <row r="470" spans="1:25" x14ac:dyDescent="0.2">
      <c r="A470" s="35">
        <v>849</v>
      </c>
      <c r="B470" s="35" t="s">
        <v>401</v>
      </c>
      <c r="C470" s="35" t="s">
        <v>64</v>
      </c>
      <c r="D470" s="35" t="s">
        <v>1971</v>
      </c>
      <c r="E470" s="35" t="s">
        <v>268</v>
      </c>
      <c r="F470" s="35" t="s">
        <v>537</v>
      </c>
      <c r="G470" s="35" t="s">
        <v>260</v>
      </c>
      <c r="H470" s="35" t="s">
        <v>256</v>
      </c>
      <c r="I470" s="35">
        <v>10742</v>
      </c>
      <c r="J470" s="35">
        <v>1109.19477930158</v>
      </c>
      <c r="K470" s="35">
        <v>734.73470508601395</v>
      </c>
      <c r="L470" s="35">
        <v>-30.89</v>
      </c>
      <c r="M470" s="35">
        <v>10.83</v>
      </c>
      <c r="N470" s="35">
        <v>328</v>
      </c>
      <c r="O470" s="35" t="s">
        <v>550</v>
      </c>
      <c r="P470" s="35" t="s">
        <v>551</v>
      </c>
      <c r="Q470" s="35" t="s">
        <v>253</v>
      </c>
      <c r="R470" s="35" t="s">
        <v>253</v>
      </c>
      <c r="S470" s="35" t="s">
        <v>257</v>
      </c>
      <c r="T470" s="35" t="s">
        <v>253</v>
      </c>
      <c r="U470" s="35" t="s">
        <v>253</v>
      </c>
      <c r="V470" s="35" t="s">
        <v>253</v>
      </c>
      <c r="W470" s="35" t="s">
        <v>253</v>
      </c>
      <c r="X470" s="35" t="s">
        <v>700</v>
      </c>
      <c r="Y470" s="35" t="s">
        <v>701</v>
      </c>
    </row>
    <row r="471" spans="1:25" x14ac:dyDescent="0.2">
      <c r="A471" s="35">
        <v>850</v>
      </c>
      <c r="B471" s="35" t="s">
        <v>402</v>
      </c>
      <c r="C471" s="35" t="s">
        <v>64</v>
      </c>
      <c r="D471" s="35" t="s">
        <v>1971</v>
      </c>
      <c r="E471" s="35" t="s">
        <v>268</v>
      </c>
      <c r="F471" s="35" t="s">
        <v>537</v>
      </c>
      <c r="G471" s="35" t="s">
        <v>2024</v>
      </c>
      <c r="H471" s="35" t="s">
        <v>256</v>
      </c>
      <c r="I471" s="35">
        <v>14188</v>
      </c>
      <c r="J471" s="35">
        <v>906.88936087962497</v>
      </c>
      <c r="K471" s="35">
        <v>773.09391429329503</v>
      </c>
      <c r="L471" s="35">
        <v>-32.130000000000003</v>
      </c>
      <c r="M471" s="35">
        <v>4.29</v>
      </c>
      <c r="N471" s="35">
        <v>210</v>
      </c>
      <c r="O471" s="35" t="s">
        <v>554</v>
      </c>
      <c r="P471" s="35" t="s">
        <v>555</v>
      </c>
      <c r="Q471" s="35" t="s">
        <v>253</v>
      </c>
      <c r="R471" s="35" t="s">
        <v>253</v>
      </c>
      <c r="S471" s="35" t="s">
        <v>257</v>
      </c>
      <c r="T471" s="35" t="s">
        <v>253</v>
      </c>
      <c r="U471" s="35" t="s">
        <v>258</v>
      </c>
      <c r="V471" s="35" t="s">
        <v>253</v>
      </c>
      <c r="W471" s="35" t="s">
        <v>253</v>
      </c>
      <c r="X471" s="35" t="s">
        <v>556</v>
      </c>
      <c r="Y471" s="35" t="s">
        <v>557</v>
      </c>
    </row>
    <row r="472" spans="1:25" x14ac:dyDescent="0.2">
      <c r="A472" s="35">
        <v>851</v>
      </c>
      <c r="B472" s="35" t="s">
        <v>403</v>
      </c>
      <c r="C472" s="35" t="s">
        <v>61</v>
      </c>
      <c r="D472" s="35" t="s">
        <v>1976</v>
      </c>
      <c r="E472" s="35" t="s">
        <v>268</v>
      </c>
      <c r="F472" s="35" t="s">
        <v>537</v>
      </c>
      <c r="G472" s="35" t="s">
        <v>2024</v>
      </c>
      <c r="H472" s="35" t="s">
        <v>256</v>
      </c>
      <c r="I472" s="35">
        <v>14504</v>
      </c>
      <c r="J472" s="35">
        <v>465.72926229481999</v>
      </c>
      <c r="K472" s="35">
        <v>777.76474646465294</v>
      </c>
      <c r="L472" s="35">
        <v>-32.28</v>
      </c>
      <c r="M472" s="35">
        <v>-9.9600000000000009</v>
      </c>
      <c r="N472" s="35">
        <v>738</v>
      </c>
      <c r="O472" s="35" t="s">
        <v>542</v>
      </c>
      <c r="P472" s="35" t="s">
        <v>543</v>
      </c>
      <c r="Q472" s="35" t="s">
        <v>253</v>
      </c>
      <c r="R472" s="35" t="s">
        <v>253</v>
      </c>
      <c r="S472" s="35" t="s">
        <v>257</v>
      </c>
      <c r="T472" s="35" t="s">
        <v>253</v>
      </c>
      <c r="U472" s="35" t="s">
        <v>253</v>
      </c>
      <c r="V472" s="35" t="s">
        <v>253</v>
      </c>
      <c r="W472" s="35" t="s">
        <v>253</v>
      </c>
      <c r="X472" s="35" t="s">
        <v>592</v>
      </c>
      <c r="Y472" s="35" t="s">
        <v>593</v>
      </c>
    </row>
    <row r="473" spans="1:25" x14ac:dyDescent="0.2">
      <c r="A473" s="35">
        <v>852</v>
      </c>
      <c r="B473" s="35" t="s">
        <v>404</v>
      </c>
      <c r="C473" s="35" t="s">
        <v>64</v>
      </c>
      <c r="D473" s="35" t="s">
        <v>1971</v>
      </c>
      <c r="E473" s="35" t="s">
        <v>268</v>
      </c>
      <c r="F473" s="35" t="s">
        <v>537</v>
      </c>
      <c r="G473" s="35" t="s">
        <v>2024</v>
      </c>
      <c r="H473" s="35" t="s">
        <v>256</v>
      </c>
      <c r="I473" s="35">
        <v>22642</v>
      </c>
      <c r="J473" s="35">
        <v>926.52631780004504</v>
      </c>
      <c r="K473" s="35">
        <v>784.323373305269</v>
      </c>
      <c r="L473" s="35">
        <v>-32.5</v>
      </c>
      <c r="M473" s="35">
        <v>4.93</v>
      </c>
      <c r="N473" s="35">
        <v>266</v>
      </c>
      <c r="O473" s="35" t="s">
        <v>554</v>
      </c>
      <c r="P473" s="35" t="s">
        <v>555</v>
      </c>
      <c r="Q473" s="35" t="s">
        <v>253</v>
      </c>
      <c r="R473" s="35" t="s">
        <v>253</v>
      </c>
      <c r="S473" s="35" t="s">
        <v>257</v>
      </c>
      <c r="T473" s="35" t="s">
        <v>261</v>
      </c>
      <c r="U473" s="35" t="s">
        <v>253</v>
      </c>
      <c r="V473" s="35" t="s">
        <v>297</v>
      </c>
      <c r="W473" s="35" t="s">
        <v>253</v>
      </c>
      <c r="X473" s="35" t="s">
        <v>746</v>
      </c>
      <c r="Y473" s="35" t="s">
        <v>747</v>
      </c>
    </row>
    <row r="474" spans="1:25" x14ac:dyDescent="0.2">
      <c r="A474" s="35">
        <v>853</v>
      </c>
      <c r="B474" s="35" t="s">
        <v>405</v>
      </c>
      <c r="C474" s="35" t="s">
        <v>61</v>
      </c>
      <c r="D474" s="35" t="s">
        <v>1976</v>
      </c>
      <c r="E474" s="35" t="s">
        <v>268</v>
      </c>
      <c r="F474" s="35" t="s">
        <v>537</v>
      </c>
      <c r="G474" s="35" t="s">
        <v>2024</v>
      </c>
      <c r="H474" s="35" t="s">
        <v>256</v>
      </c>
      <c r="I474" s="35">
        <v>17781</v>
      </c>
      <c r="J474" s="35">
        <v>330.43082373113702</v>
      </c>
      <c r="K474" s="35">
        <v>847.554763825034</v>
      </c>
      <c r="L474" s="35">
        <v>-34.54</v>
      </c>
      <c r="M474" s="35">
        <v>-14.33</v>
      </c>
      <c r="N474" s="35">
        <v>52</v>
      </c>
      <c r="O474" s="35" t="s">
        <v>542</v>
      </c>
      <c r="P474" s="35" t="s">
        <v>543</v>
      </c>
      <c r="Q474" s="35" t="s">
        <v>253</v>
      </c>
      <c r="R474" s="35" t="s">
        <v>253</v>
      </c>
      <c r="S474" s="35" t="s">
        <v>253</v>
      </c>
      <c r="T474" s="35" t="s">
        <v>261</v>
      </c>
      <c r="U474" s="35" t="s">
        <v>253</v>
      </c>
      <c r="V474" s="35" t="s">
        <v>253</v>
      </c>
      <c r="W474" s="35" t="s">
        <v>253</v>
      </c>
      <c r="X474" s="35" t="s">
        <v>871</v>
      </c>
      <c r="Y474" s="35" t="s">
        <v>872</v>
      </c>
    </row>
    <row r="475" spans="1:25" x14ac:dyDescent="0.2">
      <c r="A475" s="35">
        <v>873</v>
      </c>
      <c r="B475" s="35" t="s">
        <v>406</v>
      </c>
      <c r="C475" s="35" t="s">
        <v>64</v>
      </c>
      <c r="D475" s="35" t="s">
        <v>1971</v>
      </c>
      <c r="E475" s="35" t="s">
        <v>268</v>
      </c>
      <c r="F475" s="35" t="s">
        <v>537</v>
      </c>
      <c r="G475" s="35" t="s">
        <v>2024</v>
      </c>
      <c r="H475" s="35" t="s">
        <v>256</v>
      </c>
      <c r="I475" s="35">
        <v>2093</v>
      </c>
      <c r="J475" s="35">
        <v>774.47126882161297</v>
      </c>
      <c r="K475" s="35">
        <v>842.12492142583005</v>
      </c>
      <c r="L475" s="35">
        <v>-34.369999999999997</v>
      </c>
      <c r="M475" s="35">
        <v>0.02</v>
      </c>
      <c r="N475" s="35">
        <v>210</v>
      </c>
      <c r="O475" s="35" t="s">
        <v>542</v>
      </c>
      <c r="P475" s="35" t="s">
        <v>543</v>
      </c>
      <c r="Q475" s="35" t="s">
        <v>253</v>
      </c>
      <c r="R475" s="35" t="s">
        <v>253</v>
      </c>
      <c r="S475" s="35" t="s">
        <v>253</v>
      </c>
      <c r="T475" s="35" t="s">
        <v>261</v>
      </c>
      <c r="U475" s="35" t="s">
        <v>253</v>
      </c>
      <c r="V475" s="35" t="s">
        <v>253</v>
      </c>
      <c r="W475" s="35" t="s">
        <v>253</v>
      </c>
      <c r="X475" s="35" t="s">
        <v>764</v>
      </c>
      <c r="Y475" s="35" t="s">
        <v>765</v>
      </c>
    </row>
    <row r="476" spans="1:25" x14ac:dyDescent="0.2">
      <c r="A476" s="35">
        <v>892</v>
      </c>
      <c r="B476" s="35" t="s">
        <v>407</v>
      </c>
      <c r="C476" s="35" t="s">
        <v>44</v>
      </c>
      <c r="D476" s="35" t="s">
        <v>1974</v>
      </c>
      <c r="E476" s="35" t="s">
        <v>268</v>
      </c>
      <c r="F476" s="35" t="s">
        <v>537</v>
      </c>
      <c r="G476" s="35" t="s">
        <v>2015</v>
      </c>
      <c r="H476" s="35" t="s">
        <v>256</v>
      </c>
      <c r="I476" s="35">
        <v>9654</v>
      </c>
      <c r="J476" s="35">
        <v>427</v>
      </c>
      <c r="K476" s="35">
        <v>540.5</v>
      </c>
      <c r="L476" s="35">
        <v>-24.6</v>
      </c>
      <c r="M476" s="35">
        <v>-11.21</v>
      </c>
      <c r="N476" s="35">
        <v>161</v>
      </c>
      <c r="O476" s="35" t="s">
        <v>602</v>
      </c>
      <c r="P476" s="35" t="s">
        <v>603</v>
      </c>
      <c r="Q476" s="35" t="s">
        <v>253</v>
      </c>
      <c r="R476" s="35" t="s">
        <v>259</v>
      </c>
      <c r="S476" s="35" t="s">
        <v>253</v>
      </c>
      <c r="T476" s="35" t="s">
        <v>253</v>
      </c>
      <c r="U476" s="35" t="s">
        <v>253</v>
      </c>
      <c r="V476" s="35" t="s">
        <v>253</v>
      </c>
      <c r="W476" s="35" t="s">
        <v>253</v>
      </c>
      <c r="X476" s="35" t="s">
        <v>606</v>
      </c>
      <c r="Y476" s="35" t="s">
        <v>607</v>
      </c>
    </row>
    <row r="477" spans="1:25" x14ac:dyDescent="0.2">
      <c r="A477" s="35">
        <v>899</v>
      </c>
      <c r="B477" s="35" t="s">
        <v>408</v>
      </c>
      <c r="C477" s="35" t="s">
        <v>50</v>
      </c>
      <c r="D477" s="35" t="s">
        <v>1973</v>
      </c>
      <c r="E477" s="35" t="s">
        <v>268</v>
      </c>
      <c r="F477" s="35" t="s">
        <v>537</v>
      </c>
      <c r="G477" s="35" t="s">
        <v>2024</v>
      </c>
      <c r="H477" s="35" t="s">
        <v>256</v>
      </c>
      <c r="I477" s="35">
        <v>21754</v>
      </c>
      <c r="J477" s="35">
        <v>634.774463296568</v>
      </c>
      <c r="K477" s="35">
        <v>904.811381525603</v>
      </c>
      <c r="L477" s="35">
        <v>-36.4</v>
      </c>
      <c r="M477" s="35">
        <v>-4.5</v>
      </c>
      <c r="N477" s="35">
        <v>472</v>
      </c>
      <c r="O477" s="35" t="s">
        <v>538</v>
      </c>
      <c r="P477" s="35" t="s">
        <v>539</v>
      </c>
      <c r="Q477" s="35" t="s">
        <v>253</v>
      </c>
      <c r="R477" s="35" t="s">
        <v>253</v>
      </c>
      <c r="S477" s="35" t="s">
        <v>257</v>
      </c>
      <c r="T477" s="35" t="s">
        <v>261</v>
      </c>
      <c r="U477" s="35" t="s">
        <v>253</v>
      </c>
      <c r="V477" s="35" t="s">
        <v>297</v>
      </c>
      <c r="W477" s="35" t="s">
        <v>253</v>
      </c>
      <c r="X477" s="35" t="s">
        <v>669</v>
      </c>
      <c r="Y477" s="35" t="s">
        <v>670</v>
      </c>
    </row>
    <row r="478" spans="1:25" x14ac:dyDescent="0.2">
      <c r="A478" s="35">
        <v>920</v>
      </c>
      <c r="B478" s="35" t="s">
        <v>409</v>
      </c>
      <c r="C478" s="35" t="s">
        <v>64</v>
      </c>
      <c r="D478" s="35" t="s">
        <v>1971</v>
      </c>
      <c r="E478" s="35" t="s">
        <v>268</v>
      </c>
      <c r="F478" s="35" t="s">
        <v>537</v>
      </c>
      <c r="G478" s="35" t="s">
        <v>260</v>
      </c>
      <c r="H478" s="35" t="s">
        <v>256</v>
      </c>
      <c r="I478" s="35">
        <v>27069</v>
      </c>
      <c r="J478" s="35">
        <v>1046.0606977853899</v>
      </c>
      <c r="K478" s="35">
        <v>713.01533548919701</v>
      </c>
      <c r="L478" s="35">
        <v>-30.19</v>
      </c>
      <c r="M478" s="35">
        <v>8.7899999999999991</v>
      </c>
      <c r="N478" s="35">
        <v>948</v>
      </c>
      <c r="O478" s="35" t="s">
        <v>554</v>
      </c>
      <c r="P478" s="35" t="s">
        <v>555</v>
      </c>
      <c r="Q478" s="35" t="s">
        <v>253</v>
      </c>
      <c r="R478" s="35" t="s">
        <v>253</v>
      </c>
      <c r="S478" s="35" t="s">
        <v>253</v>
      </c>
      <c r="T478" s="35" t="s">
        <v>261</v>
      </c>
      <c r="U478" s="35" t="s">
        <v>258</v>
      </c>
      <c r="V478" s="35" t="s">
        <v>253</v>
      </c>
      <c r="W478" s="35" t="s">
        <v>253</v>
      </c>
      <c r="X478" s="35" t="s">
        <v>616</v>
      </c>
      <c r="Y478" s="35" t="s">
        <v>617</v>
      </c>
    </row>
    <row r="479" spans="1:25" x14ac:dyDescent="0.2">
      <c r="A479" s="35">
        <v>923</v>
      </c>
      <c r="B479" s="35" t="s">
        <v>410</v>
      </c>
      <c r="C479" s="35" t="s">
        <v>61</v>
      </c>
      <c r="D479" s="35" t="s">
        <v>1976</v>
      </c>
      <c r="E479" s="35" t="s">
        <v>268</v>
      </c>
      <c r="F479" s="35" t="s">
        <v>537</v>
      </c>
      <c r="G479" s="35" t="s">
        <v>2024</v>
      </c>
      <c r="H479" s="35" t="s">
        <v>256</v>
      </c>
      <c r="I479" s="35">
        <v>24215</v>
      </c>
      <c r="J479" s="35">
        <v>465.651415091964</v>
      </c>
      <c r="K479" s="35">
        <v>735.16286470172099</v>
      </c>
      <c r="L479" s="35">
        <v>-30.91</v>
      </c>
      <c r="M479" s="35">
        <v>-9.9600000000000009</v>
      </c>
      <c r="N479" s="35">
        <v>948</v>
      </c>
      <c r="O479" s="35" t="s">
        <v>554</v>
      </c>
      <c r="P479" s="35" t="s">
        <v>555</v>
      </c>
      <c r="Q479" s="35" t="s">
        <v>253</v>
      </c>
      <c r="R479" s="35" t="s">
        <v>253</v>
      </c>
      <c r="S479" s="35" t="s">
        <v>253</v>
      </c>
      <c r="T479" s="35" t="s">
        <v>261</v>
      </c>
      <c r="U479" s="35" t="s">
        <v>258</v>
      </c>
      <c r="V479" s="35" t="s">
        <v>297</v>
      </c>
      <c r="W479" s="35" t="s">
        <v>253</v>
      </c>
      <c r="X479" s="35" t="s">
        <v>791</v>
      </c>
      <c r="Y479" s="35" t="s">
        <v>792</v>
      </c>
    </row>
    <row r="480" spans="1:25" x14ac:dyDescent="0.2">
      <c r="A480" s="35">
        <v>924</v>
      </c>
      <c r="B480" s="35" t="s">
        <v>411</v>
      </c>
      <c r="C480" s="35" t="s">
        <v>64</v>
      </c>
      <c r="D480" s="35" t="s">
        <v>1971</v>
      </c>
      <c r="E480" s="35" t="s">
        <v>268</v>
      </c>
      <c r="F480" s="35" t="s">
        <v>537</v>
      </c>
      <c r="G480" s="35" t="s">
        <v>260</v>
      </c>
      <c r="H480" s="35" t="s">
        <v>256</v>
      </c>
      <c r="I480" s="35">
        <v>5362</v>
      </c>
      <c r="J480" s="35">
        <v>1164.6803731371799</v>
      </c>
      <c r="K480" s="35">
        <v>774.98170896255203</v>
      </c>
      <c r="L480" s="35">
        <v>-32.19</v>
      </c>
      <c r="M480" s="35">
        <v>12.62</v>
      </c>
      <c r="N480" s="35">
        <v>161</v>
      </c>
      <c r="O480" s="35" t="s">
        <v>554</v>
      </c>
      <c r="P480" s="35" t="s">
        <v>555</v>
      </c>
      <c r="Q480" s="35" t="s">
        <v>253</v>
      </c>
      <c r="R480" s="35" t="s">
        <v>253</v>
      </c>
      <c r="S480" s="35" t="s">
        <v>257</v>
      </c>
      <c r="T480" s="35" t="s">
        <v>253</v>
      </c>
      <c r="U480" s="35" t="s">
        <v>253</v>
      </c>
      <c r="V480" s="35" t="s">
        <v>253</v>
      </c>
      <c r="W480" s="35" t="s">
        <v>253</v>
      </c>
      <c r="X480" s="35" t="s">
        <v>681</v>
      </c>
      <c r="Y480" s="35" t="s">
        <v>682</v>
      </c>
    </row>
    <row r="481" spans="1:25" x14ac:dyDescent="0.2">
      <c r="A481" s="35">
        <v>925</v>
      </c>
      <c r="B481" s="35" t="s">
        <v>412</v>
      </c>
      <c r="C481" s="35" t="s">
        <v>61</v>
      </c>
      <c r="D481" s="35" t="s">
        <v>1976</v>
      </c>
      <c r="E481" s="35" t="s">
        <v>268</v>
      </c>
      <c r="F481" s="35" t="s">
        <v>537</v>
      </c>
      <c r="G481" s="35" t="s">
        <v>2024</v>
      </c>
      <c r="H481" s="35" t="s">
        <v>256</v>
      </c>
      <c r="I481" s="35">
        <v>10406</v>
      </c>
      <c r="J481" s="35">
        <v>498.38616389290098</v>
      </c>
      <c r="K481" s="35">
        <v>783.13620346171501</v>
      </c>
      <c r="L481" s="35">
        <v>-32.46</v>
      </c>
      <c r="M481" s="35">
        <v>-8.9</v>
      </c>
      <c r="N481" s="35">
        <v>643</v>
      </c>
      <c r="O481" s="35" t="s">
        <v>542</v>
      </c>
      <c r="P481" s="35" t="s">
        <v>543</v>
      </c>
      <c r="Q481" s="35" t="s">
        <v>253</v>
      </c>
      <c r="R481" s="35" t="s">
        <v>253</v>
      </c>
      <c r="S481" s="35" t="s">
        <v>253</v>
      </c>
      <c r="T481" s="35" t="s">
        <v>253</v>
      </c>
      <c r="U481" s="35" t="s">
        <v>253</v>
      </c>
      <c r="V481" s="35" t="s">
        <v>253</v>
      </c>
      <c r="W481" s="35" t="s">
        <v>253</v>
      </c>
      <c r="X481" s="35" t="s">
        <v>594</v>
      </c>
      <c r="Y481" s="35" t="s">
        <v>595</v>
      </c>
    </row>
    <row r="482" spans="1:25" x14ac:dyDescent="0.2">
      <c r="A482" s="35">
        <v>926</v>
      </c>
      <c r="B482" s="35" t="s">
        <v>64</v>
      </c>
      <c r="C482" s="35" t="s">
        <v>64</v>
      </c>
      <c r="D482" s="35" t="s">
        <v>1971</v>
      </c>
      <c r="E482" s="35" t="s">
        <v>268</v>
      </c>
      <c r="F482" s="35" t="s">
        <v>537</v>
      </c>
      <c r="G482" s="35" t="s">
        <v>340</v>
      </c>
      <c r="H482" s="35" t="s">
        <v>256</v>
      </c>
      <c r="I482" s="35">
        <v>19219</v>
      </c>
      <c r="J482" s="35">
        <v>1118.75</v>
      </c>
      <c r="K482" s="35">
        <v>811.75</v>
      </c>
      <c r="L482" s="35">
        <v>-33.39</v>
      </c>
      <c r="M482" s="35">
        <v>11.14</v>
      </c>
      <c r="N482" s="35">
        <v>82</v>
      </c>
      <c r="O482" s="35" t="s">
        <v>554</v>
      </c>
      <c r="P482" s="35" t="s">
        <v>555</v>
      </c>
      <c r="Q482" s="35" t="s">
        <v>253</v>
      </c>
      <c r="R482" s="35" t="s">
        <v>259</v>
      </c>
      <c r="S482" s="35" t="s">
        <v>257</v>
      </c>
      <c r="T482" s="35" t="s">
        <v>261</v>
      </c>
      <c r="U482" s="35" t="s">
        <v>258</v>
      </c>
      <c r="V482" s="35" t="s">
        <v>253</v>
      </c>
      <c r="W482" s="35" t="s">
        <v>253</v>
      </c>
      <c r="X482" s="35" t="s">
        <v>833</v>
      </c>
      <c r="Y482" s="35" t="s">
        <v>834</v>
      </c>
    </row>
    <row r="483" spans="1:25" x14ac:dyDescent="0.2">
      <c r="A483" s="35">
        <v>927</v>
      </c>
      <c r="B483" s="35" t="s">
        <v>413</v>
      </c>
      <c r="C483" s="35" t="s">
        <v>61</v>
      </c>
      <c r="D483" s="35" t="s">
        <v>1976</v>
      </c>
      <c r="E483" s="35" t="s">
        <v>268</v>
      </c>
      <c r="F483" s="35" t="s">
        <v>537</v>
      </c>
      <c r="G483" s="35" t="s">
        <v>2015</v>
      </c>
      <c r="H483" s="35" t="s">
        <v>256</v>
      </c>
      <c r="I483" s="35">
        <v>6191</v>
      </c>
      <c r="J483" s="35">
        <v>399.69537247224002</v>
      </c>
      <c r="K483" s="35">
        <v>868.06750177758295</v>
      </c>
      <c r="L483" s="35">
        <v>-35.21</v>
      </c>
      <c r="M483" s="35">
        <v>-12.09</v>
      </c>
      <c r="N483" s="35">
        <v>82</v>
      </c>
      <c r="O483" s="35" t="s">
        <v>542</v>
      </c>
      <c r="P483" s="35" t="s">
        <v>543</v>
      </c>
      <c r="Q483" s="35" t="s">
        <v>253</v>
      </c>
      <c r="R483" s="35" t="s">
        <v>253</v>
      </c>
      <c r="S483" s="35" t="s">
        <v>257</v>
      </c>
      <c r="T483" s="35" t="s">
        <v>261</v>
      </c>
      <c r="U483" s="35" t="s">
        <v>258</v>
      </c>
      <c r="V483" s="35" t="s">
        <v>253</v>
      </c>
      <c r="W483" s="35" t="s">
        <v>253</v>
      </c>
      <c r="X483" s="35" t="s">
        <v>641</v>
      </c>
      <c r="Y483" s="35" t="s">
        <v>642</v>
      </c>
    </row>
    <row r="484" spans="1:25" x14ac:dyDescent="0.2">
      <c r="A484" s="35">
        <v>953</v>
      </c>
      <c r="B484" s="35" t="s">
        <v>414</v>
      </c>
      <c r="C484" s="35" t="s">
        <v>50</v>
      </c>
      <c r="D484" s="35" t="s">
        <v>1973</v>
      </c>
      <c r="E484" s="35" t="s">
        <v>268</v>
      </c>
      <c r="F484" s="35" t="s">
        <v>537</v>
      </c>
      <c r="G484" s="35" t="s">
        <v>2024</v>
      </c>
      <c r="H484" s="35" t="s">
        <v>256</v>
      </c>
      <c r="I484" s="35">
        <v>18741</v>
      </c>
      <c r="J484" s="35">
        <v>722.66395532096203</v>
      </c>
      <c r="K484" s="35">
        <v>675.29836570547695</v>
      </c>
      <c r="L484" s="35">
        <v>-28.97</v>
      </c>
      <c r="M484" s="35">
        <v>-1.66</v>
      </c>
      <c r="N484" s="35">
        <v>3153</v>
      </c>
      <c r="O484" s="35" t="s">
        <v>612</v>
      </c>
      <c r="P484" s="35" t="s">
        <v>613</v>
      </c>
      <c r="Q484" s="35" t="s">
        <v>253</v>
      </c>
      <c r="R484" s="35" t="s">
        <v>253</v>
      </c>
      <c r="S484" s="35" t="s">
        <v>253</v>
      </c>
      <c r="T484" s="35" t="s">
        <v>253</v>
      </c>
      <c r="U484" s="35" t="s">
        <v>253</v>
      </c>
      <c r="V484" s="35" t="s">
        <v>253</v>
      </c>
      <c r="W484" s="35" t="s">
        <v>253</v>
      </c>
      <c r="X484" s="35" t="s">
        <v>783</v>
      </c>
      <c r="Y484" s="35" t="s">
        <v>784</v>
      </c>
    </row>
    <row r="485" spans="1:25" x14ac:dyDescent="0.2">
      <c r="A485" s="35">
        <v>955</v>
      </c>
      <c r="B485" s="35" t="s">
        <v>415</v>
      </c>
      <c r="C485" s="35" t="s">
        <v>64</v>
      </c>
      <c r="D485" s="35" t="s">
        <v>1971</v>
      </c>
      <c r="E485" s="35" t="s">
        <v>268</v>
      </c>
      <c r="F485" s="35" t="s">
        <v>537</v>
      </c>
      <c r="G485" s="35" t="s">
        <v>2024</v>
      </c>
      <c r="H485" s="35" t="s">
        <v>256</v>
      </c>
      <c r="I485" s="35">
        <v>19714</v>
      </c>
      <c r="J485" s="35">
        <v>916.46456683091003</v>
      </c>
      <c r="K485" s="35">
        <v>735.62994791885706</v>
      </c>
      <c r="L485" s="35">
        <v>-30.92</v>
      </c>
      <c r="M485" s="35">
        <v>4.5999999999999996</v>
      </c>
      <c r="N485" s="35">
        <v>210</v>
      </c>
      <c r="O485" s="35" t="s">
        <v>550</v>
      </c>
      <c r="P485" s="35" t="s">
        <v>551</v>
      </c>
      <c r="Q485" s="35" t="s">
        <v>253</v>
      </c>
      <c r="R485" s="35" t="s">
        <v>253</v>
      </c>
      <c r="S485" s="35" t="s">
        <v>253</v>
      </c>
      <c r="T485" s="35" t="s">
        <v>261</v>
      </c>
      <c r="U485" s="35" t="s">
        <v>258</v>
      </c>
      <c r="V485" s="35" t="s">
        <v>253</v>
      </c>
      <c r="W485" s="35" t="s">
        <v>253</v>
      </c>
      <c r="X485" s="35" t="s">
        <v>558</v>
      </c>
      <c r="Y485" s="35" t="s">
        <v>559</v>
      </c>
    </row>
    <row r="486" spans="1:25" x14ac:dyDescent="0.2">
      <c r="A486" s="35">
        <v>956</v>
      </c>
      <c r="B486" s="35" t="s">
        <v>416</v>
      </c>
      <c r="C486" s="35" t="s">
        <v>61</v>
      </c>
      <c r="D486" s="35" t="s">
        <v>1976</v>
      </c>
      <c r="E486" s="35" t="s">
        <v>268</v>
      </c>
      <c r="F486" s="35" t="s">
        <v>537</v>
      </c>
      <c r="G486" s="35" t="s">
        <v>2024</v>
      </c>
      <c r="H486" s="35" t="s">
        <v>256</v>
      </c>
      <c r="I486" s="35">
        <v>16708</v>
      </c>
      <c r="J486" s="35">
        <v>290.37843786173801</v>
      </c>
      <c r="K486" s="35">
        <v>816.72727149406796</v>
      </c>
      <c r="L486" s="35">
        <v>-33.549999999999997</v>
      </c>
      <c r="M486" s="35">
        <v>-15.62</v>
      </c>
      <c r="N486" s="35">
        <v>643</v>
      </c>
      <c r="O486" s="35" t="s">
        <v>542</v>
      </c>
      <c r="P486" s="35" t="s">
        <v>543</v>
      </c>
      <c r="Q486" s="35" t="s">
        <v>253</v>
      </c>
      <c r="R486" s="35" t="s">
        <v>253</v>
      </c>
      <c r="S486" s="35" t="s">
        <v>253</v>
      </c>
      <c r="T486" s="35" t="s">
        <v>253</v>
      </c>
      <c r="U486" s="35" t="s">
        <v>253</v>
      </c>
      <c r="V486" s="35" t="s">
        <v>253</v>
      </c>
      <c r="W486" s="35" t="s">
        <v>253</v>
      </c>
      <c r="X486" s="35" t="s">
        <v>873</v>
      </c>
      <c r="Y486" s="35" t="s">
        <v>874</v>
      </c>
    </row>
    <row r="487" spans="1:25" x14ac:dyDescent="0.2">
      <c r="A487" s="35">
        <v>979</v>
      </c>
      <c r="B487" s="35" t="s">
        <v>277</v>
      </c>
      <c r="C487" s="35" t="s">
        <v>64</v>
      </c>
      <c r="D487" s="35" t="s">
        <v>1971</v>
      </c>
      <c r="E487" s="35" t="s">
        <v>268</v>
      </c>
      <c r="F487" s="35" t="s">
        <v>537</v>
      </c>
      <c r="G487" s="35" t="s">
        <v>260</v>
      </c>
      <c r="H487" s="35" t="s">
        <v>256</v>
      </c>
      <c r="I487" s="35">
        <v>2286</v>
      </c>
      <c r="J487" s="35">
        <v>1057.8350872173501</v>
      </c>
      <c r="K487" s="35">
        <v>603.83463348369298</v>
      </c>
      <c r="L487" s="35">
        <v>-26.65</v>
      </c>
      <c r="M487" s="35">
        <v>9.17</v>
      </c>
      <c r="N487" s="35">
        <v>2572</v>
      </c>
      <c r="O487" s="35" t="s">
        <v>542</v>
      </c>
      <c r="P487" s="35" t="s">
        <v>543</v>
      </c>
      <c r="Q487" s="35" t="s">
        <v>253</v>
      </c>
      <c r="R487" s="35" t="s">
        <v>253</v>
      </c>
      <c r="S487" s="35" t="s">
        <v>253</v>
      </c>
      <c r="T487" s="35" t="s">
        <v>253</v>
      </c>
      <c r="U487" s="35" t="s">
        <v>253</v>
      </c>
      <c r="V487" s="35" t="s">
        <v>253</v>
      </c>
      <c r="W487" s="35" t="s">
        <v>253</v>
      </c>
      <c r="X487" s="35" t="s">
        <v>859</v>
      </c>
      <c r="Y487" s="35" t="s">
        <v>860</v>
      </c>
    </row>
    <row r="488" spans="1:25" x14ac:dyDescent="0.2">
      <c r="A488" s="35">
        <v>984</v>
      </c>
      <c r="B488" s="35" t="s">
        <v>427</v>
      </c>
      <c r="C488" s="35" t="s">
        <v>50</v>
      </c>
      <c r="D488" s="35" t="s">
        <v>1973</v>
      </c>
      <c r="E488" s="35" t="s">
        <v>268</v>
      </c>
      <c r="F488" s="35" t="s">
        <v>537</v>
      </c>
      <c r="G488" s="35" t="s">
        <v>2024</v>
      </c>
      <c r="H488" s="35" t="s">
        <v>256</v>
      </c>
      <c r="I488" s="35">
        <v>10356</v>
      </c>
      <c r="J488" s="35">
        <v>691.60292138142904</v>
      </c>
      <c r="K488" s="35">
        <v>814.95624762909495</v>
      </c>
      <c r="L488" s="35">
        <v>-33.49</v>
      </c>
      <c r="M488" s="35">
        <v>-2.66</v>
      </c>
      <c r="N488" s="35">
        <v>1063</v>
      </c>
      <c r="O488" s="35" t="s">
        <v>538</v>
      </c>
      <c r="P488" s="35" t="s">
        <v>539</v>
      </c>
      <c r="Q488" s="35" t="s">
        <v>253</v>
      </c>
      <c r="R488" s="35" t="s">
        <v>253</v>
      </c>
      <c r="S488" s="35" t="s">
        <v>253</v>
      </c>
      <c r="T488" s="35" t="s">
        <v>253</v>
      </c>
      <c r="U488" s="35" t="s">
        <v>253</v>
      </c>
      <c r="V488" s="35" t="s">
        <v>253</v>
      </c>
      <c r="W488" s="35" t="s">
        <v>253</v>
      </c>
      <c r="X488" s="35" t="s">
        <v>785</v>
      </c>
      <c r="Y488" s="35" t="s">
        <v>2050</v>
      </c>
    </row>
    <row r="489" spans="1:25" x14ac:dyDescent="0.2">
      <c r="A489" s="35">
        <v>985</v>
      </c>
      <c r="B489" s="35" t="s">
        <v>434</v>
      </c>
      <c r="C489" s="35" t="s">
        <v>61</v>
      </c>
      <c r="D489" s="35" t="s">
        <v>1976</v>
      </c>
      <c r="E489" s="35" t="s">
        <v>268</v>
      </c>
      <c r="F489" s="35" t="s">
        <v>537</v>
      </c>
      <c r="G489" s="35" t="s">
        <v>2024</v>
      </c>
      <c r="H489" s="35" t="s">
        <v>256</v>
      </c>
      <c r="I489" s="35">
        <v>34107</v>
      </c>
      <c r="J489" s="35">
        <v>535</v>
      </c>
      <c r="K489" s="35">
        <v>833.5</v>
      </c>
      <c r="L489" s="35">
        <v>-34.090000000000003</v>
      </c>
      <c r="M489" s="35">
        <v>-7.72</v>
      </c>
      <c r="N489" s="35">
        <v>13</v>
      </c>
      <c r="O489" s="35" t="s">
        <v>542</v>
      </c>
      <c r="P489" s="35" t="s">
        <v>543</v>
      </c>
      <c r="Q489" s="35" t="s">
        <v>253</v>
      </c>
      <c r="R489" s="35" t="s">
        <v>259</v>
      </c>
      <c r="S489" s="35" t="s">
        <v>253</v>
      </c>
      <c r="T489" s="35" t="s">
        <v>261</v>
      </c>
      <c r="U489" s="35" t="s">
        <v>258</v>
      </c>
      <c r="V489" s="35" t="s">
        <v>253</v>
      </c>
      <c r="W489" s="35" t="s">
        <v>266</v>
      </c>
      <c r="X489" s="35" t="s">
        <v>596</v>
      </c>
      <c r="Y489" s="35" t="s">
        <v>597</v>
      </c>
    </row>
    <row r="490" spans="1:25" x14ac:dyDescent="0.2">
      <c r="A490" s="35">
        <v>987</v>
      </c>
      <c r="B490" s="35" t="s">
        <v>432</v>
      </c>
      <c r="C490" s="35" t="s">
        <v>61</v>
      </c>
      <c r="D490" s="35" t="s">
        <v>1976</v>
      </c>
      <c r="E490" s="35" t="s">
        <v>268</v>
      </c>
      <c r="F490" s="35" t="s">
        <v>537</v>
      </c>
      <c r="G490" s="35" t="s">
        <v>2015</v>
      </c>
      <c r="H490" s="35" t="s">
        <v>256</v>
      </c>
      <c r="I490" s="35">
        <v>2535</v>
      </c>
      <c r="J490" s="35">
        <v>259.23955671934903</v>
      </c>
      <c r="K490" s="35">
        <v>897.04612304071998</v>
      </c>
      <c r="L490" s="35">
        <v>-36.15</v>
      </c>
      <c r="M490" s="35">
        <v>-16.63</v>
      </c>
      <c r="N490" s="35">
        <v>30</v>
      </c>
      <c r="O490" s="35" t="s">
        <v>542</v>
      </c>
      <c r="P490" s="35" t="s">
        <v>543</v>
      </c>
      <c r="Q490" s="35" t="s">
        <v>253</v>
      </c>
      <c r="R490" s="35" t="s">
        <v>253</v>
      </c>
      <c r="S490" s="35" t="s">
        <v>253</v>
      </c>
      <c r="T490" s="35" t="s">
        <v>253</v>
      </c>
      <c r="U490" s="35" t="s">
        <v>258</v>
      </c>
      <c r="V490" s="35" t="s">
        <v>253</v>
      </c>
      <c r="W490" s="35" t="s">
        <v>253</v>
      </c>
      <c r="X490" s="35" t="s">
        <v>875</v>
      </c>
      <c r="Y490" s="35" t="s">
        <v>876</v>
      </c>
    </row>
    <row r="491" spans="1:25" x14ac:dyDescent="0.2">
      <c r="A491" s="35">
        <v>1011</v>
      </c>
      <c r="B491" s="35" t="s">
        <v>461</v>
      </c>
      <c r="C491" s="35" t="s">
        <v>64</v>
      </c>
      <c r="D491" s="35" t="s">
        <v>1971</v>
      </c>
      <c r="E491" s="35" t="s">
        <v>268</v>
      </c>
      <c r="F491" s="35" t="s">
        <v>537</v>
      </c>
      <c r="G491" s="35" t="s">
        <v>260</v>
      </c>
      <c r="H491" s="35" t="s">
        <v>256</v>
      </c>
      <c r="I491" s="35">
        <v>5151</v>
      </c>
      <c r="J491" s="35">
        <v>1023.1541583450201</v>
      </c>
      <c r="K491" s="35">
        <v>719.41826792410097</v>
      </c>
      <c r="L491" s="35">
        <v>-30.4</v>
      </c>
      <c r="M491" s="35">
        <v>8.0500000000000007</v>
      </c>
      <c r="N491" s="35">
        <v>1184</v>
      </c>
      <c r="O491" s="35" t="s">
        <v>542</v>
      </c>
      <c r="P491" s="35" t="s">
        <v>543</v>
      </c>
      <c r="Q491" s="35" t="s">
        <v>253</v>
      </c>
      <c r="R491" s="35" t="s">
        <v>253</v>
      </c>
      <c r="S491" s="35" t="s">
        <v>253</v>
      </c>
      <c r="T491" s="35" t="s">
        <v>253</v>
      </c>
      <c r="U491" s="35" t="s">
        <v>253</v>
      </c>
      <c r="V491" s="35" t="s">
        <v>253</v>
      </c>
      <c r="W491" s="35" t="s">
        <v>253</v>
      </c>
      <c r="X491" s="35" t="s">
        <v>618</v>
      </c>
      <c r="Y491" s="35" t="s">
        <v>619</v>
      </c>
    </row>
    <row r="492" spans="1:25" x14ac:dyDescent="0.2">
      <c r="A492" s="35">
        <v>1012</v>
      </c>
      <c r="B492" s="35" t="s">
        <v>475</v>
      </c>
      <c r="C492" s="35" t="s">
        <v>64</v>
      </c>
      <c r="D492" s="35" t="s">
        <v>1971</v>
      </c>
      <c r="E492" s="35" t="s">
        <v>268</v>
      </c>
      <c r="F492" s="35" t="s">
        <v>537</v>
      </c>
      <c r="G492" s="35" t="s">
        <v>260</v>
      </c>
      <c r="H492" s="35" t="s">
        <v>256</v>
      </c>
      <c r="I492" s="35">
        <v>13544</v>
      </c>
      <c r="J492" s="35">
        <v>1139.1270287997099</v>
      </c>
      <c r="K492" s="35">
        <v>778.23182968178901</v>
      </c>
      <c r="L492" s="35">
        <v>-32.299999999999997</v>
      </c>
      <c r="M492" s="35">
        <v>11.79</v>
      </c>
      <c r="N492" s="35">
        <v>13</v>
      </c>
      <c r="O492" s="35" t="s">
        <v>554</v>
      </c>
      <c r="P492" s="35" t="s">
        <v>555</v>
      </c>
      <c r="Q492" s="35" t="s">
        <v>253</v>
      </c>
      <c r="R492" s="35" t="s">
        <v>253</v>
      </c>
      <c r="S492" s="35" t="s">
        <v>253</v>
      </c>
      <c r="T492" s="35" t="s">
        <v>261</v>
      </c>
      <c r="U492" s="35" t="s">
        <v>258</v>
      </c>
      <c r="V492" s="35" t="s">
        <v>253</v>
      </c>
      <c r="W492" s="35" t="s">
        <v>253</v>
      </c>
      <c r="X492" s="35" t="s">
        <v>702</v>
      </c>
      <c r="Y492" s="35" t="s">
        <v>703</v>
      </c>
    </row>
    <row r="493" spans="1:25" x14ac:dyDescent="0.2">
      <c r="A493" s="35">
        <v>1013</v>
      </c>
      <c r="B493" s="35" t="s">
        <v>487</v>
      </c>
      <c r="C493" s="35" t="s">
        <v>50</v>
      </c>
      <c r="D493" s="35" t="s">
        <v>1973</v>
      </c>
      <c r="E493" s="35" t="s">
        <v>268</v>
      </c>
      <c r="F493" s="35" t="s">
        <v>537</v>
      </c>
      <c r="G493" s="35" t="s">
        <v>2024</v>
      </c>
      <c r="H493" s="35" t="s">
        <v>256</v>
      </c>
      <c r="I493" s="35">
        <v>2337</v>
      </c>
      <c r="J493" s="35">
        <v>538.94455658086395</v>
      </c>
      <c r="K493" s="35">
        <v>801.62491414000897</v>
      </c>
      <c r="L493" s="35">
        <v>-33.06</v>
      </c>
      <c r="M493" s="35">
        <v>-7.59</v>
      </c>
      <c r="N493" s="35">
        <v>52</v>
      </c>
      <c r="O493" s="35" t="s">
        <v>554</v>
      </c>
      <c r="P493" s="35" t="s">
        <v>555</v>
      </c>
      <c r="Q493" s="35" t="s">
        <v>253</v>
      </c>
      <c r="R493" s="35" t="s">
        <v>253</v>
      </c>
      <c r="S493" s="35" t="s">
        <v>253</v>
      </c>
      <c r="T493" s="35" t="s">
        <v>253</v>
      </c>
      <c r="U493" s="35" t="s">
        <v>253</v>
      </c>
      <c r="V493" s="35" t="s">
        <v>253</v>
      </c>
      <c r="W493" s="35" t="s">
        <v>253</v>
      </c>
      <c r="X493" s="35" t="s">
        <v>584</v>
      </c>
      <c r="Y493" s="35" t="s">
        <v>585</v>
      </c>
    </row>
    <row r="494" spans="1:25" x14ac:dyDescent="0.2">
      <c r="A494" s="35">
        <v>1014</v>
      </c>
      <c r="B494" s="35" t="s">
        <v>496</v>
      </c>
      <c r="C494" s="35" t="s">
        <v>61</v>
      </c>
      <c r="D494" s="35" t="s">
        <v>1976</v>
      </c>
      <c r="E494" s="35" t="s">
        <v>268</v>
      </c>
      <c r="F494" s="35" t="s">
        <v>537</v>
      </c>
      <c r="G494" s="35" t="s">
        <v>2024</v>
      </c>
      <c r="H494" s="35" t="s">
        <v>256</v>
      </c>
      <c r="I494" s="35">
        <v>6982</v>
      </c>
      <c r="J494" s="35">
        <v>259.76502533862703</v>
      </c>
      <c r="K494" s="35">
        <v>849.89017991071296</v>
      </c>
      <c r="L494" s="35">
        <v>-34.619999999999997</v>
      </c>
      <c r="M494" s="35">
        <v>-16.61</v>
      </c>
      <c r="N494" s="35">
        <v>161</v>
      </c>
      <c r="O494" s="35" t="s">
        <v>542</v>
      </c>
      <c r="P494" s="35" t="s">
        <v>543</v>
      </c>
      <c r="Q494" s="35" t="s">
        <v>253</v>
      </c>
      <c r="R494" s="35" t="s">
        <v>253</v>
      </c>
      <c r="S494" s="35" t="s">
        <v>257</v>
      </c>
      <c r="T494" s="35" t="s">
        <v>253</v>
      </c>
      <c r="U494" s="35" t="s">
        <v>258</v>
      </c>
      <c r="V494" s="35" t="s">
        <v>253</v>
      </c>
      <c r="W494" s="35" t="s">
        <v>253</v>
      </c>
      <c r="X494" s="35" t="s">
        <v>877</v>
      </c>
      <c r="Y494" s="35" t="s">
        <v>878</v>
      </c>
    </row>
    <row r="495" spans="1:25" x14ac:dyDescent="0.2">
      <c r="A495" s="35">
        <v>1015</v>
      </c>
      <c r="B495" s="35" t="s">
        <v>509</v>
      </c>
      <c r="C495" s="35" t="s">
        <v>50</v>
      </c>
      <c r="D495" s="35" t="s">
        <v>1973</v>
      </c>
      <c r="E495" s="35" t="s">
        <v>268</v>
      </c>
      <c r="F495" s="35" t="s">
        <v>537</v>
      </c>
      <c r="G495" s="35" t="s">
        <v>2024</v>
      </c>
      <c r="H495" s="35" t="s">
        <v>256</v>
      </c>
      <c r="I495" s="35">
        <v>9448</v>
      </c>
      <c r="J495" s="35">
        <v>656.76629810338</v>
      </c>
      <c r="K495" s="35">
        <v>855.10594250206304</v>
      </c>
      <c r="L495" s="35">
        <v>-34.79</v>
      </c>
      <c r="M495" s="35">
        <v>-3.79</v>
      </c>
      <c r="N495" s="35">
        <v>643</v>
      </c>
      <c r="O495" s="35" t="s">
        <v>538</v>
      </c>
      <c r="P495" s="35" t="s">
        <v>539</v>
      </c>
      <c r="Q495" s="35" t="s">
        <v>253</v>
      </c>
      <c r="R495" s="35" t="s">
        <v>253</v>
      </c>
      <c r="S495" s="35" t="s">
        <v>253</v>
      </c>
      <c r="T495" s="35" t="s">
        <v>253</v>
      </c>
      <c r="U495" s="35" t="s">
        <v>253</v>
      </c>
      <c r="V495" s="35" t="s">
        <v>253</v>
      </c>
      <c r="W495" s="35" t="s">
        <v>253</v>
      </c>
      <c r="X495" s="35" t="s">
        <v>671</v>
      </c>
      <c r="Y495" s="35" t="s">
        <v>672</v>
      </c>
    </row>
    <row r="496" spans="1:25" x14ac:dyDescent="0.2">
      <c r="A496" s="35">
        <v>1039</v>
      </c>
      <c r="B496" s="35" t="s">
        <v>425</v>
      </c>
      <c r="C496" s="35" t="s">
        <v>54</v>
      </c>
      <c r="D496" s="35" t="s">
        <v>1972</v>
      </c>
      <c r="E496" s="35" t="s">
        <v>268</v>
      </c>
      <c r="F496" s="35" t="s">
        <v>537</v>
      </c>
      <c r="G496" s="35" t="s">
        <v>262</v>
      </c>
      <c r="H496" s="35" t="s">
        <v>263</v>
      </c>
      <c r="I496" s="35">
        <v>20004</v>
      </c>
      <c r="J496" s="35">
        <v>886.51285553207401</v>
      </c>
      <c r="K496" s="35">
        <v>434.63373807623299</v>
      </c>
      <c r="L496" s="35">
        <v>-21.17</v>
      </c>
      <c r="M496" s="35">
        <v>3.63</v>
      </c>
      <c r="N496" s="35">
        <v>7559</v>
      </c>
      <c r="O496" s="35" t="s">
        <v>722</v>
      </c>
      <c r="P496" s="35" t="s">
        <v>723</v>
      </c>
      <c r="Q496" s="35" t="s">
        <v>253</v>
      </c>
      <c r="R496" s="35" t="s">
        <v>253</v>
      </c>
      <c r="S496" s="35" t="s">
        <v>257</v>
      </c>
      <c r="T496" s="35" t="s">
        <v>261</v>
      </c>
      <c r="U496" s="35" t="s">
        <v>258</v>
      </c>
      <c r="V496" s="35" t="s">
        <v>253</v>
      </c>
      <c r="W496" s="35" t="s">
        <v>266</v>
      </c>
      <c r="X496" s="35" t="s">
        <v>793</v>
      </c>
      <c r="Y496" s="35" t="s">
        <v>794</v>
      </c>
    </row>
    <row r="497" spans="1:25" x14ac:dyDescent="0.2">
      <c r="A497" s="35">
        <v>1040</v>
      </c>
      <c r="B497" s="35" t="s">
        <v>502</v>
      </c>
      <c r="C497" s="35" t="s">
        <v>54</v>
      </c>
      <c r="D497" s="35" t="s">
        <v>1972</v>
      </c>
      <c r="E497" s="35" t="s">
        <v>268</v>
      </c>
      <c r="F497" s="35" t="s">
        <v>537</v>
      </c>
      <c r="G497" s="35" t="s">
        <v>2024</v>
      </c>
      <c r="H497" s="35" t="s">
        <v>516</v>
      </c>
      <c r="I497" s="35">
        <v>1115</v>
      </c>
      <c r="J497" s="35">
        <v>865.70819056881498</v>
      </c>
      <c r="K497" s="35">
        <v>604.14602229511695</v>
      </c>
      <c r="L497" s="35">
        <v>-26.66</v>
      </c>
      <c r="M497" s="35">
        <v>2.96</v>
      </c>
      <c r="N497" s="35">
        <v>7248</v>
      </c>
      <c r="O497" s="35" t="s">
        <v>861</v>
      </c>
      <c r="P497" s="35" t="s">
        <v>862</v>
      </c>
      <c r="Q497" s="35" t="s">
        <v>253</v>
      </c>
      <c r="R497" s="35" t="s">
        <v>253</v>
      </c>
      <c r="S497" s="35" t="s">
        <v>253</v>
      </c>
      <c r="T497" s="35" t="s">
        <v>253</v>
      </c>
      <c r="U497" s="35" t="s">
        <v>253</v>
      </c>
      <c r="V497" s="35" t="s">
        <v>253</v>
      </c>
      <c r="W497" s="35" t="s">
        <v>253</v>
      </c>
      <c r="X497" s="35" t="s">
        <v>863</v>
      </c>
      <c r="Y497" s="35" t="s">
        <v>864</v>
      </c>
    </row>
    <row r="498" spans="1:25" x14ac:dyDescent="0.2">
      <c r="A498" s="35">
        <v>1041</v>
      </c>
      <c r="B498" s="35" t="s">
        <v>517</v>
      </c>
      <c r="C498" s="35" t="s">
        <v>54</v>
      </c>
      <c r="D498" s="35" t="s">
        <v>1972</v>
      </c>
      <c r="E498" s="35" t="s">
        <v>268</v>
      </c>
      <c r="F498" s="35" t="s">
        <v>537</v>
      </c>
      <c r="G498" s="35" t="s">
        <v>262</v>
      </c>
      <c r="H498" s="35" t="s">
        <v>263</v>
      </c>
      <c r="I498" s="35">
        <v>3288</v>
      </c>
      <c r="J498" s="35">
        <v>870.72933515302498</v>
      </c>
      <c r="K498" s="35">
        <v>531.04749881335704</v>
      </c>
      <c r="L498" s="35">
        <v>-24.3</v>
      </c>
      <c r="M498" s="35">
        <v>3.12</v>
      </c>
      <c r="N498" s="35">
        <v>210</v>
      </c>
      <c r="O498" s="35" t="s">
        <v>602</v>
      </c>
      <c r="P498" s="35" t="s">
        <v>603</v>
      </c>
      <c r="Q498" s="35" t="s">
        <v>253</v>
      </c>
      <c r="R498" s="35" t="s">
        <v>253</v>
      </c>
      <c r="S498" s="35" t="s">
        <v>257</v>
      </c>
      <c r="T498" s="35" t="s">
        <v>253</v>
      </c>
      <c r="U498" s="35" t="s">
        <v>253</v>
      </c>
      <c r="V498" s="35" t="s">
        <v>253</v>
      </c>
      <c r="W498" s="35" t="s">
        <v>253</v>
      </c>
      <c r="X498" s="35" t="s">
        <v>849</v>
      </c>
      <c r="Y498" s="35" t="s">
        <v>850</v>
      </c>
    </row>
    <row r="499" spans="1:25" x14ac:dyDescent="0.2">
      <c r="A499" s="35">
        <v>1042</v>
      </c>
      <c r="B499" s="35" t="s">
        <v>518</v>
      </c>
      <c r="C499" s="35" t="s">
        <v>54</v>
      </c>
      <c r="D499" s="35" t="s">
        <v>1972</v>
      </c>
      <c r="E499" s="35" t="s">
        <v>268</v>
      </c>
      <c r="F499" s="35" t="s">
        <v>537</v>
      </c>
      <c r="G499" s="35" t="s">
        <v>262</v>
      </c>
      <c r="H499" s="35" t="s">
        <v>263</v>
      </c>
      <c r="I499" s="35">
        <v>3294</v>
      </c>
      <c r="J499" s="35">
        <v>901.20651507113905</v>
      </c>
      <c r="K499" s="35">
        <v>529.95763797337395</v>
      </c>
      <c r="L499" s="35">
        <v>-24.26</v>
      </c>
      <c r="M499" s="35">
        <v>4.1100000000000003</v>
      </c>
      <c r="N499" s="35">
        <v>554</v>
      </c>
      <c r="O499" s="35" t="s">
        <v>568</v>
      </c>
      <c r="P499" s="35" t="s">
        <v>569</v>
      </c>
      <c r="Q499" s="35" t="s">
        <v>253</v>
      </c>
      <c r="R499" s="35" t="s">
        <v>253</v>
      </c>
      <c r="S499" s="35" t="s">
        <v>253</v>
      </c>
      <c r="T499" s="35" t="s">
        <v>261</v>
      </c>
      <c r="U499" s="35" t="s">
        <v>258</v>
      </c>
      <c r="V499" s="35" t="s">
        <v>253</v>
      </c>
      <c r="W499" s="35" t="s">
        <v>253</v>
      </c>
      <c r="X499" s="35" t="s">
        <v>851</v>
      </c>
      <c r="Y499" s="35" t="s">
        <v>852</v>
      </c>
    </row>
    <row r="500" spans="1:25" x14ac:dyDescent="0.2">
      <c r="A500" s="35">
        <v>1043</v>
      </c>
      <c r="B500" s="35" t="s">
        <v>519</v>
      </c>
      <c r="C500" s="35" t="s">
        <v>54</v>
      </c>
      <c r="D500" s="35" t="s">
        <v>1972</v>
      </c>
      <c r="E500" s="35" t="s">
        <v>268</v>
      </c>
      <c r="F500" s="35" t="s">
        <v>537</v>
      </c>
      <c r="G500" s="35" t="s">
        <v>522</v>
      </c>
      <c r="H500" s="35" t="s">
        <v>263</v>
      </c>
      <c r="I500" s="35">
        <v>1472</v>
      </c>
      <c r="J500" s="35">
        <v>1135.2346686569099</v>
      </c>
      <c r="K500" s="35">
        <v>468.32211511215598</v>
      </c>
      <c r="L500" s="35">
        <v>-22.26</v>
      </c>
      <c r="M500" s="35">
        <v>11.67</v>
      </c>
      <c r="N500" s="35">
        <v>6644</v>
      </c>
      <c r="O500" s="35" t="s">
        <v>795</v>
      </c>
      <c r="P500" s="35" t="s">
        <v>796</v>
      </c>
      <c r="Q500" s="35" t="s">
        <v>253</v>
      </c>
      <c r="R500" s="35" t="s">
        <v>253</v>
      </c>
      <c r="S500" s="35" t="s">
        <v>257</v>
      </c>
      <c r="T500" s="35" t="s">
        <v>253</v>
      </c>
      <c r="U500" s="35" t="s">
        <v>253</v>
      </c>
      <c r="V500" s="35" t="s">
        <v>253</v>
      </c>
      <c r="W500" s="35" t="s">
        <v>253</v>
      </c>
      <c r="X500" s="35" t="s">
        <v>797</v>
      </c>
      <c r="Y500" s="35" t="s">
        <v>798</v>
      </c>
    </row>
    <row r="501" spans="1:25" x14ac:dyDescent="0.2">
      <c r="A501" s="35">
        <v>1044</v>
      </c>
      <c r="B501" s="35" t="s">
        <v>520</v>
      </c>
      <c r="C501" s="35" t="s">
        <v>54</v>
      </c>
      <c r="D501" s="35" t="s">
        <v>1972</v>
      </c>
      <c r="E501" s="35" t="s">
        <v>268</v>
      </c>
      <c r="F501" s="35" t="s">
        <v>537</v>
      </c>
      <c r="G501" s="35" t="s">
        <v>262</v>
      </c>
      <c r="H501" s="35" t="s">
        <v>263</v>
      </c>
      <c r="I501" s="35">
        <v>2947</v>
      </c>
      <c r="J501" s="35">
        <v>1061.3965967480201</v>
      </c>
      <c r="K501" s="35">
        <v>488.737544061135</v>
      </c>
      <c r="L501" s="35">
        <v>-22.93</v>
      </c>
      <c r="M501" s="35">
        <v>9.2799999999999994</v>
      </c>
      <c r="N501" s="35">
        <v>2392</v>
      </c>
      <c r="O501" s="35" t="s">
        <v>554</v>
      </c>
      <c r="P501" s="35" t="s">
        <v>555</v>
      </c>
      <c r="Q501" s="35" t="s">
        <v>253</v>
      </c>
      <c r="R501" s="35" t="s">
        <v>253</v>
      </c>
      <c r="S501" s="35" t="s">
        <v>253</v>
      </c>
      <c r="T501" s="35" t="s">
        <v>253</v>
      </c>
      <c r="U501" s="35" t="s">
        <v>258</v>
      </c>
      <c r="V501" s="35" t="s">
        <v>253</v>
      </c>
      <c r="W501" s="35" t="s">
        <v>253</v>
      </c>
      <c r="X501" s="35" t="s">
        <v>720</v>
      </c>
      <c r="Y501" s="35" t="s">
        <v>721</v>
      </c>
    </row>
    <row r="502" spans="1:25" x14ac:dyDescent="0.2">
      <c r="A502" s="35">
        <v>1045</v>
      </c>
      <c r="B502" s="35" t="s">
        <v>505</v>
      </c>
      <c r="C502" s="35" t="s">
        <v>54</v>
      </c>
      <c r="D502" s="35" t="s">
        <v>1972</v>
      </c>
      <c r="E502" s="35" t="s">
        <v>268</v>
      </c>
      <c r="F502" s="35" t="s">
        <v>537</v>
      </c>
      <c r="G502" s="35" t="s">
        <v>262</v>
      </c>
      <c r="H502" s="35" t="s">
        <v>263</v>
      </c>
      <c r="I502" s="35">
        <v>3250</v>
      </c>
      <c r="J502" s="35">
        <v>846.36316065910501</v>
      </c>
      <c r="K502" s="35">
        <v>548.25173064452804</v>
      </c>
      <c r="L502" s="35">
        <v>-24.85</v>
      </c>
      <c r="M502" s="35">
        <v>2.34</v>
      </c>
      <c r="N502" s="35">
        <v>118</v>
      </c>
      <c r="O502" s="35" t="s">
        <v>568</v>
      </c>
      <c r="P502" s="35" t="s">
        <v>569</v>
      </c>
      <c r="Q502" s="35" t="s">
        <v>253</v>
      </c>
      <c r="R502" s="35" t="s">
        <v>253</v>
      </c>
      <c r="S502" s="35" t="s">
        <v>257</v>
      </c>
      <c r="T502" s="35" t="s">
        <v>253</v>
      </c>
      <c r="U502" s="35" t="s">
        <v>258</v>
      </c>
      <c r="V502" s="35" t="s">
        <v>253</v>
      </c>
      <c r="W502" s="35" t="s">
        <v>253</v>
      </c>
      <c r="X502" s="35" t="s">
        <v>853</v>
      </c>
      <c r="Y502" s="35" t="s">
        <v>854</v>
      </c>
    </row>
    <row r="503" spans="1:25" x14ac:dyDescent="0.2">
      <c r="A503" s="35">
        <v>1046</v>
      </c>
      <c r="B503" s="35" t="s">
        <v>511</v>
      </c>
      <c r="C503" s="35" t="s">
        <v>54</v>
      </c>
      <c r="D503" s="35" t="s">
        <v>1972</v>
      </c>
      <c r="E503" s="35" t="s">
        <v>268</v>
      </c>
      <c r="F503" s="35" t="s">
        <v>537</v>
      </c>
      <c r="G503" s="35" t="s">
        <v>522</v>
      </c>
      <c r="H503" s="35" t="s">
        <v>521</v>
      </c>
      <c r="I503" s="35">
        <v>1849</v>
      </c>
      <c r="J503" s="35">
        <v>976.81561084500402</v>
      </c>
      <c r="K503" s="35">
        <v>410.24810178159998</v>
      </c>
      <c r="L503" s="35">
        <v>-20.38</v>
      </c>
      <c r="M503" s="35">
        <v>6.55</v>
      </c>
      <c r="N503" s="35">
        <v>5515</v>
      </c>
      <c r="O503" s="35" t="s">
        <v>560</v>
      </c>
      <c r="P503" s="35" t="s">
        <v>561</v>
      </c>
      <c r="Q503" s="35" t="s">
        <v>253</v>
      </c>
      <c r="R503" s="35" t="s">
        <v>253</v>
      </c>
      <c r="S503" s="35" t="s">
        <v>257</v>
      </c>
      <c r="T503" s="35" t="s">
        <v>261</v>
      </c>
      <c r="U503" s="35" t="s">
        <v>253</v>
      </c>
      <c r="V503" s="35" t="s">
        <v>253</v>
      </c>
      <c r="W503" s="35" t="s">
        <v>253</v>
      </c>
      <c r="X503" s="35" t="s">
        <v>777</v>
      </c>
      <c r="Y503" s="35" t="s">
        <v>778</v>
      </c>
    </row>
    <row r="504" spans="1:25" x14ac:dyDescent="0.2">
      <c r="A504" s="35">
        <v>1047</v>
      </c>
      <c r="B504" s="35" t="s">
        <v>508</v>
      </c>
      <c r="C504" s="35" t="s">
        <v>54</v>
      </c>
      <c r="D504" s="35" t="s">
        <v>1972</v>
      </c>
      <c r="E504" s="35" t="s">
        <v>268</v>
      </c>
      <c r="F504" s="35" t="s">
        <v>537</v>
      </c>
      <c r="G504" s="35" t="s">
        <v>395</v>
      </c>
      <c r="H504" s="35" t="s">
        <v>263</v>
      </c>
      <c r="I504" s="35">
        <v>1174</v>
      </c>
      <c r="J504" s="35">
        <v>1073.2293715821199</v>
      </c>
      <c r="K504" s="35">
        <v>564.73587584927998</v>
      </c>
      <c r="L504" s="35">
        <v>-25.39</v>
      </c>
      <c r="M504" s="35">
        <v>9.67</v>
      </c>
      <c r="N504" s="35">
        <v>6644</v>
      </c>
      <c r="O504" s="35" t="s">
        <v>722</v>
      </c>
      <c r="P504" s="35" t="s">
        <v>723</v>
      </c>
      <c r="Q504" s="35" t="s">
        <v>253</v>
      </c>
      <c r="R504" s="35" t="s">
        <v>253</v>
      </c>
      <c r="S504" s="35" t="s">
        <v>253</v>
      </c>
      <c r="T504" s="35" t="s">
        <v>261</v>
      </c>
      <c r="U504" s="35" t="s">
        <v>253</v>
      </c>
      <c r="V504" s="35" t="s">
        <v>253</v>
      </c>
      <c r="W504" s="35" t="s">
        <v>253</v>
      </c>
      <c r="X504" s="35" t="s">
        <v>724</v>
      </c>
      <c r="Y504" s="35" t="s">
        <v>725</v>
      </c>
    </row>
    <row r="505" spans="1:25" x14ac:dyDescent="0.2">
      <c r="A505" s="35">
        <v>1048</v>
      </c>
      <c r="B505" s="35" t="s">
        <v>523</v>
      </c>
      <c r="C505" s="35" t="s">
        <v>54</v>
      </c>
      <c r="D505" s="35" t="s">
        <v>1972</v>
      </c>
      <c r="E505" s="35" t="s">
        <v>268</v>
      </c>
      <c r="F505" s="35" t="s">
        <v>537</v>
      </c>
      <c r="G505" s="35" t="s">
        <v>262</v>
      </c>
      <c r="H505" s="35" t="s">
        <v>263</v>
      </c>
      <c r="I505" s="35">
        <v>1857</v>
      </c>
      <c r="J505" s="35">
        <v>1109.0780084973001</v>
      </c>
      <c r="K505" s="35">
        <v>515.98406506072604</v>
      </c>
      <c r="L505" s="35">
        <v>-23.81</v>
      </c>
      <c r="M505" s="35">
        <v>10.82</v>
      </c>
      <c r="N505" s="35">
        <v>4492</v>
      </c>
      <c r="O505" s="35" t="s">
        <v>726</v>
      </c>
      <c r="P505" s="35" t="s">
        <v>727</v>
      </c>
      <c r="Q505" s="35" t="s">
        <v>253</v>
      </c>
      <c r="R505" s="35" t="s">
        <v>253</v>
      </c>
      <c r="S505" s="35" t="s">
        <v>253</v>
      </c>
      <c r="T505" s="35" t="s">
        <v>253</v>
      </c>
      <c r="U505" s="35" t="s">
        <v>253</v>
      </c>
      <c r="V505" s="35" t="s">
        <v>253</v>
      </c>
      <c r="W505" s="35" t="s">
        <v>253</v>
      </c>
      <c r="X505" s="35" t="s">
        <v>728</v>
      </c>
      <c r="Y505" s="35" t="s">
        <v>729</v>
      </c>
    </row>
    <row r="506" spans="1:25" x14ac:dyDescent="0.2">
      <c r="A506" s="35">
        <v>1049</v>
      </c>
      <c r="B506" s="35" t="s">
        <v>524</v>
      </c>
      <c r="C506" s="35" t="s">
        <v>54</v>
      </c>
      <c r="D506" s="35" t="s">
        <v>1972</v>
      </c>
      <c r="E506" s="35" t="s">
        <v>268</v>
      </c>
      <c r="F506" s="35" t="s">
        <v>537</v>
      </c>
      <c r="G506" s="35" t="s">
        <v>262</v>
      </c>
      <c r="H506" s="35" t="s">
        <v>263</v>
      </c>
      <c r="I506" s="35">
        <v>1506</v>
      </c>
      <c r="J506" s="35">
        <v>1035.96002321483</v>
      </c>
      <c r="K506" s="35">
        <v>576.91896309623996</v>
      </c>
      <c r="L506" s="35">
        <v>-25.78</v>
      </c>
      <c r="M506" s="35">
        <v>8.4600000000000009</v>
      </c>
      <c r="N506" s="35">
        <v>6067</v>
      </c>
      <c r="O506" s="35" t="s">
        <v>730</v>
      </c>
      <c r="P506" s="35" t="s">
        <v>731</v>
      </c>
      <c r="Q506" s="35" t="s">
        <v>253</v>
      </c>
      <c r="R506" s="35" t="s">
        <v>253</v>
      </c>
      <c r="S506" s="35" t="s">
        <v>253</v>
      </c>
      <c r="T506" s="35" t="s">
        <v>253</v>
      </c>
      <c r="U506" s="35" t="s">
        <v>253</v>
      </c>
      <c r="V506" s="35" t="s">
        <v>253</v>
      </c>
      <c r="W506" s="35" t="s">
        <v>253</v>
      </c>
      <c r="X506" s="35" t="s">
        <v>732</v>
      </c>
      <c r="Y506" s="35" t="s">
        <v>733</v>
      </c>
    </row>
    <row r="507" spans="1:25" x14ac:dyDescent="0.2">
      <c r="A507" s="35">
        <v>1050</v>
      </c>
      <c r="B507" s="35" t="s">
        <v>514</v>
      </c>
      <c r="C507" s="35" t="s">
        <v>54</v>
      </c>
      <c r="D507" s="35" t="s">
        <v>1972</v>
      </c>
      <c r="E507" s="35" t="s">
        <v>268</v>
      </c>
      <c r="F507" s="35" t="s">
        <v>537</v>
      </c>
      <c r="G507" s="35" t="s">
        <v>262</v>
      </c>
      <c r="H507" s="35" t="s">
        <v>263</v>
      </c>
      <c r="I507" s="35">
        <v>1867</v>
      </c>
      <c r="J507" s="35">
        <v>967.86318251656701</v>
      </c>
      <c r="K507" s="35">
        <v>534.97878255758405</v>
      </c>
      <c r="L507" s="35">
        <v>-24.42</v>
      </c>
      <c r="M507" s="35">
        <v>6.26</v>
      </c>
      <c r="N507" s="35">
        <v>4738</v>
      </c>
      <c r="O507" s="35" t="s">
        <v>560</v>
      </c>
      <c r="P507" s="35" t="s">
        <v>561</v>
      </c>
      <c r="Q507" s="35" t="s">
        <v>253</v>
      </c>
      <c r="R507" s="35" t="s">
        <v>253</v>
      </c>
      <c r="S507" s="35" t="s">
        <v>253</v>
      </c>
      <c r="T507" s="35" t="s">
        <v>253</v>
      </c>
      <c r="U507" s="35" t="s">
        <v>253</v>
      </c>
      <c r="V507" s="35" t="s">
        <v>253</v>
      </c>
      <c r="W507" s="35" t="s">
        <v>253</v>
      </c>
      <c r="X507" s="35" t="s">
        <v>562</v>
      </c>
      <c r="Y507" s="35" t="s">
        <v>563</v>
      </c>
    </row>
    <row r="508" spans="1:25" x14ac:dyDescent="0.2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spans="1:25" x14ac:dyDescent="0.2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spans="1:25" x14ac:dyDescent="0.2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spans="1:25" x14ac:dyDescent="0.2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spans="1:25" x14ac:dyDescent="0.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spans="1:25" x14ac:dyDescent="0.2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spans="1:25" x14ac:dyDescent="0.2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spans="1:25" x14ac:dyDescent="0.2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spans="1:25" x14ac:dyDescent="0.2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spans="1:25" x14ac:dyDescent="0.2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spans="1:25" x14ac:dyDescent="0.2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spans="1:25" x14ac:dyDescent="0.2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spans="1:25" x14ac:dyDescent="0.2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spans="1:25" x14ac:dyDescent="0.2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spans="1:25" x14ac:dyDescent="0.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spans="1:25" x14ac:dyDescent="0.2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spans="1:25" x14ac:dyDescent="0.2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spans="1:25" x14ac:dyDescent="0.2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spans="1:25" x14ac:dyDescent="0.2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spans="1:25" x14ac:dyDescent="0.2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spans="1:25" x14ac:dyDescent="0.2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spans="1:25" x14ac:dyDescent="0.2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spans="1:25" x14ac:dyDescent="0.2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spans="1:25" x14ac:dyDescent="0.2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spans="1:25" x14ac:dyDescent="0.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spans="1:25" x14ac:dyDescent="0.2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spans="1:25" x14ac:dyDescent="0.2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spans="1:25" x14ac:dyDescent="0.2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spans="1:25" x14ac:dyDescent="0.2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spans="1:25" x14ac:dyDescent="0.2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spans="1:25" x14ac:dyDescent="0.2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spans="1:25" x14ac:dyDescent="0.2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spans="1:25" x14ac:dyDescent="0.2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spans="1:25" x14ac:dyDescent="0.2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spans="1:25" x14ac:dyDescent="0.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spans="1:25" x14ac:dyDescent="0.2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spans="1:25" x14ac:dyDescent="0.2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spans="1:25" x14ac:dyDescent="0.2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spans="1:25" x14ac:dyDescent="0.2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spans="1:25" x14ac:dyDescent="0.2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spans="1:25" x14ac:dyDescent="0.2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spans="1:25" x14ac:dyDescent="0.2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spans="1:25" x14ac:dyDescent="0.2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spans="1:25" x14ac:dyDescent="0.2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spans="1:25" x14ac:dyDescent="0.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spans="1:25" x14ac:dyDescent="0.2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spans="1:25" x14ac:dyDescent="0.2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spans="1:25" x14ac:dyDescent="0.2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spans="1:25" x14ac:dyDescent="0.2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spans="1:25" x14ac:dyDescent="0.2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spans="1:25" x14ac:dyDescent="0.2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spans="1:25" x14ac:dyDescent="0.2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spans="1:25" x14ac:dyDescent="0.2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spans="1:25" x14ac:dyDescent="0.2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spans="1:25" x14ac:dyDescent="0.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spans="1:25" x14ac:dyDescent="0.2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spans="1:25" x14ac:dyDescent="0.2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spans="1:25" x14ac:dyDescent="0.2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spans="1:25" x14ac:dyDescent="0.2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spans="1:25" x14ac:dyDescent="0.2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spans="1:25" x14ac:dyDescent="0.2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spans="1:25" x14ac:dyDescent="0.2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spans="1:25" x14ac:dyDescent="0.2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spans="1:25" x14ac:dyDescent="0.2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spans="1:25" x14ac:dyDescent="0.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spans="1:25" x14ac:dyDescent="0.2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spans="1:25" x14ac:dyDescent="0.2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spans="1:25" x14ac:dyDescent="0.2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spans="1:25" x14ac:dyDescent="0.2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spans="1:25" x14ac:dyDescent="0.2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spans="1:25" x14ac:dyDescent="0.2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spans="1:25" x14ac:dyDescent="0.2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spans="1:25" x14ac:dyDescent="0.2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spans="1:25" x14ac:dyDescent="0.2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spans="1:25" x14ac:dyDescent="0.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spans="1:25" x14ac:dyDescent="0.2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spans="1:25" x14ac:dyDescent="0.2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spans="1:25" x14ac:dyDescent="0.2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spans="1:25" x14ac:dyDescent="0.2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spans="1:25" x14ac:dyDescent="0.2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spans="1:25" x14ac:dyDescent="0.2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spans="1:25" x14ac:dyDescent="0.2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spans="1:25" x14ac:dyDescent="0.2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spans="1:25" x14ac:dyDescent="0.2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spans="1:25" x14ac:dyDescent="0.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spans="1:25" x14ac:dyDescent="0.2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spans="1:25" x14ac:dyDescent="0.2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spans="1:25" x14ac:dyDescent="0.2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spans="1:25" x14ac:dyDescent="0.2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spans="1:25" x14ac:dyDescent="0.2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spans="1:25" x14ac:dyDescent="0.2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spans="1:25" x14ac:dyDescent="0.2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spans="1:25" x14ac:dyDescent="0.2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spans="1:25" x14ac:dyDescent="0.2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spans="1:25" x14ac:dyDescent="0.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spans="1:25" x14ac:dyDescent="0.2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spans="1:25" x14ac:dyDescent="0.2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spans="1:25" x14ac:dyDescent="0.2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spans="1:25" x14ac:dyDescent="0.2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spans="1:25" x14ac:dyDescent="0.2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spans="1:25" x14ac:dyDescent="0.2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spans="1:25" x14ac:dyDescent="0.2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spans="1:25" x14ac:dyDescent="0.2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spans="1:25" x14ac:dyDescent="0.2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spans="1:25" x14ac:dyDescent="0.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spans="1:25" x14ac:dyDescent="0.2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spans="1:25" x14ac:dyDescent="0.2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spans="1:25" x14ac:dyDescent="0.2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spans="1:25" x14ac:dyDescent="0.2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spans="1:25" x14ac:dyDescent="0.2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spans="1:25" x14ac:dyDescent="0.2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spans="1:25" x14ac:dyDescent="0.2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spans="1:25" x14ac:dyDescent="0.2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spans="1:25" x14ac:dyDescent="0.2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spans="1:25" x14ac:dyDescent="0.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spans="1:25" x14ac:dyDescent="0.2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spans="1:25" x14ac:dyDescent="0.2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spans="1:25" x14ac:dyDescent="0.2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spans="1:25" x14ac:dyDescent="0.2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spans="1:25" x14ac:dyDescent="0.2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spans="1:25" x14ac:dyDescent="0.2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spans="1:25" x14ac:dyDescent="0.2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spans="1:25" x14ac:dyDescent="0.2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spans="1:25" x14ac:dyDescent="0.2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spans="1:25" x14ac:dyDescent="0.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spans="1:25" x14ac:dyDescent="0.2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spans="1:25" x14ac:dyDescent="0.2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spans="1:25" x14ac:dyDescent="0.2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spans="1:25" x14ac:dyDescent="0.2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spans="1:25" x14ac:dyDescent="0.2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spans="1:25" x14ac:dyDescent="0.2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spans="1:25" x14ac:dyDescent="0.2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spans="1:25" x14ac:dyDescent="0.2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spans="1:25" x14ac:dyDescent="0.2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spans="1:25" x14ac:dyDescent="0.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spans="1:25" x14ac:dyDescent="0.2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spans="1:25" x14ac:dyDescent="0.2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spans="1:25" x14ac:dyDescent="0.2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spans="1:25" x14ac:dyDescent="0.2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spans="1:25" x14ac:dyDescent="0.2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spans="1:25" x14ac:dyDescent="0.2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spans="1:25" x14ac:dyDescent="0.2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spans="1:25" x14ac:dyDescent="0.2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spans="1:25" x14ac:dyDescent="0.2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spans="1:25" x14ac:dyDescent="0.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spans="1:25" x14ac:dyDescent="0.2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spans="1:25" x14ac:dyDescent="0.2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spans="1:25" x14ac:dyDescent="0.2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spans="1:25" x14ac:dyDescent="0.2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spans="1:25" x14ac:dyDescent="0.2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spans="1:25" x14ac:dyDescent="0.2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spans="1:25" x14ac:dyDescent="0.2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spans="1:25" x14ac:dyDescent="0.2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spans="1:25" x14ac:dyDescent="0.2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spans="1:25" x14ac:dyDescent="0.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spans="1:25" x14ac:dyDescent="0.2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spans="1:25" x14ac:dyDescent="0.2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spans="1:25" x14ac:dyDescent="0.2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spans="1:25" x14ac:dyDescent="0.2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spans="1:25" x14ac:dyDescent="0.2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spans="1:25" x14ac:dyDescent="0.2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spans="1:25" x14ac:dyDescent="0.2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spans="1:25" x14ac:dyDescent="0.2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spans="1:25" x14ac:dyDescent="0.2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spans="1:25" x14ac:dyDescent="0.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spans="1:25" x14ac:dyDescent="0.2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spans="1:25" x14ac:dyDescent="0.2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spans="1:25" x14ac:dyDescent="0.2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spans="1:25" x14ac:dyDescent="0.2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spans="1:25" x14ac:dyDescent="0.2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spans="1:25" x14ac:dyDescent="0.2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spans="1:25" x14ac:dyDescent="0.2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spans="1:25" x14ac:dyDescent="0.2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spans="1:25" x14ac:dyDescent="0.2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spans="1:25" x14ac:dyDescent="0.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spans="1:25" x14ac:dyDescent="0.2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spans="1:25" x14ac:dyDescent="0.2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spans="1:25" x14ac:dyDescent="0.2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spans="1:25" x14ac:dyDescent="0.2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spans="1:25" x14ac:dyDescent="0.2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spans="1:25" x14ac:dyDescent="0.2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spans="1:25" x14ac:dyDescent="0.2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spans="1:25" x14ac:dyDescent="0.2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spans="1:25" x14ac:dyDescent="0.2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spans="1:25" x14ac:dyDescent="0.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spans="1:25" x14ac:dyDescent="0.2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spans="1:25" x14ac:dyDescent="0.2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spans="1:25" x14ac:dyDescent="0.2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spans="1:25" x14ac:dyDescent="0.2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spans="1:25" x14ac:dyDescent="0.2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spans="1:25" x14ac:dyDescent="0.2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spans="1:25" x14ac:dyDescent="0.2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spans="1:25" x14ac:dyDescent="0.2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spans="1:25" x14ac:dyDescent="0.2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spans="1:25" x14ac:dyDescent="0.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spans="1:25" x14ac:dyDescent="0.2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spans="1:25" x14ac:dyDescent="0.2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spans="1:25" x14ac:dyDescent="0.2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spans="1:25" x14ac:dyDescent="0.2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spans="1:25" x14ac:dyDescent="0.2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spans="1:25" x14ac:dyDescent="0.2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spans="1:25" x14ac:dyDescent="0.2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spans="1:25" x14ac:dyDescent="0.2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spans="1:25" x14ac:dyDescent="0.2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spans="1:25" x14ac:dyDescent="0.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spans="1:25" x14ac:dyDescent="0.2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spans="1:25" x14ac:dyDescent="0.2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spans="1:25" x14ac:dyDescent="0.2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spans="1:25" x14ac:dyDescent="0.2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spans="1:25" x14ac:dyDescent="0.2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spans="1:25" x14ac:dyDescent="0.2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spans="1:25" x14ac:dyDescent="0.2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spans="1:25" x14ac:dyDescent="0.2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spans="1:25" x14ac:dyDescent="0.2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spans="1:25" x14ac:dyDescent="0.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spans="1:25" x14ac:dyDescent="0.2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spans="1:25" x14ac:dyDescent="0.2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spans="1:25" x14ac:dyDescent="0.2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spans="1:25" x14ac:dyDescent="0.2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spans="1:25" x14ac:dyDescent="0.2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spans="1:25" x14ac:dyDescent="0.2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spans="1:25" x14ac:dyDescent="0.2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spans="1:25" x14ac:dyDescent="0.2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spans="1:25" x14ac:dyDescent="0.2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spans="1:25" x14ac:dyDescent="0.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spans="1:25" x14ac:dyDescent="0.2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spans="1:25" x14ac:dyDescent="0.2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spans="1:25" x14ac:dyDescent="0.2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spans="1:25" x14ac:dyDescent="0.2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spans="1:25" x14ac:dyDescent="0.2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spans="1:25" x14ac:dyDescent="0.2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spans="1:25" x14ac:dyDescent="0.2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spans="1:25" x14ac:dyDescent="0.2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spans="1:25" x14ac:dyDescent="0.2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spans="1:25" x14ac:dyDescent="0.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spans="1:25" x14ac:dyDescent="0.2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spans="1:25" x14ac:dyDescent="0.2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spans="1:25" x14ac:dyDescent="0.2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spans="1:25" x14ac:dyDescent="0.2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spans="1:25" x14ac:dyDescent="0.2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spans="1:25" x14ac:dyDescent="0.2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spans="1:25" x14ac:dyDescent="0.2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spans="1:25" x14ac:dyDescent="0.2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spans="1:25" x14ac:dyDescent="0.2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spans="1:25" x14ac:dyDescent="0.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spans="1:25" x14ac:dyDescent="0.2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spans="1:25" x14ac:dyDescent="0.2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spans="1:25" x14ac:dyDescent="0.2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spans="1:25" x14ac:dyDescent="0.2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spans="1:25" x14ac:dyDescent="0.2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spans="1:25" x14ac:dyDescent="0.2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spans="1:25" x14ac:dyDescent="0.2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spans="1:25" x14ac:dyDescent="0.2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spans="1:25" x14ac:dyDescent="0.2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spans="1:25" x14ac:dyDescent="0.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spans="1:25" x14ac:dyDescent="0.2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spans="1:25" x14ac:dyDescent="0.2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spans="1:25" x14ac:dyDescent="0.2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spans="1:25" x14ac:dyDescent="0.2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spans="1:25" x14ac:dyDescent="0.2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spans="1:25" x14ac:dyDescent="0.2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spans="1:25" x14ac:dyDescent="0.2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spans="1:25" x14ac:dyDescent="0.2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spans="1:25" x14ac:dyDescent="0.2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spans="1:25" x14ac:dyDescent="0.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spans="1:25" x14ac:dyDescent="0.2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spans="1:25" x14ac:dyDescent="0.2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spans="1:25" x14ac:dyDescent="0.2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spans="1:25" x14ac:dyDescent="0.2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spans="1:25" x14ac:dyDescent="0.2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spans="1:25" x14ac:dyDescent="0.2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spans="1:25" x14ac:dyDescent="0.2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spans="1:25" x14ac:dyDescent="0.2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spans="1:25" x14ac:dyDescent="0.2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spans="1:25" x14ac:dyDescent="0.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spans="1:25" x14ac:dyDescent="0.2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spans="1:25" x14ac:dyDescent="0.2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spans="1:25" x14ac:dyDescent="0.2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spans="1:25" x14ac:dyDescent="0.2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spans="1:25" x14ac:dyDescent="0.2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spans="1:25" x14ac:dyDescent="0.2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spans="1:25" x14ac:dyDescent="0.2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spans="1:25" x14ac:dyDescent="0.2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spans="1:25" x14ac:dyDescent="0.2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spans="1:25" x14ac:dyDescent="0.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spans="1:25" x14ac:dyDescent="0.2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spans="1:25" x14ac:dyDescent="0.2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spans="1:25" x14ac:dyDescent="0.2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spans="1:25" x14ac:dyDescent="0.2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spans="1:25" x14ac:dyDescent="0.2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spans="1:25" x14ac:dyDescent="0.2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spans="1:25" x14ac:dyDescent="0.2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spans="1:25" x14ac:dyDescent="0.2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spans="1:25" x14ac:dyDescent="0.2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spans="1:25" x14ac:dyDescent="0.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spans="1:25" x14ac:dyDescent="0.2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spans="1:25" x14ac:dyDescent="0.2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spans="1:25" x14ac:dyDescent="0.2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spans="1:25" x14ac:dyDescent="0.2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spans="1:25" x14ac:dyDescent="0.2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spans="1:25" x14ac:dyDescent="0.2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spans="1:25" x14ac:dyDescent="0.2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spans="1:25" x14ac:dyDescent="0.2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spans="1:25" x14ac:dyDescent="0.2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spans="1:25" x14ac:dyDescent="0.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spans="1:25" x14ac:dyDescent="0.2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spans="1:25" x14ac:dyDescent="0.2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spans="1:25" x14ac:dyDescent="0.2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spans="1:25" x14ac:dyDescent="0.2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spans="1:25" x14ac:dyDescent="0.2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spans="1:25" x14ac:dyDescent="0.2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spans="1:25" x14ac:dyDescent="0.2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spans="1:25" x14ac:dyDescent="0.2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spans="1:25" x14ac:dyDescent="0.2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spans="1:25" x14ac:dyDescent="0.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spans="1:25" x14ac:dyDescent="0.2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spans="1:25" x14ac:dyDescent="0.2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spans="1:25" x14ac:dyDescent="0.2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spans="1:25" x14ac:dyDescent="0.2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spans="1:25" x14ac:dyDescent="0.2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spans="1:25" x14ac:dyDescent="0.2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spans="1:25" x14ac:dyDescent="0.2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spans="1:25" x14ac:dyDescent="0.2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spans="1:25" x14ac:dyDescent="0.2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spans="1:25" x14ac:dyDescent="0.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spans="1:25" x14ac:dyDescent="0.2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spans="1:25" x14ac:dyDescent="0.2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spans="1:25" x14ac:dyDescent="0.2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spans="1:25" x14ac:dyDescent="0.2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spans="1:25" x14ac:dyDescent="0.2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spans="1:25" x14ac:dyDescent="0.2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spans="1:25" x14ac:dyDescent="0.2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spans="1:25" x14ac:dyDescent="0.2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spans="1:25" x14ac:dyDescent="0.2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spans="1:25" x14ac:dyDescent="0.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spans="1:25" x14ac:dyDescent="0.2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spans="1:25" x14ac:dyDescent="0.2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spans="1:25" x14ac:dyDescent="0.2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spans="1:25" x14ac:dyDescent="0.2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spans="1:25" x14ac:dyDescent="0.2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spans="1:25" x14ac:dyDescent="0.2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spans="1:25" x14ac:dyDescent="0.2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spans="1:25" x14ac:dyDescent="0.2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spans="1:25" x14ac:dyDescent="0.2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spans="1:25" x14ac:dyDescent="0.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spans="1:25" x14ac:dyDescent="0.2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spans="1:25" x14ac:dyDescent="0.2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spans="1:25" x14ac:dyDescent="0.2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spans="1:25" x14ac:dyDescent="0.2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spans="1:25" x14ac:dyDescent="0.2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spans="1:25" x14ac:dyDescent="0.2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spans="1:25" x14ac:dyDescent="0.2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spans="1:25" x14ac:dyDescent="0.2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spans="1:25" x14ac:dyDescent="0.2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spans="1:25" x14ac:dyDescent="0.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spans="1:25" x14ac:dyDescent="0.2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spans="1:25" x14ac:dyDescent="0.2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spans="1:25" x14ac:dyDescent="0.2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spans="1:25" x14ac:dyDescent="0.2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spans="1:25" x14ac:dyDescent="0.2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spans="1:25" x14ac:dyDescent="0.2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spans="1:25" x14ac:dyDescent="0.2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spans="1:25" x14ac:dyDescent="0.2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spans="1:25" x14ac:dyDescent="0.2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spans="1:25" x14ac:dyDescent="0.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spans="1:25" x14ac:dyDescent="0.2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spans="1:25" x14ac:dyDescent="0.2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spans="1:25" x14ac:dyDescent="0.2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spans="1:25" x14ac:dyDescent="0.2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spans="1:25" x14ac:dyDescent="0.2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spans="1:25" x14ac:dyDescent="0.2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spans="1:25" x14ac:dyDescent="0.2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spans="1:25" x14ac:dyDescent="0.2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spans="1:25" x14ac:dyDescent="0.2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spans="1:25" x14ac:dyDescent="0.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spans="1:25" x14ac:dyDescent="0.2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spans="1:25" x14ac:dyDescent="0.2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spans="1:25" x14ac:dyDescent="0.2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spans="1:25" x14ac:dyDescent="0.2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spans="1:25" x14ac:dyDescent="0.2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spans="1:25" x14ac:dyDescent="0.2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spans="1:25" x14ac:dyDescent="0.2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spans="1:25" x14ac:dyDescent="0.2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spans="1:25" x14ac:dyDescent="0.2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spans="1:25" x14ac:dyDescent="0.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spans="1:25" x14ac:dyDescent="0.2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spans="1:25" x14ac:dyDescent="0.2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spans="1:25" x14ac:dyDescent="0.2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spans="1:25" x14ac:dyDescent="0.2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spans="1:25" x14ac:dyDescent="0.2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spans="1:25" x14ac:dyDescent="0.2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spans="1:25" x14ac:dyDescent="0.2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spans="1:25" x14ac:dyDescent="0.2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spans="1:25" x14ac:dyDescent="0.2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spans="1:25" x14ac:dyDescent="0.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spans="1:25" x14ac:dyDescent="0.2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spans="1:25" x14ac:dyDescent="0.2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spans="1:25" x14ac:dyDescent="0.2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spans="1:25" x14ac:dyDescent="0.2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spans="1:25" x14ac:dyDescent="0.2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spans="1:25" x14ac:dyDescent="0.2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spans="1:25" x14ac:dyDescent="0.2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spans="1:25" x14ac:dyDescent="0.2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spans="1:25" x14ac:dyDescent="0.2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spans="1:25" x14ac:dyDescent="0.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spans="1:25" x14ac:dyDescent="0.2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spans="1:25" x14ac:dyDescent="0.2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spans="1:25" x14ac:dyDescent="0.2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spans="1:25" x14ac:dyDescent="0.2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spans="1:25" x14ac:dyDescent="0.2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spans="1:25" x14ac:dyDescent="0.2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spans="1:25" x14ac:dyDescent="0.2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spans="1:25" x14ac:dyDescent="0.2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spans="1:25" x14ac:dyDescent="0.2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spans="1:25" x14ac:dyDescent="0.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spans="1:25" x14ac:dyDescent="0.2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spans="1:25" x14ac:dyDescent="0.2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spans="1:25" x14ac:dyDescent="0.2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spans="1:25" x14ac:dyDescent="0.2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spans="1:25" x14ac:dyDescent="0.2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spans="1:25" x14ac:dyDescent="0.2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spans="1:25" x14ac:dyDescent="0.2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spans="1:25" x14ac:dyDescent="0.2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spans="1:25" x14ac:dyDescent="0.2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spans="1:25" x14ac:dyDescent="0.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spans="1:25" x14ac:dyDescent="0.2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spans="1:25" x14ac:dyDescent="0.2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spans="1:25" x14ac:dyDescent="0.2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spans="1:25" x14ac:dyDescent="0.2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spans="1:25" x14ac:dyDescent="0.2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spans="1:25" x14ac:dyDescent="0.2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spans="1:25" x14ac:dyDescent="0.2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spans="1:25" x14ac:dyDescent="0.2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spans="1:25" x14ac:dyDescent="0.2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spans="1:25" x14ac:dyDescent="0.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spans="1:25" x14ac:dyDescent="0.2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spans="1:25" x14ac:dyDescent="0.2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spans="1:25" x14ac:dyDescent="0.2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spans="1:25" x14ac:dyDescent="0.2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spans="1:25" x14ac:dyDescent="0.2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spans="1:25" x14ac:dyDescent="0.2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spans="1:25" x14ac:dyDescent="0.2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spans="1:25" x14ac:dyDescent="0.2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spans="1:25" x14ac:dyDescent="0.2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spans="1:25" x14ac:dyDescent="0.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spans="1:25" x14ac:dyDescent="0.2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spans="1:25" x14ac:dyDescent="0.2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spans="1:25" x14ac:dyDescent="0.2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spans="1:25" x14ac:dyDescent="0.2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spans="1:25" x14ac:dyDescent="0.2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spans="1:25" x14ac:dyDescent="0.2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spans="1:25" x14ac:dyDescent="0.2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spans="1:25" x14ac:dyDescent="0.2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spans="1:25" x14ac:dyDescent="0.2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spans="1:25" x14ac:dyDescent="0.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spans="1:25" x14ac:dyDescent="0.2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spans="1:25" x14ac:dyDescent="0.2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spans="1:25" x14ac:dyDescent="0.2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spans="1:25" x14ac:dyDescent="0.2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spans="1:25" x14ac:dyDescent="0.2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spans="1:25" x14ac:dyDescent="0.2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spans="1:25" x14ac:dyDescent="0.2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spans="1:25" x14ac:dyDescent="0.2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spans="1:25" x14ac:dyDescent="0.2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spans="1:25" x14ac:dyDescent="0.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spans="1:25" x14ac:dyDescent="0.2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spans="1:25" x14ac:dyDescent="0.2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spans="1:25" x14ac:dyDescent="0.2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spans="1:25" x14ac:dyDescent="0.2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spans="1:25" x14ac:dyDescent="0.2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spans="1:25" x14ac:dyDescent="0.2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spans="1:25" x14ac:dyDescent="0.2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spans="1:25" x14ac:dyDescent="0.2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spans="1:25" x14ac:dyDescent="0.2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spans="1:25" x14ac:dyDescent="0.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spans="1:25" x14ac:dyDescent="0.2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spans="1:25" x14ac:dyDescent="0.2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spans="1:25" x14ac:dyDescent="0.2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spans="1:25" x14ac:dyDescent="0.2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spans="1:25" x14ac:dyDescent="0.2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spans="1:25" x14ac:dyDescent="0.2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spans="1:25" x14ac:dyDescent="0.2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spans="1:25" x14ac:dyDescent="0.2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spans="1:25" x14ac:dyDescent="0.2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spans="1:25" x14ac:dyDescent="0.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spans="1:25" x14ac:dyDescent="0.2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spans="1:25" x14ac:dyDescent="0.2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spans="1:25" x14ac:dyDescent="0.2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spans="1:25" x14ac:dyDescent="0.2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 spans="1:25" x14ac:dyDescent="0.2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 spans="1:25" x14ac:dyDescent="0.2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 spans="1:25" x14ac:dyDescent="0.2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L8"/>
  <sheetViews>
    <sheetView workbookViewId="0"/>
  </sheetViews>
  <sheetFormatPr defaultColWidth="12.5703125" defaultRowHeight="15.75" customHeight="1" x14ac:dyDescent="0.2"/>
  <sheetData>
    <row r="1" spans="1:12" ht="36" customHeight="1" x14ac:dyDescent="0.2">
      <c r="A1" s="198" t="s">
        <v>417</v>
      </c>
      <c r="B1" s="198" t="s">
        <v>17</v>
      </c>
      <c r="C1" s="198" t="s">
        <v>418</v>
      </c>
      <c r="D1" s="198" t="s">
        <v>419</v>
      </c>
      <c r="E1" s="198" t="s">
        <v>420</v>
      </c>
      <c r="F1" s="198" t="s">
        <v>421</v>
      </c>
      <c r="G1" s="198" t="s">
        <v>11</v>
      </c>
      <c r="H1" s="198" t="s">
        <v>422</v>
      </c>
      <c r="I1" s="198" t="s">
        <v>4</v>
      </c>
      <c r="J1" s="198" t="s">
        <v>7</v>
      </c>
      <c r="K1" s="198" t="s">
        <v>5</v>
      </c>
      <c r="L1" s="198" t="s">
        <v>423</v>
      </c>
    </row>
    <row r="2" spans="1:12" ht="36" customHeight="1" x14ac:dyDescent="0.2">
      <c r="A2" s="199">
        <v>1</v>
      </c>
      <c r="B2" s="199" t="s">
        <v>64</v>
      </c>
      <c r="C2" s="199" t="s">
        <v>1971</v>
      </c>
      <c r="D2" s="199" t="s">
        <v>17</v>
      </c>
      <c r="E2" s="199" t="s">
        <v>268</v>
      </c>
      <c r="F2" s="199" t="s">
        <v>424</v>
      </c>
      <c r="G2" s="199" t="s">
        <v>64</v>
      </c>
      <c r="H2" s="199">
        <v>699934.46279999905</v>
      </c>
      <c r="I2" s="199">
        <v>17007036</v>
      </c>
      <c r="J2" s="199">
        <v>16397075</v>
      </c>
      <c r="K2" s="199">
        <v>609961</v>
      </c>
      <c r="L2" s="199">
        <v>62</v>
      </c>
    </row>
    <row r="3" spans="1:12" ht="36" customHeight="1" x14ac:dyDescent="0.2">
      <c r="A3" s="199">
        <v>2</v>
      </c>
      <c r="B3" s="199" t="s">
        <v>54</v>
      </c>
      <c r="C3" s="199" t="s">
        <v>1972</v>
      </c>
      <c r="D3" s="199" t="s">
        <v>17</v>
      </c>
      <c r="E3" s="199" t="s">
        <v>268</v>
      </c>
      <c r="F3" s="199" t="s">
        <v>426</v>
      </c>
      <c r="G3" s="199" t="s">
        <v>425</v>
      </c>
      <c r="H3" s="199">
        <v>495922.31159999903</v>
      </c>
      <c r="I3" s="199">
        <v>3739211</v>
      </c>
      <c r="J3" s="199">
        <v>3695589</v>
      </c>
      <c r="K3" s="199">
        <v>43622</v>
      </c>
      <c r="L3" s="199">
        <v>12</v>
      </c>
    </row>
    <row r="4" spans="1:12" ht="36" customHeight="1" x14ac:dyDescent="0.2">
      <c r="A4" s="199">
        <v>4</v>
      </c>
      <c r="B4" s="199" t="s">
        <v>50</v>
      </c>
      <c r="C4" s="199" t="s">
        <v>1973</v>
      </c>
      <c r="D4" s="199" t="s">
        <v>17</v>
      </c>
      <c r="E4" s="199" t="s">
        <v>268</v>
      </c>
      <c r="F4" s="199" t="s">
        <v>428</v>
      </c>
      <c r="G4" s="199" t="s">
        <v>50</v>
      </c>
      <c r="H4" s="199">
        <v>542757.65749999904</v>
      </c>
      <c r="I4" s="199">
        <v>13047830</v>
      </c>
      <c r="J4" s="199">
        <v>12736729</v>
      </c>
      <c r="K4" s="199">
        <v>311101</v>
      </c>
      <c r="L4" s="199">
        <v>26</v>
      </c>
    </row>
    <row r="5" spans="1:12" ht="36" customHeight="1" x14ac:dyDescent="0.2">
      <c r="A5" s="199">
        <v>5</v>
      </c>
      <c r="B5" s="199" t="s">
        <v>44</v>
      </c>
      <c r="C5" s="199" t="s">
        <v>1974</v>
      </c>
      <c r="D5" s="199" t="s">
        <v>17</v>
      </c>
      <c r="E5" s="199" t="s">
        <v>268</v>
      </c>
      <c r="F5" s="199" t="s">
        <v>1975</v>
      </c>
      <c r="G5" s="199" t="s">
        <v>269</v>
      </c>
      <c r="H5" s="199">
        <v>118967.458799999</v>
      </c>
      <c r="I5" s="199">
        <v>6198707</v>
      </c>
      <c r="J5" s="199">
        <v>5996555</v>
      </c>
      <c r="K5" s="199">
        <v>202151</v>
      </c>
      <c r="L5" s="199">
        <v>12</v>
      </c>
    </row>
    <row r="6" spans="1:12" ht="36" customHeight="1" x14ac:dyDescent="0.2">
      <c r="A6" s="199">
        <v>6</v>
      </c>
      <c r="B6" s="199" t="s">
        <v>61</v>
      </c>
      <c r="C6" s="199" t="s">
        <v>1976</v>
      </c>
      <c r="D6" s="199" t="s">
        <v>17</v>
      </c>
      <c r="E6" s="199" t="s">
        <v>268</v>
      </c>
      <c r="F6" s="199" t="s">
        <v>429</v>
      </c>
      <c r="G6" s="199" t="s">
        <v>61</v>
      </c>
      <c r="H6" s="199">
        <v>345257.93769999902</v>
      </c>
      <c r="I6" s="199">
        <v>16040936</v>
      </c>
      <c r="J6" s="199">
        <v>15659898</v>
      </c>
      <c r="K6" s="199">
        <v>381039</v>
      </c>
      <c r="L6" s="199">
        <v>41</v>
      </c>
    </row>
    <row r="7" spans="1:12" ht="36" customHeight="1" x14ac:dyDescent="0.2">
      <c r="A7" s="200">
        <v>11</v>
      </c>
      <c r="B7" s="200" t="s">
        <v>58</v>
      </c>
      <c r="C7" s="200" t="s">
        <v>1977</v>
      </c>
      <c r="D7" s="200" t="s">
        <v>17</v>
      </c>
      <c r="E7" s="200" t="s">
        <v>268</v>
      </c>
      <c r="F7" s="200" t="s">
        <v>430</v>
      </c>
      <c r="G7" s="200" t="s">
        <v>365</v>
      </c>
      <c r="H7" s="200">
        <v>155023.60789999901</v>
      </c>
      <c r="I7" s="200">
        <v>7694131</v>
      </c>
      <c r="J7" s="200">
        <v>7532581</v>
      </c>
      <c r="K7" s="200">
        <v>161550</v>
      </c>
      <c r="L7" s="200">
        <v>12</v>
      </c>
    </row>
    <row r="8" spans="1:12" ht="36" customHeight="1" x14ac:dyDescent="0.2">
      <c r="A8" s="199">
        <v>8</v>
      </c>
      <c r="B8" s="35" t="s">
        <v>162</v>
      </c>
      <c r="C8" s="35" t="s">
        <v>1978</v>
      </c>
      <c r="D8" s="35" t="s">
        <v>17</v>
      </c>
      <c r="E8" s="35" t="s">
        <v>268</v>
      </c>
      <c r="F8" s="35" t="s">
        <v>1979</v>
      </c>
      <c r="G8" s="35" t="s">
        <v>162</v>
      </c>
      <c r="H8" s="35">
        <v>190135.25629999899</v>
      </c>
      <c r="I8" s="28">
        <v>3182524</v>
      </c>
      <c r="J8" s="28">
        <v>3159948</v>
      </c>
      <c r="K8" s="201">
        <v>22576</v>
      </c>
      <c r="L8" s="2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F1000"/>
  <sheetViews>
    <sheetView workbookViewId="0"/>
  </sheetViews>
  <sheetFormatPr defaultColWidth="12.5703125" defaultRowHeight="15.75" customHeight="1" x14ac:dyDescent="0.2"/>
  <cols>
    <col min="4" max="4" width="18.42578125" customWidth="1"/>
    <col min="15" max="15" width="12.85546875" customWidth="1"/>
    <col min="16" max="16" width="14.42578125" customWidth="1"/>
    <col min="18" max="18" width="17" customWidth="1"/>
    <col min="19" max="19" width="13.5703125" customWidth="1"/>
  </cols>
  <sheetData>
    <row r="1" spans="1:32" x14ac:dyDescent="0.2">
      <c r="A1" s="202"/>
      <c r="B1" s="202" t="s">
        <v>1980</v>
      </c>
      <c r="C1" s="202" t="s">
        <v>1981</v>
      </c>
      <c r="D1" s="202" t="s">
        <v>1982</v>
      </c>
      <c r="E1" s="202"/>
      <c r="F1" s="203" t="s">
        <v>1983</v>
      </c>
      <c r="G1" s="204" t="s">
        <v>1984</v>
      </c>
      <c r="H1" s="204" t="s">
        <v>1985</v>
      </c>
      <c r="I1" s="204" t="s">
        <v>205</v>
      </c>
      <c r="J1" s="204" t="s">
        <v>1986</v>
      </c>
      <c r="K1" s="204" t="s">
        <v>1987</v>
      </c>
      <c r="L1" s="204"/>
      <c r="M1" s="204" t="s">
        <v>1988</v>
      </c>
      <c r="N1" s="204" t="s">
        <v>1989</v>
      </c>
      <c r="O1" s="204" t="s">
        <v>1990</v>
      </c>
      <c r="P1" s="204" t="s">
        <v>1991</v>
      </c>
      <c r="Q1" s="204" t="s">
        <v>1992</v>
      </c>
      <c r="R1" s="204" t="s">
        <v>1993</v>
      </c>
      <c r="S1" s="204" t="s">
        <v>1994</v>
      </c>
      <c r="T1" s="205" t="s">
        <v>1995</v>
      </c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</row>
    <row r="2" spans="1:32" x14ac:dyDescent="0.2">
      <c r="A2" s="206" t="s">
        <v>1996</v>
      </c>
      <c r="B2" s="207">
        <v>50</v>
      </c>
      <c r="C2" s="206">
        <v>8000</v>
      </c>
      <c r="D2" s="206">
        <f t="shared" ref="D2:D3" si="0">C2/B2</f>
        <v>160</v>
      </c>
      <c r="E2" s="206"/>
      <c r="F2" s="208" t="s">
        <v>1997</v>
      </c>
      <c r="G2" s="206">
        <f t="shared" ref="G2:G5" si="1">H2-I2</f>
        <v>1</v>
      </c>
      <c r="H2" s="206">
        <v>2.5</v>
      </c>
      <c r="I2" s="206">
        <v>1.5</v>
      </c>
      <c r="J2" s="209">
        <f t="shared" ref="J2:J5" si="2">K2*2000</f>
        <v>80</v>
      </c>
      <c r="K2" s="206">
        <v>0.04</v>
      </c>
      <c r="L2" s="206"/>
      <c r="M2" s="206">
        <f>H2/J2</f>
        <v>3.125E-2</v>
      </c>
      <c r="N2" s="206">
        <f>I2/J2</f>
        <v>1.8749999999999999E-2</v>
      </c>
      <c r="O2" s="209">
        <f>P2/2000</f>
        <v>225</v>
      </c>
      <c r="P2" s="209">
        <f>Q2*R2</f>
        <v>450000</v>
      </c>
      <c r="Q2" s="206">
        <v>5000</v>
      </c>
      <c r="R2" s="206">
        <f>S2*T2</f>
        <v>90</v>
      </c>
      <c r="S2" s="206">
        <v>2</v>
      </c>
      <c r="T2" s="210">
        <v>45</v>
      </c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</row>
    <row r="3" spans="1:32" x14ac:dyDescent="0.2">
      <c r="A3" s="206" t="s">
        <v>1998</v>
      </c>
      <c r="B3" s="207">
        <v>200</v>
      </c>
      <c r="C3" s="206">
        <v>32000</v>
      </c>
      <c r="D3" s="206">
        <f t="shared" si="0"/>
        <v>160</v>
      </c>
      <c r="E3" s="206"/>
      <c r="F3" s="208"/>
      <c r="G3" s="206">
        <f t="shared" si="1"/>
        <v>50</v>
      </c>
      <c r="H3" s="206">
        <f t="shared" ref="H3:H5" si="3">J3*$M$2</f>
        <v>125</v>
      </c>
      <c r="I3" s="206">
        <f t="shared" ref="I3:I5" si="4">$N$2*J3</f>
        <v>75</v>
      </c>
      <c r="J3" s="209">
        <f t="shared" si="2"/>
        <v>4000</v>
      </c>
      <c r="K3" s="206">
        <v>2</v>
      </c>
      <c r="L3" s="206"/>
      <c r="M3" s="206"/>
      <c r="N3" s="206"/>
      <c r="O3" s="206"/>
      <c r="P3" s="206"/>
      <c r="Q3" s="206"/>
      <c r="R3" s="206"/>
      <c r="S3" s="206"/>
      <c r="T3" s="210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</row>
    <row r="4" spans="1:32" x14ac:dyDescent="0.2">
      <c r="A4" s="202" t="s">
        <v>1999</v>
      </c>
      <c r="B4" s="207">
        <f t="shared" ref="B4:B9" si="5">C4/D4</f>
        <v>125</v>
      </c>
      <c r="C4" s="206">
        <v>20000</v>
      </c>
      <c r="D4" s="206">
        <v>160</v>
      </c>
      <c r="E4" s="206"/>
      <c r="F4" s="208"/>
      <c r="G4" s="206">
        <f t="shared" si="1"/>
        <v>5000</v>
      </c>
      <c r="H4" s="206">
        <f t="shared" si="3"/>
        <v>12500</v>
      </c>
      <c r="I4" s="206">
        <f t="shared" si="4"/>
        <v>7500</v>
      </c>
      <c r="J4" s="209">
        <f t="shared" si="2"/>
        <v>400000</v>
      </c>
      <c r="K4" s="206">
        <v>200</v>
      </c>
      <c r="L4" s="206"/>
      <c r="M4" s="206"/>
      <c r="N4" s="206"/>
      <c r="O4" s="206"/>
      <c r="P4" s="206"/>
      <c r="Q4" s="206"/>
      <c r="R4" s="206"/>
      <c r="S4" s="206"/>
      <c r="T4" s="210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</row>
    <row r="5" spans="1:32" x14ac:dyDescent="0.2">
      <c r="A5" s="202" t="s">
        <v>2000</v>
      </c>
      <c r="B5" s="207">
        <f t="shared" si="5"/>
        <v>93.75</v>
      </c>
      <c r="C5" s="206">
        <v>15000</v>
      </c>
      <c r="D5" s="206">
        <v>160</v>
      </c>
      <c r="E5" s="206"/>
      <c r="F5" s="211"/>
      <c r="G5" s="212">
        <f t="shared" si="1"/>
        <v>3750</v>
      </c>
      <c r="H5" s="212">
        <f t="shared" si="3"/>
        <v>9375</v>
      </c>
      <c r="I5" s="212">
        <f t="shared" si="4"/>
        <v>5625</v>
      </c>
      <c r="J5" s="213">
        <f t="shared" si="2"/>
        <v>300000</v>
      </c>
      <c r="K5" s="212">
        <v>150</v>
      </c>
      <c r="L5" s="212"/>
      <c r="M5" s="212"/>
      <c r="N5" s="212"/>
      <c r="O5" s="212"/>
      <c r="P5" s="212"/>
      <c r="Q5" s="212"/>
      <c r="R5" s="212"/>
      <c r="S5" s="212"/>
      <c r="T5" s="214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</row>
    <row r="6" spans="1:32" x14ac:dyDescent="0.2">
      <c r="A6" s="206" t="s">
        <v>2001</v>
      </c>
      <c r="B6" s="207">
        <f t="shared" si="5"/>
        <v>1.5269375000000001</v>
      </c>
      <c r="C6" s="206">
        <v>244.31</v>
      </c>
      <c r="D6" s="206">
        <v>160</v>
      </c>
      <c r="E6" s="206"/>
      <c r="F6" s="203" t="s">
        <v>2002</v>
      </c>
      <c r="G6" s="204" t="s">
        <v>1984</v>
      </c>
      <c r="H6" s="204" t="s">
        <v>1985</v>
      </c>
      <c r="I6" s="204" t="s">
        <v>205</v>
      </c>
      <c r="J6" s="204" t="s">
        <v>1986</v>
      </c>
      <c r="K6" s="204" t="s">
        <v>1987</v>
      </c>
      <c r="L6" s="206"/>
      <c r="M6" s="204" t="s">
        <v>1988</v>
      </c>
      <c r="N6" s="204" t="s">
        <v>1989</v>
      </c>
      <c r="O6" s="204" t="s">
        <v>2003</v>
      </c>
      <c r="P6" s="204" t="s">
        <v>2004</v>
      </c>
      <c r="Q6" s="204" t="s">
        <v>1992</v>
      </c>
      <c r="R6" s="204" t="s">
        <v>2005</v>
      </c>
      <c r="S6" s="204" t="s">
        <v>2006</v>
      </c>
      <c r="T6" s="205" t="s">
        <v>1995</v>
      </c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</row>
    <row r="7" spans="1:32" x14ac:dyDescent="0.2">
      <c r="A7" s="206"/>
      <c r="B7" s="207">
        <f t="shared" si="5"/>
        <v>9.35</v>
      </c>
      <c r="C7" s="206">
        <v>1496</v>
      </c>
      <c r="D7" s="206">
        <v>160</v>
      </c>
      <c r="E7" s="206"/>
      <c r="F7" s="208" t="s">
        <v>1997</v>
      </c>
      <c r="G7" s="206">
        <f t="shared" ref="G7:G8" si="6">H7-I7</f>
        <v>11</v>
      </c>
      <c r="H7" s="206">
        <v>20</v>
      </c>
      <c r="I7" s="206">
        <v>9</v>
      </c>
      <c r="J7" s="209">
        <v>1</v>
      </c>
      <c r="K7" s="206"/>
      <c r="L7" s="206"/>
      <c r="M7" s="206">
        <f>H7/J7</f>
        <v>20</v>
      </c>
      <c r="N7" s="206">
        <f>I7/J7</f>
        <v>9</v>
      </c>
      <c r="O7" s="209"/>
      <c r="P7" s="209" t="e">
        <f>Q7*R7</f>
        <v>#VALUE!</v>
      </c>
      <c r="Q7" s="206">
        <v>5000</v>
      </c>
      <c r="R7" s="206" t="e">
        <f>S7*T7</f>
        <v>#VALUE!</v>
      </c>
      <c r="S7" s="206" t="s">
        <v>2009</v>
      </c>
      <c r="T7" s="210">
        <v>45</v>
      </c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</row>
    <row r="8" spans="1:32" x14ac:dyDescent="0.2">
      <c r="A8" s="206"/>
      <c r="B8" s="207">
        <f t="shared" si="5"/>
        <v>11.25</v>
      </c>
      <c r="C8" s="206">
        <v>1800</v>
      </c>
      <c r="D8" s="206">
        <v>160</v>
      </c>
      <c r="E8" s="206"/>
      <c r="F8" s="208"/>
      <c r="G8" s="206">
        <f t="shared" si="6"/>
        <v>1100</v>
      </c>
      <c r="H8" s="206">
        <f>J8*M7</f>
        <v>2000</v>
      </c>
      <c r="I8" s="206">
        <f>N7*J8</f>
        <v>900</v>
      </c>
      <c r="J8" s="209">
        <v>100</v>
      </c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</row>
    <row r="9" spans="1:32" x14ac:dyDescent="0.2">
      <c r="A9" s="206" t="s">
        <v>2010</v>
      </c>
      <c r="B9" s="207">
        <f t="shared" si="5"/>
        <v>0.51968750000000008</v>
      </c>
      <c r="C9" s="206">
        <v>83.15</v>
      </c>
      <c r="D9" s="206">
        <v>160</v>
      </c>
      <c r="E9" s="206"/>
      <c r="F9" s="208"/>
      <c r="G9" s="206"/>
      <c r="H9" s="206"/>
      <c r="I9" s="206"/>
      <c r="J9" s="209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</row>
    <row r="10" spans="1:32" x14ac:dyDescent="0.2">
      <c r="A10" s="206"/>
      <c r="B10" s="206"/>
      <c r="C10" s="206"/>
      <c r="D10" s="206"/>
      <c r="E10" s="206"/>
      <c r="F10" s="211"/>
      <c r="G10" s="212"/>
      <c r="H10" s="212"/>
      <c r="I10" s="212"/>
      <c r="J10" s="213"/>
      <c r="K10" s="212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</row>
    <row r="11" spans="1:32" x14ac:dyDescent="0.2">
      <c r="A11" s="206"/>
      <c r="B11" s="206"/>
      <c r="C11" s="206"/>
      <c r="D11" s="206"/>
      <c r="E11" s="206"/>
      <c r="F11" s="203" t="s">
        <v>2011</v>
      </c>
      <c r="G11" s="204" t="s">
        <v>1984</v>
      </c>
      <c r="H11" s="204" t="s">
        <v>1985</v>
      </c>
      <c r="I11" s="204" t="s">
        <v>205</v>
      </c>
      <c r="J11" s="204" t="s">
        <v>201</v>
      </c>
      <c r="K11" s="204" t="s">
        <v>1987</v>
      </c>
      <c r="L11" s="215"/>
      <c r="M11" s="204" t="s">
        <v>1988</v>
      </c>
      <c r="N11" s="204" t="s">
        <v>1989</v>
      </c>
      <c r="O11" s="204" t="s">
        <v>2003</v>
      </c>
      <c r="P11" s="204" t="s">
        <v>2012</v>
      </c>
      <c r="Q11" s="204" t="s">
        <v>1992</v>
      </c>
      <c r="R11" s="204" t="s">
        <v>2013</v>
      </c>
      <c r="S11" s="204" t="s">
        <v>2014</v>
      </c>
      <c r="T11" s="205" t="s">
        <v>1995</v>
      </c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</row>
    <row r="12" spans="1:32" x14ac:dyDescent="0.2">
      <c r="A12" s="206"/>
      <c r="B12" s="206"/>
      <c r="C12" s="206"/>
      <c r="D12" s="206"/>
      <c r="E12" s="206"/>
      <c r="F12" s="208" t="s">
        <v>1997</v>
      </c>
      <c r="G12" s="206">
        <f t="shared" ref="G12:G13" si="7">H12-I12</f>
        <v>35</v>
      </c>
      <c r="H12" s="206">
        <v>260</v>
      </c>
      <c r="I12" s="206">
        <v>225</v>
      </c>
      <c r="J12" s="209">
        <v>1</v>
      </c>
      <c r="K12" s="206"/>
      <c r="L12" s="206"/>
      <c r="M12" s="206">
        <f>H12/J12</f>
        <v>260</v>
      </c>
      <c r="N12" s="206">
        <f>I12/J12</f>
        <v>225</v>
      </c>
      <c r="O12" s="209"/>
      <c r="P12" s="209">
        <f>Q12*R12</f>
        <v>675000</v>
      </c>
      <c r="Q12" s="206">
        <v>5000</v>
      </c>
      <c r="R12" s="206">
        <f>S12*T12</f>
        <v>135</v>
      </c>
      <c r="S12" s="206">
        <v>3</v>
      </c>
      <c r="T12" s="210">
        <v>45</v>
      </c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</row>
    <row r="13" spans="1:32" x14ac:dyDescent="0.2">
      <c r="A13" s="206"/>
      <c r="B13" s="206"/>
      <c r="C13" s="206"/>
      <c r="D13" s="206"/>
      <c r="E13" s="206"/>
      <c r="F13" s="208"/>
      <c r="G13" s="206">
        <f t="shared" si="7"/>
        <v>1750</v>
      </c>
      <c r="H13" s="206">
        <f>J13*M12</f>
        <v>13000</v>
      </c>
      <c r="I13" s="206">
        <f>N12*J13</f>
        <v>11250</v>
      </c>
      <c r="J13" s="209">
        <v>50</v>
      </c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</row>
    <row r="14" spans="1:32" x14ac:dyDescent="0.2">
      <c r="A14" s="206"/>
      <c r="B14" s="206"/>
      <c r="C14" s="206"/>
      <c r="D14" s="206"/>
      <c r="E14" s="206"/>
      <c r="F14" s="208"/>
      <c r="G14" s="206"/>
      <c r="H14" s="206"/>
      <c r="I14" s="206"/>
      <c r="J14" s="209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</row>
    <row r="15" spans="1:32" x14ac:dyDescent="0.2">
      <c r="A15" s="206"/>
      <c r="B15" s="206"/>
      <c r="C15" s="206"/>
      <c r="D15" s="206"/>
      <c r="E15" s="206"/>
      <c r="F15" s="211"/>
      <c r="G15" s="212"/>
      <c r="H15" s="212"/>
      <c r="I15" s="212"/>
      <c r="J15" s="213"/>
      <c r="K15" s="212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</row>
    <row r="16" spans="1:32" x14ac:dyDescent="0.2">
      <c r="A16" s="206"/>
      <c r="B16" s="206"/>
      <c r="C16" s="206"/>
      <c r="D16" s="206"/>
      <c r="E16" s="206"/>
      <c r="F16" s="203" t="s">
        <v>1996</v>
      </c>
      <c r="G16" s="204" t="s">
        <v>1984</v>
      </c>
      <c r="H16" s="204" t="s">
        <v>1985</v>
      </c>
      <c r="I16" s="204" t="s">
        <v>205</v>
      </c>
      <c r="J16" s="204" t="s">
        <v>201</v>
      </c>
      <c r="K16" s="204" t="s">
        <v>1987</v>
      </c>
      <c r="L16" s="215"/>
      <c r="M16" s="204" t="s">
        <v>2016</v>
      </c>
      <c r="N16" s="204" t="s">
        <v>2017</v>
      </c>
      <c r="O16" s="204" t="s">
        <v>2018</v>
      </c>
      <c r="P16" s="204" t="s">
        <v>2019</v>
      </c>
      <c r="Q16" s="204" t="s">
        <v>1992</v>
      </c>
      <c r="R16" s="204" t="s">
        <v>2020</v>
      </c>
      <c r="S16" s="204" t="s">
        <v>2014</v>
      </c>
      <c r="T16" s="205" t="s">
        <v>1995</v>
      </c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</row>
    <row r="17" spans="1:32" x14ac:dyDescent="0.2">
      <c r="A17" s="206"/>
      <c r="B17" s="206">
        <v>200</v>
      </c>
      <c r="C17" s="206">
        <v>1400</v>
      </c>
      <c r="D17" s="206"/>
      <c r="E17" s="206"/>
      <c r="F17" s="208" t="s">
        <v>1997</v>
      </c>
      <c r="G17" s="206">
        <f t="shared" ref="G17:G18" si="8">H17-I17</f>
        <v>18</v>
      </c>
      <c r="H17" s="206">
        <v>68</v>
      </c>
      <c r="I17" s="206">
        <v>50</v>
      </c>
      <c r="J17" s="209">
        <v>1</v>
      </c>
      <c r="K17" s="206"/>
      <c r="L17" s="206"/>
      <c r="M17" s="206">
        <f>H17/J17</f>
        <v>68</v>
      </c>
      <c r="N17" s="206">
        <f>I17/J17</f>
        <v>50</v>
      </c>
      <c r="O17" s="209"/>
      <c r="P17" s="209">
        <f>Q17*R17</f>
        <v>3214.2857142857138</v>
      </c>
      <c r="Q17" s="206">
        <v>1000</v>
      </c>
      <c r="R17" s="206">
        <f>S17*T17</f>
        <v>3.214285714285714</v>
      </c>
      <c r="S17" s="206">
        <v>7.1428571428571425E-2</v>
      </c>
      <c r="T17" s="210">
        <v>45</v>
      </c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</row>
    <row r="18" spans="1:32" x14ac:dyDescent="0.2">
      <c r="A18" s="206"/>
      <c r="B18" s="206">
        <v>1</v>
      </c>
      <c r="C18" s="206">
        <f>C17/B17</f>
        <v>7</v>
      </c>
      <c r="D18" s="206"/>
      <c r="E18" s="206"/>
      <c r="F18" s="208"/>
      <c r="G18" s="206">
        <f t="shared" si="8"/>
        <v>900</v>
      </c>
      <c r="H18" s="206">
        <f>J18*M17</f>
        <v>3400</v>
      </c>
      <c r="I18" s="206">
        <f>N17*J18</f>
        <v>2500</v>
      </c>
      <c r="J18" s="209">
        <v>50</v>
      </c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</row>
    <row r="19" spans="1:32" x14ac:dyDescent="0.2">
      <c r="A19" s="206"/>
      <c r="B19" s="206"/>
      <c r="C19" s="206"/>
      <c r="D19" s="206"/>
      <c r="E19" s="206"/>
      <c r="F19" s="208"/>
      <c r="G19" s="206"/>
      <c r="H19" s="206"/>
      <c r="I19" s="206"/>
      <c r="J19" s="209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</row>
    <row r="20" spans="1:32" x14ac:dyDescent="0.2">
      <c r="A20" s="206"/>
      <c r="B20" s="206"/>
      <c r="C20" s="206"/>
      <c r="D20" s="206"/>
      <c r="E20" s="206"/>
      <c r="F20" s="211"/>
      <c r="G20" s="212"/>
      <c r="H20" s="212"/>
      <c r="I20" s="212"/>
      <c r="J20" s="213"/>
      <c r="K20" s="212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06"/>
    </row>
    <row r="21" spans="1:32" x14ac:dyDescent="0.2">
      <c r="A21" s="206"/>
      <c r="B21" s="206"/>
      <c r="C21" s="206"/>
      <c r="D21" s="206"/>
      <c r="E21" s="206"/>
      <c r="F21" s="203" t="s">
        <v>2023</v>
      </c>
      <c r="G21" s="204" t="s">
        <v>1984</v>
      </c>
      <c r="H21" s="204" t="s">
        <v>1985</v>
      </c>
      <c r="I21" s="204" t="s">
        <v>205</v>
      </c>
      <c r="J21" s="204" t="s">
        <v>201</v>
      </c>
      <c r="K21" s="204" t="s">
        <v>1987</v>
      </c>
      <c r="L21" s="215"/>
      <c r="M21" s="204" t="s">
        <v>1988</v>
      </c>
      <c r="N21" s="204" t="s">
        <v>1989</v>
      </c>
      <c r="O21" s="204" t="s">
        <v>2018</v>
      </c>
      <c r="P21" s="204" t="s">
        <v>2019</v>
      </c>
      <c r="Q21" s="204" t="s">
        <v>1992</v>
      </c>
      <c r="R21" s="204" t="s">
        <v>2020</v>
      </c>
      <c r="S21" s="204" t="s">
        <v>2014</v>
      </c>
      <c r="T21" s="205" t="s">
        <v>1995</v>
      </c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</row>
    <row r="22" spans="1:32" x14ac:dyDescent="0.2">
      <c r="A22" s="206"/>
      <c r="B22" s="206"/>
      <c r="C22" s="206"/>
      <c r="D22" s="206"/>
      <c r="E22" s="206"/>
      <c r="F22" s="208" t="s">
        <v>1997</v>
      </c>
      <c r="G22" s="206">
        <f t="shared" ref="G22:G25" si="9">H22-I22</f>
        <v>9.9999999999999978E-2</v>
      </c>
      <c r="H22" s="206">
        <v>0.6</v>
      </c>
      <c r="I22" s="206">
        <v>0.5</v>
      </c>
      <c r="J22" s="209">
        <v>1</v>
      </c>
      <c r="K22" s="206">
        <f>J22/2000</f>
        <v>5.0000000000000001E-4</v>
      </c>
      <c r="L22" s="206"/>
      <c r="M22" s="206">
        <f>H22/J22</f>
        <v>0.6</v>
      </c>
      <c r="N22" s="206">
        <f>I22/J22</f>
        <v>0.5</v>
      </c>
      <c r="O22" s="209"/>
      <c r="P22" s="209">
        <f>Q22*R22</f>
        <v>3214.2857142857138</v>
      </c>
      <c r="Q22" s="206">
        <v>1000</v>
      </c>
      <c r="R22" s="206">
        <f>S22*T22</f>
        <v>3.214285714285714</v>
      </c>
      <c r="S22" s="206">
        <v>7.1428571428571425E-2</v>
      </c>
      <c r="T22" s="210">
        <v>45</v>
      </c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</row>
    <row r="23" spans="1:32" x14ac:dyDescent="0.2">
      <c r="A23" s="206"/>
      <c r="B23" s="206"/>
      <c r="C23" s="206"/>
      <c r="D23" s="206"/>
      <c r="E23" s="206"/>
      <c r="F23" s="208"/>
      <c r="G23" s="206">
        <f t="shared" si="9"/>
        <v>200</v>
      </c>
      <c r="H23" s="206">
        <f>J23*M22</f>
        <v>1200</v>
      </c>
      <c r="I23" s="206">
        <f>N22*J23</f>
        <v>1000</v>
      </c>
      <c r="J23" s="209">
        <f t="shared" ref="J23:J25" si="10">K23*2000</f>
        <v>2000</v>
      </c>
      <c r="K23" s="206">
        <v>1</v>
      </c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</row>
    <row r="24" spans="1:32" x14ac:dyDescent="0.2">
      <c r="A24" s="206"/>
      <c r="B24" s="206"/>
      <c r="C24" s="206"/>
      <c r="D24" s="206"/>
      <c r="E24" s="206"/>
      <c r="F24" s="208"/>
      <c r="G24" s="206">
        <f t="shared" si="9"/>
        <v>400</v>
      </c>
      <c r="H24" s="206">
        <f t="shared" ref="H24:H25" si="11">J24*$M$22</f>
        <v>2400</v>
      </c>
      <c r="I24" s="206">
        <f t="shared" ref="I24:I25" si="12">$N$22*J24</f>
        <v>2000</v>
      </c>
      <c r="J24" s="209">
        <f t="shared" si="10"/>
        <v>4000</v>
      </c>
      <c r="K24" s="206">
        <v>2</v>
      </c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</row>
    <row r="25" spans="1:32" x14ac:dyDescent="0.2">
      <c r="A25" s="206"/>
      <c r="B25" s="206"/>
      <c r="C25" s="206"/>
      <c r="D25" s="206"/>
      <c r="E25" s="206"/>
      <c r="F25" s="211"/>
      <c r="G25" s="206">
        <f t="shared" si="9"/>
        <v>600</v>
      </c>
      <c r="H25" s="206">
        <f t="shared" si="11"/>
        <v>3600</v>
      </c>
      <c r="I25" s="206">
        <f t="shared" si="12"/>
        <v>3000</v>
      </c>
      <c r="J25" s="209">
        <f t="shared" si="10"/>
        <v>6000</v>
      </c>
      <c r="K25" s="206">
        <v>3</v>
      </c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</row>
    <row r="26" spans="1:32" x14ac:dyDescent="0.2">
      <c r="A26" s="206"/>
      <c r="B26" s="206"/>
      <c r="C26" s="206"/>
      <c r="D26" s="206"/>
      <c r="E26" s="206"/>
      <c r="F26" s="203" t="s">
        <v>2025</v>
      </c>
      <c r="G26" s="204" t="s">
        <v>1984</v>
      </c>
      <c r="H26" s="204" t="s">
        <v>1985</v>
      </c>
      <c r="I26" s="204" t="s">
        <v>205</v>
      </c>
      <c r="J26" s="204" t="s">
        <v>2026</v>
      </c>
      <c r="K26" s="204" t="s">
        <v>2027</v>
      </c>
      <c r="L26" s="215"/>
      <c r="M26" s="204" t="s">
        <v>1988</v>
      </c>
      <c r="N26" s="204" t="s">
        <v>1989</v>
      </c>
      <c r="O26" s="204" t="s">
        <v>2018</v>
      </c>
      <c r="P26" s="204" t="s">
        <v>2019</v>
      </c>
      <c r="Q26" s="204" t="s">
        <v>1992</v>
      </c>
      <c r="R26" s="204" t="s">
        <v>2020</v>
      </c>
      <c r="S26" s="204" t="s">
        <v>2014</v>
      </c>
      <c r="T26" s="205" t="s">
        <v>1995</v>
      </c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</row>
    <row r="27" spans="1:32" x14ac:dyDescent="0.2">
      <c r="A27" s="206"/>
      <c r="B27" s="206"/>
      <c r="C27" s="206"/>
      <c r="D27" s="206"/>
      <c r="E27" s="206"/>
      <c r="F27" s="208" t="s">
        <v>1997</v>
      </c>
      <c r="G27" s="206">
        <f t="shared" ref="G27:G30" si="13">H27-I27</f>
        <v>1</v>
      </c>
      <c r="H27" s="206">
        <v>1.5</v>
      </c>
      <c r="I27" s="206">
        <v>0.5</v>
      </c>
      <c r="J27" s="209">
        <v>1</v>
      </c>
      <c r="K27" s="206">
        <f>J27/300</f>
        <v>3.3333333333333335E-3</v>
      </c>
      <c r="L27" s="206"/>
      <c r="M27" s="206">
        <f>H27/J27</f>
        <v>1.5</v>
      </c>
      <c r="N27" s="206">
        <f>I27/J27</f>
        <v>0.5</v>
      </c>
      <c r="O27" s="209"/>
      <c r="P27" s="209">
        <f>Q27*R27</f>
        <v>3214.2857142857138</v>
      </c>
      <c r="Q27" s="206">
        <v>1000</v>
      </c>
      <c r="R27" s="206">
        <f>S27*T27</f>
        <v>3.214285714285714</v>
      </c>
      <c r="S27" s="206">
        <v>7.1428571428571425E-2</v>
      </c>
      <c r="T27" s="210">
        <v>45</v>
      </c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</row>
    <row r="28" spans="1:32" x14ac:dyDescent="0.2">
      <c r="A28" s="206"/>
      <c r="B28" s="206"/>
      <c r="C28" s="206"/>
      <c r="D28" s="206"/>
      <c r="E28" s="206"/>
      <c r="F28" s="208"/>
      <c r="G28" s="206">
        <f t="shared" si="13"/>
        <v>300</v>
      </c>
      <c r="H28" s="206">
        <f>J28*M27</f>
        <v>450</v>
      </c>
      <c r="I28" s="206">
        <f>N27*J28</f>
        <v>150</v>
      </c>
      <c r="J28" s="209">
        <f t="shared" ref="J28:J30" si="14">K28*300</f>
        <v>300</v>
      </c>
      <c r="K28" s="206">
        <v>1</v>
      </c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</row>
    <row r="29" spans="1:32" x14ac:dyDescent="0.2">
      <c r="A29" s="206"/>
      <c r="B29" s="206"/>
      <c r="C29" s="206"/>
      <c r="D29" s="206"/>
      <c r="E29" s="206"/>
      <c r="F29" s="208"/>
      <c r="G29" s="206">
        <f t="shared" si="13"/>
        <v>600</v>
      </c>
      <c r="H29" s="206">
        <f>J29*M27</f>
        <v>900</v>
      </c>
      <c r="I29" s="206">
        <f>N27*J29</f>
        <v>300</v>
      </c>
      <c r="J29" s="209">
        <f t="shared" si="14"/>
        <v>600</v>
      </c>
      <c r="K29" s="206">
        <v>2</v>
      </c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</row>
    <row r="30" spans="1:32" x14ac:dyDescent="0.2">
      <c r="A30" s="206"/>
      <c r="B30" s="206"/>
      <c r="C30" s="206"/>
      <c r="D30" s="206"/>
      <c r="E30" s="206"/>
      <c r="F30" s="211"/>
      <c r="G30" s="206">
        <f t="shared" si="13"/>
        <v>3000</v>
      </c>
      <c r="H30" s="206">
        <f>J30*M27</f>
        <v>4500</v>
      </c>
      <c r="I30" s="206">
        <f>N27*J30</f>
        <v>1500</v>
      </c>
      <c r="J30" s="209">
        <f t="shared" si="14"/>
        <v>3000</v>
      </c>
      <c r="K30" s="206">
        <v>10</v>
      </c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</row>
    <row r="31" spans="1:32" x14ac:dyDescent="0.2">
      <c r="A31" s="206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</row>
    <row r="32" spans="1:32" x14ac:dyDescent="0.2">
      <c r="A32" s="206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  <c r="AE32" s="206"/>
      <c r="AF32" s="206"/>
    </row>
    <row r="33" spans="1:32" x14ac:dyDescent="0.2">
      <c r="A33" s="206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</row>
    <row r="34" spans="1:32" x14ac:dyDescent="0.2">
      <c r="A34" s="206"/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6"/>
      <c r="AF34" s="206"/>
    </row>
    <row r="35" spans="1:32" x14ac:dyDescent="0.2">
      <c r="A35" s="206"/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</row>
    <row r="36" spans="1:32" x14ac:dyDescent="0.2">
      <c r="A36" s="206"/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  <c r="AE36" s="206"/>
      <c r="AF36" s="206"/>
    </row>
    <row r="37" spans="1:32" x14ac:dyDescent="0.2">
      <c r="A37" s="206"/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</row>
    <row r="38" spans="1:32" x14ac:dyDescent="0.2">
      <c r="A38" s="206"/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  <c r="AA38" s="206"/>
      <c r="AB38" s="206"/>
      <c r="AC38" s="206"/>
      <c r="AD38" s="206"/>
      <c r="AE38" s="206"/>
      <c r="AF38" s="206"/>
    </row>
    <row r="39" spans="1:32" x14ac:dyDescent="0.2">
      <c r="A39" s="206"/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</row>
    <row r="40" spans="1:32" x14ac:dyDescent="0.2">
      <c r="A40" s="206"/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  <c r="AA40" s="206"/>
      <c r="AB40" s="206"/>
      <c r="AC40" s="206"/>
      <c r="AD40" s="206"/>
      <c r="AE40" s="206"/>
      <c r="AF40" s="206"/>
    </row>
    <row r="41" spans="1:32" x14ac:dyDescent="0.2">
      <c r="A41" s="206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</row>
    <row r="42" spans="1:32" x14ac:dyDescent="0.2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6"/>
    </row>
    <row r="43" spans="1:32" x14ac:dyDescent="0.2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</row>
    <row r="44" spans="1:32" x14ac:dyDescent="0.2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</row>
    <row r="45" spans="1:32" x14ac:dyDescent="0.2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</row>
    <row r="46" spans="1:32" x14ac:dyDescent="0.2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</row>
    <row r="47" spans="1:32" x14ac:dyDescent="0.2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</row>
    <row r="48" spans="1:32" x14ac:dyDescent="0.2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</row>
    <row r="49" spans="1:32" x14ac:dyDescent="0.2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</row>
    <row r="50" spans="1:32" x14ac:dyDescent="0.2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  <c r="AA50" s="206"/>
      <c r="AB50" s="206"/>
      <c r="AC50" s="206"/>
      <c r="AD50" s="206"/>
      <c r="AE50" s="206"/>
      <c r="AF50" s="206"/>
    </row>
    <row r="51" spans="1:32" x14ac:dyDescent="0.2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206"/>
      <c r="AE51" s="206"/>
      <c r="AF51" s="206"/>
    </row>
    <row r="52" spans="1:32" x14ac:dyDescent="0.2">
      <c r="A52" s="206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6"/>
      <c r="AF52" s="206"/>
    </row>
    <row r="53" spans="1:32" x14ac:dyDescent="0.2">
      <c r="A53" s="206"/>
      <c r="B53" s="206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</row>
    <row r="54" spans="1:32" x14ac:dyDescent="0.2">
      <c r="A54" s="206"/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6"/>
      <c r="AB54" s="206"/>
      <c r="AC54" s="206"/>
      <c r="AD54" s="206"/>
      <c r="AE54" s="206"/>
      <c r="AF54" s="206"/>
    </row>
    <row r="55" spans="1:32" x14ac:dyDescent="0.2">
      <c r="A55" s="206"/>
      <c r="B55" s="206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  <c r="AE55" s="206"/>
      <c r="AF55" s="206"/>
    </row>
    <row r="56" spans="1:32" x14ac:dyDescent="0.2">
      <c r="A56" s="206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</row>
    <row r="57" spans="1:32" x14ac:dyDescent="0.2">
      <c r="A57" s="206"/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  <c r="AE57" s="206"/>
      <c r="AF57" s="206"/>
    </row>
    <row r="58" spans="1:32" x14ac:dyDescent="0.2">
      <c r="A58" s="206"/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  <c r="AA58" s="206"/>
      <c r="AB58" s="206"/>
      <c r="AC58" s="206"/>
      <c r="AD58" s="206"/>
      <c r="AE58" s="206"/>
      <c r="AF58" s="206"/>
    </row>
    <row r="59" spans="1:32" x14ac:dyDescent="0.2">
      <c r="A59" s="206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</row>
    <row r="60" spans="1:32" x14ac:dyDescent="0.2">
      <c r="A60" s="206"/>
      <c r="B60" s="206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</row>
    <row r="61" spans="1:32" x14ac:dyDescent="0.2">
      <c r="A61" s="206"/>
      <c r="B61" s="206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06"/>
    </row>
    <row r="62" spans="1:32" x14ac:dyDescent="0.2">
      <c r="A62" s="206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</row>
    <row r="63" spans="1:32" x14ac:dyDescent="0.2">
      <c r="A63" s="206"/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6"/>
      <c r="AB63" s="206"/>
      <c r="AC63" s="206"/>
      <c r="AD63" s="206"/>
      <c r="AE63" s="206"/>
      <c r="AF63" s="206"/>
    </row>
    <row r="64" spans="1:32" x14ac:dyDescent="0.2">
      <c r="A64" s="206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6"/>
      <c r="AB64" s="206"/>
      <c r="AC64" s="206"/>
      <c r="AD64" s="206"/>
      <c r="AE64" s="206"/>
      <c r="AF64" s="206"/>
    </row>
    <row r="65" spans="1:32" x14ac:dyDescent="0.2">
      <c r="A65" s="206"/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6"/>
      <c r="AB65" s="206"/>
      <c r="AC65" s="206"/>
      <c r="AD65" s="206"/>
      <c r="AE65" s="206"/>
      <c r="AF65" s="206"/>
    </row>
    <row r="66" spans="1:32" x14ac:dyDescent="0.2">
      <c r="A66" s="206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6"/>
      <c r="AB66" s="206"/>
      <c r="AC66" s="206"/>
      <c r="AD66" s="206"/>
      <c r="AE66" s="206"/>
      <c r="AF66" s="206"/>
    </row>
    <row r="67" spans="1:32" x14ac:dyDescent="0.2">
      <c r="A67" s="206"/>
      <c r="B67" s="206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  <c r="AA67" s="206"/>
      <c r="AB67" s="206"/>
      <c r="AC67" s="206"/>
      <c r="AD67" s="206"/>
      <c r="AE67" s="206"/>
      <c r="AF67" s="206"/>
    </row>
    <row r="68" spans="1:32" x14ac:dyDescent="0.2">
      <c r="A68" s="206"/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6"/>
      <c r="AB68" s="206"/>
      <c r="AC68" s="206"/>
      <c r="AD68" s="206"/>
      <c r="AE68" s="206"/>
      <c r="AF68" s="206"/>
    </row>
    <row r="69" spans="1:32" x14ac:dyDescent="0.2">
      <c r="A69" s="206"/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  <c r="AA69" s="206"/>
      <c r="AB69" s="206"/>
      <c r="AC69" s="206"/>
      <c r="AD69" s="206"/>
      <c r="AE69" s="206"/>
      <c r="AF69" s="206"/>
    </row>
    <row r="70" spans="1:32" x14ac:dyDescent="0.2">
      <c r="A70" s="206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206"/>
      <c r="AE70" s="206"/>
      <c r="AF70" s="206"/>
    </row>
    <row r="71" spans="1:32" x14ac:dyDescent="0.2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6"/>
      <c r="AB71" s="206"/>
      <c r="AC71" s="206"/>
      <c r="AD71" s="206"/>
      <c r="AE71" s="206"/>
      <c r="AF71" s="206"/>
    </row>
    <row r="72" spans="1:32" x14ac:dyDescent="0.2">
      <c r="A72" s="206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  <c r="AA72" s="206"/>
      <c r="AB72" s="206"/>
      <c r="AC72" s="206"/>
      <c r="AD72" s="206"/>
      <c r="AE72" s="206"/>
      <c r="AF72" s="206"/>
    </row>
    <row r="73" spans="1:32" x14ac:dyDescent="0.2">
      <c r="A73" s="206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  <c r="AA73" s="206"/>
      <c r="AB73" s="206"/>
      <c r="AC73" s="206"/>
      <c r="AD73" s="206"/>
      <c r="AE73" s="206"/>
      <c r="AF73" s="206"/>
    </row>
    <row r="74" spans="1:32" x14ac:dyDescent="0.2">
      <c r="A74" s="206"/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  <c r="AA74" s="206"/>
      <c r="AB74" s="206"/>
      <c r="AC74" s="206"/>
      <c r="AD74" s="206"/>
      <c r="AE74" s="206"/>
      <c r="AF74" s="206"/>
    </row>
    <row r="75" spans="1:32" x14ac:dyDescent="0.2">
      <c r="A75" s="206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  <c r="AA75" s="206"/>
      <c r="AB75" s="206"/>
      <c r="AC75" s="206"/>
      <c r="AD75" s="206"/>
      <c r="AE75" s="206"/>
      <c r="AF75" s="206"/>
    </row>
    <row r="76" spans="1:32" x14ac:dyDescent="0.2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  <c r="AA76" s="206"/>
      <c r="AB76" s="206"/>
      <c r="AC76" s="206"/>
      <c r="AD76" s="206"/>
      <c r="AE76" s="206"/>
      <c r="AF76" s="206"/>
    </row>
    <row r="77" spans="1:32" x14ac:dyDescent="0.2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  <c r="AA77" s="206"/>
      <c r="AB77" s="206"/>
      <c r="AC77" s="206"/>
      <c r="AD77" s="206"/>
      <c r="AE77" s="206"/>
      <c r="AF77" s="206"/>
    </row>
    <row r="78" spans="1:32" x14ac:dyDescent="0.2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  <c r="AA78" s="206"/>
      <c r="AB78" s="206"/>
      <c r="AC78" s="206"/>
      <c r="AD78" s="206"/>
      <c r="AE78" s="206"/>
      <c r="AF78" s="206"/>
    </row>
    <row r="79" spans="1:32" x14ac:dyDescent="0.2">
      <c r="A79" s="206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  <c r="AA79" s="206"/>
      <c r="AB79" s="206"/>
      <c r="AC79" s="206"/>
      <c r="AD79" s="206"/>
      <c r="AE79" s="206"/>
      <c r="AF79" s="206"/>
    </row>
    <row r="80" spans="1:32" x14ac:dyDescent="0.2">
      <c r="A80" s="206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  <c r="AA80" s="206"/>
      <c r="AB80" s="206"/>
      <c r="AC80" s="206"/>
      <c r="AD80" s="206"/>
      <c r="AE80" s="206"/>
      <c r="AF80" s="206"/>
    </row>
    <row r="81" spans="1:32" x14ac:dyDescent="0.2">
      <c r="A81" s="206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206"/>
      <c r="AD81" s="206"/>
      <c r="AE81" s="206"/>
      <c r="AF81" s="206"/>
    </row>
    <row r="82" spans="1:32" x14ac:dyDescent="0.2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  <c r="AD82" s="206"/>
      <c r="AE82" s="206"/>
      <c r="AF82" s="206"/>
    </row>
    <row r="83" spans="1:32" x14ac:dyDescent="0.2">
      <c r="A83" s="206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  <c r="AA83" s="206"/>
      <c r="AB83" s="206"/>
      <c r="AC83" s="206"/>
      <c r="AD83" s="206"/>
      <c r="AE83" s="206"/>
      <c r="AF83" s="206"/>
    </row>
    <row r="84" spans="1:32" x14ac:dyDescent="0.2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  <c r="AA84" s="206"/>
      <c r="AB84" s="206"/>
      <c r="AC84" s="206"/>
      <c r="AD84" s="206"/>
      <c r="AE84" s="206"/>
      <c r="AF84" s="206"/>
    </row>
    <row r="85" spans="1:32" x14ac:dyDescent="0.2">
      <c r="A85" s="206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  <c r="AA85" s="206"/>
      <c r="AB85" s="206"/>
      <c r="AC85" s="206"/>
      <c r="AD85" s="206"/>
      <c r="AE85" s="206"/>
      <c r="AF85" s="206"/>
    </row>
    <row r="86" spans="1:32" x14ac:dyDescent="0.2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  <c r="AA86" s="206"/>
      <c r="AB86" s="206"/>
      <c r="AC86" s="206"/>
      <c r="AD86" s="206"/>
      <c r="AE86" s="206"/>
      <c r="AF86" s="206"/>
    </row>
    <row r="87" spans="1:32" x14ac:dyDescent="0.2">
      <c r="A87" s="206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  <c r="AA87" s="206"/>
      <c r="AB87" s="206"/>
      <c r="AC87" s="206"/>
      <c r="AD87" s="206"/>
      <c r="AE87" s="206"/>
      <c r="AF87" s="206"/>
    </row>
    <row r="88" spans="1:32" x14ac:dyDescent="0.2">
      <c r="A88" s="206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  <c r="AA88" s="206"/>
      <c r="AB88" s="206"/>
      <c r="AC88" s="206"/>
      <c r="AD88" s="206"/>
      <c r="AE88" s="206"/>
      <c r="AF88" s="206"/>
    </row>
    <row r="89" spans="1:32" x14ac:dyDescent="0.2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  <c r="AA89" s="206"/>
      <c r="AB89" s="206"/>
      <c r="AC89" s="206"/>
      <c r="AD89" s="206"/>
      <c r="AE89" s="206"/>
      <c r="AF89" s="206"/>
    </row>
    <row r="90" spans="1:32" x14ac:dyDescent="0.2">
      <c r="A90" s="206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  <c r="AA90" s="206"/>
      <c r="AB90" s="206"/>
      <c r="AC90" s="206"/>
      <c r="AD90" s="206"/>
      <c r="AE90" s="206"/>
      <c r="AF90" s="206"/>
    </row>
    <row r="91" spans="1:32" x14ac:dyDescent="0.2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206"/>
      <c r="AE91" s="206"/>
      <c r="AF91" s="206"/>
    </row>
    <row r="92" spans="1:32" x14ac:dyDescent="0.2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  <c r="AA92" s="206"/>
      <c r="AB92" s="206"/>
      <c r="AC92" s="206"/>
      <c r="AD92" s="206"/>
      <c r="AE92" s="206"/>
      <c r="AF92" s="206"/>
    </row>
    <row r="93" spans="1:32" x14ac:dyDescent="0.2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206"/>
      <c r="AD93" s="206"/>
      <c r="AE93" s="206"/>
      <c r="AF93" s="206"/>
    </row>
    <row r="94" spans="1:32" x14ac:dyDescent="0.2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  <c r="AA94" s="206"/>
      <c r="AB94" s="206"/>
      <c r="AC94" s="206"/>
      <c r="AD94" s="206"/>
      <c r="AE94" s="206"/>
      <c r="AF94" s="206"/>
    </row>
    <row r="95" spans="1:32" x14ac:dyDescent="0.2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  <c r="AA95" s="206"/>
      <c r="AB95" s="206"/>
      <c r="AC95" s="206"/>
      <c r="AD95" s="206"/>
      <c r="AE95" s="206"/>
      <c r="AF95" s="206"/>
    </row>
    <row r="96" spans="1:32" x14ac:dyDescent="0.2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  <c r="AA96" s="206"/>
      <c r="AB96" s="206"/>
      <c r="AC96" s="206"/>
      <c r="AD96" s="206"/>
      <c r="AE96" s="206"/>
      <c r="AF96" s="206"/>
    </row>
    <row r="97" spans="1:32" x14ac:dyDescent="0.2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</row>
    <row r="98" spans="1:32" x14ac:dyDescent="0.2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  <c r="AA98" s="206"/>
      <c r="AB98" s="206"/>
      <c r="AC98" s="206"/>
      <c r="AD98" s="206"/>
      <c r="AE98" s="206"/>
      <c r="AF98" s="206"/>
    </row>
    <row r="99" spans="1:32" x14ac:dyDescent="0.2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  <c r="AA99" s="206"/>
      <c r="AB99" s="206"/>
      <c r="AC99" s="206"/>
      <c r="AD99" s="206"/>
      <c r="AE99" s="206"/>
      <c r="AF99" s="206"/>
    </row>
    <row r="100" spans="1:32" x14ac:dyDescent="0.2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  <c r="AA100" s="206"/>
      <c r="AB100" s="206"/>
      <c r="AC100" s="206"/>
      <c r="AD100" s="206"/>
      <c r="AE100" s="206"/>
      <c r="AF100" s="206"/>
    </row>
    <row r="101" spans="1:32" x14ac:dyDescent="0.2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  <c r="AA101" s="206"/>
      <c r="AB101" s="206"/>
      <c r="AC101" s="206"/>
      <c r="AD101" s="206"/>
      <c r="AE101" s="206"/>
      <c r="AF101" s="206"/>
    </row>
    <row r="102" spans="1:32" x14ac:dyDescent="0.2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  <c r="AA102" s="206"/>
      <c r="AB102" s="206"/>
      <c r="AC102" s="206"/>
      <c r="AD102" s="206"/>
      <c r="AE102" s="206"/>
      <c r="AF102" s="206"/>
    </row>
    <row r="103" spans="1:32" x14ac:dyDescent="0.2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  <c r="AA103" s="206"/>
      <c r="AB103" s="206"/>
      <c r="AC103" s="206"/>
      <c r="AD103" s="206"/>
      <c r="AE103" s="206"/>
      <c r="AF103" s="206"/>
    </row>
    <row r="104" spans="1:32" x14ac:dyDescent="0.2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  <c r="AA104" s="206"/>
      <c r="AB104" s="206"/>
      <c r="AC104" s="206"/>
      <c r="AD104" s="206"/>
      <c r="AE104" s="206"/>
      <c r="AF104" s="206"/>
    </row>
    <row r="105" spans="1:32" x14ac:dyDescent="0.2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  <c r="AA105" s="206"/>
      <c r="AB105" s="206"/>
      <c r="AC105" s="206"/>
      <c r="AD105" s="206"/>
      <c r="AE105" s="206"/>
      <c r="AF105" s="206"/>
    </row>
    <row r="106" spans="1:32" x14ac:dyDescent="0.2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  <c r="AA106" s="206"/>
      <c r="AB106" s="206"/>
      <c r="AC106" s="206"/>
      <c r="AD106" s="206"/>
      <c r="AE106" s="206"/>
      <c r="AF106" s="206"/>
    </row>
    <row r="107" spans="1:32" x14ac:dyDescent="0.2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  <c r="AA107" s="206"/>
      <c r="AB107" s="206"/>
      <c r="AC107" s="206"/>
      <c r="AD107" s="206"/>
      <c r="AE107" s="206"/>
      <c r="AF107" s="206"/>
    </row>
    <row r="108" spans="1:32" x14ac:dyDescent="0.2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  <c r="AA108" s="206"/>
      <c r="AB108" s="206"/>
      <c r="AC108" s="206"/>
      <c r="AD108" s="206"/>
      <c r="AE108" s="206"/>
      <c r="AF108" s="206"/>
    </row>
    <row r="109" spans="1:32" x14ac:dyDescent="0.2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  <c r="AA109" s="206"/>
      <c r="AB109" s="206"/>
      <c r="AC109" s="206"/>
      <c r="AD109" s="206"/>
      <c r="AE109" s="206"/>
      <c r="AF109" s="206"/>
    </row>
    <row r="110" spans="1:32" x14ac:dyDescent="0.2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  <c r="AA110" s="206"/>
      <c r="AB110" s="206"/>
      <c r="AC110" s="206"/>
      <c r="AD110" s="206"/>
      <c r="AE110" s="206"/>
      <c r="AF110" s="206"/>
    </row>
    <row r="111" spans="1:32" x14ac:dyDescent="0.2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  <c r="AA111" s="206"/>
      <c r="AB111" s="206"/>
      <c r="AC111" s="206"/>
      <c r="AD111" s="206"/>
      <c r="AE111" s="206"/>
      <c r="AF111" s="206"/>
    </row>
    <row r="112" spans="1:32" x14ac:dyDescent="0.2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  <c r="AA112" s="206"/>
      <c r="AB112" s="206"/>
      <c r="AC112" s="206"/>
      <c r="AD112" s="206"/>
      <c r="AE112" s="206"/>
      <c r="AF112" s="206"/>
    </row>
    <row r="113" spans="1:32" x14ac:dyDescent="0.2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  <c r="AA113" s="206"/>
      <c r="AB113" s="206"/>
      <c r="AC113" s="206"/>
      <c r="AD113" s="206"/>
      <c r="AE113" s="206"/>
      <c r="AF113" s="206"/>
    </row>
    <row r="114" spans="1:32" x14ac:dyDescent="0.2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  <c r="AA114" s="206"/>
      <c r="AB114" s="206"/>
      <c r="AC114" s="206"/>
      <c r="AD114" s="206"/>
      <c r="AE114" s="206"/>
      <c r="AF114" s="206"/>
    </row>
    <row r="115" spans="1:32" x14ac:dyDescent="0.2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  <c r="AA115" s="206"/>
      <c r="AB115" s="206"/>
      <c r="AC115" s="206"/>
      <c r="AD115" s="206"/>
      <c r="AE115" s="206"/>
      <c r="AF115" s="206"/>
    </row>
    <row r="116" spans="1:32" x14ac:dyDescent="0.2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  <c r="AC116" s="206"/>
      <c r="AD116" s="206"/>
      <c r="AE116" s="206"/>
      <c r="AF116" s="206"/>
    </row>
    <row r="117" spans="1:32" x14ac:dyDescent="0.2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  <c r="AE117" s="206"/>
      <c r="AF117" s="206"/>
    </row>
    <row r="118" spans="1:32" x14ac:dyDescent="0.2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  <c r="AA118" s="206"/>
      <c r="AB118" s="206"/>
      <c r="AC118" s="206"/>
      <c r="AD118" s="206"/>
      <c r="AE118" s="206"/>
      <c r="AF118" s="206"/>
    </row>
    <row r="119" spans="1:32" x14ac:dyDescent="0.2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  <c r="AA119" s="206"/>
      <c r="AB119" s="206"/>
      <c r="AC119" s="206"/>
      <c r="AD119" s="206"/>
      <c r="AE119" s="206"/>
      <c r="AF119" s="206"/>
    </row>
    <row r="120" spans="1:32" x14ac:dyDescent="0.2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</row>
    <row r="121" spans="1:32" x14ac:dyDescent="0.2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  <c r="AA121" s="206"/>
      <c r="AB121" s="206"/>
      <c r="AC121" s="206"/>
      <c r="AD121" s="206"/>
      <c r="AE121" s="206"/>
      <c r="AF121" s="206"/>
    </row>
    <row r="122" spans="1:32" x14ac:dyDescent="0.2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  <c r="AA122" s="206"/>
      <c r="AB122" s="206"/>
      <c r="AC122" s="206"/>
      <c r="AD122" s="206"/>
      <c r="AE122" s="206"/>
      <c r="AF122" s="206"/>
    </row>
    <row r="123" spans="1:32" x14ac:dyDescent="0.2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  <c r="AF123" s="206"/>
    </row>
    <row r="124" spans="1:32" x14ac:dyDescent="0.2">
      <c r="A124" s="206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  <c r="AA124" s="206"/>
      <c r="AB124" s="206"/>
      <c r="AC124" s="206"/>
      <c r="AD124" s="206"/>
      <c r="AE124" s="206"/>
      <c r="AF124" s="206"/>
    </row>
    <row r="125" spans="1:32" x14ac:dyDescent="0.2">
      <c r="A125" s="206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  <c r="AA125" s="206"/>
      <c r="AB125" s="206"/>
      <c r="AC125" s="206"/>
      <c r="AD125" s="206"/>
      <c r="AE125" s="206"/>
      <c r="AF125" s="206"/>
    </row>
    <row r="126" spans="1:32" x14ac:dyDescent="0.2">
      <c r="A126" s="206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  <c r="AA126" s="206"/>
      <c r="AB126" s="206"/>
      <c r="AC126" s="206"/>
      <c r="AD126" s="206"/>
      <c r="AE126" s="206"/>
      <c r="AF126" s="206"/>
    </row>
    <row r="127" spans="1:32" x14ac:dyDescent="0.2">
      <c r="A127" s="206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  <c r="AA127" s="206"/>
      <c r="AB127" s="206"/>
      <c r="AC127" s="206"/>
      <c r="AD127" s="206"/>
      <c r="AE127" s="206"/>
      <c r="AF127" s="206"/>
    </row>
    <row r="128" spans="1:32" x14ac:dyDescent="0.2">
      <c r="A128" s="206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  <c r="AA128" s="206"/>
      <c r="AB128" s="206"/>
      <c r="AC128" s="206"/>
      <c r="AD128" s="206"/>
      <c r="AE128" s="206"/>
      <c r="AF128" s="206"/>
    </row>
    <row r="129" spans="1:32" x14ac:dyDescent="0.2">
      <c r="A129" s="206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  <c r="AA129" s="206"/>
      <c r="AB129" s="206"/>
      <c r="AC129" s="206"/>
      <c r="AD129" s="206"/>
      <c r="AE129" s="206"/>
      <c r="AF129" s="206"/>
    </row>
    <row r="130" spans="1:32" x14ac:dyDescent="0.2">
      <c r="A130" s="20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  <c r="AA130" s="206"/>
      <c r="AB130" s="206"/>
      <c r="AC130" s="206"/>
      <c r="AD130" s="206"/>
      <c r="AE130" s="206"/>
      <c r="AF130" s="206"/>
    </row>
    <row r="131" spans="1:32" x14ac:dyDescent="0.2">
      <c r="A131" s="206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  <c r="AA131" s="206"/>
      <c r="AB131" s="206"/>
      <c r="AC131" s="206"/>
      <c r="AD131" s="206"/>
      <c r="AE131" s="206"/>
      <c r="AF131" s="206"/>
    </row>
    <row r="132" spans="1:32" x14ac:dyDescent="0.2">
      <c r="A132" s="206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  <c r="AA132" s="206"/>
      <c r="AB132" s="206"/>
      <c r="AC132" s="206"/>
      <c r="AD132" s="206"/>
      <c r="AE132" s="206"/>
      <c r="AF132" s="206"/>
    </row>
    <row r="133" spans="1:32" x14ac:dyDescent="0.2">
      <c r="A133" s="206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  <c r="AA133" s="206"/>
      <c r="AB133" s="206"/>
      <c r="AC133" s="206"/>
      <c r="AD133" s="206"/>
      <c r="AE133" s="206"/>
      <c r="AF133" s="206"/>
    </row>
    <row r="134" spans="1:32" x14ac:dyDescent="0.2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  <c r="AA134" s="206"/>
      <c r="AB134" s="206"/>
      <c r="AC134" s="206"/>
      <c r="AD134" s="206"/>
      <c r="AE134" s="206"/>
      <c r="AF134" s="206"/>
    </row>
    <row r="135" spans="1:32" x14ac:dyDescent="0.2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  <c r="AA135" s="206"/>
      <c r="AB135" s="206"/>
      <c r="AC135" s="206"/>
      <c r="AD135" s="206"/>
      <c r="AE135" s="206"/>
      <c r="AF135" s="206"/>
    </row>
    <row r="136" spans="1:32" x14ac:dyDescent="0.2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  <c r="AA136" s="206"/>
      <c r="AB136" s="206"/>
      <c r="AC136" s="206"/>
      <c r="AD136" s="206"/>
      <c r="AE136" s="206"/>
      <c r="AF136" s="206"/>
    </row>
    <row r="137" spans="1:32" x14ac:dyDescent="0.2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  <c r="AA137" s="206"/>
      <c r="AB137" s="206"/>
      <c r="AC137" s="206"/>
      <c r="AD137" s="206"/>
      <c r="AE137" s="206"/>
      <c r="AF137" s="206"/>
    </row>
    <row r="138" spans="1:32" x14ac:dyDescent="0.2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  <c r="AA138" s="206"/>
      <c r="AB138" s="206"/>
      <c r="AC138" s="206"/>
      <c r="AD138" s="206"/>
      <c r="AE138" s="206"/>
      <c r="AF138" s="206"/>
    </row>
    <row r="139" spans="1:32" x14ac:dyDescent="0.2">
      <c r="A139" s="206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  <c r="AA139" s="206"/>
      <c r="AB139" s="206"/>
      <c r="AC139" s="206"/>
      <c r="AD139" s="206"/>
      <c r="AE139" s="206"/>
      <c r="AF139" s="206"/>
    </row>
    <row r="140" spans="1:32" x14ac:dyDescent="0.2">
      <c r="A140" s="206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  <c r="AA140" s="206"/>
      <c r="AB140" s="206"/>
      <c r="AC140" s="206"/>
      <c r="AD140" s="206"/>
      <c r="AE140" s="206"/>
      <c r="AF140" s="206"/>
    </row>
    <row r="141" spans="1:32" x14ac:dyDescent="0.2">
      <c r="A141" s="206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  <c r="AA141" s="206"/>
      <c r="AB141" s="206"/>
      <c r="AC141" s="206"/>
      <c r="AD141" s="206"/>
      <c r="AE141" s="206"/>
      <c r="AF141" s="206"/>
    </row>
    <row r="142" spans="1:32" x14ac:dyDescent="0.2">
      <c r="A142" s="206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  <c r="AA142" s="206"/>
      <c r="AB142" s="206"/>
      <c r="AC142" s="206"/>
      <c r="AD142" s="206"/>
      <c r="AE142" s="206"/>
      <c r="AF142" s="206"/>
    </row>
    <row r="143" spans="1:32" x14ac:dyDescent="0.2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</row>
    <row r="144" spans="1:32" x14ac:dyDescent="0.2">
      <c r="A144" s="206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  <c r="AA144" s="206"/>
      <c r="AB144" s="206"/>
      <c r="AC144" s="206"/>
      <c r="AD144" s="206"/>
      <c r="AE144" s="206"/>
      <c r="AF144" s="206"/>
    </row>
    <row r="145" spans="1:32" x14ac:dyDescent="0.2">
      <c r="A145" s="206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  <c r="AA145" s="206"/>
      <c r="AB145" s="206"/>
      <c r="AC145" s="206"/>
      <c r="AD145" s="206"/>
      <c r="AE145" s="206"/>
      <c r="AF145" s="206"/>
    </row>
    <row r="146" spans="1:32" x14ac:dyDescent="0.2">
      <c r="A146" s="206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  <c r="AA146" s="206"/>
      <c r="AB146" s="206"/>
      <c r="AC146" s="206"/>
      <c r="AD146" s="206"/>
      <c r="AE146" s="206"/>
      <c r="AF146" s="206"/>
    </row>
    <row r="147" spans="1:32" x14ac:dyDescent="0.2">
      <c r="A147" s="206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  <c r="AA147" s="206"/>
      <c r="AB147" s="206"/>
      <c r="AC147" s="206"/>
      <c r="AD147" s="206"/>
      <c r="AE147" s="206"/>
      <c r="AF147" s="206"/>
    </row>
    <row r="148" spans="1:32" x14ac:dyDescent="0.2">
      <c r="A148" s="206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  <c r="AA148" s="206"/>
      <c r="AB148" s="206"/>
      <c r="AC148" s="206"/>
      <c r="AD148" s="206"/>
      <c r="AE148" s="206"/>
      <c r="AF148" s="206"/>
    </row>
    <row r="149" spans="1:32" x14ac:dyDescent="0.2">
      <c r="A149" s="206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  <c r="AA149" s="206"/>
      <c r="AB149" s="206"/>
      <c r="AC149" s="206"/>
      <c r="AD149" s="206"/>
      <c r="AE149" s="206"/>
      <c r="AF149" s="206"/>
    </row>
    <row r="150" spans="1:32" x14ac:dyDescent="0.2">
      <c r="A150" s="206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  <c r="AA150" s="206"/>
      <c r="AB150" s="206"/>
      <c r="AC150" s="206"/>
      <c r="AD150" s="206"/>
      <c r="AE150" s="206"/>
      <c r="AF150" s="206"/>
    </row>
    <row r="151" spans="1:32" x14ac:dyDescent="0.2">
      <c r="A151" s="206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  <c r="AA151" s="206"/>
      <c r="AB151" s="206"/>
      <c r="AC151" s="206"/>
      <c r="AD151" s="206"/>
      <c r="AE151" s="206"/>
      <c r="AF151" s="206"/>
    </row>
    <row r="152" spans="1:32" x14ac:dyDescent="0.2">
      <c r="A152" s="206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  <c r="AA152" s="206"/>
      <c r="AB152" s="206"/>
      <c r="AC152" s="206"/>
      <c r="AD152" s="206"/>
      <c r="AE152" s="206"/>
      <c r="AF152" s="206"/>
    </row>
    <row r="153" spans="1:32" x14ac:dyDescent="0.2">
      <c r="A153" s="206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  <c r="AA153" s="206"/>
      <c r="AB153" s="206"/>
      <c r="AC153" s="206"/>
      <c r="AD153" s="206"/>
      <c r="AE153" s="206"/>
      <c r="AF153" s="206"/>
    </row>
    <row r="154" spans="1:32" x14ac:dyDescent="0.2">
      <c r="A154" s="206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  <c r="AA154" s="206"/>
      <c r="AB154" s="206"/>
      <c r="AC154" s="206"/>
      <c r="AD154" s="206"/>
      <c r="AE154" s="206"/>
      <c r="AF154" s="206"/>
    </row>
    <row r="155" spans="1:32" x14ac:dyDescent="0.2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  <c r="AA155" s="206"/>
      <c r="AB155" s="206"/>
      <c r="AC155" s="206"/>
      <c r="AD155" s="206"/>
      <c r="AE155" s="206"/>
      <c r="AF155" s="206"/>
    </row>
    <row r="156" spans="1:32" x14ac:dyDescent="0.2">
      <c r="A156" s="206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  <c r="AA156" s="206"/>
      <c r="AB156" s="206"/>
      <c r="AC156" s="206"/>
      <c r="AD156" s="206"/>
      <c r="AE156" s="206"/>
      <c r="AF156" s="206"/>
    </row>
    <row r="157" spans="1:32" x14ac:dyDescent="0.2">
      <c r="A157" s="206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  <c r="AA157" s="206"/>
      <c r="AB157" s="206"/>
      <c r="AC157" s="206"/>
      <c r="AD157" s="206"/>
      <c r="AE157" s="206"/>
      <c r="AF157" s="206"/>
    </row>
    <row r="158" spans="1:32" x14ac:dyDescent="0.2">
      <c r="A158" s="206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  <c r="AA158" s="206"/>
      <c r="AB158" s="206"/>
      <c r="AC158" s="206"/>
      <c r="AD158" s="206"/>
      <c r="AE158" s="206"/>
      <c r="AF158" s="206"/>
    </row>
    <row r="159" spans="1:32" x14ac:dyDescent="0.2">
      <c r="A159" s="206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  <c r="AA159" s="206"/>
      <c r="AB159" s="206"/>
      <c r="AC159" s="206"/>
      <c r="AD159" s="206"/>
      <c r="AE159" s="206"/>
      <c r="AF159" s="206"/>
    </row>
    <row r="160" spans="1:32" x14ac:dyDescent="0.2">
      <c r="A160" s="206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  <c r="AA160" s="206"/>
      <c r="AB160" s="206"/>
      <c r="AC160" s="206"/>
      <c r="AD160" s="206"/>
      <c r="AE160" s="206"/>
      <c r="AF160" s="206"/>
    </row>
    <row r="161" spans="1:32" x14ac:dyDescent="0.2">
      <c r="A161" s="206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  <c r="AA161" s="206"/>
      <c r="AB161" s="206"/>
      <c r="AC161" s="206"/>
      <c r="AD161" s="206"/>
      <c r="AE161" s="206"/>
      <c r="AF161" s="206"/>
    </row>
    <row r="162" spans="1:32" x14ac:dyDescent="0.2">
      <c r="A162" s="206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  <c r="AA162" s="206"/>
      <c r="AB162" s="206"/>
      <c r="AC162" s="206"/>
      <c r="AD162" s="206"/>
      <c r="AE162" s="206"/>
      <c r="AF162" s="206"/>
    </row>
    <row r="163" spans="1:32" x14ac:dyDescent="0.2">
      <c r="A163" s="206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  <c r="AA163" s="206"/>
      <c r="AB163" s="206"/>
      <c r="AC163" s="206"/>
      <c r="AD163" s="206"/>
      <c r="AE163" s="206"/>
      <c r="AF163" s="206"/>
    </row>
    <row r="164" spans="1:32" x14ac:dyDescent="0.2">
      <c r="A164" s="206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  <c r="AA164" s="206"/>
      <c r="AB164" s="206"/>
      <c r="AC164" s="206"/>
      <c r="AD164" s="206"/>
      <c r="AE164" s="206"/>
      <c r="AF164" s="206"/>
    </row>
    <row r="165" spans="1:32" x14ac:dyDescent="0.2">
      <c r="A165" s="206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  <c r="AA165" s="206"/>
      <c r="AB165" s="206"/>
      <c r="AC165" s="206"/>
      <c r="AD165" s="206"/>
      <c r="AE165" s="206"/>
      <c r="AF165" s="206"/>
    </row>
    <row r="166" spans="1:32" x14ac:dyDescent="0.2">
      <c r="A166" s="206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  <c r="AA166" s="206"/>
      <c r="AB166" s="206"/>
      <c r="AC166" s="206"/>
      <c r="AD166" s="206"/>
      <c r="AE166" s="206"/>
      <c r="AF166" s="206"/>
    </row>
    <row r="167" spans="1:32" x14ac:dyDescent="0.2">
      <c r="A167" s="206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  <c r="AA167" s="206"/>
      <c r="AB167" s="206"/>
      <c r="AC167" s="206"/>
      <c r="AD167" s="206"/>
      <c r="AE167" s="206"/>
      <c r="AF167" s="206"/>
    </row>
    <row r="168" spans="1:32" x14ac:dyDescent="0.2">
      <c r="A168" s="206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  <c r="AA168" s="206"/>
      <c r="AB168" s="206"/>
      <c r="AC168" s="206"/>
      <c r="AD168" s="206"/>
      <c r="AE168" s="206"/>
      <c r="AF168" s="206"/>
    </row>
    <row r="169" spans="1:32" x14ac:dyDescent="0.2">
      <c r="A169" s="206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  <c r="AA169" s="206"/>
      <c r="AB169" s="206"/>
      <c r="AC169" s="206"/>
      <c r="AD169" s="206"/>
      <c r="AE169" s="206"/>
      <c r="AF169" s="206"/>
    </row>
    <row r="170" spans="1:32" x14ac:dyDescent="0.2">
      <c r="A170" s="206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  <c r="AA170" s="206"/>
      <c r="AB170" s="206"/>
      <c r="AC170" s="206"/>
      <c r="AD170" s="206"/>
      <c r="AE170" s="206"/>
      <c r="AF170" s="206"/>
    </row>
    <row r="171" spans="1:32" x14ac:dyDescent="0.2">
      <c r="A171" s="206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  <c r="AA171" s="206"/>
      <c r="AB171" s="206"/>
      <c r="AC171" s="206"/>
      <c r="AD171" s="206"/>
      <c r="AE171" s="206"/>
      <c r="AF171" s="206"/>
    </row>
    <row r="172" spans="1:32" x14ac:dyDescent="0.2">
      <c r="A172" s="206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  <c r="AA172" s="206"/>
      <c r="AB172" s="206"/>
      <c r="AC172" s="206"/>
      <c r="AD172" s="206"/>
      <c r="AE172" s="206"/>
      <c r="AF172" s="206"/>
    </row>
    <row r="173" spans="1:32" x14ac:dyDescent="0.2">
      <c r="A173" s="206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  <c r="AA173" s="206"/>
      <c r="AB173" s="206"/>
      <c r="AC173" s="206"/>
      <c r="AD173" s="206"/>
      <c r="AE173" s="206"/>
      <c r="AF173" s="206"/>
    </row>
    <row r="174" spans="1:32" x14ac:dyDescent="0.2">
      <c r="A174" s="206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  <c r="AA174" s="206"/>
      <c r="AB174" s="206"/>
      <c r="AC174" s="206"/>
      <c r="AD174" s="206"/>
      <c r="AE174" s="206"/>
      <c r="AF174" s="206"/>
    </row>
    <row r="175" spans="1:32" x14ac:dyDescent="0.2">
      <c r="A175" s="206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  <c r="AA175" s="206"/>
      <c r="AB175" s="206"/>
      <c r="AC175" s="206"/>
      <c r="AD175" s="206"/>
      <c r="AE175" s="206"/>
      <c r="AF175" s="206"/>
    </row>
    <row r="176" spans="1:32" x14ac:dyDescent="0.2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  <c r="AA176" s="206"/>
      <c r="AB176" s="206"/>
      <c r="AC176" s="206"/>
      <c r="AD176" s="206"/>
      <c r="AE176" s="206"/>
      <c r="AF176" s="206"/>
    </row>
    <row r="177" spans="1:32" x14ac:dyDescent="0.2">
      <c r="A177" s="206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  <c r="AA177" s="206"/>
      <c r="AB177" s="206"/>
      <c r="AC177" s="206"/>
      <c r="AD177" s="206"/>
      <c r="AE177" s="206"/>
      <c r="AF177" s="206"/>
    </row>
    <row r="178" spans="1:32" x14ac:dyDescent="0.2">
      <c r="A178" s="206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  <c r="AA178" s="206"/>
      <c r="AB178" s="206"/>
      <c r="AC178" s="206"/>
      <c r="AD178" s="206"/>
      <c r="AE178" s="206"/>
      <c r="AF178" s="206"/>
    </row>
    <row r="179" spans="1:32" x14ac:dyDescent="0.2">
      <c r="A179" s="206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  <c r="AA179" s="206"/>
      <c r="AB179" s="206"/>
      <c r="AC179" s="206"/>
      <c r="AD179" s="206"/>
      <c r="AE179" s="206"/>
      <c r="AF179" s="206"/>
    </row>
    <row r="180" spans="1:32" x14ac:dyDescent="0.2">
      <c r="A180" s="206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  <c r="AA180" s="206"/>
      <c r="AB180" s="206"/>
      <c r="AC180" s="206"/>
      <c r="AD180" s="206"/>
      <c r="AE180" s="206"/>
      <c r="AF180" s="206"/>
    </row>
    <row r="181" spans="1:32" x14ac:dyDescent="0.2">
      <c r="A181" s="206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  <c r="AA181" s="206"/>
      <c r="AB181" s="206"/>
      <c r="AC181" s="206"/>
      <c r="AD181" s="206"/>
      <c r="AE181" s="206"/>
      <c r="AF181" s="206"/>
    </row>
    <row r="182" spans="1:32" x14ac:dyDescent="0.2">
      <c r="A182" s="206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  <c r="AA182" s="206"/>
      <c r="AB182" s="206"/>
      <c r="AC182" s="206"/>
      <c r="AD182" s="206"/>
      <c r="AE182" s="206"/>
      <c r="AF182" s="206"/>
    </row>
    <row r="183" spans="1:32" x14ac:dyDescent="0.2">
      <c r="A183" s="206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  <c r="AA183" s="206"/>
      <c r="AB183" s="206"/>
      <c r="AC183" s="206"/>
      <c r="AD183" s="206"/>
      <c r="AE183" s="206"/>
      <c r="AF183" s="206"/>
    </row>
    <row r="184" spans="1:32" x14ac:dyDescent="0.2">
      <c r="A184" s="206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  <c r="AA184" s="206"/>
      <c r="AB184" s="206"/>
      <c r="AC184" s="206"/>
      <c r="AD184" s="206"/>
      <c r="AE184" s="206"/>
      <c r="AF184" s="206"/>
    </row>
    <row r="185" spans="1:32" x14ac:dyDescent="0.2">
      <c r="A185" s="206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  <c r="AA185" s="206"/>
      <c r="AB185" s="206"/>
      <c r="AC185" s="206"/>
      <c r="AD185" s="206"/>
      <c r="AE185" s="206"/>
      <c r="AF185" s="206"/>
    </row>
    <row r="186" spans="1:32" x14ac:dyDescent="0.2">
      <c r="A186" s="206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  <c r="AA186" s="206"/>
      <c r="AB186" s="206"/>
      <c r="AC186" s="206"/>
      <c r="AD186" s="206"/>
      <c r="AE186" s="206"/>
      <c r="AF186" s="206"/>
    </row>
    <row r="187" spans="1:32" x14ac:dyDescent="0.2">
      <c r="A187" s="206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  <c r="AA187" s="206"/>
      <c r="AB187" s="206"/>
      <c r="AC187" s="206"/>
      <c r="AD187" s="206"/>
      <c r="AE187" s="206"/>
      <c r="AF187" s="206"/>
    </row>
    <row r="188" spans="1:32" x14ac:dyDescent="0.2">
      <c r="A188" s="206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  <c r="AA188" s="206"/>
      <c r="AB188" s="206"/>
      <c r="AC188" s="206"/>
      <c r="AD188" s="206"/>
      <c r="AE188" s="206"/>
      <c r="AF188" s="206"/>
    </row>
    <row r="189" spans="1:32" x14ac:dyDescent="0.2">
      <c r="A189" s="206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  <c r="AA189" s="206"/>
      <c r="AB189" s="206"/>
      <c r="AC189" s="206"/>
      <c r="AD189" s="206"/>
      <c r="AE189" s="206"/>
      <c r="AF189" s="206"/>
    </row>
    <row r="190" spans="1:32" x14ac:dyDescent="0.2">
      <c r="A190" s="206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  <c r="AA190" s="206"/>
      <c r="AB190" s="206"/>
      <c r="AC190" s="206"/>
      <c r="AD190" s="206"/>
      <c r="AE190" s="206"/>
      <c r="AF190" s="206"/>
    </row>
    <row r="191" spans="1:32" x14ac:dyDescent="0.2">
      <c r="A191" s="206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  <c r="AA191" s="206"/>
      <c r="AB191" s="206"/>
      <c r="AC191" s="206"/>
      <c r="AD191" s="206"/>
      <c r="AE191" s="206"/>
      <c r="AF191" s="206"/>
    </row>
    <row r="192" spans="1:32" x14ac:dyDescent="0.2">
      <c r="A192" s="206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  <c r="AA192" s="206"/>
      <c r="AB192" s="206"/>
      <c r="AC192" s="206"/>
      <c r="AD192" s="206"/>
      <c r="AE192" s="206"/>
      <c r="AF192" s="206"/>
    </row>
    <row r="193" spans="1:32" x14ac:dyDescent="0.2">
      <c r="A193" s="206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  <c r="AA193" s="206"/>
      <c r="AB193" s="206"/>
      <c r="AC193" s="206"/>
      <c r="AD193" s="206"/>
      <c r="AE193" s="206"/>
      <c r="AF193" s="206"/>
    </row>
    <row r="194" spans="1:32" x14ac:dyDescent="0.2">
      <c r="A194" s="206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  <c r="AA194" s="206"/>
      <c r="AB194" s="206"/>
      <c r="AC194" s="206"/>
      <c r="AD194" s="206"/>
      <c r="AE194" s="206"/>
      <c r="AF194" s="206"/>
    </row>
    <row r="195" spans="1:32" x14ac:dyDescent="0.2">
      <c r="A195" s="206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  <c r="AA195" s="206"/>
      <c r="AB195" s="206"/>
      <c r="AC195" s="206"/>
      <c r="AD195" s="206"/>
      <c r="AE195" s="206"/>
      <c r="AF195" s="206"/>
    </row>
    <row r="196" spans="1:32" x14ac:dyDescent="0.2">
      <c r="A196" s="206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  <c r="AA196" s="206"/>
      <c r="AB196" s="206"/>
      <c r="AC196" s="206"/>
      <c r="AD196" s="206"/>
      <c r="AE196" s="206"/>
      <c r="AF196" s="206"/>
    </row>
    <row r="197" spans="1:32" x14ac:dyDescent="0.2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  <c r="AA197" s="206"/>
      <c r="AB197" s="206"/>
      <c r="AC197" s="206"/>
      <c r="AD197" s="206"/>
      <c r="AE197" s="206"/>
      <c r="AF197" s="206"/>
    </row>
    <row r="198" spans="1:32" x14ac:dyDescent="0.2">
      <c r="A198" s="206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  <c r="AA198" s="206"/>
      <c r="AB198" s="206"/>
      <c r="AC198" s="206"/>
      <c r="AD198" s="206"/>
      <c r="AE198" s="206"/>
      <c r="AF198" s="206"/>
    </row>
    <row r="199" spans="1:32" x14ac:dyDescent="0.2">
      <c r="A199" s="206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  <c r="AA199" s="206"/>
      <c r="AB199" s="206"/>
      <c r="AC199" s="206"/>
      <c r="AD199" s="206"/>
      <c r="AE199" s="206"/>
      <c r="AF199" s="206"/>
    </row>
    <row r="200" spans="1:32" x14ac:dyDescent="0.2">
      <c r="A200" s="206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  <c r="AA200" s="206"/>
      <c r="AB200" s="206"/>
      <c r="AC200" s="206"/>
      <c r="AD200" s="206"/>
      <c r="AE200" s="206"/>
      <c r="AF200" s="206"/>
    </row>
    <row r="201" spans="1:32" x14ac:dyDescent="0.2">
      <c r="A201" s="206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  <c r="AA201" s="206"/>
      <c r="AB201" s="206"/>
      <c r="AC201" s="206"/>
      <c r="AD201" s="206"/>
      <c r="AE201" s="206"/>
      <c r="AF201" s="206"/>
    </row>
    <row r="202" spans="1:32" x14ac:dyDescent="0.2">
      <c r="A202" s="206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  <c r="AA202" s="206"/>
      <c r="AB202" s="206"/>
      <c r="AC202" s="206"/>
      <c r="AD202" s="206"/>
      <c r="AE202" s="206"/>
      <c r="AF202" s="206"/>
    </row>
    <row r="203" spans="1:32" x14ac:dyDescent="0.2">
      <c r="A203" s="206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  <c r="AA203" s="206"/>
      <c r="AB203" s="206"/>
      <c r="AC203" s="206"/>
      <c r="AD203" s="206"/>
      <c r="AE203" s="206"/>
      <c r="AF203" s="206"/>
    </row>
    <row r="204" spans="1:32" x14ac:dyDescent="0.2">
      <c r="A204" s="206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  <c r="AA204" s="206"/>
      <c r="AB204" s="206"/>
      <c r="AC204" s="206"/>
      <c r="AD204" s="206"/>
      <c r="AE204" s="206"/>
      <c r="AF204" s="206"/>
    </row>
    <row r="205" spans="1:32" x14ac:dyDescent="0.2">
      <c r="A205" s="206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6"/>
    </row>
    <row r="206" spans="1:32" x14ac:dyDescent="0.2">
      <c r="A206" s="206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  <c r="AA206" s="206"/>
      <c r="AB206" s="206"/>
      <c r="AC206" s="206"/>
      <c r="AD206" s="206"/>
      <c r="AE206" s="206"/>
      <c r="AF206" s="206"/>
    </row>
    <row r="207" spans="1:32" x14ac:dyDescent="0.2">
      <c r="A207" s="206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6"/>
    </row>
    <row r="208" spans="1:32" x14ac:dyDescent="0.2">
      <c r="A208" s="206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  <c r="AA208" s="206"/>
      <c r="AB208" s="206"/>
      <c r="AC208" s="206"/>
      <c r="AD208" s="206"/>
      <c r="AE208" s="206"/>
      <c r="AF208" s="206"/>
    </row>
    <row r="209" spans="1:32" x14ac:dyDescent="0.2">
      <c r="A209" s="206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  <c r="AA209" s="206"/>
      <c r="AB209" s="206"/>
      <c r="AC209" s="206"/>
      <c r="AD209" s="206"/>
      <c r="AE209" s="206"/>
      <c r="AF209" s="206"/>
    </row>
    <row r="210" spans="1:32" x14ac:dyDescent="0.2">
      <c r="A210" s="206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  <c r="AA210" s="206"/>
      <c r="AB210" s="206"/>
      <c r="AC210" s="206"/>
      <c r="AD210" s="206"/>
      <c r="AE210" s="206"/>
      <c r="AF210" s="206"/>
    </row>
    <row r="211" spans="1:32" x14ac:dyDescent="0.2">
      <c r="A211" s="206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  <c r="AA211" s="206"/>
      <c r="AB211" s="206"/>
      <c r="AC211" s="206"/>
      <c r="AD211" s="206"/>
      <c r="AE211" s="206"/>
      <c r="AF211" s="206"/>
    </row>
    <row r="212" spans="1:32" x14ac:dyDescent="0.2">
      <c r="A212" s="206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  <c r="AA212" s="206"/>
      <c r="AB212" s="206"/>
      <c r="AC212" s="206"/>
      <c r="AD212" s="206"/>
      <c r="AE212" s="206"/>
      <c r="AF212" s="206"/>
    </row>
    <row r="213" spans="1:32" x14ac:dyDescent="0.2">
      <c r="A213" s="206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  <c r="AA213" s="206"/>
      <c r="AB213" s="206"/>
      <c r="AC213" s="206"/>
      <c r="AD213" s="206"/>
      <c r="AE213" s="206"/>
      <c r="AF213" s="206"/>
    </row>
    <row r="214" spans="1:32" x14ac:dyDescent="0.2">
      <c r="A214" s="206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  <c r="AA214" s="206"/>
      <c r="AB214" s="206"/>
      <c r="AC214" s="206"/>
      <c r="AD214" s="206"/>
      <c r="AE214" s="206"/>
      <c r="AF214" s="206"/>
    </row>
    <row r="215" spans="1:32" x14ac:dyDescent="0.2">
      <c r="A215" s="206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  <c r="AA215" s="206"/>
      <c r="AB215" s="206"/>
      <c r="AC215" s="206"/>
      <c r="AD215" s="206"/>
      <c r="AE215" s="206"/>
      <c r="AF215" s="206"/>
    </row>
    <row r="216" spans="1:32" x14ac:dyDescent="0.2">
      <c r="A216" s="206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  <c r="AA216" s="206"/>
      <c r="AB216" s="206"/>
      <c r="AC216" s="206"/>
      <c r="AD216" s="206"/>
      <c r="AE216" s="206"/>
      <c r="AF216" s="206"/>
    </row>
    <row r="217" spans="1:32" x14ac:dyDescent="0.2">
      <c r="A217" s="206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  <c r="AA217" s="206"/>
      <c r="AB217" s="206"/>
      <c r="AC217" s="206"/>
      <c r="AD217" s="206"/>
      <c r="AE217" s="206"/>
      <c r="AF217" s="206"/>
    </row>
    <row r="218" spans="1:32" x14ac:dyDescent="0.2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  <c r="AA218" s="206"/>
      <c r="AB218" s="206"/>
      <c r="AC218" s="206"/>
      <c r="AD218" s="206"/>
      <c r="AE218" s="206"/>
      <c r="AF218" s="206"/>
    </row>
    <row r="219" spans="1:32" x14ac:dyDescent="0.2">
      <c r="A219" s="206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  <c r="AA219" s="206"/>
      <c r="AB219" s="206"/>
      <c r="AC219" s="206"/>
      <c r="AD219" s="206"/>
      <c r="AE219" s="206"/>
      <c r="AF219" s="206"/>
    </row>
    <row r="220" spans="1:32" x14ac:dyDescent="0.2">
      <c r="A220" s="206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  <c r="AA220" s="206"/>
      <c r="AB220" s="206"/>
      <c r="AC220" s="206"/>
      <c r="AD220" s="206"/>
      <c r="AE220" s="206"/>
      <c r="AF220" s="206"/>
    </row>
    <row r="221" spans="1:32" x14ac:dyDescent="0.2">
      <c r="A221" s="206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  <c r="AA221" s="206"/>
      <c r="AB221" s="206"/>
      <c r="AC221" s="206"/>
      <c r="AD221" s="206"/>
      <c r="AE221" s="206"/>
      <c r="AF221" s="206"/>
    </row>
    <row r="222" spans="1:32" x14ac:dyDescent="0.2">
      <c r="A222" s="206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  <c r="AA222" s="206"/>
      <c r="AB222" s="206"/>
      <c r="AC222" s="206"/>
      <c r="AD222" s="206"/>
      <c r="AE222" s="206"/>
      <c r="AF222" s="206"/>
    </row>
    <row r="223" spans="1:32" x14ac:dyDescent="0.2">
      <c r="A223" s="206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  <c r="AA223" s="206"/>
      <c r="AB223" s="206"/>
      <c r="AC223" s="206"/>
      <c r="AD223" s="206"/>
      <c r="AE223" s="206"/>
      <c r="AF223" s="206"/>
    </row>
    <row r="224" spans="1:32" x14ac:dyDescent="0.2">
      <c r="A224" s="206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  <c r="AA224" s="206"/>
      <c r="AB224" s="206"/>
      <c r="AC224" s="206"/>
      <c r="AD224" s="206"/>
      <c r="AE224" s="206"/>
      <c r="AF224" s="206"/>
    </row>
    <row r="225" spans="1:32" x14ac:dyDescent="0.2">
      <c r="A225" s="206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6"/>
      <c r="AD225" s="206"/>
      <c r="AE225" s="206"/>
      <c r="AF225" s="206"/>
    </row>
    <row r="226" spans="1:32" x14ac:dyDescent="0.2">
      <c r="A226" s="206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  <c r="AA226" s="206"/>
      <c r="AB226" s="206"/>
      <c r="AC226" s="206"/>
      <c r="AD226" s="206"/>
      <c r="AE226" s="206"/>
      <c r="AF226" s="206"/>
    </row>
    <row r="227" spans="1:32" x14ac:dyDescent="0.2">
      <c r="A227" s="206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  <c r="AA227" s="206"/>
      <c r="AB227" s="206"/>
      <c r="AC227" s="206"/>
      <c r="AD227" s="206"/>
      <c r="AE227" s="206"/>
      <c r="AF227" s="206"/>
    </row>
    <row r="228" spans="1:32" x14ac:dyDescent="0.2">
      <c r="A228" s="206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  <c r="AA228" s="206"/>
      <c r="AB228" s="206"/>
      <c r="AC228" s="206"/>
      <c r="AD228" s="206"/>
      <c r="AE228" s="206"/>
      <c r="AF228" s="206"/>
    </row>
    <row r="229" spans="1:32" x14ac:dyDescent="0.2">
      <c r="A229" s="206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  <c r="AA229" s="206"/>
      <c r="AB229" s="206"/>
      <c r="AC229" s="206"/>
      <c r="AD229" s="206"/>
      <c r="AE229" s="206"/>
      <c r="AF229" s="206"/>
    </row>
    <row r="230" spans="1:32" x14ac:dyDescent="0.2">
      <c r="A230" s="206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  <c r="AA230" s="206"/>
      <c r="AB230" s="206"/>
      <c r="AC230" s="206"/>
      <c r="AD230" s="206"/>
      <c r="AE230" s="206"/>
      <c r="AF230" s="206"/>
    </row>
    <row r="231" spans="1:32" x14ac:dyDescent="0.2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  <c r="AA231" s="206"/>
      <c r="AB231" s="206"/>
      <c r="AC231" s="206"/>
      <c r="AD231" s="206"/>
      <c r="AE231" s="206"/>
      <c r="AF231" s="206"/>
    </row>
    <row r="232" spans="1:32" x14ac:dyDescent="0.2">
      <c r="A232" s="206"/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  <c r="AA232" s="206"/>
      <c r="AB232" s="206"/>
      <c r="AC232" s="206"/>
      <c r="AD232" s="206"/>
      <c r="AE232" s="206"/>
      <c r="AF232" s="206"/>
    </row>
    <row r="233" spans="1:32" x14ac:dyDescent="0.2">
      <c r="A233" s="206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  <c r="AA233" s="206"/>
      <c r="AB233" s="206"/>
      <c r="AC233" s="206"/>
      <c r="AD233" s="206"/>
      <c r="AE233" s="206"/>
      <c r="AF233" s="206"/>
    </row>
    <row r="234" spans="1:32" x14ac:dyDescent="0.2">
      <c r="A234" s="206"/>
      <c r="B234" s="20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  <c r="AA234" s="206"/>
      <c r="AB234" s="206"/>
      <c r="AC234" s="206"/>
      <c r="AD234" s="206"/>
      <c r="AE234" s="206"/>
      <c r="AF234" s="206"/>
    </row>
    <row r="235" spans="1:32" x14ac:dyDescent="0.2">
      <c r="A235" s="206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  <c r="AA235" s="206"/>
      <c r="AB235" s="206"/>
      <c r="AC235" s="206"/>
      <c r="AD235" s="206"/>
      <c r="AE235" s="206"/>
      <c r="AF235" s="206"/>
    </row>
    <row r="236" spans="1:32" x14ac:dyDescent="0.2">
      <c r="A236" s="206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  <c r="AA236" s="206"/>
      <c r="AB236" s="206"/>
      <c r="AC236" s="206"/>
      <c r="AD236" s="206"/>
      <c r="AE236" s="206"/>
      <c r="AF236" s="206"/>
    </row>
    <row r="237" spans="1:32" x14ac:dyDescent="0.2">
      <c r="A237" s="206"/>
      <c r="B237" s="20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  <c r="AA237" s="206"/>
      <c r="AB237" s="206"/>
      <c r="AC237" s="206"/>
      <c r="AD237" s="206"/>
      <c r="AE237" s="206"/>
      <c r="AF237" s="206"/>
    </row>
    <row r="238" spans="1:32" x14ac:dyDescent="0.2">
      <c r="A238" s="206"/>
      <c r="B238" s="20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  <c r="AA238" s="206"/>
      <c r="AB238" s="206"/>
      <c r="AC238" s="206"/>
      <c r="AD238" s="206"/>
      <c r="AE238" s="206"/>
      <c r="AF238" s="206"/>
    </row>
    <row r="239" spans="1:32" x14ac:dyDescent="0.2">
      <c r="A239" s="206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  <c r="AA239" s="206"/>
      <c r="AB239" s="206"/>
      <c r="AC239" s="206"/>
      <c r="AD239" s="206"/>
      <c r="AE239" s="206"/>
      <c r="AF239" s="206"/>
    </row>
    <row r="240" spans="1:32" x14ac:dyDescent="0.2">
      <c r="A240" s="206"/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  <c r="AA240" s="206"/>
      <c r="AB240" s="206"/>
      <c r="AC240" s="206"/>
      <c r="AD240" s="206"/>
      <c r="AE240" s="206"/>
      <c r="AF240" s="206"/>
    </row>
    <row r="241" spans="1:32" x14ac:dyDescent="0.2">
      <c r="A241" s="206"/>
      <c r="B241" s="20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  <c r="AA241" s="206"/>
      <c r="AB241" s="206"/>
      <c r="AC241" s="206"/>
      <c r="AD241" s="206"/>
      <c r="AE241" s="206"/>
      <c r="AF241" s="206"/>
    </row>
    <row r="242" spans="1:32" x14ac:dyDescent="0.2">
      <c r="A242" s="206"/>
      <c r="B242" s="20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  <c r="AA242" s="206"/>
      <c r="AB242" s="206"/>
      <c r="AC242" s="206"/>
      <c r="AD242" s="206"/>
      <c r="AE242" s="206"/>
      <c r="AF242" s="206"/>
    </row>
    <row r="243" spans="1:32" x14ac:dyDescent="0.2">
      <c r="A243" s="206"/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  <c r="AA243" s="206"/>
      <c r="AB243" s="206"/>
      <c r="AC243" s="206"/>
      <c r="AD243" s="206"/>
      <c r="AE243" s="206"/>
      <c r="AF243" s="206"/>
    </row>
    <row r="244" spans="1:32" x14ac:dyDescent="0.2">
      <c r="A244" s="206"/>
      <c r="B244" s="20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  <c r="AA244" s="206"/>
      <c r="AB244" s="206"/>
      <c r="AC244" s="206"/>
      <c r="AD244" s="206"/>
      <c r="AE244" s="206"/>
      <c r="AF244" s="206"/>
    </row>
    <row r="245" spans="1:32" x14ac:dyDescent="0.2">
      <c r="A245" s="206"/>
      <c r="B245" s="206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  <c r="AA245" s="206"/>
      <c r="AB245" s="206"/>
      <c r="AC245" s="206"/>
      <c r="AD245" s="206"/>
      <c r="AE245" s="206"/>
      <c r="AF245" s="206"/>
    </row>
    <row r="246" spans="1:32" x14ac:dyDescent="0.2">
      <c r="A246" s="206"/>
      <c r="B246" s="20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  <c r="AA246" s="206"/>
      <c r="AB246" s="206"/>
      <c r="AC246" s="206"/>
      <c r="AD246" s="206"/>
      <c r="AE246" s="206"/>
      <c r="AF246" s="206"/>
    </row>
    <row r="247" spans="1:32" x14ac:dyDescent="0.2">
      <c r="A247" s="206"/>
      <c r="B247" s="20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  <c r="AA247" s="206"/>
      <c r="AB247" s="206"/>
      <c r="AC247" s="206"/>
      <c r="AD247" s="206"/>
      <c r="AE247" s="206"/>
      <c r="AF247" s="206"/>
    </row>
    <row r="248" spans="1:32" x14ac:dyDescent="0.2">
      <c r="A248" s="206"/>
      <c r="B248" s="20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  <c r="AA248" s="206"/>
      <c r="AB248" s="206"/>
      <c r="AC248" s="206"/>
      <c r="AD248" s="206"/>
      <c r="AE248" s="206"/>
      <c r="AF248" s="206"/>
    </row>
    <row r="249" spans="1:32" x14ac:dyDescent="0.2">
      <c r="A249" s="206"/>
      <c r="B249" s="20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  <c r="AA249" s="206"/>
      <c r="AB249" s="206"/>
      <c r="AC249" s="206"/>
      <c r="AD249" s="206"/>
      <c r="AE249" s="206"/>
      <c r="AF249" s="206"/>
    </row>
    <row r="250" spans="1:32" x14ac:dyDescent="0.2">
      <c r="A250" s="206"/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  <c r="AA250" s="206"/>
      <c r="AB250" s="206"/>
      <c r="AC250" s="206"/>
      <c r="AD250" s="206"/>
      <c r="AE250" s="206"/>
      <c r="AF250" s="206"/>
    </row>
    <row r="251" spans="1:32" x14ac:dyDescent="0.2">
      <c r="A251" s="206"/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  <c r="AA251" s="206"/>
      <c r="AB251" s="206"/>
      <c r="AC251" s="206"/>
      <c r="AD251" s="206"/>
      <c r="AE251" s="206"/>
      <c r="AF251" s="206"/>
    </row>
    <row r="252" spans="1:32" x14ac:dyDescent="0.2">
      <c r="A252" s="206"/>
      <c r="B252" s="20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  <c r="AA252" s="206"/>
      <c r="AB252" s="206"/>
      <c r="AC252" s="206"/>
      <c r="AD252" s="206"/>
      <c r="AE252" s="206"/>
      <c r="AF252" s="206"/>
    </row>
    <row r="253" spans="1:32" x14ac:dyDescent="0.2">
      <c r="A253" s="206"/>
      <c r="B253" s="206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  <c r="AA253" s="206"/>
      <c r="AB253" s="206"/>
      <c r="AC253" s="206"/>
      <c r="AD253" s="206"/>
      <c r="AE253" s="206"/>
      <c r="AF253" s="206"/>
    </row>
    <row r="254" spans="1:32" x14ac:dyDescent="0.2">
      <c r="A254" s="206"/>
      <c r="B254" s="206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  <c r="AA254" s="206"/>
      <c r="AB254" s="206"/>
      <c r="AC254" s="206"/>
      <c r="AD254" s="206"/>
      <c r="AE254" s="206"/>
      <c r="AF254" s="206"/>
    </row>
    <row r="255" spans="1:32" x14ac:dyDescent="0.2">
      <c r="A255" s="206"/>
      <c r="B255" s="206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  <c r="AA255" s="206"/>
      <c r="AB255" s="206"/>
      <c r="AC255" s="206"/>
      <c r="AD255" s="206"/>
      <c r="AE255" s="206"/>
      <c r="AF255" s="206"/>
    </row>
    <row r="256" spans="1:32" x14ac:dyDescent="0.2">
      <c r="A256" s="206"/>
      <c r="B256" s="206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  <c r="AA256" s="206"/>
      <c r="AB256" s="206"/>
      <c r="AC256" s="206"/>
      <c r="AD256" s="206"/>
      <c r="AE256" s="206"/>
      <c r="AF256" s="206"/>
    </row>
    <row r="257" spans="1:32" x14ac:dyDescent="0.2">
      <c r="A257" s="206"/>
      <c r="B257" s="206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  <c r="AA257" s="206"/>
      <c r="AB257" s="206"/>
      <c r="AC257" s="206"/>
      <c r="AD257" s="206"/>
      <c r="AE257" s="206"/>
      <c r="AF257" s="206"/>
    </row>
    <row r="258" spans="1:32" x14ac:dyDescent="0.2">
      <c r="A258" s="206"/>
      <c r="B258" s="206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  <c r="AA258" s="206"/>
      <c r="AB258" s="206"/>
      <c r="AC258" s="206"/>
      <c r="AD258" s="206"/>
      <c r="AE258" s="206"/>
      <c r="AF258" s="206"/>
    </row>
    <row r="259" spans="1:32" x14ac:dyDescent="0.2">
      <c r="A259" s="206"/>
      <c r="B259" s="206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  <c r="AA259" s="206"/>
      <c r="AB259" s="206"/>
      <c r="AC259" s="206"/>
      <c r="AD259" s="206"/>
      <c r="AE259" s="206"/>
      <c r="AF259" s="206"/>
    </row>
    <row r="260" spans="1:32" x14ac:dyDescent="0.2">
      <c r="A260" s="206"/>
      <c r="B260" s="20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  <c r="AA260" s="206"/>
      <c r="AB260" s="206"/>
      <c r="AC260" s="206"/>
      <c r="AD260" s="206"/>
      <c r="AE260" s="206"/>
      <c r="AF260" s="206"/>
    </row>
    <row r="261" spans="1:32" x14ac:dyDescent="0.2">
      <c r="A261" s="206"/>
      <c r="B261" s="206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  <c r="AA261" s="206"/>
      <c r="AB261" s="206"/>
      <c r="AC261" s="206"/>
      <c r="AD261" s="206"/>
      <c r="AE261" s="206"/>
      <c r="AF261" s="206"/>
    </row>
    <row r="262" spans="1:32" x14ac:dyDescent="0.2">
      <c r="A262" s="206"/>
      <c r="B262" s="206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  <c r="AA262" s="206"/>
      <c r="AB262" s="206"/>
      <c r="AC262" s="206"/>
      <c r="AD262" s="206"/>
      <c r="AE262" s="206"/>
      <c r="AF262" s="206"/>
    </row>
    <row r="263" spans="1:32" x14ac:dyDescent="0.2">
      <c r="A263" s="206"/>
      <c r="B263" s="20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  <c r="AA263" s="206"/>
      <c r="AB263" s="206"/>
      <c r="AC263" s="206"/>
      <c r="AD263" s="206"/>
      <c r="AE263" s="206"/>
      <c r="AF263" s="206"/>
    </row>
    <row r="264" spans="1:32" x14ac:dyDescent="0.2">
      <c r="A264" s="206"/>
      <c r="B264" s="20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  <c r="AA264" s="206"/>
      <c r="AB264" s="206"/>
      <c r="AC264" s="206"/>
      <c r="AD264" s="206"/>
      <c r="AE264" s="206"/>
      <c r="AF264" s="206"/>
    </row>
    <row r="265" spans="1:32" x14ac:dyDescent="0.2">
      <c r="A265" s="206"/>
      <c r="B265" s="20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  <c r="AA265" s="206"/>
      <c r="AB265" s="206"/>
      <c r="AC265" s="206"/>
      <c r="AD265" s="206"/>
      <c r="AE265" s="206"/>
      <c r="AF265" s="206"/>
    </row>
    <row r="266" spans="1:32" x14ac:dyDescent="0.2">
      <c r="A266" s="206"/>
      <c r="B266" s="206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  <c r="AA266" s="206"/>
      <c r="AB266" s="206"/>
      <c r="AC266" s="206"/>
      <c r="AD266" s="206"/>
      <c r="AE266" s="206"/>
      <c r="AF266" s="206"/>
    </row>
    <row r="267" spans="1:32" x14ac:dyDescent="0.2">
      <c r="A267" s="206"/>
      <c r="B267" s="20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  <c r="AA267" s="206"/>
      <c r="AB267" s="206"/>
      <c r="AC267" s="206"/>
      <c r="AD267" s="206"/>
      <c r="AE267" s="206"/>
      <c r="AF267" s="206"/>
    </row>
    <row r="268" spans="1:32" x14ac:dyDescent="0.2">
      <c r="A268" s="206"/>
      <c r="B268" s="206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  <c r="AA268" s="206"/>
      <c r="AB268" s="206"/>
      <c r="AC268" s="206"/>
      <c r="AD268" s="206"/>
      <c r="AE268" s="206"/>
      <c r="AF268" s="206"/>
    </row>
    <row r="269" spans="1:32" x14ac:dyDescent="0.2">
      <c r="A269" s="206"/>
      <c r="B269" s="206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  <c r="AA269" s="206"/>
      <c r="AB269" s="206"/>
      <c r="AC269" s="206"/>
      <c r="AD269" s="206"/>
      <c r="AE269" s="206"/>
      <c r="AF269" s="206"/>
    </row>
    <row r="270" spans="1:32" x14ac:dyDescent="0.2">
      <c r="A270" s="206"/>
      <c r="B270" s="206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  <c r="AA270" s="206"/>
      <c r="AB270" s="206"/>
      <c r="AC270" s="206"/>
      <c r="AD270" s="206"/>
      <c r="AE270" s="206"/>
      <c r="AF270" s="206"/>
    </row>
    <row r="271" spans="1:32" x14ac:dyDescent="0.2">
      <c r="A271" s="206"/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  <c r="AA271" s="206"/>
      <c r="AB271" s="206"/>
      <c r="AC271" s="206"/>
      <c r="AD271" s="206"/>
      <c r="AE271" s="206"/>
      <c r="AF271" s="206"/>
    </row>
    <row r="272" spans="1:32" x14ac:dyDescent="0.2">
      <c r="A272" s="206"/>
      <c r="B272" s="206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  <c r="AA272" s="206"/>
      <c r="AB272" s="206"/>
      <c r="AC272" s="206"/>
      <c r="AD272" s="206"/>
      <c r="AE272" s="206"/>
      <c r="AF272" s="206"/>
    </row>
    <row r="273" spans="1:32" x14ac:dyDescent="0.2">
      <c r="A273" s="206"/>
      <c r="B273" s="20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  <c r="AA273" s="206"/>
      <c r="AB273" s="206"/>
      <c r="AC273" s="206"/>
      <c r="AD273" s="206"/>
      <c r="AE273" s="206"/>
      <c r="AF273" s="206"/>
    </row>
    <row r="274" spans="1:32" x14ac:dyDescent="0.2">
      <c r="A274" s="206"/>
      <c r="B274" s="206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  <c r="AA274" s="206"/>
      <c r="AB274" s="206"/>
      <c r="AC274" s="206"/>
      <c r="AD274" s="206"/>
      <c r="AE274" s="206"/>
      <c r="AF274" s="206"/>
    </row>
    <row r="275" spans="1:32" x14ac:dyDescent="0.2">
      <c r="A275" s="206"/>
      <c r="B275" s="206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  <c r="AA275" s="206"/>
      <c r="AB275" s="206"/>
      <c r="AC275" s="206"/>
      <c r="AD275" s="206"/>
      <c r="AE275" s="206"/>
      <c r="AF275" s="206"/>
    </row>
    <row r="276" spans="1:32" x14ac:dyDescent="0.2">
      <c r="A276" s="206"/>
      <c r="B276" s="206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  <c r="AA276" s="206"/>
      <c r="AB276" s="206"/>
      <c r="AC276" s="206"/>
      <c r="AD276" s="206"/>
      <c r="AE276" s="206"/>
      <c r="AF276" s="206"/>
    </row>
    <row r="277" spans="1:32" x14ac:dyDescent="0.2">
      <c r="A277" s="206"/>
      <c r="B277" s="20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  <c r="AA277" s="206"/>
      <c r="AB277" s="206"/>
      <c r="AC277" s="206"/>
      <c r="AD277" s="206"/>
      <c r="AE277" s="206"/>
      <c r="AF277" s="206"/>
    </row>
    <row r="278" spans="1:32" x14ac:dyDescent="0.2">
      <c r="A278" s="206"/>
      <c r="B278" s="206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  <c r="AA278" s="206"/>
      <c r="AB278" s="206"/>
      <c r="AC278" s="206"/>
      <c r="AD278" s="206"/>
      <c r="AE278" s="206"/>
      <c r="AF278" s="206"/>
    </row>
    <row r="279" spans="1:32" x14ac:dyDescent="0.2">
      <c r="A279" s="206"/>
      <c r="B279" s="206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  <c r="AA279" s="206"/>
      <c r="AB279" s="206"/>
      <c r="AC279" s="206"/>
      <c r="AD279" s="206"/>
      <c r="AE279" s="206"/>
      <c r="AF279" s="206"/>
    </row>
    <row r="280" spans="1:32" x14ac:dyDescent="0.2">
      <c r="A280" s="206"/>
      <c r="B280" s="20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  <c r="AA280" s="206"/>
      <c r="AB280" s="206"/>
      <c r="AC280" s="206"/>
      <c r="AD280" s="206"/>
      <c r="AE280" s="206"/>
      <c r="AF280" s="206"/>
    </row>
    <row r="281" spans="1:32" x14ac:dyDescent="0.2">
      <c r="A281" s="206"/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  <c r="AA281" s="206"/>
      <c r="AB281" s="206"/>
      <c r="AC281" s="206"/>
      <c r="AD281" s="206"/>
      <c r="AE281" s="206"/>
      <c r="AF281" s="206"/>
    </row>
    <row r="282" spans="1:32" x14ac:dyDescent="0.2">
      <c r="A282" s="206"/>
      <c r="B282" s="206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  <c r="AA282" s="206"/>
      <c r="AB282" s="206"/>
      <c r="AC282" s="206"/>
      <c r="AD282" s="206"/>
      <c r="AE282" s="206"/>
      <c r="AF282" s="206"/>
    </row>
    <row r="283" spans="1:32" x14ac:dyDescent="0.2">
      <c r="A283" s="206"/>
      <c r="B283" s="20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  <c r="AA283" s="206"/>
      <c r="AB283" s="206"/>
      <c r="AC283" s="206"/>
      <c r="AD283" s="206"/>
      <c r="AE283" s="206"/>
      <c r="AF283" s="206"/>
    </row>
    <row r="284" spans="1:32" x14ac:dyDescent="0.2">
      <c r="A284" s="206"/>
      <c r="B284" s="206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  <c r="AA284" s="206"/>
      <c r="AB284" s="206"/>
      <c r="AC284" s="206"/>
      <c r="AD284" s="206"/>
      <c r="AE284" s="206"/>
      <c r="AF284" s="206"/>
    </row>
    <row r="285" spans="1:32" x14ac:dyDescent="0.2">
      <c r="A285" s="206"/>
      <c r="B285" s="206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  <c r="AA285" s="206"/>
      <c r="AB285" s="206"/>
      <c r="AC285" s="206"/>
      <c r="AD285" s="206"/>
      <c r="AE285" s="206"/>
      <c r="AF285" s="206"/>
    </row>
    <row r="286" spans="1:32" x14ac:dyDescent="0.2">
      <c r="A286" s="206"/>
      <c r="B286" s="206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  <c r="AA286" s="206"/>
      <c r="AB286" s="206"/>
      <c r="AC286" s="206"/>
      <c r="AD286" s="206"/>
      <c r="AE286" s="206"/>
      <c r="AF286" s="206"/>
    </row>
    <row r="287" spans="1:32" x14ac:dyDescent="0.2">
      <c r="A287" s="206"/>
      <c r="B287" s="206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  <c r="AA287" s="206"/>
      <c r="AB287" s="206"/>
      <c r="AC287" s="206"/>
      <c r="AD287" s="206"/>
      <c r="AE287" s="206"/>
      <c r="AF287" s="206"/>
    </row>
    <row r="288" spans="1:32" x14ac:dyDescent="0.2">
      <c r="A288" s="206"/>
      <c r="B288" s="206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  <c r="AA288" s="206"/>
      <c r="AB288" s="206"/>
      <c r="AC288" s="206"/>
      <c r="AD288" s="206"/>
      <c r="AE288" s="206"/>
      <c r="AF288" s="206"/>
    </row>
    <row r="289" spans="1:32" x14ac:dyDescent="0.2">
      <c r="A289" s="206"/>
      <c r="B289" s="206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  <c r="AA289" s="206"/>
      <c r="AB289" s="206"/>
      <c r="AC289" s="206"/>
      <c r="AD289" s="206"/>
      <c r="AE289" s="206"/>
      <c r="AF289" s="206"/>
    </row>
    <row r="290" spans="1:32" x14ac:dyDescent="0.2">
      <c r="A290" s="206"/>
      <c r="B290" s="206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  <c r="AA290" s="206"/>
      <c r="AB290" s="206"/>
      <c r="AC290" s="206"/>
      <c r="AD290" s="206"/>
      <c r="AE290" s="206"/>
      <c r="AF290" s="206"/>
    </row>
    <row r="291" spans="1:32" x14ac:dyDescent="0.2">
      <c r="A291" s="206"/>
      <c r="B291" s="206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  <c r="AA291" s="206"/>
      <c r="AB291" s="206"/>
      <c r="AC291" s="206"/>
      <c r="AD291" s="206"/>
      <c r="AE291" s="206"/>
      <c r="AF291" s="206"/>
    </row>
    <row r="292" spans="1:32" x14ac:dyDescent="0.2">
      <c r="A292" s="206"/>
      <c r="B292" s="206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  <c r="AA292" s="206"/>
      <c r="AB292" s="206"/>
      <c r="AC292" s="206"/>
      <c r="AD292" s="206"/>
      <c r="AE292" s="206"/>
      <c r="AF292" s="206"/>
    </row>
    <row r="293" spans="1:32" x14ac:dyDescent="0.2">
      <c r="A293" s="206"/>
      <c r="B293" s="20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  <c r="AA293" s="206"/>
      <c r="AB293" s="206"/>
      <c r="AC293" s="206"/>
      <c r="AD293" s="206"/>
      <c r="AE293" s="206"/>
      <c r="AF293" s="206"/>
    </row>
    <row r="294" spans="1:32" x14ac:dyDescent="0.2">
      <c r="A294" s="206"/>
      <c r="B294" s="20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  <c r="AA294" s="206"/>
      <c r="AB294" s="206"/>
      <c r="AC294" s="206"/>
      <c r="AD294" s="206"/>
      <c r="AE294" s="206"/>
      <c r="AF294" s="206"/>
    </row>
    <row r="295" spans="1:32" x14ac:dyDescent="0.2">
      <c r="A295" s="206"/>
      <c r="B295" s="20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  <c r="AA295" s="206"/>
      <c r="AB295" s="206"/>
      <c r="AC295" s="206"/>
      <c r="AD295" s="206"/>
      <c r="AE295" s="206"/>
      <c r="AF295" s="206"/>
    </row>
    <row r="296" spans="1:32" x14ac:dyDescent="0.2">
      <c r="A296" s="206"/>
      <c r="B296" s="206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  <c r="AA296" s="206"/>
      <c r="AB296" s="206"/>
      <c r="AC296" s="206"/>
      <c r="AD296" s="206"/>
      <c r="AE296" s="206"/>
      <c r="AF296" s="206"/>
    </row>
    <row r="297" spans="1:32" x14ac:dyDescent="0.2">
      <c r="A297" s="206"/>
      <c r="B297" s="206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  <c r="AA297" s="206"/>
      <c r="AB297" s="206"/>
      <c r="AC297" s="206"/>
      <c r="AD297" s="206"/>
      <c r="AE297" s="206"/>
      <c r="AF297" s="206"/>
    </row>
    <row r="298" spans="1:32" x14ac:dyDescent="0.2">
      <c r="A298" s="206"/>
      <c r="B298" s="206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  <c r="AA298" s="206"/>
      <c r="AB298" s="206"/>
      <c r="AC298" s="206"/>
      <c r="AD298" s="206"/>
      <c r="AE298" s="206"/>
      <c r="AF298" s="206"/>
    </row>
    <row r="299" spans="1:32" x14ac:dyDescent="0.2">
      <c r="A299" s="206"/>
      <c r="B299" s="20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  <c r="AA299" s="206"/>
      <c r="AB299" s="206"/>
      <c r="AC299" s="206"/>
      <c r="AD299" s="206"/>
      <c r="AE299" s="206"/>
      <c r="AF299" s="206"/>
    </row>
    <row r="300" spans="1:32" x14ac:dyDescent="0.2">
      <c r="A300" s="206"/>
      <c r="B300" s="206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  <c r="AA300" s="206"/>
      <c r="AB300" s="206"/>
      <c r="AC300" s="206"/>
      <c r="AD300" s="206"/>
      <c r="AE300" s="206"/>
      <c r="AF300" s="206"/>
    </row>
    <row r="301" spans="1:32" x14ac:dyDescent="0.2">
      <c r="A301" s="206"/>
      <c r="B301" s="20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  <c r="AA301" s="206"/>
      <c r="AB301" s="206"/>
      <c r="AC301" s="206"/>
      <c r="AD301" s="206"/>
      <c r="AE301" s="206"/>
      <c r="AF301" s="206"/>
    </row>
    <row r="302" spans="1:32" x14ac:dyDescent="0.2">
      <c r="A302" s="206"/>
      <c r="B302" s="20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  <c r="AA302" s="206"/>
      <c r="AB302" s="206"/>
      <c r="AC302" s="206"/>
      <c r="AD302" s="206"/>
      <c r="AE302" s="206"/>
      <c r="AF302" s="206"/>
    </row>
    <row r="303" spans="1:32" x14ac:dyDescent="0.2">
      <c r="A303" s="206"/>
      <c r="B303" s="206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  <c r="AA303" s="206"/>
      <c r="AB303" s="206"/>
      <c r="AC303" s="206"/>
      <c r="AD303" s="206"/>
      <c r="AE303" s="206"/>
      <c r="AF303" s="206"/>
    </row>
    <row r="304" spans="1:32" x14ac:dyDescent="0.2">
      <c r="A304" s="206"/>
      <c r="B304" s="206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  <c r="AA304" s="206"/>
      <c r="AB304" s="206"/>
      <c r="AC304" s="206"/>
      <c r="AD304" s="206"/>
      <c r="AE304" s="206"/>
      <c r="AF304" s="206"/>
    </row>
    <row r="305" spans="1:32" x14ac:dyDescent="0.2">
      <c r="A305" s="206"/>
      <c r="B305" s="206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  <c r="AA305" s="206"/>
      <c r="AB305" s="206"/>
      <c r="AC305" s="206"/>
      <c r="AD305" s="206"/>
      <c r="AE305" s="206"/>
      <c r="AF305" s="206"/>
    </row>
    <row r="306" spans="1:32" x14ac:dyDescent="0.2">
      <c r="A306" s="206"/>
      <c r="B306" s="206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  <c r="AA306" s="206"/>
      <c r="AB306" s="206"/>
      <c r="AC306" s="206"/>
      <c r="AD306" s="206"/>
      <c r="AE306" s="206"/>
      <c r="AF306" s="206"/>
    </row>
    <row r="307" spans="1:32" x14ac:dyDescent="0.2">
      <c r="A307" s="206"/>
      <c r="B307" s="206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  <c r="AA307" s="206"/>
      <c r="AB307" s="206"/>
      <c r="AC307" s="206"/>
      <c r="AD307" s="206"/>
      <c r="AE307" s="206"/>
      <c r="AF307" s="206"/>
    </row>
    <row r="308" spans="1:32" x14ac:dyDescent="0.2">
      <c r="A308" s="206"/>
      <c r="B308" s="206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  <c r="AA308" s="206"/>
      <c r="AB308" s="206"/>
      <c r="AC308" s="206"/>
      <c r="AD308" s="206"/>
      <c r="AE308" s="206"/>
      <c r="AF308" s="206"/>
    </row>
    <row r="309" spans="1:32" x14ac:dyDescent="0.2">
      <c r="A309" s="206"/>
      <c r="B309" s="206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  <c r="AA309" s="206"/>
      <c r="AB309" s="206"/>
      <c r="AC309" s="206"/>
      <c r="AD309" s="206"/>
      <c r="AE309" s="206"/>
      <c r="AF309" s="206"/>
    </row>
    <row r="310" spans="1:32" x14ac:dyDescent="0.2">
      <c r="A310" s="206"/>
      <c r="B310" s="206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  <c r="AA310" s="206"/>
      <c r="AB310" s="206"/>
      <c r="AC310" s="206"/>
      <c r="AD310" s="206"/>
      <c r="AE310" s="206"/>
      <c r="AF310" s="206"/>
    </row>
    <row r="311" spans="1:32" x14ac:dyDescent="0.2">
      <c r="A311" s="206"/>
      <c r="B311" s="206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  <c r="AA311" s="206"/>
      <c r="AB311" s="206"/>
      <c r="AC311" s="206"/>
      <c r="AD311" s="206"/>
      <c r="AE311" s="206"/>
      <c r="AF311" s="206"/>
    </row>
    <row r="312" spans="1:32" x14ac:dyDescent="0.2">
      <c r="A312" s="206"/>
      <c r="B312" s="206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  <c r="AA312" s="206"/>
      <c r="AB312" s="206"/>
      <c r="AC312" s="206"/>
      <c r="AD312" s="206"/>
      <c r="AE312" s="206"/>
      <c r="AF312" s="206"/>
    </row>
    <row r="313" spans="1:32" x14ac:dyDescent="0.2">
      <c r="A313" s="206"/>
      <c r="B313" s="206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  <c r="AA313" s="206"/>
      <c r="AB313" s="206"/>
      <c r="AC313" s="206"/>
      <c r="AD313" s="206"/>
      <c r="AE313" s="206"/>
      <c r="AF313" s="206"/>
    </row>
    <row r="314" spans="1:32" x14ac:dyDescent="0.2">
      <c r="A314" s="206"/>
      <c r="B314" s="206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  <c r="AA314" s="206"/>
      <c r="AB314" s="206"/>
      <c r="AC314" s="206"/>
      <c r="AD314" s="206"/>
      <c r="AE314" s="206"/>
      <c r="AF314" s="206"/>
    </row>
    <row r="315" spans="1:32" x14ac:dyDescent="0.2">
      <c r="A315" s="206"/>
      <c r="B315" s="206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  <c r="AA315" s="206"/>
      <c r="AB315" s="206"/>
      <c r="AC315" s="206"/>
      <c r="AD315" s="206"/>
      <c r="AE315" s="206"/>
      <c r="AF315" s="206"/>
    </row>
    <row r="316" spans="1:32" x14ac:dyDescent="0.2">
      <c r="A316" s="206"/>
      <c r="B316" s="20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  <c r="AA316" s="206"/>
      <c r="AB316" s="206"/>
      <c r="AC316" s="206"/>
      <c r="AD316" s="206"/>
      <c r="AE316" s="206"/>
      <c r="AF316" s="206"/>
    </row>
    <row r="317" spans="1:32" x14ac:dyDescent="0.2">
      <c r="A317" s="206"/>
      <c r="B317" s="206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  <c r="AA317" s="206"/>
      <c r="AB317" s="206"/>
      <c r="AC317" s="206"/>
      <c r="AD317" s="206"/>
      <c r="AE317" s="206"/>
      <c r="AF317" s="206"/>
    </row>
    <row r="318" spans="1:32" x14ac:dyDescent="0.2">
      <c r="A318" s="206"/>
      <c r="B318" s="206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  <c r="AA318" s="206"/>
      <c r="AB318" s="206"/>
      <c r="AC318" s="206"/>
      <c r="AD318" s="206"/>
      <c r="AE318" s="206"/>
      <c r="AF318" s="206"/>
    </row>
    <row r="319" spans="1:32" x14ac:dyDescent="0.2">
      <c r="A319" s="206"/>
      <c r="B319" s="206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  <c r="AA319" s="206"/>
      <c r="AB319" s="206"/>
      <c r="AC319" s="206"/>
      <c r="AD319" s="206"/>
      <c r="AE319" s="206"/>
      <c r="AF319" s="206"/>
    </row>
    <row r="320" spans="1:32" x14ac:dyDescent="0.2">
      <c r="A320" s="206"/>
      <c r="B320" s="206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  <c r="AA320" s="206"/>
      <c r="AB320" s="206"/>
      <c r="AC320" s="206"/>
      <c r="AD320" s="206"/>
      <c r="AE320" s="206"/>
      <c r="AF320" s="206"/>
    </row>
    <row r="321" spans="1:32" x14ac:dyDescent="0.2">
      <c r="A321" s="206"/>
      <c r="B321" s="206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  <c r="AA321" s="206"/>
      <c r="AB321" s="206"/>
      <c r="AC321" s="206"/>
      <c r="AD321" s="206"/>
      <c r="AE321" s="206"/>
      <c r="AF321" s="206"/>
    </row>
    <row r="322" spans="1:32" x14ac:dyDescent="0.2">
      <c r="A322" s="206"/>
      <c r="B322" s="206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  <c r="AA322" s="206"/>
      <c r="AB322" s="206"/>
      <c r="AC322" s="206"/>
      <c r="AD322" s="206"/>
      <c r="AE322" s="206"/>
      <c r="AF322" s="206"/>
    </row>
    <row r="323" spans="1:32" x14ac:dyDescent="0.2">
      <c r="A323" s="206"/>
      <c r="B323" s="20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  <c r="AA323" s="206"/>
      <c r="AB323" s="206"/>
      <c r="AC323" s="206"/>
      <c r="AD323" s="206"/>
      <c r="AE323" s="206"/>
      <c r="AF323" s="206"/>
    </row>
    <row r="324" spans="1:32" x14ac:dyDescent="0.2">
      <c r="A324" s="206"/>
      <c r="B324" s="206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  <c r="AA324" s="206"/>
      <c r="AB324" s="206"/>
      <c r="AC324" s="206"/>
      <c r="AD324" s="206"/>
      <c r="AE324" s="206"/>
      <c r="AF324" s="206"/>
    </row>
    <row r="325" spans="1:32" x14ac:dyDescent="0.2">
      <c r="A325" s="206"/>
      <c r="B325" s="206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  <c r="AA325" s="206"/>
      <c r="AB325" s="206"/>
      <c r="AC325" s="206"/>
      <c r="AD325" s="206"/>
      <c r="AE325" s="206"/>
      <c r="AF325" s="206"/>
    </row>
    <row r="326" spans="1:32" x14ac:dyDescent="0.2">
      <c r="A326" s="206"/>
      <c r="B326" s="206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  <c r="AA326" s="206"/>
      <c r="AB326" s="206"/>
      <c r="AC326" s="206"/>
      <c r="AD326" s="206"/>
      <c r="AE326" s="206"/>
      <c r="AF326" s="206"/>
    </row>
    <row r="327" spans="1:32" x14ac:dyDescent="0.2">
      <c r="A327" s="206"/>
      <c r="B327" s="206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  <c r="AA327" s="206"/>
      <c r="AB327" s="206"/>
      <c r="AC327" s="206"/>
      <c r="AD327" s="206"/>
      <c r="AE327" s="206"/>
      <c r="AF327" s="206"/>
    </row>
    <row r="328" spans="1:32" x14ac:dyDescent="0.2">
      <c r="A328" s="206"/>
      <c r="B328" s="206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  <c r="AA328" s="206"/>
      <c r="AB328" s="206"/>
      <c r="AC328" s="206"/>
      <c r="AD328" s="206"/>
      <c r="AE328" s="206"/>
      <c r="AF328" s="206"/>
    </row>
    <row r="329" spans="1:32" x14ac:dyDescent="0.2">
      <c r="A329" s="206"/>
      <c r="B329" s="206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  <c r="AA329" s="206"/>
      <c r="AB329" s="206"/>
      <c r="AC329" s="206"/>
      <c r="AD329" s="206"/>
      <c r="AE329" s="206"/>
      <c r="AF329" s="206"/>
    </row>
    <row r="330" spans="1:32" x14ac:dyDescent="0.2">
      <c r="A330" s="206"/>
      <c r="B330" s="206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  <c r="AA330" s="206"/>
      <c r="AB330" s="206"/>
      <c r="AC330" s="206"/>
      <c r="AD330" s="206"/>
      <c r="AE330" s="206"/>
      <c r="AF330" s="206"/>
    </row>
    <row r="331" spans="1:32" x14ac:dyDescent="0.2">
      <c r="A331" s="206"/>
      <c r="B331" s="206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  <c r="AA331" s="206"/>
      <c r="AB331" s="206"/>
      <c r="AC331" s="206"/>
      <c r="AD331" s="206"/>
      <c r="AE331" s="206"/>
      <c r="AF331" s="206"/>
    </row>
    <row r="332" spans="1:32" x14ac:dyDescent="0.2">
      <c r="A332" s="206"/>
      <c r="B332" s="206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  <c r="AA332" s="206"/>
      <c r="AB332" s="206"/>
      <c r="AC332" s="206"/>
      <c r="AD332" s="206"/>
      <c r="AE332" s="206"/>
      <c r="AF332" s="206"/>
    </row>
    <row r="333" spans="1:32" x14ac:dyDescent="0.2">
      <c r="A333" s="206"/>
      <c r="B333" s="206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  <c r="AA333" s="206"/>
      <c r="AB333" s="206"/>
      <c r="AC333" s="206"/>
      <c r="AD333" s="206"/>
      <c r="AE333" s="206"/>
      <c r="AF333" s="206"/>
    </row>
    <row r="334" spans="1:32" x14ac:dyDescent="0.2">
      <c r="A334" s="206"/>
      <c r="B334" s="206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  <c r="AA334" s="206"/>
      <c r="AB334" s="206"/>
      <c r="AC334" s="206"/>
      <c r="AD334" s="206"/>
      <c r="AE334" s="206"/>
      <c r="AF334" s="206"/>
    </row>
    <row r="335" spans="1:32" x14ac:dyDescent="0.2">
      <c r="A335" s="206"/>
      <c r="B335" s="206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  <c r="AA335" s="206"/>
      <c r="AB335" s="206"/>
      <c r="AC335" s="206"/>
      <c r="AD335" s="206"/>
      <c r="AE335" s="206"/>
      <c r="AF335" s="206"/>
    </row>
    <row r="336" spans="1:32" x14ac:dyDescent="0.2">
      <c r="A336" s="206"/>
      <c r="B336" s="206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  <c r="AA336" s="206"/>
      <c r="AB336" s="206"/>
      <c r="AC336" s="206"/>
      <c r="AD336" s="206"/>
      <c r="AE336" s="206"/>
      <c r="AF336" s="206"/>
    </row>
    <row r="337" spans="1:32" x14ac:dyDescent="0.2">
      <c r="A337" s="206"/>
      <c r="B337" s="206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  <c r="AA337" s="206"/>
      <c r="AB337" s="206"/>
      <c r="AC337" s="206"/>
      <c r="AD337" s="206"/>
      <c r="AE337" s="206"/>
      <c r="AF337" s="206"/>
    </row>
    <row r="338" spans="1:32" x14ac:dyDescent="0.2">
      <c r="A338" s="206"/>
      <c r="B338" s="206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  <c r="AA338" s="206"/>
      <c r="AB338" s="206"/>
      <c r="AC338" s="206"/>
      <c r="AD338" s="206"/>
      <c r="AE338" s="206"/>
      <c r="AF338" s="206"/>
    </row>
    <row r="339" spans="1:32" x14ac:dyDescent="0.2">
      <c r="A339" s="206"/>
      <c r="B339" s="206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  <c r="AA339" s="206"/>
      <c r="AB339" s="206"/>
      <c r="AC339" s="206"/>
      <c r="AD339" s="206"/>
      <c r="AE339" s="206"/>
      <c r="AF339" s="206"/>
    </row>
    <row r="340" spans="1:32" x14ac:dyDescent="0.2">
      <c r="A340" s="206"/>
      <c r="B340" s="20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  <c r="AA340" s="206"/>
      <c r="AB340" s="206"/>
      <c r="AC340" s="206"/>
      <c r="AD340" s="206"/>
      <c r="AE340" s="206"/>
      <c r="AF340" s="206"/>
    </row>
    <row r="341" spans="1:32" x14ac:dyDescent="0.2">
      <c r="A341" s="206"/>
      <c r="B341" s="206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  <c r="AA341" s="206"/>
      <c r="AB341" s="206"/>
      <c r="AC341" s="206"/>
      <c r="AD341" s="206"/>
      <c r="AE341" s="206"/>
      <c r="AF341" s="206"/>
    </row>
    <row r="342" spans="1:32" x14ac:dyDescent="0.2">
      <c r="A342" s="206"/>
      <c r="B342" s="206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  <c r="AA342" s="206"/>
      <c r="AB342" s="206"/>
      <c r="AC342" s="206"/>
      <c r="AD342" s="206"/>
      <c r="AE342" s="206"/>
      <c r="AF342" s="206"/>
    </row>
    <row r="343" spans="1:32" x14ac:dyDescent="0.2">
      <c r="A343" s="206"/>
      <c r="B343" s="206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  <c r="AA343" s="206"/>
      <c r="AB343" s="206"/>
      <c r="AC343" s="206"/>
      <c r="AD343" s="206"/>
      <c r="AE343" s="206"/>
      <c r="AF343" s="206"/>
    </row>
    <row r="344" spans="1:32" x14ac:dyDescent="0.2">
      <c r="A344" s="206"/>
      <c r="B344" s="206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  <c r="AA344" s="206"/>
      <c r="AB344" s="206"/>
      <c r="AC344" s="206"/>
      <c r="AD344" s="206"/>
      <c r="AE344" s="206"/>
      <c r="AF344" s="206"/>
    </row>
    <row r="345" spans="1:32" x14ac:dyDescent="0.2">
      <c r="A345" s="206"/>
      <c r="B345" s="206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  <c r="AA345" s="206"/>
      <c r="AB345" s="206"/>
      <c r="AC345" s="206"/>
      <c r="AD345" s="206"/>
      <c r="AE345" s="206"/>
      <c r="AF345" s="206"/>
    </row>
    <row r="346" spans="1:32" x14ac:dyDescent="0.2">
      <c r="A346" s="206"/>
      <c r="B346" s="206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  <c r="AA346" s="206"/>
      <c r="AB346" s="206"/>
      <c r="AC346" s="206"/>
      <c r="AD346" s="206"/>
      <c r="AE346" s="206"/>
      <c r="AF346" s="206"/>
    </row>
    <row r="347" spans="1:32" x14ac:dyDescent="0.2">
      <c r="A347" s="206"/>
      <c r="B347" s="206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  <c r="AA347" s="206"/>
      <c r="AB347" s="206"/>
      <c r="AC347" s="206"/>
      <c r="AD347" s="206"/>
      <c r="AE347" s="206"/>
      <c r="AF347" s="206"/>
    </row>
    <row r="348" spans="1:32" x14ac:dyDescent="0.2">
      <c r="A348" s="206"/>
      <c r="B348" s="206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  <c r="AA348" s="206"/>
      <c r="AB348" s="206"/>
      <c r="AC348" s="206"/>
      <c r="AD348" s="206"/>
      <c r="AE348" s="206"/>
      <c r="AF348" s="206"/>
    </row>
    <row r="349" spans="1:32" x14ac:dyDescent="0.2">
      <c r="A349" s="206"/>
      <c r="B349" s="206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  <c r="AA349" s="206"/>
      <c r="AB349" s="206"/>
      <c r="AC349" s="206"/>
      <c r="AD349" s="206"/>
      <c r="AE349" s="206"/>
      <c r="AF349" s="206"/>
    </row>
    <row r="350" spans="1:32" x14ac:dyDescent="0.2">
      <c r="A350" s="206"/>
      <c r="B350" s="206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  <c r="AA350" s="206"/>
      <c r="AB350" s="206"/>
      <c r="AC350" s="206"/>
      <c r="AD350" s="206"/>
      <c r="AE350" s="206"/>
      <c r="AF350" s="206"/>
    </row>
    <row r="351" spans="1:32" x14ac:dyDescent="0.2">
      <c r="A351" s="206"/>
      <c r="B351" s="206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  <c r="AA351" s="206"/>
      <c r="AB351" s="206"/>
      <c r="AC351" s="206"/>
      <c r="AD351" s="206"/>
      <c r="AE351" s="206"/>
      <c r="AF351" s="206"/>
    </row>
    <row r="352" spans="1:32" x14ac:dyDescent="0.2">
      <c r="A352" s="206"/>
      <c r="B352" s="206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  <c r="AA352" s="206"/>
      <c r="AB352" s="206"/>
      <c r="AC352" s="206"/>
      <c r="AD352" s="206"/>
      <c r="AE352" s="206"/>
      <c r="AF352" s="206"/>
    </row>
    <row r="353" spans="1:32" x14ac:dyDescent="0.2">
      <c r="A353" s="206"/>
      <c r="B353" s="206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  <c r="AA353" s="206"/>
      <c r="AB353" s="206"/>
      <c r="AC353" s="206"/>
      <c r="AD353" s="206"/>
      <c r="AE353" s="206"/>
      <c r="AF353" s="206"/>
    </row>
    <row r="354" spans="1:32" x14ac:dyDescent="0.2">
      <c r="A354" s="206"/>
      <c r="B354" s="206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  <c r="AA354" s="206"/>
      <c r="AB354" s="206"/>
      <c r="AC354" s="206"/>
      <c r="AD354" s="206"/>
      <c r="AE354" s="206"/>
      <c r="AF354" s="206"/>
    </row>
    <row r="355" spans="1:32" x14ac:dyDescent="0.2">
      <c r="A355" s="206"/>
      <c r="B355" s="206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  <c r="AA355" s="206"/>
      <c r="AB355" s="206"/>
      <c r="AC355" s="206"/>
      <c r="AD355" s="206"/>
      <c r="AE355" s="206"/>
      <c r="AF355" s="206"/>
    </row>
    <row r="356" spans="1:32" x14ac:dyDescent="0.2">
      <c r="A356" s="206"/>
      <c r="B356" s="206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  <c r="AA356" s="206"/>
      <c r="AB356" s="206"/>
      <c r="AC356" s="206"/>
      <c r="AD356" s="206"/>
      <c r="AE356" s="206"/>
      <c r="AF356" s="206"/>
    </row>
    <row r="357" spans="1:32" x14ac:dyDescent="0.2">
      <c r="A357" s="206"/>
      <c r="B357" s="206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  <c r="AA357" s="206"/>
      <c r="AB357" s="206"/>
      <c r="AC357" s="206"/>
      <c r="AD357" s="206"/>
      <c r="AE357" s="206"/>
      <c r="AF357" s="206"/>
    </row>
    <row r="358" spans="1:32" x14ac:dyDescent="0.2">
      <c r="A358" s="206"/>
      <c r="B358" s="206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  <c r="AA358" s="206"/>
      <c r="AB358" s="206"/>
      <c r="AC358" s="206"/>
      <c r="AD358" s="206"/>
      <c r="AE358" s="206"/>
      <c r="AF358" s="206"/>
    </row>
    <row r="359" spans="1:32" x14ac:dyDescent="0.2">
      <c r="A359" s="206"/>
      <c r="B359" s="206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  <c r="AA359" s="206"/>
      <c r="AB359" s="206"/>
      <c r="AC359" s="206"/>
      <c r="AD359" s="206"/>
      <c r="AE359" s="206"/>
      <c r="AF359" s="206"/>
    </row>
    <row r="360" spans="1:32" x14ac:dyDescent="0.2">
      <c r="A360" s="206"/>
      <c r="B360" s="206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  <c r="AA360" s="206"/>
      <c r="AB360" s="206"/>
      <c r="AC360" s="206"/>
      <c r="AD360" s="206"/>
      <c r="AE360" s="206"/>
      <c r="AF360" s="206"/>
    </row>
    <row r="361" spans="1:32" x14ac:dyDescent="0.2">
      <c r="A361" s="206"/>
      <c r="B361" s="206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  <c r="AA361" s="206"/>
      <c r="AB361" s="206"/>
      <c r="AC361" s="206"/>
      <c r="AD361" s="206"/>
      <c r="AE361" s="206"/>
      <c r="AF361" s="206"/>
    </row>
    <row r="362" spans="1:32" x14ac:dyDescent="0.2">
      <c r="A362" s="206"/>
      <c r="B362" s="206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  <c r="AA362" s="206"/>
      <c r="AB362" s="206"/>
      <c r="AC362" s="206"/>
      <c r="AD362" s="206"/>
      <c r="AE362" s="206"/>
      <c r="AF362" s="206"/>
    </row>
    <row r="363" spans="1:32" x14ac:dyDescent="0.2">
      <c r="A363" s="206"/>
      <c r="B363" s="206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  <c r="AA363" s="206"/>
      <c r="AB363" s="206"/>
      <c r="AC363" s="206"/>
      <c r="AD363" s="206"/>
      <c r="AE363" s="206"/>
      <c r="AF363" s="206"/>
    </row>
    <row r="364" spans="1:32" x14ac:dyDescent="0.2">
      <c r="A364" s="206"/>
      <c r="B364" s="206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  <c r="AA364" s="206"/>
      <c r="AB364" s="206"/>
      <c r="AC364" s="206"/>
      <c r="AD364" s="206"/>
      <c r="AE364" s="206"/>
      <c r="AF364" s="206"/>
    </row>
    <row r="365" spans="1:32" x14ac:dyDescent="0.2">
      <c r="A365" s="206"/>
      <c r="B365" s="206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  <c r="AA365" s="206"/>
      <c r="AB365" s="206"/>
      <c r="AC365" s="206"/>
      <c r="AD365" s="206"/>
      <c r="AE365" s="206"/>
      <c r="AF365" s="206"/>
    </row>
    <row r="366" spans="1:32" x14ac:dyDescent="0.2">
      <c r="A366" s="206"/>
      <c r="B366" s="206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  <c r="AA366" s="206"/>
      <c r="AB366" s="206"/>
      <c r="AC366" s="206"/>
      <c r="AD366" s="206"/>
      <c r="AE366" s="206"/>
      <c r="AF366" s="206"/>
    </row>
    <row r="367" spans="1:32" x14ac:dyDescent="0.2">
      <c r="A367" s="206"/>
      <c r="B367" s="206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  <c r="AA367" s="206"/>
      <c r="AB367" s="206"/>
      <c r="AC367" s="206"/>
      <c r="AD367" s="206"/>
      <c r="AE367" s="206"/>
      <c r="AF367" s="206"/>
    </row>
    <row r="368" spans="1:32" x14ac:dyDescent="0.2">
      <c r="A368" s="206"/>
      <c r="B368" s="206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  <c r="AA368" s="206"/>
      <c r="AB368" s="206"/>
      <c r="AC368" s="206"/>
      <c r="AD368" s="206"/>
      <c r="AE368" s="206"/>
      <c r="AF368" s="206"/>
    </row>
    <row r="369" spans="1:32" x14ac:dyDescent="0.2">
      <c r="A369" s="206"/>
      <c r="B369" s="206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  <c r="AA369" s="206"/>
      <c r="AB369" s="206"/>
      <c r="AC369" s="206"/>
      <c r="AD369" s="206"/>
      <c r="AE369" s="206"/>
      <c r="AF369" s="206"/>
    </row>
    <row r="370" spans="1:32" x14ac:dyDescent="0.2">
      <c r="A370" s="206"/>
      <c r="B370" s="206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  <c r="AA370" s="206"/>
      <c r="AB370" s="206"/>
      <c r="AC370" s="206"/>
      <c r="AD370" s="206"/>
      <c r="AE370" s="206"/>
      <c r="AF370" s="206"/>
    </row>
    <row r="371" spans="1:32" x14ac:dyDescent="0.2">
      <c r="A371" s="206"/>
      <c r="B371" s="206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  <c r="AA371" s="206"/>
      <c r="AB371" s="206"/>
      <c r="AC371" s="206"/>
      <c r="AD371" s="206"/>
      <c r="AE371" s="206"/>
      <c r="AF371" s="206"/>
    </row>
    <row r="372" spans="1:32" x14ac:dyDescent="0.2">
      <c r="A372" s="206"/>
      <c r="B372" s="206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  <c r="AA372" s="206"/>
      <c r="AB372" s="206"/>
      <c r="AC372" s="206"/>
      <c r="AD372" s="206"/>
      <c r="AE372" s="206"/>
      <c r="AF372" s="206"/>
    </row>
    <row r="373" spans="1:32" x14ac:dyDescent="0.2">
      <c r="A373" s="206"/>
      <c r="B373" s="206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  <c r="AA373" s="206"/>
      <c r="AB373" s="206"/>
      <c r="AC373" s="206"/>
      <c r="AD373" s="206"/>
      <c r="AE373" s="206"/>
      <c r="AF373" s="206"/>
    </row>
    <row r="374" spans="1:32" x14ac:dyDescent="0.2">
      <c r="A374" s="206"/>
      <c r="B374" s="206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  <c r="AA374" s="206"/>
      <c r="AB374" s="206"/>
      <c r="AC374" s="206"/>
      <c r="AD374" s="206"/>
      <c r="AE374" s="206"/>
      <c r="AF374" s="206"/>
    </row>
    <row r="375" spans="1:32" x14ac:dyDescent="0.2">
      <c r="A375" s="206"/>
      <c r="B375" s="206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  <c r="AA375" s="206"/>
      <c r="AB375" s="206"/>
      <c r="AC375" s="206"/>
      <c r="AD375" s="206"/>
      <c r="AE375" s="206"/>
      <c r="AF375" s="206"/>
    </row>
    <row r="376" spans="1:32" x14ac:dyDescent="0.2">
      <c r="A376" s="206"/>
      <c r="B376" s="206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  <c r="AA376" s="206"/>
      <c r="AB376" s="206"/>
      <c r="AC376" s="206"/>
      <c r="AD376" s="206"/>
      <c r="AE376" s="206"/>
      <c r="AF376" s="206"/>
    </row>
    <row r="377" spans="1:32" x14ac:dyDescent="0.2">
      <c r="A377" s="206"/>
      <c r="B377" s="206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  <c r="AA377" s="206"/>
      <c r="AB377" s="206"/>
      <c r="AC377" s="206"/>
      <c r="AD377" s="206"/>
      <c r="AE377" s="206"/>
      <c r="AF377" s="206"/>
    </row>
    <row r="378" spans="1:32" x14ac:dyDescent="0.2">
      <c r="A378" s="206"/>
      <c r="B378" s="206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  <c r="AA378" s="206"/>
      <c r="AB378" s="206"/>
      <c r="AC378" s="206"/>
      <c r="AD378" s="206"/>
      <c r="AE378" s="206"/>
      <c r="AF378" s="206"/>
    </row>
    <row r="379" spans="1:32" x14ac:dyDescent="0.2">
      <c r="A379" s="206"/>
      <c r="B379" s="206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  <c r="AA379" s="206"/>
      <c r="AB379" s="206"/>
      <c r="AC379" s="206"/>
      <c r="AD379" s="206"/>
      <c r="AE379" s="206"/>
      <c r="AF379" s="206"/>
    </row>
    <row r="380" spans="1:32" x14ac:dyDescent="0.2">
      <c r="A380" s="206"/>
      <c r="B380" s="206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  <c r="AA380" s="206"/>
      <c r="AB380" s="206"/>
      <c r="AC380" s="206"/>
      <c r="AD380" s="206"/>
      <c r="AE380" s="206"/>
      <c r="AF380" s="206"/>
    </row>
    <row r="381" spans="1:32" x14ac:dyDescent="0.2">
      <c r="A381" s="206"/>
      <c r="B381" s="206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  <c r="AA381" s="206"/>
      <c r="AB381" s="206"/>
      <c r="AC381" s="206"/>
      <c r="AD381" s="206"/>
      <c r="AE381" s="206"/>
      <c r="AF381" s="206"/>
    </row>
    <row r="382" spans="1:32" x14ac:dyDescent="0.2">
      <c r="A382" s="206"/>
      <c r="B382" s="206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  <c r="AA382" s="206"/>
      <c r="AB382" s="206"/>
      <c r="AC382" s="206"/>
      <c r="AD382" s="206"/>
      <c r="AE382" s="206"/>
      <c r="AF382" s="206"/>
    </row>
    <row r="383" spans="1:32" x14ac:dyDescent="0.2">
      <c r="A383" s="206"/>
      <c r="B383" s="206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  <c r="AA383" s="206"/>
      <c r="AB383" s="206"/>
      <c r="AC383" s="206"/>
      <c r="AD383" s="206"/>
      <c r="AE383" s="206"/>
      <c r="AF383" s="206"/>
    </row>
    <row r="384" spans="1:32" x14ac:dyDescent="0.2">
      <c r="A384" s="206"/>
      <c r="B384" s="206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  <c r="AA384" s="206"/>
      <c r="AB384" s="206"/>
      <c r="AC384" s="206"/>
      <c r="AD384" s="206"/>
      <c r="AE384" s="206"/>
      <c r="AF384" s="206"/>
    </row>
    <row r="385" spans="1:32" x14ac:dyDescent="0.2">
      <c r="A385" s="206"/>
      <c r="B385" s="206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  <c r="AA385" s="206"/>
      <c r="AB385" s="206"/>
      <c r="AC385" s="206"/>
      <c r="AD385" s="206"/>
      <c r="AE385" s="206"/>
      <c r="AF385" s="206"/>
    </row>
    <row r="386" spans="1:32" x14ac:dyDescent="0.2">
      <c r="A386" s="206"/>
      <c r="B386" s="20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  <c r="AA386" s="206"/>
      <c r="AB386" s="206"/>
      <c r="AC386" s="206"/>
      <c r="AD386" s="206"/>
      <c r="AE386" s="206"/>
      <c r="AF386" s="206"/>
    </row>
    <row r="387" spans="1:32" x14ac:dyDescent="0.2">
      <c r="A387" s="206"/>
      <c r="B387" s="206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  <c r="AA387" s="206"/>
      <c r="AB387" s="206"/>
      <c r="AC387" s="206"/>
      <c r="AD387" s="206"/>
      <c r="AE387" s="206"/>
      <c r="AF387" s="206"/>
    </row>
    <row r="388" spans="1:32" x14ac:dyDescent="0.2">
      <c r="A388" s="206"/>
      <c r="B388" s="206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  <c r="AA388" s="206"/>
      <c r="AB388" s="206"/>
      <c r="AC388" s="206"/>
      <c r="AD388" s="206"/>
      <c r="AE388" s="206"/>
      <c r="AF388" s="206"/>
    </row>
    <row r="389" spans="1:32" x14ac:dyDescent="0.2">
      <c r="A389" s="206"/>
      <c r="B389" s="206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  <c r="AA389" s="206"/>
      <c r="AB389" s="206"/>
      <c r="AC389" s="206"/>
      <c r="AD389" s="206"/>
      <c r="AE389" s="206"/>
      <c r="AF389" s="206"/>
    </row>
    <row r="390" spans="1:32" x14ac:dyDescent="0.2">
      <c r="A390" s="206"/>
      <c r="B390" s="206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  <c r="AA390" s="206"/>
      <c r="AB390" s="206"/>
      <c r="AC390" s="206"/>
      <c r="AD390" s="206"/>
      <c r="AE390" s="206"/>
      <c r="AF390" s="206"/>
    </row>
    <row r="391" spans="1:32" x14ac:dyDescent="0.2">
      <c r="A391" s="206"/>
      <c r="B391" s="206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  <c r="AA391" s="206"/>
      <c r="AB391" s="206"/>
      <c r="AC391" s="206"/>
      <c r="AD391" s="206"/>
      <c r="AE391" s="206"/>
      <c r="AF391" s="206"/>
    </row>
    <row r="392" spans="1:32" x14ac:dyDescent="0.2">
      <c r="A392" s="206"/>
      <c r="B392" s="206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  <c r="AA392" s="206"/>
      <c r="AB392" s="206"/>
      <c r="AC392" s="206"/>
      <c r="AD392" s="206"/>
      <c r="AE392" s="206"/>
      <c r="AF392" s="206"/>
    </row>
    <row r="393" spans="1:32" x14ac:dyDescent="0.2">
      <c r="A393" s="206"/>
      <c r="B393" s="206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  <c r="AA393" s="206"/>
      <c r="AB393" s="206"/>
      <c r="AC393" s="206"/>
      <c r="AD393" s="206"/>
      <c r="AE393" s="206"/>
      <c r="AF393" s="206"/>
    </row>
    <row r="394" spans="1:32" x14ac:dyDescent="0.2">
      <c r="A394" s="206"/>
      <c r="B394" s="206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  <c r="AA394" s="206"/>
      <c r="AB394" s="206"/>
      <c r="AC394" s="206"/>
      <c r="AD394" s="206"/>
      <c r="AE394" s="206"/>
      <c r="AF394" s="206"/>
    </row>
    <row r="395" spans="1:32" x14ac:dyDescent="0.2">
      <c r="A395" s="206"/>
      <c r="B395" s="206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  <c r="AA395" s="206"/>
      <c r="AB395" s="206"/>
      <c r="AC395" s="206"/>
      <c r="AD395" s="206"/>
      <c r="AE395" s="206"/>
      <c r="AF395" s="206"/>
    </row>
    <row r="396" spans="1:32" x14ac:dyDescent="0.2">
      <c r="A396" s="206"/>
      <c r="B396" s="206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  <c r="AA396" s="206"/>
      <c r="AB396" s="206"/>
      <c r="AC396" s="206"/>
      <c r="AD396" s="206"/>
      <c r="AE396" s="206"/>
      <c r="AF396" s="206"/>
    </row>
    <row r="397" spans="1:32" x14ac:dyDescent="0.2">
      <c r="A397" s="206"/>
      <c r="B397" s="206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  <c r="AA397" s="206"/>
      <c r="AB397" s="206"/>
      <c r="AC397" s="206"/>
      <c r="AD397" s="206"/>
      <c r="AE397" s="206"/>
      <c r="AF397" s="206"/>
    </row>
    <row r="398" spans="1:32" x14ac:dyDescent="0.2">
      <c r="A398" s="206"/>
      <c r="B398" s="206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  <c r="AA398" s="206"/>
      <c r="AB398" s="206"/>
      <c r="AC398" s="206"/>
      <c r="AD398" s="206"/>
      <c r="AE398" s="206"/>
      <c r="AF398" s="206"/>
    </row>
    <row r="399" spans="1:32" x14ac:dyDescent="0.2">
      <c r="A399" s="206"/>
      <c r="B399" s="206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  <c r="AA399" s="206"/>
      <c r="AB399" s="206"/>
      <c r="AC399" s="206"/>
      <c r="AD399" s="206"/>
      <c r="AE399" s="206"/>
      <c r="AF399" s="206"/>
    </row>
    <row r="400" spans="1:32" x14ac:dyDescent="0.2">
      <c r="A400" s="206"/>
      <c r="B400" s="206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  <c r="AA400" s="206"/>
      <c r="AB400" s="206"/>
      <c r="AC400" s="206"/>
      <c r="AD400" s="206"/>
      <c r="AE400" s="206"/>
      <c r="AF400" s="206"/>
    </row>
    <row r="401" spans="1:32" x14ac:dyDescent="0.2">
      <c r="A401" s="206"/>
      <c r="B401" s="206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  <c r="AA401" s="206"/>
      <c r="AB401" s="206"/>
      <c r="AC401" s="206"/>
      <c r="AD401" s="206"/>
      <c r="AE401" s="206"/>
      <c r="AF401" s="206"/>
    </row>
    <row r="402" spans="1:32" x14ac:dyDescent="0.2">
      <c r="A402" s="206"/>
      <c r="B402" s="206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  <c r="AA402" s="206"/>
      <c r="AB402" s="206"/>
      <c r="AC402" s="206"/>
      <c r="AD402" s="206"/>
      <c r="AE402" s="206"/>
      <c r="AF402" s="206"/>
    </row>
    <row r="403" spans="1:32" x14ac:dyDescent="0.2">
      <c r="A403" s="206"/>
      <c r="B403" s="206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  <c r="AA403" s="206"/>
      <c r="AB403" s="206"/>
      <c r="AC403" s="206"/>
      <c r="AD403" s="206"/>
      <c r="AE403" s="206"/>
      <c r="AF403" s="206"/>
    </row>
    <row r="404" spans="1:32" x14ac:dyDescent="0.2">
      <c r="A404" s="206"/>
      <c r="B404" s="206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  <c r="AA404" s="206"/>
      <c r="AB404" s="206"/>
      <c r="AC404" s="206"/>
      <c r="AD404" s="206"/>
      <c r="AE404" s="206"/>
      <c r="AF404" s="206"/>
    </row>
    <row r="405" spans="1:32" x14ac:dyDescent="0.2">
      <c r="A405" s="206"/>
      <c r="B405" s="206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  <c r="AA405" s="206"/>
      <c r="AB405" s="206"/>
      <c r="AC405" s="206"/>
      <c r="AD405" s="206"/>
      <c r="AE405" s="206"/>
      <c r="AF405" s="206"/>
    </row>
    <row r="406" spans="1:32" x14ac:dyDescent="0.2">
      <c r="A406" s="206"/>
      <c r="B406" s="206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  <c r="AA406" s="206"/>
      <c r="AB406" s="206"/>
      <c r="AC406" s="206"/>
      <c r="AD406" s="206"/>
      <c r="AE406" s="206"/>
      <c r="AF406" s="206"/>
    </row>
    <row r="407" spans="1:32" x14ac:dyDescent="0.2">
      <c r="A407" s="206"/>
      <c r="B407" s="206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  <c r="AA407" s="206"/>
      <c r="AB407" s="206"/>
      <c r="AC407" s="206"/>
      <c r="AD407" s="206"/>
      <c r="AE407" s="206"/>
      <c r="AF407" s="206"/>
    </row>
    <row r="408" spans="1:32" x14ac:dyDescent="0.2">
      <c r="A408" s="206"/>
      <c r="B408" s="206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  <c r="AA408" s="206"/>
      <c r="AB408" s="206"/>
      <c r="AC408" s="206"/>
      <c r="AD408" s="206"/>
      <c r="AE408" s="206"/>
      <c r="AF408" s="206"/>
    </row>
    <row r="409" spans="1:32" x14ac:dyDescent="0.2">
      <c r="A409" s="206"/>
      <c r="B409" s="206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  <c r="AA409" s="206"/>
      <c r="AB409" s="206"/>
      <c r="AC409" s="206"/>
      <c r="AD409" s="206"/>
      <c r="AE409" s="206"/>
      <c r="AF409" s="206"/>
    </row>
    <row r="410" spans="1:32" x14ac:dyDescent="0.2">
      <c r="A410" s="206"/>
      <c r="B410" s="206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  <c r="AA410" s="206"/>
      <c r="AB410" s="206"/>
      <c r="AC410" s="206"/>
      <c r="AD410" s="206"/>
      <c r="AE410" s="206"/>
      <c r="AF410" s="206"/>
    </row>
    <row r="411" spans="1:32" x14ac:dyDescent="0.2">
      <c r="A411" s="206"/>
      <c r="B411" s="206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  <c r="AA411" s="206"/>
      <c r="AB411" s="206"/>
      <c r="AC411" s="206"/>
      <c r="AD411" s="206"/>
      <c r="AE411" s="206"/>
      <c r="AF411" s="206"/>
    </row>
    <row r="412" spans="1:32" x14ac:dyDescent="0.2">
      <c r="A412" s="206"/>
      <c r="B412" s="206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  <c r="AA412" s="206"/>
      <c r="AB412" s="206"/>
      <c r="AC412" s="206"/>
      <c r="AD412" s="206"/>
      <c r="AE412" s="206"/>
      <c r="AF412" s="206"/>
    </row>
    <row r="413" spans="1:32" x14ac:dyDescent="0.2">
      <c r="A413" s="206"/>
      <c r="B413" s="206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  <c r="AA413" s="206"/>
      <c r="AB413" s="206"/>
      <c r="AC413" s="206"/>
      <c r="AD413" s="206"/>
      <c r="AE413" s="206"/>
      <c r="AF413" s="206"/>
    </row>
    <row r="414" spans="1:32" x14ac:dyDescent="0.2">
      <c r="A414" s="206"/>
      <c r="B414" s="206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  <c r="AA414" s="206"/>
      <c r="AB414" s="206"/>
      <c r="AC414" s="206"/>
      <c r="AD414" s="206"/>
      <c r="AE414" s="206"/>
      <c r="AF414" s="206"/>
    </row>
    <row r="415" spans="1:32" x14ac:dyDescent="0.2">
      <c r="A415" s="206"/>
      <c r="B415" s="20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  <c r="AA415" s="206"/>
      <c r="AB415" s="206"/>
      <c r="AC415" s="206"/>
      <c r="AD415" s="206"/>
      <c r="AE415" s="206"/>
      <c r="AF415" s="206"/>
    </row>
    <row r="416" spans="1:32" x14ac:dyDescent="0.2">
      <c r="A416" s="206"/>
      <c r="B416" s="206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  <c r="AA416" s="206"/>
      <c r="AB416" s="206"/>
      <c r="AC416" s="206"/>
      <c r="AD416" s="206"/>
      <c r="AE416" s="206"/>
      <c r="AF416" s="206"/>
    </row>
    <row r="417" spans="1:32" x14ac:dyDescent="0.2">
      <c r="A417" s="206"/>
      <c r="B417" s="206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  <c r="AA417" s="206"/>
      <c r="AB417" s="206"/>
      <c r="AC417" s="206"/>
      <c r="AD417" s="206"/>
      <c r="AE417" s="206"/>
      <c r="AF417" s="206"/>
    </row>
    <row r="418" spans="1:32" x14ac:dyDescent="0.2">
      <c r="A418" s="206"/>
      <c r="B418" s="206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  <c r="AA418" s="206"/>
      <c r="AB418" s="206"/>
      <c r="AC418" s="206"/>
      <c r="AD418" s="206"/>
      <c r="AE418" s="206"/>
      <c r="AF418" s="206"/>
    </row>
    <row r="419" spans="1:32" x14ac:dyDescent="0.2">
      <c r="A419" s="206"/>
      <c r="B419" s="206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  <c r="AA419" s="206"/>
      <c r="AB419" s="206"/>
      <c r="AC419" s="206"/>
      <c r="AD419" s="206"/>
      <c r="AE419" s="206"/>
      <c r="AF419" s="206"/>
    </row>
    <row r="420" spans="1:32" x14ac:dyDescent="0.2">
      <c r="A420" s="206"/>
      <c r="B420" s="20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  <c r="AA420" s="206"/>
      <c r="AB420" s="206"/>
      <c r="AC420" s="206"/>
      <c r="AD420" s="206"/>
      <c r="AE420" s="206"/>
      <c r="AF420" s="206"/>
    </row>
    <row r="421" spans="1:32" x14ac:dyDescent="0.2">
      <c r="A421" s="206"/>
      <c r="B421" s="20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  <c r="AA421" s="206"/>
      <c r="AB421" s="206"/>
      <c r="AC421" s="206"/>
      <c r="AD421" s="206"/>
      <c r="AE421" s="206"/>
      <c r="AF421" s="206"/>
    </row>
    <row r="422" spans="1:32" x14ac:dyDescent="0.2">
      <c r="A422" s="206"/>
      <c r="B422" s="206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  <c r="AA422" s="206"/>
      <c r="AB422" s="206"/>
      <c r="AC422" s="206"/>
      <c r="AD422" s="206"/>
      <c r="AE422" s="206"/>
      <c r="AF422" s="206"/>
    </row>
    <row r="423" spans="1:32" x14ac:dyDescent="0.2">
      <c r="A423" s="206"/>
      <c r="B423" s="206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  <c r="AA423" s="206"/>
      <c r="AB423" s="206"/>
      <c r="AC423" s="206"/>
      <c r="AD423" s="206"/>
      <c r="AE423" s="206"/>
      <c r="AF423" s="206"/>
    </row>
    <row r="424" spans="1:32" x14ac:dyDescent="0.2">
      <c r="A424" s="206"/>
      <c r="B424" s="206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  <c r="AA424" s="206"/>
      <c r="AB424" s="206"/>
      <c r="AC424" s="206"/>
      <c r="AD424" s="206"/>
      <c r="AE424" s="206"/>
      <c r="AF424" s="206"/>
    </row>
    <row r="425" spans="1:32" x14ac:dyDescent="0.2">
      <c r="A425" s="206"/>
      <c r="B425" s="206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  <c r="AA425" s="206"/>
      <c r="AB425" s="206"/>
      <c r="AC425" s="206"/>
      <c r="AD425" s="206"/>
      <c r="AE425" s="206"/>
      <c r="AF425" s="206"/>
    </row>
    <row r="426" spans="1:32" x14ac:dyDescent="0.2">
      <c r="A426" s="206"/>
      <c r="B426" s="206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  <c r="AA426" s="206"/>
      <c r="AB426" s="206"/>
      <c r="AC426" s="206"/>
      <c r="AD426" s="206"/>
      <c r="AE426" s="206"/>
      <c r="AF426" s="206"/>
    </row>
    <row r="427" spans="1:32" x14ac:dyDescent="0.2">
      <c r="A427" s="206"/>
      <c r="B427" s="206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  <c r="AA427" s="206"/>
      <c r="AB427" s="206"/>
      <c r="AC427" s="206"/>
      <c r="AD427" s="206"/>
      <c r="AE427" s="206"/>
      <c r="AF427" s="206"/>
    </row>
    <row r="428" spans="1:32" x14ac:dyDescent="0.2">
      <c r="A428" s="206"/>
      <c r="B428" s="206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  <c r="AA428" s="206"/>
      <c r="AB428" s="206"/>
      <c r="AC428" s="206"/>
      <c r="AD428" s="206"/>
      <c r="AE428" s="206"/>
      <c r="AF428" s="206"/>
    </row>
    <row r="429" spans="1:32" x14ac:dyDescent="0.2">
      <c r="A429" s="206"/>
      <c r="B429" s="206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  <c r="AA429" s="206"/>
      <c r="AB429" s="206"/>
      <c r="AC429" s="206"/>
      <c r="AD429" s="206"/>
      <c r="AE429" s="206"/>
      <c r="AF429" s="206"/>
    </row>
    <row r="430" spans="1:32" x14ac:dyDescent="0.2">
      <c r="A430" s="206"/>
      <c r="B430" s="206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  <c r="AA430" s="206"/>
      <c r="AB430" s="206"/>
      <c r="AC430" s="206"/>
      <c r="AD430" s="206"/>
      <c r="AE430" s="206"/>
      <c r="AF430" s="206"/>
    </row>
    <row r="431" spans="1:32" x14ac:dyDescent="0.2">
      <c r="A431" s="206"/>
      <c r="B431" s="206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  <c r="AA431" s="206"/>
      <c r="AB431" s="206"/>
      <c r="AC431" s="206"/>
      <c r="AD431" s="206"/>
      <c r="AE431" s="206"/>
      <c r="AF431" s="206"/>
    </row>
    <row r="432" spans="1:32" x14ac:dyDescent="0.2">
      <c r="A432" s="206"/>
      <c r="B432" s="206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  <c r="AA432" s="206"/>
      <c r="AB432" s="206"/>
      <c r="AC432" s="206"/>
      <c r="AD432" s="206"/>
      <c r="AE432" s="206"/>
      <c r="AF432" s="206"/>
    </row>
    <row r="433" spans="1:32" x14ac:dyDescent="0.2">
      <c r="A433" s="206"/>
      <c r="B433" s="206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  <c r="AA433" s="206"/>
      <c r="AB433" s="206"/>
      <c r="AC433" s="206"/>
      <c r="AD433" s="206"/>
      <c r="AE433" s="206"/>
      <c r="AF433" s="206"/>
    </row>
    <row r="434" spans="1:32" x14ac:dyDescent="0.2">
      <c r="A434" s="206"/>
      <c r="B434" s="206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  <c r="AA434" s="206"/>
      <c r="AB434" s="206"/>
      <c r="AC434" s="206"/>
      <c r="AD434" s="206"/>
      <c r="AE434" s="206"/>
      <c r="AF434" s="206"/>
    </row>
    <row r="435" spans="1:32" x14ac:dyDescent="0.2">
      <c r="A435" s="206"/>
      <c r="B435" s="206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  <c r="AA435" s="206"/>
      <c r="AB435" s="206"/>
      <c r="AC435" s="206"/>
      <c r="AD435" s="206"/>
      <c r="AE435" s="206"/>
      <c r="AF435" s="206"/>
    </row>
    <row r="436" spans="1:32" x14ac:dyDescent="0.2">
      <c r="A436" s="206"/>
      <c r="B436" s="206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  <c r="AA436" s="206"/>
      <c r="AB436" s="206"/>
      <c r="AC436" s="206"/>
      <c r="AD436" s="206"/>
      <c r="AE436" s="206"/>
      <c r="AF436" s="206"/>
    </row>
    <row r="437" spans="1:32" x14ac:dyDescent="0.2">
      <c r="A437" s="206"/>
      <c r="B437" s="206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  <c r="AA437" s="206"/>
      <c r="AB437" s="206"/>
      <c r="AC437" s="206"/>
      <c r="AD437" s="206"/>
      <c r="AE437" s="206"/>
      <c r="AF437" s="206"/>
    </row>
    <row r="438" spans="1:32" x14ac:dyDescent="0.2">
      <c r="A438" s="206"/>
      <c r="B438" s="206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  <c r="AA438" s="206"/>
      <c r="AB438" s="206"/>
      <c r="AC438" s="206"/>
      <c r="AD438" s="206"/>
      <c r="AE438" s="206"/>
      <c r="AF438" s="206"/>
    </row>
    <row r="439" spans="1:32" x14ac:dyDescent="0.2">
      <c r="A439" s="206"/>
      <c r="B439" s="206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  <c r="AA439" s="206"/>
      <c r="AB439" s="206"/>
      <c r="AC439" s="206"/>
      <c r="AD439" s="206"/>
      <c r="AE439" s="206"/>
      <c r="AF439" s="206"/>
    </row>
    <row r="440" spans="1:32" x14ac:dyDescent="0.2">
      <c r="A440" s="206"/>
      <c r="B440" s="206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  <c r="AA440" s="206"/>
      <c r="AB440" s="206"/>
      <c r="AC440" s="206"/>
      <c r="AD440" s="206"/>
      <c r="AE440" s="206"/>
      <c r="AF440" s="206"/>
    </row>
    <row r="441" spans="1:32" x14ac:dyDescent="0.2">
      <c r="A441" s="206"/>
      <c r="B441" s="206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  <c r="AA441" s="206"/>
      <c r="AB441" s="206"/>
      <c r="AC441" s="206"/>
      <c r="AD441" s="206"/>
      <c r="AE441" s="206"/>
      <c r="AF441" s="206"/>
    </row>
    <row r="442" spans="1:32" x14ac:dyDescent="0.2">
      <c r="A442" s="206"/>
      <c r="B442" s="206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  <c r="AA442" s="206"/>
      <c r="AB442" s="206"/>
      <c r="AC442" s="206"/>
      <c r="AD442" s="206"/>
      <c r="AE442" s="206"/>
      <c r="AF442" s="206"/>
    </row>
    <row r="443" spans="1:32" x14ac:dyDescent="0.2">
      <c r="A443" s="206"/>
      <c r="B443" s="206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  <c r="AA443" s="206"/>
      <c r="AB443" s="206"/>
      <c r="AC443" s="206"/>
      <c r="AD443" s="206"/>
      <c r="AE443" s="206"/>
      <c r="AF443" s="206"/>
    </row>
    <row r="444" spans="1:32" x14ac:dyDescent="0.2">
      <c r="A444" s="206"/>
      <c r="B444" s="206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  <c r="AA444" s="206"/>
      <c r="AB444" s="206"/>
      <c r="AC444" s="206"/>
      <c r="AD444" s="206"/>
      <c r="AE444" s="206"/>
      <c r="AF444" s="206"/>
    </row>
    <row r="445" spans="1:32" x14ac:dyDescent="0.2">
      <c r="A445" s="206"/>
      <c r="B445" s="206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  <c r="AA445" s="206"/>
      <c r="AB445" s="206"/>
      <c r="AC445" s="206"/>
      <c r="AD445" s="206"/>
      <c r="AE445" s="206"/>
      <c r="AF445" s="206"/>
    </row>
    <row r="446" spans="1:32" x14ac:dyDescent="0.2">
      <c r="A446" s="206"/>
      <c r="B446" s="206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  <c r="AA446" s="206"/>
      <c r="AB446" s="206"/>
      <c r="AC446" s="206"/>
      <c r="AD446" s="206"/>
      <c r="AE446" s="206"/>
      <c r="AF446" s="206"/>
    </row>
    <row r="447" spans="1:32" x14ac:dyDescent="0.2">
      <c r="A447" s="206"/>
      <c r="B447" s="206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  <c r="AA447" s="206"/>
      <c r="AB447" s="206"/>
      <c r="AC447" s="206"/>
      <c r="AD447" s="206"/>
      <c r="AE447" s="206"/>
      <c r="AF447" s="206"/>
    </row>
    <row r="448" spans="1:32" x14ac:dyDescent="0.2">
      <c r="A448" s="206"/>
      <c r="B448" s="206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  <c r="AA448" s="206"/>
      <c r="AB448" s="206"/>
      <c r="AC448" s="206"/>
      <c r="AD448" s="206"/>
      <c r="AE448" s="206"/>
      <c r="AF448" s="206"/>
    </row>
    <row r="449" spans="1:32" x14ac:dyDescent="0.2">
      <c r="A449" s="206"/>
      <c r="B449" s="206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  <c r="AA449" s="206"/>
      <c r="AB449" s="206"/>
      <c r="AC449" s="206"/>
      <c r="AD449" s="206"/>
      <c r="AE449" s="206"/>
      <c r="AF449" s="206"/>
    </row>
    <row r="450" spans="1:32" x14ac:dyDescent="0.2">
      <c r="A450" s="206"/>
      <c r="B450" s="206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  <c r="AA450" s="206"/>
      <c r="AB450" s="206"/>
      <c r="AC450" s="206"/>
      <c r="AD450" s="206"/>
      <c r="AE450" s="206"/>
      <c r="AF450" s="206"/>
    </row>
    <row r="451" spans="1:32" x14ac:dyDescent="0.2">
      <c r="A451" s="206"/>
      <c r="B451" s="206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  <c r="AA451" s="206"/>
      <c r="AB451" s="206"/>
      <c r="AC451" s="206"/>
      <c r="AD451" s="206"/>
      <c r="AE451" s="206"/>
      <c r="AF451" s="206"/>
    </row>
    <row r="452" spans="1:32" x14ac:dyDescent="0.2">
      <c r="A452" s="206"/>
      <c r="B452" s="206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  <c r="AA452" s="206"/>
      <c r="AB452" s="206"/>
      <c r="AC452" s="206"/>
      <c r="AD452" s="206"/>
      <c r="AE452" s="206"/>
      <c r="AF452" s="206"/>
    </row>
    <row r="453" spans="1:32" x14ac:dyDescent="0.2">
      <c r="A453" s="206"/>
      <c r="B453" s="206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  <c r="AA453" s="206"/>
      <c r="AB453" s="206"/>
      <c r="AC453" s="206"/>
      <c r="AD453" s="206"/>
      <c r="AE453" s="206"/>
      <c r="AF453" s="206"/>
    </row>
    <row r="454" spans="1:32" x14ac:dyDescent="0.2">
      <c r="A454" s="206"/>
      <c r="B454" s="206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  <c r="AA454" s="206"/>
      <c r="AB454" s="206"/>
      <c r="AC454" s="206"/>
      <c r="AD454" s="206"/>
      <c r="AE454" s="206"/>
      <c r="AF454" s="206"/>
    </row>
    <row r="455" spans="1:32" x14ac:dyDescent="0.2">
      <c r="A455" s="206"/>
      <c r="B455" s="206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  <c r="AA455" s="206"/>
      <c r="AB455" s="206"/>
      <c r="AC455" s="206"/>
      <c r="AD455" s="206"/>
      <c r="AE455" s="206"/>
      <c r="AF455" s="206"/>
    </row>
    <row r="456" spans="1:32" x14ac:dyDescent="0.2">
      <c r="A456" s="206"/>
      <c r="B456" s="206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  <c r="AA456" s="206"/>
      <c r="AB456" s="206"/>
      <c r="AC456" s="206"/>
      <c r="AD456" s="206"/>
      <c r="AE456" s="206"/>
      <c r="AF456" s="206"/>
    </row>
    <row r="457" spans="1:32" x14ac:dyDescent="0.2">
      <c r="A457" s="206"/>
      <c r="B457" s="206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  <c r="AA457" s="206"/>
      <c r="AB457" s="206"/>
      <c r="AC457" s="206"/>
      <c r="AD457" s="206"/>
      <c r="AE457" s="206"/>
      <c r="AF457" s="206"/>
    </row>
    <row r="458" spans="1:32" x14ac:dyDescent="0.2">
      <c r="A458" s="206"/>
      <c r="B458" s="206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  <c r="AA458" s="206"/>
      <c r="AB458" s="206"/>
      <c r="AC458" s="206"/>
      <c r="AD458" s="206"/>
      <c r="AE458" s="206"/>
      <c r="AF458" s="206"/>
    </row>
    <row r="459" spans="1:32" x14ac:dyDescent="0.2">
      <c r="A459" s="206"/>
      <c r="B459" s="206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  <c r="AA459" s="206"/>
      <c r="AB459" s="206"/>
      <c r="AC459" s="206"/>
      <c r="AD459" s="206"/>
      <c r="AE459" s="206"/>
      <c r="AF459" s="206"/>
    </row>
    <row r="460" spans="1:32" x14ac:dyDescent="0.2">
      <c r="A460" s="206"/>
      <c r="B460" s="206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  <c r="AA460" s="206"/>
      <c r="AB460" s="206"/>
      <c r="AC460" s="206"/>
      <c r="AD460" s="206"/>
      <c r="AE460" s="206"/>
      <c r="AF460" s="206"/>
    </row>
    <row r="461" spans="1:32" x14ac:dyDescent="0.2">
      <c r="A461" s="206"/>
      <c r="B461" s="206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  <c r="AA461" s="206"/>
      <c r="AB461" s="206"/>
      <c r="AC461" s="206"/>
      <c r="AD461" s="206"/>
      <c r="AE461" s="206"/>
      <c r="AF461" s="206"/>
    </row>
    <row r="462" spans="1:32" x14ac:dyDescent="0.2">
      <c r="A462" s="206"/>
      <c r="B462" s="206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  <c r="AA462" s="206"/>
      <c r="AB462" s="206"/>
      <c r="AC462" s="206"/>
      <c r="AD462" s="206"/>
      <c r="AE462" s="206"/>
      <c r="AF462" s="206"/>
    </row>
    <row r="463" spans="1:32" x14ac:dyDescent="0.2">
      <c r="A463" s="206"/>
      <c r="B463" s="206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  <c r="AA463" s="206"/>
      <c r="AB463" s="206"/>
      <c r="AC463" s="206"/>
      <c r="AD463" s="206"/>
      <c r="AE463" s="206"/>
      <c r="AF463" s="206"/>
    </row>
    <row r="464" spans="1:32" x14ac:dyDescent="0.2">
      <c r="A464" s="206"/>
      <c r="B464" s="206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  <c r="AA464" s="206"/>
      <c r="AB464" s="206"/>
      <c r="AC464" s="206"/>
      <c r="AD464" s="206"/>
      <c r="AE464" s="206"/>
      <c r="AF464" s="206"/>
    </row>
    <row r="465" spans="1:32" x14ac:dyDescent="0.2">
      <c r="A465" s="206"/>
      <c r="B465" s="206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  <c r="AA465" s="206"/>
      <c r="AB465" s="206"/>
      <c r="AC465" s="206"/>
      <c r="AD465" s="206"/>
      <c r="AE465" s="206"/>
      <c r="AF465" s="206"/>
    </row>
    <row r="466" spans="1:32" x14ac:dyDescent="0.2">
      <c r="A466" s="206"/>
      <c r="B466" s="206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  <c r="AA466" s="206"/>
      <c r="AB466" s="206"/>
      <c r="AC466" s="206"/>
      <c r="AD466" s="206"/>
      <c r="AE466" s="206"/>
      <c r="AF466" s="206"/>
    </row>
    <row r="467" spans="1:32" x14ac:dyDescent="0.2">
      <c r="A467" s="206"/>
      <c r="B467" s="206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  <c r="AA467" s="206"/>
      <c r="AB467" s="206"/>
      <c r="AC467" s="206"/>
      <c r="AD467" s="206"/>
      <c r="AE467" s="206"/>
      <c r="AF467" s="206"/>
    </row>
    <row r="468" spans="1:32" x14ac:dyDescent="0.2">
      <c r="A468" s="206"/>
      <c r="B468" s="206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  <c r="AA468" s="206"/>
      <c r="AB468" s="206"/>
      <c r="AC468" s="206"/>
      <c r="AD468" s="206"/>
      <c r="AE468" s="206"/>
      <c r="AF468" s="206"/>
    </row>
    <row r="469" spans="1:32" x14ac:dyDescent="0.2">
      <c r="A469" s="206"/>
      <c r="B469" s="206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  <c r="AA469" s="206"/>
      <c r="AB469" s="206"/>
      <c r="AC469" s="206"/>
      <c r="AD469" s="206"/>
      <c r="AE469" s="206"/>
      <c r="AF469" s="206"/>
    </row>
    <row r="470" spans="1:32" x14ac:dyDescent="0.2">
      <c r="A470" s="206"/>
      <c r="B470" s="206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  <c r="AA470" s="206"/>
      <c r="AB470" s="206"/>
      <c r="AC470" s="206"/>
      <c r="AD470" s="206"/>
      <c r="AE470" s="206"/>
      <c r="AF470" s="206"/>
    </row>
    <row r="471" spans="1:32" x14ac:dyDescent="0.2">
      <c r="A471" s="206"/>
      <c r="B471" s="206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  <c r="AA471" s="206"/>
      <c r="AB471" s="206"/>
      <c r="AC471" s="206"/>
      <c r="AD471" s="206"/>
      <c r="AE471" s="206"/>
      <c r="AF471" s="206"/>
    </row>
    <row r="472" spans="1:32" x14ac:dyDescent="0.2">
      <c r="A472" s="206"/>
      <c r="B472" s="206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  <c r="AA472" s="206"/>
      <c r="AB472" s="206"/>
      <c r="AC472" s="206"/>
      <c r="AD472" s="206"/>
      <c r="AE472" s="206"/>
      <c r="AF472" s="206"/>
    </row>
    <row r="473" spans="1:32" x14ac:dyDescent="0.2">
      <c r="A473" s="206"/>
      <c r="B473" s="206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  <c r="AA473" s="206"/>
      <c r="AB473" s="206"/>
      <c r="AC473" s="206"/>
      <c r="AD473" s="206"/>
      <c r="AE473" s="206"/>
      <c r="AF473" s="206"/>
    </row>
    <row r="474" spans="1:32" x14ac:dyDescent="0.2">
      <c r="A474" s="206"/>
      <c r="B474" s="206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  <c r="AA474" s="206"/>
      <c r="AB474" s="206"/>
      <c r="AC474" s="206"/>
      <c r="AD474" s="206"/>
      <c r="AE474" s="206"/>
      <c r="AF474" s="206"/>
    </row>
    <row r="475" spans="1:32" x14ac:dyDescent="0.2">
      <c r="A475" s="206"/>
      <c r="B475" s="206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  <c r="AA475" s="206"/>
      <c r="AB475" s="206"/>
      <c r="AC475" s="206"/>
      <c r="AD475" s="206"/>
      <c r="AE475" s="206"/>
      <c r="AF475" s="206"/>
    </row>
    <row r="476" spans="1:32" x14ac:dyDescent="0.2">
      <c r="A476" s="206"/>
      <c r="B476" s="206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  <c r="AA476" s="206"/>
      <c r="AB476" s="206"/>
      <c r="AC476" s="206"/>
      <c r="AD476" s="206"/>
      <c r="AE476" s="206"/>
      <c r="AF476" s="206"/>
    </row>
    <row r="477" spans="1:32" x14ac:dyDescent="0.2">
      <c r="A477" s="206"/>
      <c r="B477" s="206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  <c r="AA477" s="206"/>
      <c r="AB477" s="206"/>
      <c r="AC477" s="206"/>
      <c r="AD477" s="206"/>
      <c r="AE477" s="206"/>
      <c r="AF477" s="206"/>
    </row>
    <row r="478" spans="1:32" x14ac:dyDescent="0.2">
      <c r="A478" s="206"/>
      <c r="B478" s="206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  <c r="AA478" s="206"/>
      <c r="AB478" s="206"/>
      <c r="AC478" s="206"/>
      <c r="AD478" s="206"/>
      <c r="AE478" s="206"/>
      <c r="AF478" s="206"/>
    </row>
    <row r="479" spans="1:32" x14ac:dyDescent="0.2">
      <c r="A479" s="206"/>
      <c r="B479" s="206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  <c r="AA479" s="206"/>
      <c r="AB479" s="206"/>
      <c r="AC479" s="206"/>
      <c r="AD479" s="206"/>
      <c r="AE479" s="206"/>
      <c r="AF479" s="206"/>
    </row>
    <row r="480" spans="1:32" x14ac:dyDescent="0.2">
      <c r="A480" s="206"/>
      <c r="B480" s="206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  <c r="AA480" s="206"/>
      <c r="AB480" s="206"/>
      <c r="AC480" s="206"/>
      <c r="AD480" s="206"/>
      <c r="AE480" s="206"/>
      <c r="AF480" s="206"/>
    </row>
    <row r="481" spans="1:32" x14ac:dyDescent="0.2">
      <c r="A481" s="206"/>
      <c r="B481" s="206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  <c r="AA481" s="206"/>
      <c r="AB481" s="206"/>
      <c r="AC481" s="206"/>
      <c r="AD481" s="206"/>
      <c r="AE481" s="206"/>
      <c r="AF481" s="206"/>
    </row>
    <row r="482" spans="1:32" x14ac:dyDescent="0.2">
      <c r="A482" s="206"/>
      <c r="B482" s="206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  <c r="AA482" s="206"/>
      <c r="AB482" s="206"/>
      <c r="AC482" s="206"/>
      <c r="AD482" s="206"/>
      <c r="AE482" s="206"/>
      <c r="AF482" s="206"/>
    </row>
    <row r="483" spans="1:32" x14ac:dyDescent="0.2">
      <c r="A483" s="206"/>
      <c r="B483" s="206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  <c r="AA483" s="206"/>
      <c r="AB483" s="206"/>
      <c r="AC483" s="206"/>
      <c r="AD483" s="206"/>
      <c r="AE483" s="206"/>
      <c r="AF483" s="206"/>
    </row>
    <row r="484" spans="1:32" x14ac:dyDescent="0.2">
      <c r="A484" s="206"/>
      <c r="B484" s="206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  <c r="AA484" s="206"/>
      <c r="AB484" s="206"/>
      <c r="AC484" s="206"/>
      <c r="AD484" s="206"/>
      <c r="AE484" s="206"/>
      <c r="AF484" s="206"/>
    </row>
    <row r="485" spans="1:32" x14ac:dyDescent="0.2">
      <c r="A485" s="206"/>
      <c r="B485" s="206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  <c r="AA485" s="206"/>
      <c r="AB485" s="206"/>
      <c r="AC485" s="206"/>
      <c r="AD485" s="206"/>
      <c r="AE485" s="206"/>
      <c r="AF485" s="206"/>
    </row>
    <row r="486" spans="1:32" x14ac:dyDescent="0.2">
      <c r="A486" s="206"/>
      <c r="B486" s="206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  <c r="AA486" s="206"/>
      <c r="AB486" s="206"/>
      <c r="AC486" s="206"/>
      <c r="AD486" s="206"/>
      <c r="AE486" s="206"/>
      <c r="AF486" s="206"/>
    </row>
    <row r="487" spans="1:32" x14ac:dyDescent="0.2">
      <c r="A487" s="206"/>
      <c r="B487" s="206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  <c r="AA487" s="206"/>
      <c r="AB487" s="206"/>
      <c r="AC487" s="206"/>
      <c r="AD487" s="206"/>
      <c r="AE487" s="206"/>
      <c r="AF487" s="206"/>
    </row>
    <row r="488" spans="1:32" x14ac:dyDescent="0.2">
      <c r="A488" s="206"/>
      <c r="B488" s="206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  <c r="AA488" s="206"/>
      <c r="AB488" s="206"/>
      <c r="AC488" s="206"/>
      <c r="AD488" s="206"/>
      <c r="AE488" s="206"/>
      <c r="AF488" s="206"/>
    </row>
    <row r="489" spans="1:32" x14ac:dyDescent="0.2">
      <c r="A489" s="206"/>
      <c r="B489" s="206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  <c r="AA489" s="206"/>
      <c r="AB489" s="206"/>
      <c r="AC489" s="206"/>
      <c r="AD489" s="206"/>
      <c r="AE489" s="206"/>
      <c r="AF489" s="206"/>
    </row>
    <row r="490" spans="1:32" x14ac:dyDescent="0.2">
      <c r="A490" s="206"/>
      <c r="B490" s="206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  <c r="AA490" s="206"/>
      <c r="AB490" s="206"/>
      <c r="AC490" s="206"/>
      <c r="AD490" s="206"/>
      <c r="AE490" s="206"/>
      <c r="AF490" s="206"/>
    </row>
    <row r="491" spans="1:32" x14ac:dyDescent="0.2">
      <c r="A491" s="206"/>
      <c r="B491" s="20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  <c r="AA491" s="206"/>
      <c r="AB491" s="206"/>
      <c r="AC491" s="206"/>
      <c r="AD491" s="206"/>
      <c r="AE491" s="206"/>
      <c r="AF491" s="206"/>
    </row>
    <row r="492" spans="1:32" x14ac:dyDescent="0.2">
      <c r="A492" s="206"/>
      <c r="B492" s="206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  <c r="AA492" s="206"/>
      <c r="AB492" s="206"/>
      <c r="AC492" s="206"/>
      <c r="AD492" s="206"/>
      <c r="AE492" s="206"/>
      <c r="AF492" s="206"/>
    </row>
    <row r="493" spans="1:32" x14ac:dyDescent="0.2">
      <c r="A493" s="206"/>
      <c r="B493" s="206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  <c r="AA493" s="206"/>
      <c r="AB493" s="206"/>
      <c r="AC493" s="206"/>
      <c r="AD493" s="206"/>
      <c r="AE493" s="206"/>
      <c r="AF493" s="206"/>
    </row>
    <row r="494" spans="1:32" x14ac:dyDescent="0.2">
      <c r="A494" s="206"/>
      <c r="B494" s="206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  <c r="AA494" s="206"/>
      <c r="AB494" s="206"/>
      <c r="AC494" s="206"/>
      <c r="AD494" s="206"/>
      <c r="AE494" s="206"/>
      <c r="AF494" s="206"/>
    </row>
    <row r="495" spans="1:32" x14ac:dyDescent="0.2">
      <c r="A495" s="206"/>
      <c r="B495" s="206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  <c r="AA495" s="206"/>
      <c r="AB495" s="206"/>
      <c r="AC495" s="206"/>
      <c r="AD495" s="206"/>
      <c r="AE495" s="206"/>
      <c r="AF495" s="206"/>
    </row>
    <row r="496" spans="1:32" x14ac:dyDescent="0.2">
      <c r="A496" s="206"/>
      <c r="B496" s="20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  <c r="AA496" s="206"/>
      <c r="AB496" s="206"/>
      <c r="AC496" s="206"/>
      <c r="AD496" s="206"/>
      <c r="AE496" s="206"/>
      <c r="AF496" s="206"/>
    </row>
    <row r="497" spans="1:32" x14ac:dyDescent="0.2">
      <c r="A497" s="206"/>
      <c r="B497" s="206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  <c r="AA497" s="206"/>
      <c r="AB497" s="206"/>
      <c r="AC497" s="206"/>
      <c r="AD497" s="206"/>
      <c r="AE497" s="206"/>
      <c r="AF497" s="206"/>
    </row>
    <row r="498" spans="1:32" x14ac:dyDescent="0.2">
      <c r="A498" s="206"/>
      <c r="B498" s="206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  <c r="AA498" s="206"/>
      <c r="AB498" s="206"/>
      <c r="AC498" s="206"/>
      <c r="AD498" s="206"/>
      <c r="AE498" s="206"/>
      <c r="AF498" s="206"/>
    </row>
    <row r="499" spans="1:32" x14ac:dyDescent="0.2">
      <c r="A499" s="206"/>
      <c r="B499" s="206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  <c r="AA499" s="206"/>
      <c r="AB499" s="206"/>
      <c r="AC499" s="206"/>
      <c r="AD499" s="206"/>
      <c r="AE499" s="206"/>
      <c r="AF499" s="206"/>
    </row>
    <row r="500" spans="1:32" x14ac:dyDescent="0.2">
      <c r="A500" s="206"/>
      <c r="B500" s="206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  <c r="AA500" s="206"/>
      <c r="AB500" s="206"/>
      <c r="AC500" s="206"/>
      <c r="AD500" s="206"/>
      <c r="AE500" s="206"/>
      <c r="AF500" s="206"/>
    </row>
    <row r="501" spans="1:32" x14ac:dyDescent="0.2">
      <c r="A501" s="206"/>
      <c r="B501" s="206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  <c r="AA501" s="206"/>
      <c r="AB501" s="206"/>
      <c r="AC501" s="206"/>
      <c r="AD501" s="206"/>
      <c r="AE501" s="206"/>
      <c r="AF501" s="206"/>
    </row>
    <row r="502" spans="1:32" x14ac:dyDescent="0.2">
      <c r="A502" s="206"/>
      <c r="B502" s="206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  <c r="AA502" s="206"/>
      <c r="AB502" s="206"/>
      <c r="AC502" s="206"/>
      <c r="AD502" s="206"/>
      <c r="AE502" s="206"/>
      <c r="AF502" s="206"/>
    </row>
    <row r="503" spans="1:32" x14ac:dyDescent="0.2">
      <c r="A503" s="206"/>
      <c r="B503" s="206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  <c r="AA503" s="206"/>
      <c r="AB503" s="206"/>
      <c r="AC503" s="206"/>
      <c r="AD503" s="206"/>
      <c r="AE503" s="206"/>
      <c r="AF503" s="206"/>
    </row>
    <row r="504" spans="1:32" x14ac:dyDescent="0.2">
      <c r="A504" s="206"/>
      <c r="B504" s="206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  <c r="AA504" s="206"/>
      <c r="AB504" s="206"/>
      <c r="AC504" s="206"/>
      <c r="AD504" s="206"/>
      <c r="AE504" s="206"/>
      <c r="AF504" s="206"/>
    </row>
    <row r="505" spans="1:32" x14ac:dyDescent="0.2">
      <c r="A505" s="206"/>
      <c r="B505" s="206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  <c r="AA505" s="206"/>
      <c r="AB505" s="206"/>
      <c r="AC505" s="206"/>
      <c r="AD505" s="206"/>
      <c r="AE505" s="206"/>
      <c r="AF505" s="206"/>
    </row>
    <row r="506" spans="1:32" x14ac:dyDescent="0.2">
      <c r="A506" s="206"/>
      <c r="B506" s="206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  <c r="AA506" s="206"/>
      <c r="AB506" s="206"/>
      <c r="AC506" s="206"/>
      <c r="AD506" s="206"/>
      <c r="AE506" s="206"/>
      <c r="AF506" s="206"/>
    </row>
    <row r="507" spans="1:32" x14ac:dyDescent="0.2">
      <c r="A507" s="206"/>
      <c r="B507" s="206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  <c r="AA507" s="206"/>
      <c r="AB507" s="206"/>
      <c r="AC507" s="206"/>
      <c r="AD507" s="206"/>
      <c r="AE507" s="206"/>
      <c r="AF507" s="206"/>
    </row>
    <row r="508" spans="1:32" x14ac:dyDescent="0.2">
      <c r="A508" s="206"/>
      <c r="B508" s="206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  <c r="AA508" s="206"/>
      <c r="AB508" s="206"/>
      <c r="AC508" s="206"/>
      <c r="AD508" s="206"/>
      <c r="AE508" s="206"/>
      <c r="AF508" s="206"/>
    </row>
    <row r="509" spans="1:32" x14ac:dyDescent="0.2">
      <c r="A509" s="206"/>
      <c r="B509" s="206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  <c r="AA509" s="206"/>
      <c r="AB509" s="206"/>
      <c r="AC509" s="206"/>
      <c r="AD509" s="206"/>
      <c r="AE509" s="206"/>
      <c r="AF509" s="206"/>
    </row>
    <row r="510" spans="1:32" x14ac:dyDescent="0.2">
      <c r="A510" s="206"/>
      <c r="B510" s="206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  <c r="AA510" s="206"/>
      <c r="AB510" s="206"/>
      <c r="AC510" s="206"/>
      <c r="AD510" s="206"/>
      <c r="AE510" s="206"/>
      <c r="AF510" s="206"/>
    </row>
    <row r="511" spans="1:32" x14ac:dyDescent="0.2">
      <c r="A511" s="206"/>
      <c r="B511" s="206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  <c r="AA511" s="206"/>
      <c r="AB511" s="206"/>
      <c r="AC511" s="206"/>
      <c r="AD511" s="206"/>
      <c r="AE511" s="206"/>
      <c r="AF511" s="206"/>
    </row>
    <row r="512" spans="1:32" x14ac:dyDescent="0.2">
      <c r="A512" s="206"/>
      <c r="B512" s="206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  <c r="AA512" s="206"/>
      <c r="AB512" s="206"/>
      <c r="AC512" s="206"/>
      <c r="AD512" s="206"/>
      <c r="AE512" s="206"/>
      <c r="AF512" s="206"/>
    </row>
    <row r="513" spans="1:32" x14ac:dyDescent="0.2">
      <c r="A513" s="206"/>
      <c r="B513" s="206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  <c r="AA513" s="206"/>
      <c r="AB513" s="206"/>
      <c r="AC513" s="206"/>
      <c r="AD513" s="206"/>
      <c r="AE513" s="206"/>
      <c r="AF513" s="206"/>
    </row>
    <row r="514" spans="1:32" x14ac:dyDescent="0.2">
      <c r="A514" s="206"/>
      <c r="B514" s="206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  <c r="AA514" s="206"/>
      <c r="AB514" s="206"/>
      <c r="AC514" s="206"/>
      <c r="AD514" s="206"/>
      <c r="AE514" s="206"/>
      <c r="AF514" s="206"/>
    </row>
    <row r="515" spans="1:32" x14ac:dyDescent="0.2">
      <c r="A515" s="206"/>
      <c r="B515" s="206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  <c r="AA515" s="206"/>
      <c r="AB515" s="206"/>
      <c r="AC515" s="206"/>
      <c r="AD515" s="206"/>
      <c r="AE515" s="206"/>
      <c r="AF515" s="206"/>
    </row>
    <row r="516" spans="1:32" x14ac:dyDescent="0.2">
      <c r="A516" s="206"/>
      <c r="B516" s="206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  <c r="AA516" s="206"/>
      <c r="AB516" s="206"/>
      <c r="AC516" s="206"/>
      <c r="AD516" s="206"/>
      <c r="AE516" s="206"/>
      <c r="AF516" s="206"/>
    </row>
    <row r="517" spans="1:32" x14ac:dyDescent="0.2">
      <c r="A517" s="206"/>
      <c r="B517" s="206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  <c r="AA517" s="206"/>
      <c r="AB517" s="206"/>
      <c r="AC517" s="206"/>
      <c r="AD517" s="206"/>
      <c r="AE517" s="206"/>
      <c r="AF517" s="206"/>
    </row>
    <row r="518" spans="1:32" x14ac:dyDescent="0.2">
      <c r="A518" s="206"/>
      <c r="B518" s="206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  <c r="AA518" s="206"/>
      <c r="AB518" s="206"/>
      <c r="AC518" s="206"/>
      <c r="AD518" s="206"/>
      <c r="AE518" s="206"/>
      <c r="AF518" s="206"/>
    </row>
    <row r="519" spans="1:32" x14ac:dyDescent="0.2">
      <c r="A519" s="206"/>
      <c r="B519" s="206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  <c r="AA519" s="206"/>
      <c r="AB519" s="206"/>
      <c r="AC519" s="206"/>
      <c r="AD519" s="206"/>
      <c r="AE519" s="206"/>
      <c r="AF519" s="206"/>
    </row>
    <row r="520" spans="1:32" x14ac:dyDescent="0.2">
      <c r="A520" s="206"/>
      <c r="B520" s="206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  <c r="AA520" s="206"/>
      <c r="AB520" s="206"/>
      <c r="AC520" s="206"/>
      <c r="AD520" s="206"/>
      <c r="AE520" s="206"/>
      <c r="AF520" s="206"/>
    </row>
    <row r="521" spans="1:32" x14ac:dyDescent="0.2">
      <c r="A521" s="206"/>
      <c r="B521" s="206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  <c r="AA521" s="206"/>
      <c r="AB521" s="206"/>
      <c r="AC521" s="206"/>
      <c r="AD521" s="206"/>
      <c r="AE521" s="206"/>
      <c r="AF521" s="206"/>
    </row>
    <row r="522" spans="1:32" x14ac:dyDescent="0.2">
      <c r="A522" s="206"/>
      <c r="B522" s="206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  <c r="AA522" s="206"/>
      <c r="AB522" s="206"/>
      <c r="AC522" s="206"/>
      <c r="AD522" s="206"/>
      <c r="AE522" s="206"/>
      <c r="AF522" s="206"/>
    </row>
    <row r="523" spans="1:32" x14ac:dyDescent="0.2">
      <c r="A523" s="206"/>
      <c r="B523" s="206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  <c r="AA523" s="206"/>
      <c r="AB523" s="206"/>
      <c r="AC523" s="206"/>
      <c r="AD523" s="206"/>
      <c r="AE523" s="206"/>
      <c r="AF523" s="206"/>
    </row>
    <row r="524" spans="1:32" x14ac:dyDescent="0.2">
      <c r="A524" s="206"/>
      <c r="B524" s="206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  <c r="AA524" s="206"/>
      <c r="AB524" s="206"/>
      <c r="AC524" s="206"/>
      <c r="AD524" s="206"/>
      <c r="AE524" s="206"/>
      <c r="AF524" s="206"/>
    </row>
    <row r="525" spans="1:32" x14ac:dyDescent="0.2">
      <c r="A525" s="206"/>
      <c r="B525" s="206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  <c r="AA525" s="206"/>
      <c r="AB525" s="206"/>
      <c r="AC525" s="206"/>
      <c r="AD525" s="206"/>
      <c r="AE525" s="206"/>
      <c r="AF525" s="206"/>
    </row>
    <row r="526" spans="1:32" x14ac:dyDescent="0.2">
      <c r="A526" s="206"/>
      <c r="B526" s="206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  <c r="AA526" s="206"/>
      <c r="AB526" s="206"/>
      <c r="AC526" s="206"/>
      <c r="AD526" s="206"/>
      <c r="AE526" s="206"/>
      <c r="AF526" s="206"/>
    </row>
    <row r="527" spans="1:32" x14ac:dyDescent="0.2">
      <c r="A527" s="206"/>
      <c r="B527" s="206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  <c r="AA527" s="206"/>
      <c r="AB527" s="206"/>
      <c r="AC527" s="206"/>
      <c r="AD527" s="206"/>
      <c r="AE527" s="206"/>
      <c r="AF527" s="206"/>
    </row>
    <row r="528" spans="1:32" x14ac:dyDescent="0.2">
      <c r="A528" s="206"/>
      <c r="B528" s="206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  <c r="AA528" s="206"/>
      <c r="AB528" s="206"/>
      <c r="AC528" s="206"/>
      <c r="AD528" s="206"/>
      <c r="AE528" s="206"/>
      <c r="AF528" s="206"/>
    </row>
    <row r="529" spans="1:32" x14ac:dyDescent="0.2">
      <c r="A529" s="206"/>
      <c r="B529" s="206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  <c r="AA529" s="206"/>
      <c r="AB529" s="206"/>
      <c r="AC529" s="206"/>
      <c r="AD529" s="206"/>
      <c r="AE529" s="206"/>
      <c r="AF529" s="206"/>
    </row>
    <row r="530" spans="1:32" x14ac:dyDescent="0.2">
      <c r="A530" s="206"/>
      <c r="B530" s="206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  <c r="AA530" s="206"/>
      <c r="AB530" s="206"/>
      <c r="AC530" s="206"/>
      <c r="AD530" s="206"/>
      <c r="AE530" s="206"/>
      <c r="AF530" s="206"/>
    </row>
    <row r="531" spans="1:32" x14ac:dyDescent="0.2">
      <c r="A531" s="206"/>
      <c r="B531" s="206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  <c r="AA531" s="206"/>
      <c r="AB531" s="206"/>
      <c r="AC531" s="206"/>
      <c r="AD531" s="206"/>
      <c r="AE531" s="206"/>
      <c r="AF531" s="206"/>
    </row>
    <row r="532" spans="1:32" x14ac:dyDescent="0.2">
      <c r="A532" s="206"/>
      <c r="B532" s="206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  <c r="AA532" s="206"/>
      <c r="AB532" s="206"/>
      <c r="AC532" s="206"/>
      <c r="AD532" s="206"/>
      <c r="AE532" s="206"/>
      <c r="AF532" s="206"/>
    </row>
    <row r="533" spans="1:32" x14ac:dyDescent="0.2">
      <c r="A533" s="206"/>
      <c r="B533" s="206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  <c r="AA533" s="206"/>
      <c r="AB533" s="206"/>
      <c r="AC533" s="206"/>
      <c r="AD533" s="206"/>
      <c r="AE533" s="206"/>
      <c r="AF533" s="206"/>
    </row>
    <row r="534" spans="1:32" x14ac:dyDescent="0.2">
      <c r="A534" s="206"/>
      <c r="B534" s="206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  <c r="AA534" s="206"/>
      <c r="AB534" s="206"/>
      <c r="AC534" s="206"/>
      <c r="AD534" s="206"/>
      <c r="AE534" s="206"/>
      <c r="AF534" s="206"/>
    </row>
    <row r="535" spans="1:32" x14ac:dyDescent="0.2">
      <c r="A535" s="206"/>
      <c r="B535" s="206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  <c r="AA535" s="206"/>
      <c r="AB535" s="206"/>
      <c r="AC535" s="206"/>
      <c r="AD535" s="206"/>
      <c r="AE535" s="206"/>
      <c r="AF535" s="206"/>
    </row>
    <row r="536" spans="1:32" x14ac:dyDescent="0.2">
      <c r="A536" s="206"/>
      <c r="B536" s="206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  <c r="AA536" s="206"/>
      <c r="AB536" s="206"/>
      <c r="AC536" s="206"/>
      <c r="AD536" s="206"/>
      <c r="AE536" s="206"/>
      <c r="AF536" s="206"/>
    </row>
    <row r="537" spans="1:32" x14ac:dyDescent="0.2">
      <c r="A537" s="206"/>
      <c r="B537" s="206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  <c r="AA537" s="206"/>
      <c r="AB537" s="206"/>
      <c r="AC537" s="206"/>
      <c r="AD537" s="206"/>
      <c r="AE537" s="206"/>
      <c r="AF537" s="206"/>
    </row>
    <row r="538" spans="1:32" x14ac:dyDescent="0.2">
      <c r="A538" s="206"/>
      <c r="B538" s="206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  <c r="AA538" s="206"/>
      <c r="AB538" s="206"/>
      <c r="AC538" s="206"/>
      <c r="AD538" s="206"/>
      <c r="AE538" s="206"/>
      <c r="AF538" s="206"/>
    </row>
    <row r="539" spans="1:32" x14ac:dyDescent="0.2">
      <c r="A539" s="206"/>
      <c r="B539" s="206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  <c r="AA539" s="206"/>
      <c r="AB539" s="206"/>
      <c r="AC539" s="206"/>
      <c r="AD539" s="206"/>
      <c r="AE539" s="206"/>
      <c r="AF539" s="206"/>
    </row>
    <row r="540" spans="1:32" x14ac:dyDescent="0.2">
      <c r="A540" s="206"/>
      <c r="B540" s="206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  <c r="AA540" s="206"/>
      <c r="AB540" s="206"/>
      <c r="AC540" s="206"/>
      <c r="AD540" s="206"/>
      <c r="AE540" s="206"/>
      <c r="AF540" s="206"/>
    </row>
    <row r="541" spans="1:32" x14ac:dyDescent="0.2">
      <c r="A541" s="206"/>
      <c r="B541" s="206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  <c r="AA541" s="206"/>
      <c r="AB541" s="206"/>
      <c r="AC541" s="206"/>
      <c r="AD541" s="206"/>
      <c r="AE541" s="206"/>
      <c r="AF541" s="206"/>
    </row>
    <row r="542" spans="1:32" x14ac:dyDescent="0.2">
      <c r="A542" s="206"/>
      <c r="B542" s="206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  <c r="AA542" s="206"/>
      <c r="AB542" s="206"/>
      <c r="AC542" s="206"/>
      <c r="AD542" s="206"/>
      <c r="AE542" s="206"/>
      <c r="AF542" s="206"/>
    </row>
    <row r="543" spans="1:32" x14ac:dyDescent="0.2">
      <c r="A543" s="206"/>
      <c r="B543" s="206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  <c r="AA543" s="206"/>
      <c r="AB543" s="206"/>
      <c r="AC543" s="206"/>
      <c r="AD543" s="206"/>
      <c r="AE543" s="206"/>
      <c r="AF543" s="206"/>
    </row>
    <row r="544" spans="1:32" x14ac:dyDescent="0.2">
      <c r="A544" s="206"/>
      <c r="B544" s="206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  <c r="AA544" s="206"/>
      <c r="AB544" s="206"/>
      <c r="AC544" s="206"/>
      <c r="AD544" s="206"/>
      <c r="AE544" s="206"/>
      <c r="AF544" s="206"/>
    </row>
    <row r="545" spans="1:32" x14ac:dyDescent="0.2">
      <c r="A545" s="206"/>
      <c r="B545" s="206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  <c r="AA545" s="206"/>
      <c r="AB545" s="206"/>
      <c r="AC545" s="206"/>
      <c r="AD545" s="206"/>
      <c r="AE545" s="206"/>
      <c r="AF545" s="206"/>
    </row>
    <row r="546" spans="1:32" x14ac:dyDescent="0.2">
      <c r="A546" s="206"/>
      <c r="B546" s="206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  <c r="AA546" s="206"/>
      <c r="AB546" s="206"/>
      <c r="AC546" s="206"/>
      <c r="AD546" s="206"/>
      <c r="AE546" s="206"/>
      <c r="AF546" s="206"/>
    </row>
    <row r="547" spans="1:32" x14ac:dyDescent="0.2">
      <c r="A547" s="206"/>
      <c r="B547" s="206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  <c r="AA547" s="206"/>
      <c r="AB547" s="206"/>
      <c r="AC547" s="206"/>
      <c r="AD547" s="206"/>
      <c r="AE547" s="206"/>
      <c r="AF547" s="206"/>
    </row>
    <row r="548" spans="1:32" x14ac:dyDescent="0.2">
      <c r="A548" s="206"/>
      <c r="B548" s="206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  <c r="AA548" s="206"/>
      <c r="AB548" s="206"/>
      <c r="AC548" s="206"/>
      <c r="AD548" s="206"/>
      <c r="AE548" s="206"/>
      <c r="AF548" s="206"/>
    </row>
    <row r="549" spans="1:32" x14ac:dyDescent="0.2">
      <c r="A549" s="206"/>
      <c r="B549" s="206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  <c r="AA549" s="206"/>
      <c r="AB549" s="206"/>
      <c r="AC549" s="206"/>
      <c r="AD549" s="206"/>
      <c r="AE549" s="206"/>
      <c r="AF549" s="206"/>
    </row>
    <row r="550" spans="1:32" x14ac:dyDescent="0.2">
      <c r="A550" s="206"/>
      <c r="B550" s="206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  <c r="AA550" s="206"/>
      <c r="AB550" s="206"/>
      <c r="AC550" s="206"/>
      <c r="AD550" s="206"/>
      <c r="AE550" s="206"/>
      <c r="AF550" s="206"/>
    </row>
    <row r="551" spans="1:32" x14ac:dyDescent="0.2">
      <c r="A551" s="206"/>
      <c r="B551" s="206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  <c r="AA551" s="206"/>
      <c r="AB551" s="206"/>
      <c r="AC551" s="206"/>
      <c r="AD551" s="206"/>
      <c r="AE551" s="206"/>
      <c r="AF551" s="206"/>
    </row>
    <row r="552" spans="1:32" x14ac:dyDescent="0.2">
      <c r="A552" s="206"/>
      <c r="B552" s="206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  <c r="AA552" s="206"/>
      <c r="AB552" s="206"/>
      <c r="AC552" s="206"/>
      <c r="AD552" s="206"/>
      <c r="AE552" s="206"/>
      <c r="AF552" s="206"/>
    </row>
    <row r="553" spans="1:32" x14ac:dyDescent="0.2">
      <c r="A553" s="206"/>
      <c r="B553" s="206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  <c r="AA553" s="206"/>
      <c r="AB553" s="206"/>
      <c r="AC553" s="206"/>
      <c r="AD553" s="206"/>
      <c r="AE553" s="206"/>
      <c r="AF553" s="206"/>
    </row>
    <row r="554" spans="1:32" x14ac:dyDescent="0.2">
      <c r="A554" s="206"/>
      <c r="B554" s="206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  <c r="AA554" s="206"/>
      <c r="AB554" s="206"/>
      <c r="AC554" s="206"/>
      <c r="AD554" s="206"/>
      <c r="AE554" s="206"/>
      <c r="AF554" s="206"/>
    </row>
    <row r="555" spans="1:32" x14ac:dyDescent="0.2">
      <c r="A555" s="206"/>
      <c r="B555" s="206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  <c r="AA555" s="206"/>
      <c r="AB555" s="206"/>
      <c r="AC555" s="206"/>
      <c r="AD555" s="206"/>
      <c r="AE555" s="206"/>
      <c r="AF555" s="206"/>
    </row>
    <row r="556" spans="1:32" x14ac:dyDescent="0.2">
      <c r="A556" s="206"/>
      <c r="B556" s="206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  <c r="AA556" s="206"/>
      <c r="AB556" s="206"/>
      <c r="AC556" s="206"/>
      <c r="AD556" s="206"/>
      <c r="AE556" s="206"/>
      <c r="AF556" s="206"/>
    </row>
    <row r="557" spans="1:32" x14ac:dyDescent="0.2">
      <c r="A557" s="206"/>
      <c r="B557" s="206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  <c r="AA557" s="206"/>
      <c r="AB557" s="206"/>
      <c r="AC557" s="206"/>
      <c r="AD557" s="206"/>
      <c r="AE557" s="206"/>
      <c r="AF557" s="206"/>
    </row>
    <row r="558" spans="1:32" x14ac:dyDescent="0.2">
      <c r="A558" s="206"/>
      <c r="B558" s="206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  <c r="AA558" s="206"/>
      <c r="AB558" s="206"/>
      <c r="AC558" s="206"/>
      <c r="AD558" s="206"/>
      <c r="AE558" s="206"/>
      <c r="AF558" s="206"/>
    </row>
    <row r="559" spans="1:32" x14ac:dyDescent="0.2">
      <c r="A559" s="206"/>
      <c r="B559" s="206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  <c r="AA559" s="206"/>
      <c r="AB559" s="206"/>
      <c r="AC559" s="206"/>
      <c r="AD559" s="206"/>
      <c r="AE559" s="206"/>
      <c r="AF559" s="206"/>
    </row>
    <row r="560" spans="1:32" x14ac:dyDescent="0.2">
      <c r="A560" s="206"/>
      <c r="B560" s="206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  <c r="AA560" s="206"/>
      <c r="AB560" s="206"/>
      <c r="AC560" s="206"/>
      <c r="AD560" s="206"/>
      <c r="AE560" s="206"/>
      <c r="AF560" s="206"/>
    </row>
    <row r="561" spans="1:32" x14ac:dyDescent="0.2">
      <c r="A561" s="206"/>
      <c r="B561" s="206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  <c r="AA561" s="206"/>
      <c r="AB561" s="206"/>
      <c r="AC561" s="206"/>
      <c r="AD561" s="206"/>
      <c r="AE561" s="206"/>
      <c r="AF561" s="206"/>
    </row>
    <row r="562" spans="1:32" x14ac:dyDescent="0.2">
      <c r="A562" s="206"/>
      <c r="B562" s="206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  <c r="AA562" s="206"/>
      <c r="AB562" s="206"/>
      <c r="AC562" s="206"/>
      <c r="AD562" s="206"/>
      <c r="AE562" s="206"/>
      <c r="AF562" s="206"/>
    </row>
    <row r="563" spans="1:32" x14ac:dyDescent="0.2">
      <c r="A563" s="206"/>
      <c r="B563" s="206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  <c r="AA563" s="206"/>
      <c r="AB563" s="206"/>
      <c r="AC563" s="206"/>
      <c r="AD563" s="206"/>
      <c r="AE563" s="206"/>
      <c r="AF563" s="206"/>
    </row>
    <row r="564" spans="1:32" x14ac:dyDescent="0.2">
      <c r="A564" s="206"/>
      <c r="B564" s="206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  <c r="AA564" s="206"/>
      <c r="AB564" s="206"/>
      <c r="AC564" s="206"/>
      <c r="AD564" s="206"/>
      <c r="AE564" s="206"/>
      <c r="AF564" s="206"/>
    </row>
    <row r="565" spans="1:32" x14ac:dyDescent="0.2">
      <c r="A565" s="206"/>
      <c r="B565" s="206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  <c r="AA565" s="206"/>
      <c r="AB565" s="206"/>
      <c r="AC565" s="206"/>
      <c r="AD565" s="206"/>
      <c r="AE565" s="206"/>
      <c r="AF565" s="206"/>
    </row>
    <row r="566" spans="1:32" x14ac:dyDescent="0.2">
      <c r="A566" s="206"/>
      <c r="B566" s="206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  <c r="AA566" s="206"/>
      <c r="AB566" s="206"/>
      <c r="AC566" s="206"/>
      <c r="AD566" s="206"/>
      <c r="AE566" s="206"/>
      <c r="AF566" s="206"/>
    </row>
    <row r="567" spans="1:32" x14ac:dyDescent="0.2">
      <c r="A567" s="206"/>
      <c r="B567" s="20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  <c r="AA567" s="206"/>
      <c r="AB567" s="206"/>
      <c r="AC567" s="206"/>
      <c r="AD567" s="206"/>
      <c r="AE567" s="206"/>
      <c r="AF567" s="206"/>
    </row>
    <row r="568" spans="1:32" x14ac:dyDescent="0.2">
      <c r="A568" s="206"/>
      <c r="B568" s="206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  <c r="AA568" s="206"/>
      <c r="AB568" s="206"/>
      <c r="AC568" s="206"/>
      <c r="AD568" s="206"/>
      <c r="AE568" s="206"/>
      <c r="AF568" s="206"/>
    </row>
    <row r="569" spans="1:32" x14ac:dyDescent="0.2">
      <c r="A569" s="206"/>
      <c r="B569" s="206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  <c r="AA569" s="206"/>
      <c r="AB569" s="206"/>
      <c r="AC569" s="206"/>
      <c r="AD569" s="206"/>
      <c r="AE569" s="206"/>
      <c r="AF569" s="206"/>
    </row>
    <row r="570" spans="1:32" x14ac:dyDescent="0.2">
      <c r="A570" s="206"/>
      <c r="B570" s="206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  <c r="AA570" s="206"/>
      <c r="AB570" s="206"/>
      <c r="AC570" s="206"/>
      <c r="AD570" s="206"/>
      <c r="AE570" s="206"/>
      <c r="AF570" s="206"/>
    </row>
    <row r="571" spans="1:32" x14ac:dyDescent="0.2">
      <c r="A571" s="206"/>
      <c r="B571" s="20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  <c r="AA571" s="206"/>
      <c r="AB571" s="206"/>
      <c r="AC571" s="206"/>
      <c r="AD571" s="206"/>
      <c r="AE571" s="206"/>
      <c r="AF571" s="206"/>
    </row>
    <row r="572" spans="1:32" x14ac:dyDescent="0.2">
      <c r="A572" s="206"/>
      <c r="B572" s="206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  <c r="AA572" s="206"/>
      <c r="AB572" s="206"/>
      <c r="AC572" s="206"/>
      <c r="AD572" s="206"/>
      <c r="AE572" s="206"/>
      <c r="AF572" s="206"/>
    </row>
    <row r="573" spans="1:32" x14ac:dyDescent="0.2">
      <c r="A573" s="206"/>
      <c r="B573" s="206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  <c r="AA573" s="206"/>
      <c r="AB573" s="206"/>
      <c r="AC573" s="206"/>
      <c r="AD573" s="206"/>
      <c r="AE573" s="206"/>
      <c r="AF573" s="206"/>
    </row>
    <row r="574" spans="1:32" x14ac:dyDescent="0.2">
      <c r="A574" s="206"/>
      <c r="B574" s="206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  <c r="AA574" s="206"/>
      <c r="AB574" s="206"/>
      <c r="AC574" s="206"/>
      <c r="AD574" s="206"/>
      <c r="AE574" s="206"/>
      <c r="AF574" s="206"/>
    </row>
    <row r="575" spans="1:32" x14ac:dyDescent="0.2">
      <c r="A575" s="206"/>
      <c r="B575" s="206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  <c r="AA575" s="206"/>
      <c r="AB575" s="206"/>
      <c r="AC575" s="206"/>
      <c r="AD575" s="206"/>
      <c r="AE575" s="206"/>
      <c r="AF575" s="206"/>
    </row>
    <row r="576" spans="1:32" x14ac:dyDescent="0.2">
      <c r="A576" s="206"/>
      <c r="B576" s="206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  <c r="AA576" s="206"/>
      <c r="AB576" s="206"/>
      <c r="AC576" s="206"/>
      <c r="AD576" s="206"/>
      <c r="AE576" s="206"/>
      <c r="AF576" s="206"/>
    </row>
    <row r="577" spans="1:32" x14ac:dyDescent="0.2">
      <c r="A577" s="206"/>
      <c r="B577" s="206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  <c r="AA577" s="206"/>
      <c r="AB577" s="206"/>
      <c r="AC577" s="206"/>
      <c r="AD577" s="206"/>
      <c r="AE577" s="206"/>
      <c r="AF577" s="206"/>
    </row>
    <row r="578" spans="1:32" x14ac:dyDescent="0.2">
      <c r="A578" s="206"/>
      <c r="B578" s="206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  <c r="AA578" s="206"/>
      <c r="AB578" s="206"/>
      <c r="AC578" s="206"/>
      <c r="AD578" s="206"/>
      <c r="AE578" s="206"/>
      <c r="AF578" s="206"/>
    </row>
    <row r="579" spans="1:32" x14ac:dyDescent="0.2">
      <c r="A579" s="206"/>
      <c r="B579" s="206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  <c r="AA579" s="206"/>
      <c r="AB579" s="206"/>
      <c r="AC579" s="206"/>
      <c r="AD579" s="206"/>
      <c r="AE579" s="206"/>
      <c r="AF579" s="206"/>
    </row>
    <row r="580" spans="1:32" x14ac:dyDescent="0.2">
      <c r="A580" s="206"/>
      <c r="B580" s="206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  <c r="AA580" s="206"/>
      <c r="AB580" s="206"/>
      <c r="AC580" s="206"/>
      <c r="AD580" s="206"/>
      <c r="AE580" s="206"/>
      <c r="AF580" s="206"/>
    </row>
    <row r="581" spans="1:32" x14ac:dyDescent="0.2">
      <c r="A581" s="206"/>
      <c r="B581" s="206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  <c r="AA581" s="206"/>
      <c r="AB581" s="206"/>
      <c r="AC581" s="206"/>
      <c r="AD581" s="206"/>
      <c r="AE581" s="206"/>
      <c r="AF581" s="206"/>
    </row>
    <row r="582" spans="1:32" x14ac:dyDescent="0.2">
      <c r="A582" s="206"/>
      <c r="B582" s="206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  <c r="AA582" s="206"/>
      <c r="AB582" s="206"/>
      <c r="AC582" s="206"/>
      <c r="AD582" s="206"/>
      <c r="AE582" s="206"/>
      <c r="AF582" s="206"/>
    </row>
    <row r="583" spans="1:32" x14ac:dyDescent="0.2">
      <c r="A583" s="206"/>
      <c r="B583" s="206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  <c r="AA583" s="206"/>
      <c r="AB583" s="206"/>
      <c r="AC583" s="206"/>
      <c r="AD583" s="206"/>
      <c r="AE583" s="206"/>
      <c r="AF583" s="206"/>
    </row>
    <row r="584" spans="1:32" x14ac:dyDescent="0.2">
      <c r="A584" s="206"/>
      <c r="B584" s="206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  <c r="AA584" s="206"/>
      <c r="AB584" s="206"/>
      <c r="AC584" s="206"/>
      <c r="AD584" s="206"/>
      <c r="AE584" s="206"/>
      <c r="AF584" s="206"/>
    </row>
    <row r="585" spans="1:32" x14ac:dyDescent="0.2">
      <c r="A585" s="206"/>
      <c r="B585" s="206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  <c r="AA585" s="206"/>
      <c r="AB585" s="206"/>
      <c r="AC585" s="206"/>
      <c r="AD585" s="206"/>
      <c r="AE585" s="206"/>
      <c r="AF585" s="206"/>
    </row>
    <row r="586" spans="1:32" x14ac:dyDescent="0.2">
      <c r="A586" s="206"/>
      <c r="B586" s="206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  <c r="AA586" s="206"/>
      <c r="AB586" s="206"/>
      <c r="AC586" s="206"/>
      <c r="AD586" s="206"/>
      <c r="AE586" s="206"/>
      <c r="AF586" s="206"/>
    </row>
    <row r="587" spans="1:32" x14ac:dyDescent="0.2">
      <c r="A587" s="206"/>
      <c r="B587" s="206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  <c r="AA587" s="206"/>
      <c r="AB587" s="206"/>
      <c r="AC587" s="206"/>
      <c r="AD587" s="206"/>
      <c r="AE587" s="206"/>
      <c r="AF587" s="206"/>
    </row>
    <row r="588" spans="1:32" x14ac:dyDescent="0.2">
      <c r="A588" s="206"/>
      <c r="B588" s="206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  <c r="AA588" s="206"/>
      <c r="AB588" s="206"/>
      <c r="AC588" s="206"/>
      <c r="AD588" s="206"/>
      <c r="AE588" s="206"/>
      <c r="AF588" s="206"/>
    </row>
    <row r="589" spans="1:32" x14ac:dyDescent="0.2">
      <c r="A589" s="206"/>
      <c r="B589" s="206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  <c r="AA589" s="206"/>
      <c r="AB589" s="206"/>
      <c r="AC589" s="206"/>
      <c r="AD589" s="206"/>
      <c r="AE589" s="206"/>
      <c r="AF589" s="206"/>
    </row>
    <row r="590" spans="1:32" x14ac:dyDescent="0.2">
      <c r="A590" s="206"/>
      <c r="B590" s="206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  <c r="AA590" s="206"/>
      <c r="AB590" s="206"/>
      <c r="AC590" s="206"/>
      <c r="AD590" s="206"/>
      <c r="AE590" s="206"/>
      <c r="AF590" s="206"/>
    </row>
    <row r="591" spans="1:32" x14ac:dyDescent="0.2">
      <c r="A591" s="206"/>
      <c r="B591" s="206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  <c r="AA591" s="206"/>
      <c r="AB591" s="206"/>
      <c r="AC591" s="206"/>
      <c r="AD591" s="206"/>
      <c r="AE591" s="206"/>
      <c r="AF591" s="206"/>
    </row>
    <row r="592" spans="1:32" x14ac:dyDescent="0.2">
      <c r="A592" s="206"/>
      <c r="B592" s="206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  <c r="AA592" s="206"/>
      <c r="AB592" s="206"/>
      <c r="AC592" s="206"/>
      <c r="AD592" s="206"/>
      <c r="AE592" s="206"/>
      <c r="AF592" s="206"/>
    </row>
    <row r="593" spans="1:32" x14ac:dyDescent="0.2">
      <c r="A593" s="206"/>
      <c r="B593" s="206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  <c r="AA593" s="206"/>
      <c r="AB593" s="206"/>
      <c r="AC593" s="206"/>
      <c r="AD593" s="206"/>
      <c r="AE593" s="206"/>
      <c r="AF593" s="206"/>
    </row>
    <row r="594" spans="1:32" x14ac:dyDescent="0.2">
      <c r="A594" s="206"/>
      <c r="B594" s="206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  <c r="AA594" s="206"/>
      <c r="AB594" s="206"/>
      <c r="AC594" s="206"/>
      <c r="AD594" s="206"/>
      <c r="AE594" s="206"/>
      <c r="AF594" s="206"/>
    </row>
    <row r="595" spans="1:32" x14ac:dyDescent="0.2">
      <c r="A595" s="206"/>
      <c r="B595" s="206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  <c r="AA595" s="206"/>
      <c r="AB595" s="206"/>
      <c r="AC595" s="206"/>
      <c r="AD595" s="206"/>
      <c r="AE595" s="206"/>
      <c r="AF595" s="206"/>
    </row>
    <row r="596" spans="1:32" x14ac:dyDescent="0.2">
      <c r="A596" s="206"/>
      <c r="B596" s="206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  <c r="AA596" s="206"/>
      <c r="AB596" s="206"/>
      <c r="AC596" s="206"/>
      <c r="AD596" s="206"/>
      <c r="AE596" s="206"/>
      <c r="AF596" s="206"/>
    </row>
    <row r="597" spans="1:32" x14ac:dyDescent="0.2">
      <c r="A597" s="206"/>
      <c r="B597" s="206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  <c r="AA597" s="206"/>
      <c r="AB597" s="206"/>
      <c r="AC597" s="206"/>
      <c r="AD597" s="206"/>
      <c r="AE597" s="206"/>
      <c r="AF597" s="206"/>
    </row>
    <row r="598" spans="1:32" x14ac:dyDescent="0.2">
      <c r="A598" s="206"/>
      <c r="B598" s="206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  <c r="AA598" s="206"/>
      <c r="AB598" s="206"/>
      <c r="AC598" s="206"/>
      <c r="AD598" s="206"/>
      <c r="AE598" s="206"/>
      <c r="AF598" s="206"/>
    </row>
    <row r="599" spans="1:32" x14ac:dyDescent="0.2">
      <c r="A599" s="206"/>
      <c r="B599" s="206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  <c r="AA599" s="206"/>
      <c r="AB599" s="206"/>
      <c r="AC599" s="206"/>
      <c r="AD599" s="206"/>
      <c r="AE599" s="206"/>
      <c r="AF599" s="206"/>
    </row>
    <row r="600" spans="1:32" x14ac:dyDescent="0.2">
      <c r="A600" s="206"/>
      <c r="B600" s="206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  <c r="AA600" s="206"/>
      <c r="AB600" s="206"/>
      <c r="AC600" s="206"/>
      <c r="AD600" s="206"/>
      <c r="AE600" s="206"/>
      <c r="AF600" s="206"/>
    </row>
    <row r="601" spans="1:32" x14ac:dyDescent="0.2">
      <c r="A601" s="206"/>
      <c r="B601" s="206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  <c r="AA601" s="206"/>
      <c r="AB601" s="206"/>
      <c r="AC601" s="206"/>
      <c r="AD601" s="206"/>
      <c r="AE601" s="206"/>
      <c r="AF601" s="206"/>
    </row>
    <row r="602" spans="1:32" x14ac:dyDescent="0.2">
      <c r="A602" s="206"/>
      <c r="B602" s="206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  <c r="AA602" s="206"/>
      <c r="AB602" s="206"/>
      <c r="AC602" s="206"/>
      <c r="AD602" s="206"/>
      <c r="AE602" s="206"/>
      <c r="AF602" s="206"/>
    </row>
    <row r="603" spans="1:32" x14ac:dyDescent="0.2">
      <c r="A603" s="206"/>
      <c r="B603" s="206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  <c r="AA603" s="206"/>
      <c r="AB603" s="206"/>
      <c r="AC603" s="206"/>
      <c r="AD603" s="206"/>
      <c r="AE603" s="206"/>
      <c r="AF603" s="206"/>
    </row>
    <row r="604" spans="1:32" x14ac:dyDescent="0.2">
      <c r="A604" s="206"/>
      <c r="B604" s="206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  <c r="AA604" s="206"/>
      <c r="AB604" s="206"/>
      <c r="AC604" s="206"/>
      <c r="AD604" s="206"/>
      <c r="AE604" s="206"/>
      <c r="AF604" s="206"/>
    </row>
    <row r="605" spans="1:32" x14ac:dyDescent="0.2">
      <c r="A605" s="206"/>
      <c r="B605" s="206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  <c r="AA605" s="206"/>
      <c r="AB605" s="206"/>
      <c r="AC605" s="206"/>
      <c r="AD605" s="206"/>
      <c r="AE605" s="206"/>
      <c r="AF605" s="206"/>
    </row>
    <row r="606" spans="1:32" x14ac:dyDescent="0.2">
      <c r="A606" s="206"/>
      <c r="B606" s="206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  <c r="AA606" s="206"/>
      <c r="AB606" s="206"/>
      <c r="AC606" s="206"/>
      <c r="AD606" s="206"/>
      <c r="AE606" s="206"/>
      <c r="AF606" s="206"/>
    </row>
    <row r="607" spans="1:32" x14ac:dyDescent="0.2">
      <c r="A607" s="206"/>
      <c r="B607" s="206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  <c r="AA607" s="206"/>
      <c r="AB607" s="206"/>
      <c r="AC607" s="206"/>
      <c r="AD607" s="206"/>
      <c r="AE607" s="206"/>
      <c r="AF607" s="206"/>
    </row>
    <row r="608" spans="1:32" x14ac:dyDescent="0.2">
      <c r="A608" s="206"/>
      <c r="B608" s="206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  <c r="AA608" s="206"/>
      <c r="AB608" s="206"/>
      <c r="AC608" s="206"/>
      <c r="AD608" s="206"/>
      <c r="AE608" s="206"/>
      <c r="AF608" s="206"/>
    </row>
    <row r="609" spans="1:32" x14ac:dyDescent="0.2">
      <c r="A609" s="206"/>
      <c r="B609" s="206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  <c r="AA609" s="206"/>
      <c r="AB609" s="206"/>
      <c r="AC609" s="206"/>
      <c r="AD609" s="206"/>
      <c r="AE609" s="206"/>
      <c r="AF609" s="206"/>
    </row>
    <row r="610" spans="1:32" x14ac:dyDescent="0.2">
      <c r="A610" s="206"/>
      <c r="B610" s="206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  <c r="AA610" s="206"/>
      <c r="AB610" s="206"/>
      <c r="AC610" s="206"/>
      <c r="AD610" s="206"/>
      <c r="AE610" s="206"/>
      <c r="AF610" s="206"/>
    </row>
    <row r="611" spans="1:32" x14ac:dyDescent="0.2">
      <c r="A611" s="206"/>
      <c r="B611" s="206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  <c r="AA611" s="206"/>
      <c r="AB611" s="206"/>
      <c r="AC611" s="206"/>
      <c r="AD611" s="206"/>
      <c r="AE611" s="206"/>
      <c r="AF611" s="206"/>
    </row>
    <row r="612" spans="1:32" x14ac:dyDescent="0.2">
      <c r="A612" s="206"/>
      <c r="B612" s="206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  <c r="AA612" s="206"/>
      <c r="AB612" s="206"/>
      <c r="AC612" s="206"/>
      <c r="AD612" s="206"/>
      <c r="AE612" s="206"/>
      <c r="AF612" s="206"/>
    </row>
    <row r="613" spans="1:32" x14ac:dyDescent="0.2">
      <c r="A613" s="206"/>
      <c r="B613" s="206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  <c r="AA613" s="206"/>
      <c r="AB613" s="206"/>
      <c r="AC613" s="206"/>
      <c r="AD613" s="206"/>
      <c r="AE613" s="206"/>
      <c r="AF613" s="206"/>
    </row>
    <row r="614" spans="1:32" x14ac:dyDescent="0.2">
      <c r="A614" s="206"/>
      <c r="B614" s="206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  <c r="AA614" s="206"/>
      <c r="AB614" s="206"/>
      <c r="AC614" s="206"/>
      <c r="AD614" s="206"/>
      <c r="AE614" s="206"/>
      <c r="AF614" s="206"/>
    </row>
    <row r="615" spans="1:32" x14ac:dyDescent="0.2">
      <c r="A615" s="206"/>
      <c r="B615" s="206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  <c r="AA615" s="206"/>
      <c r="AB615" s="206"/>
      <c r="AC615" s="206"/>
      <c r="AD615" s="206"/>
      <c r="AE615" s="206"/>
      <c r="AF615" s="206"/>
    </row>
    <row r="616" spans="1:32" x14ac:dyDescent="0.2">
      <c r="A616" s="206"/>
      <c r="B616" s="206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  <c r="AA616" s="206"/>
      <c r="AB616" s="206"/>
      <c r="AC616" s="206"/>
      <c r="AD616" s="206"/>
      <c r="AE616" s="206"/>
      <c r="AF616" s="206"/>
    </row>
    <row r="617" spans="1:32" x14ac:dyDescent="0.2">
      <c r="A617" s="206"/>
      <c r="B617" s="206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  <c r="AA617" s="206"/>
      <c r="AB617" s="206"/>
      <c r="AC617" s="206"/>
      <c r="AD617" s="206"/>
      <c r="AE617" s="206"/>
      <c r="AF617" s="206"/>
    </row>
    <row r="618" spans="1:32" x14ac:dyDescent="0.2">
      <c r="A618" s="206"/>
      <c r="B618" s="206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  <c r="AA618" s="206"/>
      <c r="AB618" s="206"/>
      <c r="AC618" s="206"/>
      <c r="AD618" s="206"/>
      <c r="AE618" s="206"/>
      <c r="AF618" s="206"/>
    </row>
    <row r="619" spans="1:32" x14ac:dyDescent="0.2">
      <c r="A619" s="206"/>
      <c r="B619" s="206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  <c r="AA619" s="206"/>
      <c r="AB619" s="206"/>
      <c r="AC619" s="206"/>
      <c r="AD619" s="206"/>
      <c r="AE619" s="206"/>
      <c r="AF619" s="206"/>
    </row>
    <row r="620" spans="1:32" x14ac:dyDescent="0.2">
      <c r="A620" s="206"/>
      <c r="B620" s="206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  <c r="AA620" s="206"/>
      <c r="AB620" s="206"/>
      <c r="AC620" s="206"/>
      <c r="AD620" s="206"/>
      <c r="AE620" s="206"/>
      <c r="AF620" s="206"/>
    </row>
    <row r="621" spans="1:32" x14ac:dyDescent="0.2">
      <c r="A621" s="206"/>
      <c r="B621" s="206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  <c r="AA621" s="206"/>
      <c r="AB621" s="206"/>
      <c r="AC621" s="206"/>
      <c r="AD621" s="206"/>
      <c r="AE621" s="206"/>
      <c r="AF621" s="206"/>
    </row>
    <row r="622" spans="1:32" x14ac:dyDescent="0.2">
      <c r="A622" s="206"/>
      <c r="B622" s="206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  <c r="AA622" s="206"/>
      <c r="AB622" s="206"/>
      <c r="AC622" s="206"/>
      <c r="AD622" s="206"/>
      <c r="AE622" s="206"/>
      <c r="AF622" s="206"/>
    </row>
    <row r="623" spans="1:32" x14ac:dyDescent="0.2">
      <c r="A623" s="206"/>
      <c r="B623" s="206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  <c r="AA623" s="206"/>
      <c r="AB623" s="206"/>
      <c r="AC623" s="206"/>
      <c r="AD623" s="206"/>
      <c r="AE623" s="206"/>
      <c r="AF623" s="206"/>
    </row>
    <row r="624" spans="1:32" x14ac:dyDescent="0.2">
      <c r="A624" s="206"/>
      <c r="B624" s="206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  <c r="AA624" s="206"/>
      <c r="AB624" s="206"/>
      <c r="AC624" s="206"/>
      <c r="AD624" s="206"/>
      <c r="AE624" s="206"/>
      <c r="AF624" s="206"/>
    </row>
    <row r="625" spans="1:32" x14ac:dyDescent="0.2">
      <c r="A625" s="206"/>
      <c r="B625" s="206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  <c r="AA625" s="206"/>
      <c r="AB625" s="206"/>
      <c r="AC625" s="206"/>
      <c r="AD625" s="206"/>
      <c r="AE625" s="206"/>
      <c r="AF625" s="206"/>
    </row>
    <row r="626" spans="1:32" x14ac:dyDescent="0.2">
      <c r="A626" s="206"/>
      <c r="B626" s="206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  <c r="AA626" s="206"/>
      <c r="AB626" s="206"/>
      <c r="AC626" s="206"/>
      <c r="AD626" s="206"/>
      <c r="AE626" s="206"/>
      <c r="AF626" s="206"/>
    </row>
    <row r="627" spans="1:32" x14ac:dyDescent="0.2">
      <c r="A627" s="206"/>
      <c r="B627" s="206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  <c r="AA627" s="206"/>
      <c r="AB627" s="206"/>
      <c r="AC627" s="206"/>
      <c r="AD627" s="206"/>
      <c r="AE627" s="206"/>
      <c r="AF627" s="206"/>
    </row>
    <row r="628" spans="1:32" x14ac:dyDescent="0.2">
      <c r="A628" s="206"/>
      <c r="B628" s="206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  <c r="AA628" s="206"/>
      <c r="AB628" s="206"/>
      <c r="AC628" s="206"/>
      <c r="AD628" s="206"/>
      <c r="AE628" s="206"/>
      <c r="AF628" s="206"/>
    </row>
    <row r="629" spans="1:32" x14ac:dyDescent="0.2">
      <c r="A629" s="206"/>
      <c r="B629" s="206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  <c r="AA629" s="206"/>
      <c r="AB629" s="206"/>
      <c r="AC629" s="206"/>
      <c r="AD629" s="206"/>
      <c r="AE629" s="206"/>
      <c r="AF629" s="206"/>
    </row>
    <row r="630" spans="1:32" x14ac:dyDescent="0.2">
      <c r="A630" s="206"/>
      <c r="B630" s="206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  <c r="AA630" s="206"/>
      <c r="AB630" s="206"/>
      <c r="AC630" s="206"/>
      <c r="AD630" s="206"/>
      <c r="AE630" s="206"/>
      <c r="AF630" s="206"/>
    </row>
    <row r="631" spans="1:32" x14ac:dyDescent="0.2">
      <c r="A631" s="206"/>
      <c r="B631" s="206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  <c r="AA631" s="206"/>
      <c r="AB631" s="206"/>
      <c r="AC631" s="206"/>
      <c r="AD631" s="206"/>
      <c r="AE631" s="206"/>
      <c r="AF631" s="206"/>
    </row>
    <row r="632" spans="1:32" x14ac:dyDescent="0.2">
      <c r="A632" s="206"/>
      <c r="B632" s="206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  <c r="AA632" s="206"/>
      <c r="AB632" s="206"/>
      <c r="AC632" s="206"/>
      <c r="AD632" s="206"/>
      <c r="AE632" s="206"/>
      <c r="AF632" s="206"/>
    </row>
    <row r="633" spans="1:32" x14ac:dyDescent="0.2">
      <c r="A633" s="206"/>
      <c r="B633" s="206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  <c r="AA633" s="206"/>
      <c r="AB633" s="206"/>
      <c r="AC633" s="206"/>
      <c r="AD633" s="206"/>
      <c r="AE633" s="206"/>
      <c r="AF633" s="206"/>
    </row>
    <row r="634" spans="1:32" x14ac:dyDescent="0.2">
      <c r="A634" s="206"/>
      <c r="B634" s="206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  <c r="AA634" s="206"/>
      <c r="AB634" s="206"/>
      <c r="AC634" s="206"/>
      <c r="AD634" s="206"/>
      <c r="AE634" s="206"/>
      <c r="AF634" s="206"/>
    </row>
    <row r="635" spans="1:32" x14ac:dyDescent="0.2">
      <c r="A635" s="206"/>
      <c r="B635" s="206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  <c r="AA635" s="206"/>
      <c r="AB635" s="206"/>
      <c r="AC635" s="206"/>
      <c r="AD635" s="206"/>
      <c r="AE635" s="206"/>
      <c r="AF635" s="206"/>
    </row>
    <row r="636" spans="1:32" x14ac:dyDescent="0.2">
      <c r="A636" s="206"/>
      <c r="B636" s="206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  <c r="AA636" s="206"/>
      <c r="AB636" s="206"/>
      <c r="AC636" s="206"/>
      <c r="AD636" s="206"/>
      <c r="AE636" s="206"/>
      <c r="AF636" s="206"/>
    </row>
    <row r="637" spans="1:32" x14ac:dyDescent="0.2">
      <c r="A637" s="206"/>
      <c r="B637" s="206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  <c r="AA637" s="206"/>
      <c r="AB637" s="206"/>
      <c r="AC637" s="206"/>
      <c r="AD637" s="206"/>
      <c r="AE637" s="206"/>
      <c r="AF637" s="206"/>
    </row>
    <row r="638" spans="1:32" x14ac:dyDescent="0.2">
      <c r="A638" s="206"/>
      <c r="B638" s="206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  <c r="AA638" s="206"/>
      <c r="AB638" s="206"/>
      <c r="AC638" s="206"/>
      <c r="AD638" s="206"/>
      <c r="AE638" s="206"/>
      <c r="AF638" s="206"/>
    </row>
    <row r="639" spans="1:32" x14ac:dyDescent="0.2">
      <c r="A639" s="206"/>
      <c r="B639" s="206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  <c r="AA639" s="206"/>
      <c r="AB639" s="206"/>
      <c r="AC639" s="206"/>
      <c r="AD639" s="206"/>
      <c r="AE639" s="206"/>
      <c r="AF639" s="206"/>
    </row>
    <row r="640" spans="1:32" x14ac:dyDescent="0.2">
      <c r="A640" s="206"/>
      <c r="B640" s="206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  <c r="AA640" s="206"/>
      <c r="AB640" s="206"/>
      <c r="AC640" s="206"/>
      <c r="AD640" s="206"/>
      <c r="AE640" s="206"/>
      <c r="AF640" s="206"/>
    </row>
    <row r="641" spans="1:32" x14ac:dyDescent="0.2">
      <c r="A641" s="206"/>
      <c r="B641" s="206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  <c r="AA641" s="206"/>
      <c r="AB641" s="206"/>
      <c r="AC641" s="206"/>
      <c r="AD641" s="206"/>
      <c r="AE641" s="206"/>
      <c r="AF641" s="206"/>
    </row>
    <row r="642" spans="1:32" x14ac:dyDescent="0.2">
      <c r="A642" s="206"/>
      <c r="B642" s="206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  <c r="AA642" s="206"/>
      <c r="AB642" s="206"/>
      <c r="AC642" s="206"/>
      <c r="AD642" s="206"/>
      <c r="AE642" s="206"/>
      <c r="AF642" s="206"/>
    </row>
    <row r="643" spans="1:32" x14ac:dyDescent="0.2">
      <c r="A643" s="206"/>
      <c r="B643" s="206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  <c r="AA643" s="206"/>
      <c r="AB643" s="206"/>
      <c r="AC643" s="206"/>
      <c r="AD643" s="206"/>
      <c r="AE643" s="206"/>
      <c r="AF643" s="206"/>
    </row>
    <row r="644" spans="1:32" x14ac:dyDescent="0.2">
      <c r="A644" s="206"/>
      <c r="B644" s="20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  <c r="AA644" s="206"/>
      <c r="AB644" s="206"/>
      <c r="AC644" s="206"/>
      <c r="AD644" s="206"/>
      <c r="AE644" s="206"/>
      <c r="AF644" s="206"/>
    </row>
    <row r="645" spans="1:32" x14ac:dyDescent="0.2">
      <c r="A645" s="206"/>
      <c r="B645" s="206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  <c r="AA645" s="206"/>
      <c r="AB645" s="206"/>
      <c r="AC645" s="206"/>
      <c r="AD645" s="206"/>
      <c r="AE645" s="206"/>
      <c r="AF645" s="206"/>
    </row>
    <row r="646" spans="1:32" x14ac:dyDescent="0.2">
      <c r="A646" s="206"/>
      <c r="B646" s="206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  <c r="AA646" s="206"/>
      <c r="AB646" s="206"/>
      <c r="AC646" s="206"/>
      <c r="AD646" s="206"/>
      <c r="AE646" s="206"/>
      <c r="AF646" s="206"/>
    </row>
    <row r="647" spans="1:32" x14ac:dyDescent="0.2">
      <c r="A647" s="206"/>
      <c r="B647" s="206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  <c r="AA647" s="206"/>
      <c r="AB647" s="206"/>
      <c r="AC647" s="206"/>
      <c r="AD647" s="206"/>
      <c r="AE647" s="206"/>
      <c r="AF647" s="206"/>
    </row>
    <row r="648" spans="1:32" x14ac:dyDescent="0.2">
      <c r="A648" s="206"/>
      <c r="B648" s="20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  <c r="AA648" s="206"/>
      <c r="AB648" s="206"/>
      <c r="AC648" s="206"/>
      <c r="AD648" s="206"/>
      <c r="AE648" s="206"/>
      <c r="AF648" s="206"/>
    </row>
    <row r="649" spans="1:32" x14ac:dyDescent="0.2">
      <c r="A649" s="206"/>
      <c r="B649" s="206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  <c r="AA649" s="206"/>
      <c r="AB649" s="206"/>
      <c r="AC649" s="206"/>
      <c r="AD649" s="206"/>
      <c r="AE649" s="206"/>
      <c r="AF649" s="206"/>
    </row>
    <row r="650" spans="1:32" x14ac:dyDescent="0.2">
      <c r="A650" s="206"/>
      <c r="B650" s="206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  <c r="AA650" s="206"/>
      <c r="AB650" s="206"/>
      <c r="AC650" s="206"/>
      <c r="AD650" s="206"/>
      <c r="AE650" s="206"/>
      <c r="AF650" s="206"/>
    </row>
    <row r="651" spans="1:32" x14ac:dyDescent="0.2">
      <c r="A651" s="206"/>
      <c r="B651" s="20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  <c r="AA651" s="206"/>
      <c r="AB651" s="206"/>
      <c r="AC651" s="206"/>
      <c r="AD651" s="206"/>
      <c r="AE651" s="206"/>
      <c r="AF651" s="206"/>
    </row>
    <row r="652" spans="1:32" x14ac:dyDescent="0.2">
      <c r="A652" s="206"/>
      <c r="B652" s="20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  <c r="AA652" s="206"/>
      <c r="AB652" s="206"/>
      <c r="AC652" s="206"/>
      <c r="AD652" s="206"/>
      <c r="AE652" s="206"/>
      <c r="AF652" s="206"/>
    </row>
    <row r="653" spans="1:32" x14ac:dyDescent="0.2">
      <c r="A653" s="206"/>
      <c r="B653" s="206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  <c r="AA653" s="206"/>
      <c r="AB653" s="206"/>
      <c r="AC653" s="206"/>
      <c r="AD653" s="206"/>
      <c r="AE653" s="206"/>
      <c r="AF653" s="206"/>
    </row>
    <row r="654" spans="1:32" x14ac:dyDescent="0.2">
      <c r="A654" s="206"/>
      <c r="B654" s="206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  <c r="AA654" s="206"/>
      <c r="AB654" s="206"/>
      <c r="AC654" s="206"/>
      <c r="AD654" s="206"/>
      <c r="AE654" s="206"/>
      <c r="AF654" s="206"/>
    </row>
    <row r="655" spans="1:32" x14ac:dyDescent="0.2">
      <c r="A655" s="206"/>
      <c r="B655" s="206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  <c r="AA655" s="206"/>
      <c r="AB655" s="206"/>
      <c r="AC655" s="206"/>
      <c r="AD655" s="206"/>
      <c r="AE655" s="206"/>
      <c r="AF655" s="206"/>
    </row>
    <row r="656" spans="1:32" x14ac:dyDescent="0.2">
      <c r="A656" s="206"/>
      <c r="B656" s="206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  <c r="AA656" s="206"/>
      <c r="AB656" s="206"/>
      <c r="AC656" s="206"/>
      <c r="AD656" s="206"/>
      <c r="AE656" s="206"/>
      <c r="AF656" s="206"/>
    </row>
    <row r="657" spans="1:32" x14ac:dyDescent="0.2">
      <c r="A657" s="206"/>
      <c r="B657" s="206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  <c r="AA657" s="206"/>
      <c r="AB657" s="206"/>
      <c r="AC657" s="206"/>
      <c r="AD657" s="206"/>
      <c r="AE657" s="206"/>
      <c r="AF657" s="206"/>
    </row>
    <row r="658" spans="1:32" x14ac:dyDescent="0.2">
      <c r="A658" s="206"/>
      <c r="B658" s="206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  <c r="AA658" s="206"/>
      <c r="AB658" s="206"/>
      <c r="AC658" s="206"/>
      <c r="AD658" s="206"/>
      <c r="AE658" s="206"/>
      <c r="AF658" s="206"/>
    </row>
    <row r="659" spans="1:32" x14ac:dyDescent="0.2">
      <c r="A659" s="206"/>
      <c r="B659" s="206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  <c r="AA659" s="206"/>
      <c r="AB659" s="206"/>
      <c r="AC659" s="206"/>
      <c r="AD659" s="206"/>
      <c r="AE659" s="206"/>
      <c r="AF659" s="206"/>
    </row>
    <row r="660" spans="1:32" x14ac:dyDescent="0.2">
      <c r="A660" s="206"/>
      <c r="B660" s="206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  <c r="AA660" s="206"/>
      <c r="AB660" s="206"/>
      <c r="AC660" s="206"/>
      <c r="AD660" s="206"/>
      <c r="AE660" s="206"/>
      <c r="AF660" s="206"/>
    </row>
    <row r="661" spans="1:32" x14ac:dyDescent="0.2">
      <c r="A661" s="206"/>
      <c r="B661" s="206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  <c r="AA661" s="206"/>
      <c r="AB661" s="206"/>
      <c r="AC661" s="206"/>
      <c r="AD661" s="206"/>
      <c r="AE661" s="206"/>
      <c r="AF661" s="206"/>
    </row>
    <row r="662" spans="1:32" x14ac:dyDescent="0.2">
      <c r="A662" s="206"/>
      <c r="B662" s="206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  <c r="AA662" s="206"/>
      <c r="AB662" s="206"/>
      <c r="AC662" s="206"/>
      <c r="AD662" s="206"/>
      <c r="AE662" s="206"/>
      <c r="AF662" s="206"/>
    </row>
    <row r="663" spans="1:32" x14ac:dyDescent="0.2">
      <c r="A663" s="206"/>
      <c r="B663" s="206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  <c r="AA663" s="206"/>
      <c r="AB663" s="206"/>
      <c r="AC663" s="206"/>
      <c r="AD663" s="206"/>
      <c r="AE663" s="206"/>
      <c r="AF663" s="206"/>
    </row>
    <row r="664" spans="1:32" x14ac:dyDescent="0.2">
      <c r="A664" s="206"/>
      <c r="B664" s="206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  <c r="AA664" s="206"/>
      <c r="AB664" s="206"/>
      <c r="AC664" s="206"/>
      <c r="AD664" s="206"/>
      <c r="AE664" s="206"/>
      <c r="AF664" s="206"/>
    </row>
    <row r="665" spans="1:32" x14ac:dyDescent="0.2">
      <c r="A665" s="206"/>
      <c r="B665" s="206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  <c r="AA665" s="206"/>
      <c r="AB665" s="206"/>
      <c r="AC665" s="206"/>
      <c r="AD665" s="206"/>
      <c r="AE665" s="206"/>
      <c r="AF665" s="206"/>
    </row>
    <row r="666" spans="1:32" x14ac:dyDescent="0.2">
      <c r="A666" s="206"/>
      <c r="B666" s="206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  <c r="AA666" s="206"/>
      <c r="AB666" s="206"/>
      <c r="AC666" s="206"/>
      <c r="AD666" s="206"/>
      <c r="AE666" s="206"/>
      <c r="AF666" s="206"/>
    </row>
    <row r="667" spans="1:32" x14ac:dyDescent="0.2">
      <c r="A667" s="206"/>
      <c r="B667" s="206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  <c r="AA667" s="206"/>
      <c r="AB667" s="206"/>
      <c r="AC667" s="206"/>
      <c r="AD667" s="206"/>
      <c r="AE667" s="206"/>
      <c r="AF667" s="206"/>
    </row>
    <row r="668" spans="1:32" x14ac:dyDescent="0.2">
      <c r="A668" s="206"/>
      <c r="B668" s="206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  <c r="AA668" s="206"/>
      <c r="AB668" s="206"/>
      <c r="AC668" s="206"/>
      <c r="AD668" s="206"/>
      <c r="AE668" s="206"/>
      <c r="AF668" s="206"/>
    </row>
    <row r="669" spans="1:32" x14ac:dyDescent="0.2">
      <c r="A669" s="206"/>
      <c r="B669" s="206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  <c r="AA669" s="206"/>
      <c r="AB669" s="206"/>
      <c r="AC669" s="206"/>
      <c r="AD669" s="206"/>
      <c r="AE669" s="206"/>
      <c r="AF669" s="206"/>
    </row>
    <row r="670" spans="1:32" x14ac:dyDescent="0.2">
      <c r="A670" s="206"/>
      <c r="B670" s="206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  <c r="AA670" s="206"/>
      <c r="AB670" s="206"/>
      <c r="AC670" s="206"/>
      <c r="AD670" s="206"/>
      <c r="AE670" s="206"/>
      <c r="AF670" s="206"/>
    </row>
    <row r="671" spans="1:32" x14ac:dyDescent="0.2">
      <c r="A671" s="206"/>
      <c r="B671" s="206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  <c r="AA671" s="206"/>
      <c r="AB671" s="206"/>
      <c r="AC671" s="206"/>
      <c r="AD671" s="206"/>
      <c r="AE671" s="206"/>
      <c r="AF671" s="206"/>
    </row>
    <row r="672" spans="1:32" x14ac:dyDescent="0.2">
      <c r="A672" s="206"/>
      <c r="B672" s="206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  <c r="AA672" s="206"/>
      <c r="AB672" s="206"/>
      <c r="AC672" s="206"/>
      <c r="AD672" s="206"/>
      <c r="AE672" s="206"/>
      <c r="AF672" s="206"/>
    </row>
    <row r="673" spans="1:32" x14ac:dyDescent="0.2">
      <c r="A673" s="206"/>
      <c r="B673" s="206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  <c r="AA673" s="206"/>
      <c r="AB673" s="206"/>
      <c r="AC673" s="206"/>
      <c r="AD673" s="206"/>
      <c r="AE673" s="206"/>
      <c r="AF673" s="206"/>
    </row>
    <row r="674" spans="1:32" x14ac:dyDescent="0.2">
      <c r="A674" s="206"/>
      <c r="B674" s="206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  <c r="AA674" s="206"/>
      <c r="AB674" s="206"/>
      <c r="AC674" s="206"/>
      <c r="AD674" s="206"/>
      <c r="AE674" s="206"/>
      <c r="AF674" s="206"/>
    </row>
    <row r="675" spans="1:32" x14ac:dyDescent="0.2">
      <c r="A675" s="206"/>
      <c r="B675" s="206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  <c r="AA675" s="206"/>
      <c r="AB675" s="206"/>
      <c r="AC675" s="206"/>
      <c r="AD675" s="206"/>
      <c r="AE675" s="206"/>
      <c r="AF675" s="206"/>
    </row>
    <row r="676" spans="1:32" x14ac:dyDescent="0.2">
      <c r="A676" s="206"/>
      <c r="B676" s="206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  <c r="AA676" s="206"/>
      <c r="AB676" s="206"/>
      <c r="AC676" s="206"/>
      <c r="AD676" s="206"/>
      <c r="AE676" s="206"/>
      <c r="AF676" s="206"/>
    </row>
    <row r="677" spans="1:32" x14ac:dyDescent="0.2">
      <c r="A677" s="206"/>
      <c r="B677" s="206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  <c r="AA677" s="206"/>
      <c r="AB677" s="206"/>
      <c r="AC677" s="206"/>
      <c r="AD677" s="206"/>
      <c r="AE677" s="206"/>
      <c r="AF677" s="206"/>
    </row>
    <row r="678" spans="1:32" x14ac:dyDescent="0.2">
      <c r="A678" s="206"/>
      <c r="B678" s="206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  <c r="AA678" s="206"/>
      <c r="AB678" s="206"/>
      <c r="AC678" s="206"/>
      <c r="AD678" s="206"/>
      <c r="AE678" s="206"/>
      <c r="AF678" s="206"/>
    </row>
    <row r="679" spans="1:32" x14ac:dyDescent="0.2">
      <c r="A679" s="206"/>
      <c r="B679" s="206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  <c r="AA679" s="206"/>
      <c r="AB679" s="206"/>
      <c r="AC679" s="206"/>
      <c r="AD679" s="206"/>
      <c r="AE679" s="206"/>
      <c r="AF679" s="206"/>
    </row>
    <row r="680" spans="1:32" x14ac:dyDescent="0.2">
      <c r="A680" s="206"/>
      <c r="B680" s="206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  <c r="AA680" s="206"/>
      <c r="AB680" s="206"/>
      <c r="AC680" s="206"/>
      <c r="AD680" s="206"/>
      <c r="AE680" s="206"/>
      <c r="AF680" s="206"/>
    </row>
    <row r="681" spans="1:32" x14ac:dyDescent="0.2">
      <c r="A681" s="206"/>
      <c r="B681" s="206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  <c r="AA681" s="206"/>
      <c r="AB681" s="206"/>
      <c r="AC681" s="206"/>
      <c r="AD681" s="206"/>
      <c r="AE681" s="206"/>
      <c r="AF681" s="206"/>
    </row>
    <row r="682" spans="1:32" x14ac:dyDescent="0.2">
      <c r="A682" s="206"/>
      <c r="B682" s="206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  <c r="AA682" s="206"/>
      <c r="AB682" s="206"/>
      <c r="AC682" s="206"/>
      <c r="AD682" s="206"/>
      <c r="AE682" s="206"/>
      <c r="AF682" s="206"/>
    </row>
    <row r="683" spans="1:32" x14ac:dyDescent="0.2">
      <c r="A683" s="206"/>
      <c r="B683" s="206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  <c r="AA683" s="206"/>
      <c r="AB683" s="206"/>
      <c r="AC683" s="206"/>
      <c r="AD683" s="206"/>
      <c r="AE683" s="206"/>
      <c r="AF683" s="206"/>
    </row>
    <row r="684" spans="1:32" x14ac:dyDescent="0.2">
      <c r="A684" s="206"/>
      <c r="B684" s="206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  <c r="AA684" s="206"/>
      <c r="AB684" s="206"/>
      <c r="AC684" s="206"/>
      <c r="AD684" s="206"/>
      <c r="AE684" s="206"/>
      <c r="AF684" s="206"/>
    </row>
    <row r="685" spans="1:32" x14ac:dyDescent="0.2">
      <c r="A685" s="206"/>
      <c r="B685" s="206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  <c r="AA685" s="206"/>
      <c r="AB685" s="206"/>
      <c r="AC685" s="206"/>
      <c r="AD685" s="206"/>
      <c r="AE685" s="206"/>
      <c r="AF685" s="206"/>
    </row>
    <row r="686" spans="1:32" x14ac:dyDescent="0.2">
      <c r="A686" s="206"/>
      <c r="B686" s="206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  <c r="AA686" s="206"/>
      <c r="AB686" s="206"/>
      <c r="AC686" s="206"/>
      <c r="AD686" s="206"/>
      <c r="AE686" s="206"/>
      <c r="AF686" s="206"/>
    </row>
    <row r="687" spans="1:32" x14ac:dyDescent="0.2">
      <c r="A687" s="206"/>
      <c r="B687" s="206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  <c r="AA687" s="206"/>
      <c r="AB687" s="206"/>
      <c r="AC687" s="206"/>
      <c r="AD687" s="206"/>
      <c r="AE687" s="206"/>
      <c r="AF687" s="206"/>
    </row>
    <row r="688" spans="1:32" x14ac:dyDescent="0.2">
      <c r="A688" s="206"/>
      <c r="B688" s="206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  <c r="AA688" s="206"/>
      <c r="AB688" s="206"/>
      <c r="AC688" s="206"/>
      <c r="AD688" s="206"/>
      <c r="AE688" s="206"/>
      <c r="AF688" s="206"/>
    </row>
    <row r="689" spans="1:32" x14ac:dyDescent="0.2">
      <c r="A689" s="206"/>
      <c r="B689" s="206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  <c r="AA689" s="206"/>
      <c r="AB689" s="206"/>
      <c r="AC689" s="206"/>
      <c r="AD689" s="206"/>
      <c r="AE689" s="206"/>
      <c r="AF689" s="206"/>
    </row>
    <row r="690" spans="1:32" x14ac:dyDescent="0.2">
      <c r="A690" s="206"/>
      <c r="B690" s="206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  <c r="AA690" s="206"/>
      <c r="AB690" s="206"/>
      <c r="AC690" s="206"/>
      <c r="AD690" s="206"/>
      <c r="AE690" s="206"/>
      <c r="AF690" s="206"/>
    </row>
    <row r="691" spans="1:32" x14ac:dyDescent="0.2">
      <c r="A691" s="206"/>
      <c r="B691" s="206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  <c r="AA691" s="206"/>
      <c r="AB691" s="206"/>
      <c r="AC691" s="206"/>
      <c r="AD691" s="206"/>
      <c r="AE691" s="206"/>
      <c r="AF691" s="206"/>
    </row>
    <row r="692" spans="1:32" x14ac:dyDescent="0.2">
      <c r="A692" s="206"/>
      <c r="B692" s="206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  <c r="AA692" s="206"/>
      <c r="AB692" s="206"/>
      <c r="AC692" s="206"/>
      <c r="AD692" s="206"/>
      <c r="AE692" s="206"/>
      <c r="AF692" s="206"/>
    </row>
    <row r="693" spans="1:32" x14ac:dyDescent="0.2">
      <c r="A693" s="206"/>
      <c r="B693" s="206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  <c r="AA693" s="206"/>
      <c r="AB693" s="206"/>
      <c r="AC693" s="206"/>
      <c r="AD693" s="206"/>
      <c r="AE693" s="206"/>
      <c r="AF693" s="206"/>
    </row>
    <row r="694" spans="1:32" x14ac:dyDescent="0.2">
      <c r="A694" s="206"/>
      <c r="B694" s="206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  <c r="AA694" s="206"/>
      <c r="AB694" s="206"/>
      <c r="AC694" s="206"/>
      <c r="AD694" s="206"/>
      <c r="AE694" s="206"/>
      <c r="AF694" s="206"/>
    </row>
    <row r="695" spans="1:32" x14ac:dyDescent="0.2">
      <c r="A695" s="206"/>
      <c r="B695" s="206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  <c r="AA695" s="206"/>
      <c r="AB695" s="206"/>
      <c r="AC695" s="206"/>
      <c r="AD695" s="206"/>
      <c r="AE695" s="206"/>
      <c r="AF695" s="206"/>
    </row>
    <row r="696" spans="1:32" x14ac:dyDescent="0.2">
      <c r="A696" s="206"/>
      <c r="B696" s="206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  <c r="AA696" s="206"/>
      <c r="AB696" s="206"/>
      <c r="AC696" s="206"/>
      <c r="AD696" s="206"/>
      <c r="AE696" s="206"/>
      <c r="AF696" s="206"/>
    </row>
    <row r="697" spans="1:32" x14ac:dyDescent="0.2">
      <c r="A697" s="206"/>
      <c r="B697" s="206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  <c r="AA697" s="206"/>
      <c r="AB697" s="206"/>
      <c r="AC697" s="206"/>
      <c r="AD697" s="206"/>
      <c r="AE697" s="206"/>
      <c r="AF697" s="206"/>
    </row>
    <row r="698" spans="1:32" x14ac:dyDescent="0.2">
      <c r="A698" s="206"/>
      <c r="B698" s="206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  <c r="AA698" s="206"/>
      <c r="AB698" s="206"/>
      <c r="AC698" s="206"/>
      <c r="AD698" s="206"/>
      <c r="AE698" s="206"/>
      <c r="AF698" s="206"/>
    </row>
    <row r="699" spans="1:32" x14ac:dyDescent="0.2">
      <c r="A699" s="206"/>
      <c r="B699" s="206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  <c r="AA699" s="206"/>
      <c r="AB699" s="206"/>
      <c r="AC699" s="206"/>
      <c r="AD699" s="206"/>
      <c r="AE699" s="206"/>
      <c r="AF699" s="206"/>
    </row>
    <row r="700" spans="1:32" x14ac:dyDescent="0.2">
      <c r="A700" s="206"/>
      <c r="B700" s="206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  <c r="AA700" s="206"/>
      <c r="AB700" s="206"/>
      <c r="AC700" s="206"/>
      <c r="AD700" s="206"/>
      <c r="AE700" s="206"/>
      <c r="AF700" s="206"/>
    </row>
    <row r="701" spans="1:32" x14ac:dyDescent="0.2">
      <c r="A701" s="206"/>
      <c r="B701" s="206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  <c r="AA701" s="206"/>
      <c r="AB701" s="206"/>
      <c r="AC701" s="206"/>
      <c r="AD701" s="206"/>
      <c r="AE701" s="206"/>
      <c r="AF701" s="206"/>
    </row>
    <row r="702" spans="1:32" x14ac:dyDescent="0.2">
      <c r="A702" s="206"/>
      <c r="B702" s="206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  <c r="AA702" s="206"/>
      <c r="AB702" s="206"/>
      <c r="AC702" s="206"/>
      <c r="AD702" s="206"/>
      <c r="AE702" s="206"/>
      <c r="AF702" s="206"/>
    </row>
    <row r="703" spans="1:32" x14ac:dyDescent="0.2">
      <c r="A703" s="206"/>
      <c r="B703" s="206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  <c r="AA703" s="206"/>
      <c r="AB703" s="206"/>
      <c r="AC703" s="206"/>
      <c r="AD703" s="206"/>
      <c r="AE703" s="206"/>
      <c r="AF703" s="206"/>
    </row>
    <row r="704" spans="1:32" x14ac:dyDescent="0.2">
      <c r="A704" s="206"/>
      <c r="B704" s="206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  <c r="AA704" s="206"/>
      <c r="AB704" s="206"/>
      <c r="AC704" s="206"/>
      <c r="AD704" s="206"/>
      <c r="AE704" s="206"/>
      <c r="AF704" s="206"/>
    </row>
    <row r="705" spans="1:32" x14ac:dyDescent="0.2">
      <c r="A705" s="206"/>
      <c r="B705" s="206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  <c r="AA705" s="206"/>
      <c r="AB705" s="206"/>
      <c r="AC705" s="206"/>
      <c r="AD705" s="206"/>
      <c r="AE705" s="206"/>
      <c r="AF705" s="206"/>
    </row>
    <row r="706" spans="1:32" x14ac:dyDescent="0.2">
      <c r="A706" s="206"/>
      <c r="B706" s="206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  <c r="AA706" s="206"/>
      <c r="AB706" s="206"/>
      <c r="AC706" s="206"/>
      <c r="AD706" s="206"/>
      <c r="AE706" s="206"/>
      <c r="AF706" s="206"/>
    </row>
    <row r="707" spans="1:32" x14ac:dyDescent="0.2">
      <c r="A707" s="206"/>
      <c r="B707" s="206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  <c r="AA707" s="206"/>
      <c r="AB707" s="206"/>
      <c r="AC707" s="206"/>
      <c r="AD707" s="206"/>
      <c r="AE707" s="206"/>
      <c r="AF707" s="206"/>
    </row>
    <row r="708" spans="1:32" x14ac:dyDescent="0.2">
      <c r="A708" s="206"/>
      <c r="B708" s="206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  <c r="AA708" s="206"/>
      <c r="AB708" s="206"/>
      <c r="AC708" s="206"/>
      <c r="AD708" s="206"/>
      <c r="AE708" s="206"/>
      <c r="AF708" s="206"/>
    </row>
    <row r="709" spans="1:32" x14ac:dyDescent="0.2">
      <c r="A709" s="206"/>
      <c r="B709" s="206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  <c r="AA709" s="206"/>
      <c r="AB709" s="206"/>
      <c r="AC709" s="206"/>
      <c r="AD709" s="206"/>
      <c r="AE709" s="206"/>
      <c r="AF709" s="206"/>
    </row>
    <row r="710" spans="1:32" x14ac:dyDescent="0.2">
      <c r="A710" s="206"/>
      <c r="B710" s="206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  <c r="AA710" s="206"/>
      <c r="AB710" s="206"/>
      <c r="AC710" s="206"/>
      <c r="AD710" s="206"/>
      <c r="AE710" s="206"/>
      <c r="AF710" s="206"/>
    </row>
    <row r="711" spans="1:32" x14ac:dyDescent="0.2">
      <c r="A711" s="206"/>
      <c r="B711" s="206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  <c r="AA711" s="206"/>
      <c r="AB711" s="206"/>
      <c r="AC711" s="206"/>
      <c r="AD711" s="206"/>
      <c r="AE711" s="206"/>
      <c r="AF711" s="206"/>
    </row>
    <row r="712" spans="1:32" x14ac:dyDescent="0.2">
      <c r="A712" s="206"/>
      <c r="B712" s="206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  <c r="AA712" s="206"/>
      <c r="AB712" s="206"/>
      <c r="AC712" s="206"/>
      <c r="AD712" s="206"/>
      <c r="AE712" s="206"/>
      <c r="AF712" s="206"/>
    </row>
    <row r="713" spans="1:32" x14ac:dyDescent="0.2">
      <c r="A713" s="206"/>
      <c r="B713" s="206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  <c r="AA713" s="206"/>
      <c r="AB713" s="206"/>
      <c r="AC713" s="206"/>
      <c r="AD713" s="206"/>
      <c r="AE713" s="206"/>
      <c r="AF713" s="206"/>
    </row>
    <row r="714" spans="1:32" x14ac:dyDescent="0.2">
      <c r="A714" s="206"/>
      <c r="B714" s="206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  <c r="AA714" s="206"/>
      <c r="AB714" s="206"/>
      <c r="AC714" s="206"/>
      <c r="AD714" s="206"/>
      <c r="AE714" s="206"/>
      <c r="AF714" s="206"/>
    </row>
    <row r="715" spans="1:32" x14ac:dyDescent="0.2">
      <c r="A715" s="206"/>
      <c r="B715" s="206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  <c r="AA715" s="206"/>
      <c r="AB715" s="206"/>
      <c r="AC715" s="206"/>
      <c r="AD715" s="206"/>
      <c r="AE715" s="206"/>
      <c r="AF715" s="206"/>
    </row>
    <row r="716" spans="1:32" x14ac:dyDescent="0.2">
      <c r="A716" s="206"/>
      <c r="B716" s="206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  <c r="AA716" s="206"/>
      <c r="AB716" s="206"/>
      <c r="AC716" s="206"/>
      <c r="AD716" s="206"/>
      <c r="AE716" s="206"/>
      <c r="AF716" s="206"/>
    </row>
    <row r="717" spans="1:32" x14ac:dyDescent="0.2">
      <c r="A717" s="206"/>
      <c r="B717" s="206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  <c r="AA717" s="206"/>
      <c r="AB717" s="206"/>
      <c r="AC717" s="206"/>
      <c r="AD717" s="206"/>
      <c r="AE717" s="206"/>
      <c r="AF717" s="206"/>
    </row>
    <row r="718" spans="1:32" x14ac:dyDescent="0.2">
      <c r="A718" s="206"/>
      <c r="B718" s="206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  <c r="AA718" s="206"/>
      <c r="AB718" s="206"/>
      <c r="AC718" s="206"/>
      <c r="AD718" s="206"/>
      <c r="AE718" s="206"/>
      <c r="AF718" s="206"/>
    </row>
    <row r="719" spans="1:32" x14ac:dyDescent="0.2">
      <c r="A719" s="206"/>
      <c r="B719" s="206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  <c r="AA719" s="206"/>
      <c r="AB719" s="206"/>
      <c r="AC719" s="206"/>
      <c r="AD719" s="206"/>
      <c r="AE719" s="206"/>
      <c r="AF719" s="206"/>
    </row>
    <row r="720" spans="1:32" x14ac:dyDescent="0.2">
      <c r="A720" s="206"/>
      <c r="B720" s="206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  <c r="AA720" s="206"/>
      <c r="AB720" s="206"/>
      <c r="AC720" s="206"/>
      <c r="AD720" s="206"/>
      <c r="AE720" s="206"/>
      <c r="AF720" s="206"/>
    </row>
    <row r="721" spans="1:32" x14ac:dyDescent="0.2">
      <c r="A721" s="206"/>
      <c r="B721" s="206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  <c r="AA721" s="206"/>
      <c r="AB721" s="206"/>
      <c r="AC721" s="206"/>
      <c r="AD721" s="206"/>
      <c r="AE721" s="206"/>
      <c r="AF721" s="206"/>
    </row>
    <row r="722" spans="1:32" x14ac:dyDescent="0.2">
      <c r="A722" s="206"/>
      <c r="B722" s="206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  <c r="AA722" s="206"/>
      <c r="AB722" s="206"/>
      <c r="AC722" s="206"/>
      <c r="AD722" s="206"/>
      <c r="AE722" s="206"/>
      <c r="AF722" s="206"/>
    </row>
    <row r="723" spans="1:32" x14ac:dyDescent="0.2">
      <c r="A723" s="206"/>
      <c r="B723" s="206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  <c r="AA723" s="206"/>
      <c r="AB723" s="206"/>
      <c r="AC723" s="206"/>
      <c r="AD723" s="206"/>
      <c r="AE723" s="206"/>
      <c r="AF723" s="206"/>
    </row>
    <row r="724" spans="1:32" x14ac:dyDescent="0.2">
      <c r="A724" s="206"/>
      <c r="B724" s="206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  <c r="AA724" s="206"/>
      <c r="AB724" s="206"/>
      <c r="AC724" s="206"/>
      <c r="AD724" s="206"/>
      <c r="AE724" s="206"/>
      <c r="AF724" s="206"/>
    </row>
    <row r="725" spans="1:32" x14ac:dyDescent="0.2">
      <c r="A725" s="206"/>
      <c r="B725" s="206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  <c r="AA725" s="206"/>
      <c r="AB725" s="206"/>
      <c r="AC725" s="206"/>
      <c r="AD725" s="206"/>
      <c r="AE725" s="206"/>
      <c r="AF725" s="206"/>
    </row>
    <row r="726" spans="1:32" x14ac:dyDescent="0.2">
      <c r="A726" s="206"/>
      <c r="B726" s="206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  <c r="AA726" s="206"/>
      <c r="AB726" s="206"/>
      <c r="AC726" s="206"/>
      <c r="AD726" s="206"/>
      <c r="AE726" s="206"/>
      <c r="AF726" s="206"/>
    </row>
    <row r="727" spans="1:32" x14ac:dyDescent="0.2">
      <c r="A727" s="206"/>
      <c r="B727" s="206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  <c r="AA727" s="206"/>
      <c r="AB727" s="206"/>
      <c r="AC727" s="206"/>
      <c r="AD727" s="206"/>
      <c r="AE727" s="206"/>
      <c r="AF727" s="206"/>
    </row>
    <row r="728" spans="1:32" x14ac:dyDescent="0.2">
      <c r="A728" s="206"/>
      <c r="B728" s="206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  <c r="AA728" s="206"/>
      <c r="AB728" s="206"/>
      <c r="AC728" s="206"/>
      <c r="AD728" s="206"/>
      <c r="AE728" s="206"/>
      <c r="AF728" s="206"/>
    </row>
    <row r="729" spans="1:32" x14ac:dyDescent="0.2">
      <c r="A729" s="206"/>
      <c r="B729" s="20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  <c r="AA729" s="206"/>
      <c r="AB729" s="206"/>
      <c r="AC729" s="206"/>
      <c r="AD729" s="206"/>
      <c r="AE729" s="206"/>
      <c r="AF729" s="206"/>
    </row>
    <row r="730" spans="1:32" x14ac:dyDescent="0.2">
      <c r="A730" s="206"/>
      <c r="B730" s="206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  <c r="AA730" s="206"/>
      <c r="AB730" s="206"/>
      <c r="AC730" s="206"/>
      <c r="AD730" s="206"/>
      <c r="AE730" s="206"/>
      <c r="AF730" s="206"/>
    </row>
    <row r="731" spans="1:32" x14ac:dyDescent="0.2">
      <c r="A731" s="206"/>
      <c r="B731" s="206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  <c r="AA731" s="206"/>
      <c r="AB731" s="206"/>
      <c r="AC731" s="206"/>
      <c r="AD731" s="206"/>
      <c r="AE731" s="206"/>
      <c r="AF731" s="206"/>
    </row>
    <row r="732" spans="1:32" x14ac:dyDescent="0.2">
      <c r="A732" s="206"/>
      <c r="B732" s="206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  <c r="AA732" s="206"/>
      <c r="AB732" s="206"/>
      <c r="AC732" s="206"/>
      <c r="AD732" s="206"/>
      <c r="AE732" s="206"/>
      <c r="AF732" s="206"/>
    </row>
    <row r="733" spans="1:32" x14ac:dyDescent="0.2">
      <c r="A733" s="206"/>
      <c r="B733" s="206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  <c r="AA733" s="206"/>
      <c r="AB733" s="206"/>
      <c r="AC733" s="206"/>
      <c r="AD733" s="206"/>
      <c r="AE733" s="206"/>
      <c r="AF733" s="206"/>
    </row>
    <row r="734" spans="1:32" x14ac:dyDescent="0.2">
      <c r="A734" s="206"/>
      <c r="B734" s="206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  <c r="AA734" s="206"/>
      <c r="AB734" s="206"/>
      <c r="AC734" s="206"/>
      <c r="AD734" s="206"/>
      <c r="AE734" s="206"/>
      <c r="AF734" s="206"/>
    </row>
    <row r="735" spans="1:32" x14ac:dyDescent="0.2">
      <c r="A735" s="206"/>
      <c r="B735" s="206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  <c r="AA735" s="206"/>
      <c r="AB735" s="206"/>
      <c r="AC735" s="206"/>
      <c r="AD735" s="206"/>
      <c r="AE735" s="206"/>
      <c r="AF735" s="206"/>
    </row>
    <row r="736" spans="1:32" x14ac:dyDescent="0.2">
      <c r="A736" s="206"/>
      <c r="B736" s="206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  <c r="AA736" s="206"/>
      <c r="AB736" s="206"/>
      <c r="AC736" s="206"/>
      <c r="AD736" s="206"/>
      <c r="AE736" s="206"/>
      <c r="AF736" s="206"/>
    </row>
    <row r="737" spans="1:32" x14ac:dyDescent="0.2">
      <c r="A737" s="206"/>
      <c r="B737" s="206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  <c r="AA737" s="206"/>
      <c r="AB737" s="206"/>
      <c r="AC737" s="206"/>
      <c r="AD737" s="206"/>
      <c r="AE737" s="206"/>
      <c r="AF737" s="206"/>
    </row>
    <row r="738" spans="1:32" x14ac:dyDescent="0.2">
      <c r="A738" s="206"/>
      <c r="B738" s="206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  <c r="AA738" s="206"/>
      <c r="AB738" s="206"/>
      <c r="AC738" s="206"/>
      <c r="AD738" s="206"/>
      <c r="AE738" s="206"/>
      <c r="AF738" s="206"/>
    </row>
    <row r="739" spans="1:32" x14ac:dyDescent="0.2">
      <c r="A739" s="206"/>
      <c r="B739" s="206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  <c r="AA739" s="206"/>
      <c r="AB739" s="206"/>
      <c r="AC739" s="206"/>
      <c r="AD739" s="206"/>
      <c r="AE739" s="206"/>
      <c r="AF739" s="206"/>
    </row>
    <row r="740" spans="1:32" x14ac:dyDescent="0.2">
      <c r="A740" s="206"/>
      <c r="B740" s="206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  <c r="AA740" s="206"/>
      <c r="AB740" s="206"/>
      <c r="AC740" s="206"/>
      <c r="AD740" s="206"/>
      <c r="AE740" s="206"/>
      <c r="AF740" s="206"/>
    </row>
    <row r="741" spans="1:32" x14ac:dyDescent="0.2">
      <c r="A741" s="206"/>
      <c r="B741" s="206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  <c r="AA741" s="206"/>
      <c r="AB741" s="206"/>
      <c r="AC741" s="206"/>
      <c r="AD741" s="206"/>
      <c r="AE741" s="206"/>
      <c r="AF741" s="206"/>
    </row>
    <row r="742" spans="1:32" x14ac:dyDescent="0.2">
      <c r="A742" s="206"/>
      <c r="B742" s="206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  <c r="AA742" s="206"/>
      <c r="AB742" s="206"/>
      <c r="AC742" s="206"/>
      <c r="AD742" s="206"/>
      <c r="AE742" s="206"/>
      <c r="AF742" s="206"/>
    </row>
    <row r="743" spans="1:32" x14ac:dyDescent="0.2">
      <c r="A743" s="206"/>
      <c r="B743" s="206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  <c r="AA743" s="206"/>
      <c r="AB743" s="206"/>
      <c r="AC743" s="206"/>
      <c r="AD743" s="206"/>
      <c r="AE743" s="206"/>
      <c r="AF743" s="206"/>
    </row>
    <row r="744" spans="1:32" x14ac:dyDescent="0.2">
      <c r="A744" s="206"/>
      <c r="B744" s="206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  <c r="AA744" s="206"/>
      <c r="AB744" s="206"/>
      <c r="AC744" s="206"/>
      <c r="AD744" s="206"/>
      <c r="AE744" s="206"/>
      <c r="AF744" s="206"/>
    </row>
    <row r="745" spans="1:32" x14ac:dyDescent="0.2">
      <c r="A745" s="206"/>
      <c r="B745" s="206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  <c r="AA745" s="206"/>
      <c r="AB745" s="206"/>
      <c r="AC745" s="206"/>
      <c r="AD745" s="206"/>
      <c r="AE745" s="206"/>
      <c r="AF745" s="206"/>
    </row>
    <row r="746" spans="1:32" x14ac:dyDescent="0.2">
      <c r="A746" s="206"/>
      <c r="B746" s="206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  <c r="AA746" s="206"/>
      <c r="AB746" s="206"/>
      <c r="AC746" s="206"/>
      <c r="AD746" s="206"/>
      <c r="AE746" s="206"/>
      <c r="AF746" s="206"/>
    </row>
    <row r="747" spans="1:32" x14ac:dyDescent="0.2">
      <c r="A747" s="206"/>
      <c r="B747" s="206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  <c r="AA747" s="206"/>
      <c r="AB747" s="206"/>
      <c r="AC747" s="206"/>
      <c r="AD747" s="206"/>
      <c r="AE747" s="206"/>
      <c r="AF747" s="206"/>
    </row>
    <row r="748" spans="1:32" x14ac:dyDescent="0.2">
      <c r="A748" s="206"/>
      <c r="B748" s="206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  <c r="AA748" s="206"/>
      <c r="AB748" s="206"/>
      <c r="AC748" s="206"/>
      <c r="AD748" s="206"/>
      <c r="AE748" s="206"/>
      <c r="AF748" s="206"/>
    </row>
    <row r="749" spans="1:32" x14ac:dyDescent="0.2">
      <c r="A749" s="206"/>
      <c r="B749" s="206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  <c r="AA749" s="206"/>
      <c r="AB749" s="206"/>
      <c r="AC749" s="206"/>
      <c r="AD749" s="206"/>
      <c r="AE749" s="206"/>
      <c r="AF749" s="206"/>
    </row>
    <row r="750" spans="1:32" x14ac:dyDescent="0.2">
      <c r="A750" s="206"/>
      <c r="B750" s="206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  <c r="AA750" s="206"/>
      <c r="AB750" s="206"/>
      <c r="AC750" s="206"/>
      <c r="AD750" s="206"/>
      <c r="AE750" s="206"/>
      <c r="AF750" s="206"/>
    </row>
    <row r="751" spans="1:32" x14ac:dyDescent="0.2">
      <c r="A751" s="206"/>
      <c r="B751" s="206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  <c r="AA751" s="206"/>
      <c r="AB751" s="206"/>
      <c r="AC751" s="206"/>
      <c r="AD751" s="206"/>
      <c r="AE751" s="206"/>
      <c r="AF751" s="206"/>
    </row>
    <row r="752" spans="1:32" x14ac:dyDescent="0.2">
      <c r="A752" s="206"/>
      <c r="B752" s="206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  <c r="AA752" s="206"/>
      <c r="AB752" s="206"/>
      <c r="AC752" s="206"/>
      <c r="AD752" s="206"/>
      <c r="AE752" s="206"/>
      <c r="AF752" s="206"/>
    </row>
    <row r="753" spans="1:32" x14ac:dyDescent="0.2">
      <c r="A753" s="206"/>
      <c r="B753" s="206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  <c r="AA753" s="206"/>
      <c r="AB753" s="206"/>
      <c r="AC753" s="206"/>
      <c r="AD753" s="206"/>
      <c r="AE753" s="206"/>
      <c r="AF753" s="206"/>
    </row>
    <row r="754" spans="1:32" x14ac:dyDescent="0.2">
      <c r="A754" s="206"/>
      <c r="B754" s="206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  <c r="AA754" s="206"/>
      <c r="AB754" s="206"/>
      <c r="AC754" s="206"/>
      <c r="AD754" s="206"/>
      <c r="AE754" s="206"/>
      <c r="AF754" s="206"/>
    </row>
    <row r="755" spans="1:32" x14ac:dyDescent="0.2">
      <c r="A755" s="206"/>
      <c r="B755" s="206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  <c r="AA755" s="206"/>
      <c r="AB755" s="206"/>
      <c r="AC755" s="206"/>
      <c r="AD755" s="206"/>
      <c r="AE755" s="206"/>
      <c r="AF755" s="206"/>
    </row>
    <row r="756" spans="1:32" x14ac:dyDescent="0.2">
      <c r="A756" s="206"/>
      <c r="B756" s="206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  <c r="AA756" s="206"/>
      <c r="AB756" s="206"/>
      <c r="AC756" s="206"/>
      <c r="AD756" s="206"/>
      <c r="AE756" s="206"/>
      <c r="AF756" s="206"/>
    </row>
    <row r="757" spans="1:32" x14ac:dyDescent="0.2">
      <c r="A757" s="206"/>
      <c r="B757" s="206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  <c r="AA757" s="206"/>
      <c r="AB757" s="206"/>
      <c r="AC757" s="206"/>
      <c r="AD757" s="206"/>
      <c r="AE757" s="206"/>
      <c r="AF757" s="206"/>
    </row>
    <row r="758" spans="1:32" x14ac:dyDescent="0.2">
      <c r="A758" s="206"/>
      <c r="B758" s="206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  <c r="AA758" s="206"/>
      <c r="AB758" s="206"/>
      <c r="AC758" s="206"/>
      <c r="AD758" s="206"/>
      <c r="AE758" s="206"/>
      <c r="AF758" s="206"/>
    </row>
    <row r="759" spans="1:32" x14ac:dyDescent="0.2">
      <c r="A759" s="206"/>
      <c r="B759" s="206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  <c r="AA759" s="206"/>
      <c r="AB759" s="206"/>
      <c r="AC759" s="206"/>
      <c r="AD759" s="206"/>
      <c r="AE759" s="206"/>
      <c r="AF759" s="206"/>
    </row>
    <row r="760" spans="1:32" x14ac:dyDescent="0.2">
      <c r="A760" s="206"/>
      <c r="B760" s="206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  <c r="AA760" s="206"/>
      <c r="AB760" s="206"/>
      <c r="AC760" s="206"/>
      <c r="AD760" s="206"/>
      <c r="AE760" s="206"/>
      <c r="AF760" s="206"/>
    </row>
    <row r="761" spans="1:32" x14ac:dyDescent="0.2">
      <c r="A761" s="206"/>
      <c r="B761" s="206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  <c r="AA761" s="206"/>
      <c r="AB761" s="206"/>
      <c r="AC761" s="206"/>
      <c r="AD761" s="206"/>
      <c r="AE761" s="206"/>
      <c r="AF761" s="206"/>
    </row>
    <row r="762" spans="1:32" x14ac:dyDescent="0.2">
      <c r="A762" s="206"/>
      <c r="B762" s="206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  <c r="AA762" s="206"/>
      <c r="AB762" s="206"/>
      <c r="AC762" s="206"/>
      <c r="AD762" s="206"/>
      <c r="AE762" s="206"/>
      <c r="AF762" s="206"/>
    </row>
    <row r="763" spans="1:32" x14ac:dyDescent="0.2">
      <c r="A763" s="206"/>
      <c r="B763" s="206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  <c r="AA763" s="206"/>
      <c r="AB763" s="206"/>
      <c r="AC763" s="206"/>
      <c r="AD763" s="206"/>
      <c r="AE763" s="206"/>
      <c r="AF763" s="206"/>
    </row>
    <row r="764" spans="1:32" x14ac:dyDescent="0.2">
      <c r="A764" s="206"/>
      <c r="B764" s="206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  <c r="AA764" s="206"/>
      <c r="AB764" s="206"/>
      <c r="AC764" s="206"/>
      <c r="AD764" s="206"/>
      <c r="AE764" s="206"/>
      <c r="AF764" s="206"/>
    </row>
    <row r="765" spans="1:32" x14ac:dyDescent="0.2">
      <c r="A765" s="206"/>
      <c r="B765" s="206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  <c r="AA765" s="206"/>
      <c r="AB765" s="206"/>
      <c r="AC765" s="206"/>
      <c r="AD765" s="206"/>
      <c r="AE765" s="206"/>
      <c r="AF765" s="206"/>
    </row>
    <row r="766" spans="1:32" x14ac:dyDescent="0.2">
      <c r="A766" s="206"/>
      <c r="B766" s="206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  <c r="AA766" s="206"/>
      <c r="AB766" s="206"/>
      <c r="AC766" s="206"/>
      <c r="AD766" s="206"/>
      <c r="AE766" s="206"/>
      <c r="AF766" s="206"/>
    </row>
    <row r="767" spans="1:32" x14ac:dyDescent="0.2">
      <c r="A767" s="206"/>
      <c r="B767" s="206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  <c r="AA767" s="206"/>
      <c r="AB767" s="206"/>
      <c r="AC767" s="206"/>
      <c r="AD767" s="206"/>
      <c r="AE767" s="206"/>
      <c r="AF767" s="206"/>
    </row>
    <row r="768" spans="1:32" x14ac:dyDescent="0.2">
      <c r="A768" s="206"/>
      <c r="B768" s="206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  <c r="AA768" s="206"/>
      <c r="AB768" s="206"/>
      <c r="AC768" s="206"/>
      <c r="AD768" s="206"/>
      <c r="AE768" s="206"/>
      <c r="AF768" s="206"/>
    </row>
    <row r="769" spans="1:32" x14ac:dyDescent="0.2">
      <c r="A769" s="206"/>
      <c r="B769" s="206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  <c r="AA769" s="206"/>
      <c r="AB769" s="206"/>
      <c r="AC769" s="206"/>
      <c r="AD769" s="206"/>
      <c r="AE769" s="206"/>
      <c r="AF769" s="206"/>
    </row>
    <row r="770" spans="1:32" x14ac:dyDescent="0.2">
      <c r="A770" s="206"/>
      <c r="B770" s="206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  <c r="AA770" s="206"/>
      <c r="AB770" s="206"/>
      <c r="AC770" s="206"/>
      <c r="AD770" s="206"/>
      <c r="AE770" s="206"/>
      <c r="AF770" s="206"/>
    </row>
    <row r="771" spans="1:32" x14ac:dyDescent="0.2">
      <c r="A771" s="206"/>
      <c r="B771" s="206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  <c r="AA771" s="206"/>
      <c r="AB771" s="206"/>
      <c r="AC771" s="206"/>
      <c r="AD771" s="206"/>
      <c r="AE771" s="206"/>
      <c r="AF771" s="206"/>
    </row>
    <row r="772" spans="1:32" x14ac:dyDescent="0.2">
      <c r="A772" s="206"/>
      <c r="B772" s="206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  <c r="AA772" s="206"/>
      <c r="AB772" s="206"/>
      <c r="AC772" s="206"/>
      <c r="AD772" s="206"/>
      <c r="AE772" s="206"/>
      <c r="AF772" s="206"/>
    </row>
    <row r="773" spans="1:32" x14ac:dyDescent="0.2">
      <c r="A773" s="206"/>
      <c r="B773" s="206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  <c r="AA773" s="206"/>
      <c r="AB773" s="206"/>
      <c r="AC773" s="206"/>
      <c r="AD773" s="206"/>
      <c r="AE773" s="206"/>
      <c r="AF773" s="206"/>
    </row>
    <row r="774" spans="1:32" x14ac:dyDescent="0.2">
      <c r="A774" s="206"/>
      <c r="B774" s="206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  <c r="AA774" s="206"/>
      <c r="AB774" s="206"/>
      <c r="AC774" s="206"/>
      <c r="AD774" s="206"/>
      <c r="AE774" s="206"/>
      <c r="AF774" s="206"/>
    </row>
    <row r="775" spans="1:32" x14ac:dyDescent="0.2">
      <c r="A775" s="206"/>
      <c r="B775" s="206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  <c r="AA775" s="206"/>
      <c r="AB775" s="206"/>
      <c r="AC775" s="206"/>
      <c r="AD775" s="206"/>
      <c r="AE775" s="206"/>
      <c r="AF775" s="206"/>
    </row>
    <row r="776" spans="1:32" x14ac:dyDescent="0.2">
      <c r="A776" s="206"/>
      <c r="B776" s="206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  <c r="AA776" s="206"/>
      <c r="AB776" s="206"/>
      <c r="AC776" s="206"/>
      <c r="AD776" s="206"/>
      <c r="AE776" s="206"/>
      <c r="AF776" s="206"/>
    </row>
    <row r="777" spans="1:32" x14ac:dyDescent="0.2">
      <c r="A777" s="206"/>
      <c r="B777" s="206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  <c r="AA777" s="206"/>
      <c r="AB777" s="206"/>
      <c r="AC777" s="206"/>
      <c r="AD777" s="206"/>
      <c r="AE777" s="206"/>
      <c r="AF777" s="206"/>
    </row>
    <row r="778" spans="1:32" x14ac:dyDescent="0.2">
      <c r="A778" s="206"/>
      <c r="B778" s="206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  <c r="AA778" s="206"/>
      <c r="AB778" s="206"/>
      <c r="AC778" s="206"/>
      <c r="AD778" s="206"/>
      <c r="AE778" s="206"/>
      <c r="AF778" s="206"/>
    </row>
    <row r="779" spans="1:32" x14ac:dyDescent="0.2">
      <c r="A779" s="206"/>
      <c r="B779" s="206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  <c r="AA779" s="206"/>
      <c r="AB779" s="206"/>
      <c r="AC779" s="206"/>
      <c r="AD779" s="206"/>
      <c r="AE779" s="206"/>
      <c r="AF779" s="206"/>
    </row>
    <row r="780" spans="1:32" x14ac:dyDescent="0.2">
      <c r="A780" s="206"/>
      <c r="B780" s="206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  <c r="AA780" s="206"/>
      <c r="AB780" s="206"/>
      <c r="AC780" s="206"/>
      <c r="AD780" s="206"/>
      <c r="AE780" s="206"/>
      <c r="AF780" s="206"/>
    </row>
    <row r="781" spans="1:32" x14ac:dyDescent="0.2">
      <c r="A781" s="206"/>
      <c r="B781" s="206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  <c r="AA781" s="206"/>
      <c r="AB781" s="206"/>
      <c r="AC781" s="206"/>
      <c r="AD781" s="206"/>
      <c r="AE781" s="206"/>
      <c r="AF781" s="206"/>
    </row>
    <row r="782" spans="1:32" x14ac:dyDescent="0.2">
      <c r="A782" s="206"/>
      <c r="B782" s="206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  <c r="AA782" s="206"/>
      <c r="AB782" s="206"/>
      <c r="AC782" s="206"/>
      <c r="AD782" s="206"/>
      <c r="AE782" s="206"/>
      <c r="AF782" s="206"/>
    </row>
    <row r="783" spans="1:32" x14ac:dyDescent="0.2">
      <c r="A783" s="206"/>
      <c r="B783" s="206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  <c r="AA783" s="206"/>
      <c r="AB783" s="206"/>
      <c r="AC783" s="206"/>
      <c r="AD783" s="206"/>
      <c r="AE783" s="206"/>
      <c r="AF783" s="206"/>
    </row>
    <row r="784" spans="1:32" x14ac:dyDescent="0.2">
      <c r="A784" s="206"/>
      <c r="B784" s="206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  <c r="AA784" s="206"/>
      <c r="AB784" s="206"/>
      <c r="AC784" s="206"/>
      <c r="AD784" s="206"/>
      <c r="AE784" s="206"/>
      <c r="AF784" s="206"/>
    </row>
    <row r="785" spans="1:32" x14ac:dyDescent="0.2">
      <c r="A785" s="206"/>
      <c r="B785" s="206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  <c r="AA785" s="206"/>
      <c r="AB785" s="206"/>
      <c r="AC785" s="206"/>
      <c r="AD785" s="206"/>
      <c r="AE785" s="206"/>
      <c r="AF785" s="206"/>
    </row>
    <row r="786" spans="1:32" x14ac:dyDescent="0.2">
      <c r="A786" s="206"/>
      <c r="B786" s="206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  <c r="AA786" s="206"/>
      <c r="AB786" s="206"/>
      <c r="AC786" s="206"/>
      <c r="AD786" s="206"/>
      <c r="AE786" s="206"/>
      <c r="AF786" s="206"/>
    </row>
    <row r="787" spans="1:32" x14ac:dyDescent="0.2">
      <c r="A787" s="206"/>
      <c r="B787" s="206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  <c r="AA787" s="206"/>
      <c r="AB787" s="206"/>
      <c r="AC787" s="206"/>
      <c r="AD787" s="206"/>
      <c r="AE787" s="206"/>
      <c r="AF787" s="206"/>
    </row>
    <row r="788" spans="1:32" x14ac:dyDescent="0.2">
      <c r="A788" s="206"/>
      <c r="B788" s="206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  <c r="AA788" s="206"/>
      <c r="AB788" s="206"/>
      <c r="AC788" s="206"/>
      <c r="AD788" s="206"/>
      <c r="AE788" s="206"/>
      <c r="AF788" s="206"/>
    </row>
    <row r="789" spans="1:32" x14ac:dyDescent="0.2">
      <c r="A789" s="206"/>
      <c r="B789" s="206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  <c r="AA789" s="206"/>
      <c r="AB789" s="206"/>
      <c r="AC789" s="206"/>
      <c r="AD789" s="206"/>
      <c r="AE789" s="206"/>
      <c r="AF789" s="206"/>
    </row>
    <row r="790" spans="1:32" x14ac:dyDescent="0.2">
      <c r="A790" s="206"/>
      <c r="B790" s="206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  <c r="AA790" s="206"/>
      <c r="AB790" s="206"/>
      <c r="AC790" s="206"/>
      <c r="AD790" s="206"/>
      <c r="AE790" s="206"/>
      <c r="AF790" s="206"/>
    </row>
    <row r="791" spans="1:32" x14ac:dyDescent="0.2">
      <c r="A791" s="206"/>
      <c r="B791" s="206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  <c r="AA791" s="206"/>
      <c r="AB791" s="206"/>
      <c r="AC791" s="206"/>
      <c r="AD791" s="206"/>
      <c r="AE791" s="206"/>
      <c r="AF791" s="206"/>
    </row>
    <row r="792" spans="1:32" x14ac:dyDescent="0.2">
      <c r="A792" s="206"/>
      <c r="B792" s="206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  <c r="AA792" s="206"/>
      <c r="AB792" s="206"/>
      <c r="AC792" s="206"/>
      <c r="AD792" s="206"/>
      <c r="AE792" s="206"/>
      <c r="AF792" s="206"/>
    </row>
    <row r="793" spans="1:32" x14ac:dyDescent="0.2">
      <c r="A793" s="206"/>
      <c r="B793" s="206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  <c r="AA793" s="206"/>
      <c r="AB793" s="206"/>
      <c r="AC793" s="206"/>
      <c r="AD793" s="206"/>
      <c r="AE793" s="206"/>
      <c r="AF793" s="206"/>
    </row>
    <row r="794" spans="1:32" x14ac:dyDescent="0.2">
      <c r="A794" s="206"/>
      <c r="B794" s="206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  <c r="AA794" s="206"/>
      <c r="AB794" s="206"/>
      <c r="AC794" s="206"/>
      <c r="AD794" s="206"/>
      <c r="AE794" s="206"/>
      <c r="AF794" s="206"/>
    </row>
    <row r="795" spans="1:32" x14ac:dyDescent="0.2">
      <c r="A795" s="206"/>
      <c r="B795" s="206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  <c r="AA795" s="206"/>
      <c r="AB795" s="206"/>
      <c r="AC795" s="206"/>
      <c r="AD795" s="206"/>
      <c r="AE795" s="206"/>
      <c r="AF795" s="206"/>
    </row>
    <row r="796" spans="1:32" x14ac:dyDescent="0.2">
      <c r="A796" s="206"/>
      <c r="B796" s="206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  <c r="AA796" s="206"/>
      <c r="AB796" s="206"/>
      <c r="AC796" s="206"/>
      <c r="AD796" s="206"/>
      <c r="AE796" s="206"/>
      <c r="AF796" s="206"/>
    </row>
    <row r="797" spans="1:32" x14ac:dyDescent="0.2">
      <c r="A797" s="206"/>
      <c r="B797" s="206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  <c r="AA797" s="206"/>
      <c r="AB797" s="206"/>
      <c r="AC797" s="206"/>
      <c r="AD797" s="206"/>
      <c r="AE797" s="206"/>
      <c r="AF797" s="206"/>
    </row>
    <row r="798" spans="1:32" x14ac:dyDescent="0.2">
      <c r="A798" s="206"/>
      <c r="B798" s="206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  <c r="AA798" s="206"/>
      <c r="AB798" s="206"/>
      <c r="AC798" s="206"/>
      <c r="AD798" s="206"/>
      <c r="AE798" s="206"/>
      <c r="AF798" s="206"/>
    </row>
    <row r="799" spans="1:32" x14ac:dyDescent="0.2">
      <c r="A799" s="206"/>
      <c r="B799" s="206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  <c r="AA799" s="206"/>
      <c r="AB799" s="206"/>
      <c r="AC799" s="206"/>
      <c r="AD799" s="206"/>
      <c r="AE799" s="206"/>
      <c r="AF799" s="206"/>
    </row>
    <row r="800" spans="1:32" x14ac:dyDescent="0.2">
      <c r="A800" s="206"/>
      <c r="B800" s="206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  <c r="AA800" s="206"/>
      <c r="AB800" s="206"/>
      <c r="AC800" s="206"/>
      <c r="AD800" s="206"/>
      <c r="AE800" s="206"/>
      <c r="AF800" s="206"/>
    </row>
    <row r="801" spans="1:32" x14ac:dyDescent="0.2">
      <c r="A801" s="206"/>
      <c r="B801" s="206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  <c r="AA801" s="206"/>
      <c r="AB801" s="206"/>
      <c r="AC801" s="206"/>
      <c r="AD801" s="206"/>
      <c r="AE801" s="206"/>
      <c r="AF801" s="206"/>
    </row>
    <row r="802" spans="1:32" x14ac:dyDescent="0.2">
      <c r="A802" s="206"/>
      <c r="B802" s="206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  <c r="AA802" s="206"/>
      <c r="AB802" s="206"/>
      <c r="AC802" s="206"/>
      <c r="AD802" s="206"/>
      <c r="AE802" s="206"/>
      <c r="AF802" s="206"/>
    </row>
    <row r="803" spans="1:32" x14ac:dyDescent="0.2">
      <c r="A803" s="206"/>
      <c r="B803" s="206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  <c r="AA803" s="206"/>
      <c r="AB803" s="206"/>
      <c r="AC803" s="206"/>
      <c r="AD803" s="206"/>
      <c r="AE803" s="206"/>
      <c r="AF803" s="206"/>
    </row>
    <row r="804" spans="1:32" x14ac:dyDescent="0.2">
      <c r="A804" s="206"/>
      <c r="B804" s="206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  <c r="AA804" s="206"/>
      <c r="AB804" s="206"/>
      <c r="AC804" s="206"/>
      <c r="AD804" s="206"/>
      <c r="AE804" s="206"/>
      <c r="AF804" s="206"/>
    </row>
    <row r="805" spans="1:32" x14ac:dyDescent="0.2">
      <c r="A805" s="206"/>
      <c r="B805" s="206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  <c r="AA805" s="206"/>
      <c r="AB805" s="206"/>
      <c r="AC805" s="206"/>
      <c r="AD805" s="206"/>
      <c r="AE805" s="206"/>
      <c r="AF805" s="206"/>
    </row>
    <row r="806" spans="1:32" x14ac:dyDescent="0.2">
      <c r="A806" s="206"/>
      <c r="B806" s="206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  <c r="AA806" s="206"/>
      <c r="AB806" s="206"/>
      <c r="AC806" s="206"/>
      <c r="AD806" s="206"/>
      <c r="AE806" s="206"/>
      <c r="AF806" s="206"/>
    </row>
    <row r="807" spans="1:32" x14ac:dyDescent="0.2">
      <c r="A807" s="206"/>
      <c r="B807" s="206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  <c r="AA807" s="206"/>
      <c r="AB807" s="206"/>
      <c r="AC807" s="206"/>
      <c r="AD807" s="206"/>
      <c r="AE807" s="206"/>
      <c r="AF807" s="206"/>
    </row>
    <row r="808" spans="1:32" x14ac:dyDescent="0.2">
      <c r="A808" s="206"/>
      <c r="B808" s="206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  <c r="AA808" s="206"/>
      <c r="AB808" s="206"/>
      <c r="AC808" s="206"/>
      <c r="AD808" s="206"/>
      <c r="AE808" s="206"/>
      <c r="AF808" s="206"/>
    </row>
    <row r="809" spans="1:32" x14ac:dyDescent="0.2">
      <c r="A809" s="206"/>
      <c r="B809" s="206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  <c r="AA809" s="206"/>
      <c r="AB809" s="206"/>
      <c r="AC809" s="206"/>
      <c r="AD809" s="206"/>
      <c r="AE809" s="206"/>
      <c r="AF809" s="206"/>
    </row>
    <row r="810" spans="1:32" x14ac:dyDescent="0.2">
      <c r="A810" s="206"/>
      <c r="B810" s="206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  <c r="AA810" s="206"/>
      <c r="AB810" s="206"/>
      <c r="AC810" s="206"/>
      <c r="AD810" s="206"/>
      <c r="AE810" s="206"/>
      <c r="AF810" s="206"/>
    </row>
    <row r="811" spans="1:32" x14ac:dyDescent="0.2">
      <c r="A811" s="206"/>
      <c r="B811" s="206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  <c r="AA811" s="206"/>
      <c r="AB811" s="206"/>
      <c r="AC811" s="206"/>
      <c r="AD811" s="206"/>
      <c r="AE811" s="206"/>
      <c r="AF811" s="206"/>
    </row>
    <row r="812" spans="1:32" x14ac:dyDescent="0.2">
      <c r="A812" s="206"/>
      <c r="B812" s="206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  <c r="AA812" s="206"/>
      <c r="AB812" s="206"/>
      <c r="AC812" s="206"/>
      <c r="AD812" s="206"/>
      <c r="AE812" s="206"/>
      <c r="AF812" s="206"/>
    </row>
    <row r="813" spans="1:32" x14ac:dyDescent="0.2">
      <c r="A813" s="206"/>
      <c r="B813" s="206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  <c r="AA813" s="206"/>
      <c r="AB813" s="206"/>
      <c r="AC813" s="206"/>
      <c r="AD813" s="206"/>
      <c r="AE813" s="206"/>
      <c r="AF813" s="206"/>
    </row>
    <row r="814" spans="1:32" x14ac:dyDescent="0.2">
      <c r="A814" s="206"/>
      <c r="B814" s="206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  <c r="AA814" s="206"/>
      <c r="AB814" s="206"/>
      <c r="AC814" s="206"/>
      <c r="AD814" s="206"/>
      <c r="AE814" s="206"/>
      <c r="AF814" s="206"/>
    </row>
    <row r="815" spans="1:32" x14ac:dyDescent="0.2">
      <c r="A815" s="206"/>
      <c r="B815" s="206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  <c r="AA815" s="206"/>
      <c r="AB815" s="206"/>
      <c r="AC815" s="206"/>
      <c r="AD815" s="206"/>
      <c r="AE815" s="206"/>
      <c r="AF815" s="206"/>
    </row>
    <row r="816" spans="1:32" x14ac:dyDescent="0.2">
      <c r="A816" s="206"/>
      <c r="B816" s="206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  <c r="AA816" s="206"/>
      <c r="AB816" s="206"/>
      <c r="AC816" s="206"/>
      <c r="AD816" s="206"/>
      <c r="AE816" s="206"/>
      <c r="AF816" s="206"/>
    </row>
    <row r="817" spans="1:32" x14ac:dyDescent="0.2">
      <c r="A817" s="206"/>
      <c r="B817" s="206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  <c r="AA817" s="206"/>
      <c r="AB817" s="206"/>
      <c r="AC817" s="206"/>
      <c r="AD817" s="206"/>
      <c r="AE817" s="206"/>
      <c r="AF817" s="206"/>
    </row>
    <row r="818" spans="1:32" x14ac:dyDescent="0.2">
      <c r="A818" s="206"/>
      <c r="B818" s="206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  <c r="AA818" s="206"/>
      <c r="AB818" s="206"/>
      <c r="AC818" s="206"/>
      <c r="AD818" s="206"/>
      <c r="AE818" s="206"/>
      <c r="AF818" s="206"/>
    </row>
    <row r="819" spans="1:32" x14ac:dyDescent="0.2">
      <c r="A819" s="206"/>
      <c r="B819" s="206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  <c r="AA819" s="206"/>
      <c r="AB819" s="206"/>
      <c r="AC819" s="206"/>
      <c r="AD819" s="206"/>
      <c r="AE819" s="206"/>
      <c r="AF819" s="206"/>
    </row>
    <row r="820" spans="1:32" x14ac:dyDescent="0.2">
      <c r="A820" s="206"/>
      <c r="B820" s="206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  <c r="AA820" s="206"/>
      <c r="AB820" s="206"/>
      <c r="AC820" s="206"/>
      <c r="AD820" s="206"/>
      <c r="AE820" s="206"/>
      <c r="AF820" s="206"/>
    </row>
    <row r="821" spans="1:32" x14ac:dyDescent="0.2">
      <c r="A821" s="206"/>
      <c r="B821" s="206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  <c r="AA821" s="206"/>
      <c r="AB821" s="206"/>
      <c r="AC821" s="206"/>
      <c r="AD821" s="206"/>
      <c r="AE821" s="206"/>
      <c r="AF821" s="206"/>
    </row>
    <row r="822" spans="1:32" x14ac:dyDescent="0.2">
      <c r="A822" s="206"/>
      <c r="B822" s="206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  <c r="AA822" s="206"/>
      <c r="AB822" s="206"/>
      <c r="AC822" s="206"/>
      <c r="AD822" s="206"/>
      <c r="AE822" s="206"/>
      <c r="AF822" s="206"/>
    </row>
    <row r="823" spans="1:32" x14ac:dyDescent="0.2">
      <c r="A823" s="206"/>
      <c r="B823" s="206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  <c r="AA823" s="206"/>
      <c r="AB823" s="206"/>
      <c r="AC823" s="206"/>
      <c r="AD823" s="206"/>
      <c r="AE823" s="206"/>
      <c r="AF823" s="206"/>
    </row>
    <row r="824" spans="1:32" x14ac:dyDescent="0.2">
      <c r="A824" s="206"/>
      <c r="B824" s="206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  <c r="AA824" s="206"/>
      <c r="AB824" s="206"/>
      <c r="AC824" s="206"/>
      <c r="AD824" s="206"/>
      <c r="AE824" s="206"/>
      <c r="AF824" s="206"/>
    </row>
    <row r="825" spans="1:32" x14ac:dyDescent="0.2">
      <c r="A825" s="206"/>
      <c r="B825" s="206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  <c r="AA825" s="206"/>
      <c r="AB825" s="206"/>
      <c r="AC825" s="206"/>
      <c r="AD825" s="206"/>
      <c r="AE825" s="206"/>
      <c r="AF825" s="206"/>
    </row>
    <row r="826" spans="1:32" x14ac:dyDescent="0.2">
      <c r="A826" s="206"/>
      <c r="B826" s="206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  <c r="AA826" s="206"/>
      <c r="AB826" s="206"/>
      <c r="AC826" s="206"/>
      <c r="AD826" s="206"/>
      <c r="AE826" s="206"/>
      <c r="AF826" s="206"/>
    </row>
    <row r="827" spans="1:32" x14ac:dyDescent="0.2">
      <c r="A827" s="206"/>
      <c r="B827" s="206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  <c r="AA827" s="206"/>
      <c r="AB827" s="206"/>
      <c r="AC827" s="206"/>
      <c r="AD827" s="206"/>
      <c r="AE827" s="206"/>
      <c r="AF827" s="206"/>
    </row>
    <row r="828" spans="1:32" x14ac:dyDescent="0.2">
      <c r="A828" s="206"/>
      <c r="B828" s="206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  <c r="AA828" s="206"/>
      <c r="AB828" s="206"/>
      <c r="AC828" s="206"/>
      <c r="AD828" s="206"/>
      <c r="AE828" s="206"/>
      <c r="AF828" s="206"/>
    </row>
    <row r="829" spans="1:32" x14ac:dyDescent="0.2">
      <c r="A829" s="206"/>
      <c r="B829" s="206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  <c r="AA829" s="206"/>
      <c r="AB829" s="206"/>
      <c r="AC829" s="206"/>
      <c r="AD829" s="206"/>
      <c r="AE829" s="206"/>
      <c r="AF829" s="206"/>
    </row>
    <row r="830" spans="1:32" x14ac:dyDescent="0.2">
      <c r="A830" s="206"/>
      <c r="B830" s="206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  <c r="AA830" s="206"/>
      <c r="AB830" s="206"/>
      <c r="AC830" s="206"/>
      <c r="AD830" s="206"/>
      <c r="AE830" s="206"/>
      <c r="AF830" s="206"/>
    </row>
    <row r="831" spans="1:32" x14ac:dyDescent="0.2">
      <c r="A831" s="206"/>
      <c r="B831" s="206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  <c r="AA831" s="206"/>
      <c r="AB831" s="206"/>
      <c r="AC831" s="206"/>
      <c r="AD831" s="206"/>
      <c r="AE831" s="206"/>
      <c r="AF831" s="206"/>
    </row>
    <row r="832" spans="1:32" x14ac:dyDescent="0.2">
      <c r="A832" s="206"/>
      <c r="B832" s="206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  <c r="AA832" s="206"/>
      <c r="AB832" s="206"/>
      <c r="AC832" s="206"/>
      <c r="AD832" s="206"/>
      <c r="AE832" s="206"/>
      <c r="AF832" s="206"/>
    </row>
    <row r="833" spans="1:32" x14ac:dyDescent="0.2">
      <c r="A833" s="206"/>
      <c r="B833" s="206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  <c r="AA833" s="206"/>
      <c r="AB833" s="206"/>
      <c r="AC833" s="206"/>
      <c r="AD833" s="206"/>
      <c r="AE833" s="206"/>
      <c r="AF833" s="206"/>
    </row>
    <row r="834" spans="1:32" x14ac:dyDescent="0.2">
      <c r="A834" s="206"/>
      <c r="B834" s="206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  <c r="AA834" s="206"/>
      <c r="AB834" s="206"/>
      <c r="AC834" s="206"/>
      <c r="AD834" s="206"/>
      <c r="AE834" s="206"/>
      <c r="AF834" s="206"/>
    </row>
    <row r="835" spans="1:32" x14ac:dyDescent="0.2">
      <c r="A835" s="206"/>
      <c r="B835" s="206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  <c r="AA835" s="206"/>
      <c r="AB835" s="206"/>
      <c r="AC835" s="206"/>
      <c r="AD835" s="206"/>
      <c r="AE835" s="206"/>
      <c r="AF835" s="206"/>
    </row>
    <row r="836" spans="1:32" x14ac:dyDescent="0.2">
      <c r="A836" s="206"/>
      <c r="B836" s="206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  <c r="AA836" s="206"/>
      <c r="AB836" s="206"/>
      <c r="AC836" s="206"/>
      <c r="AD836" s="206"/>
      <c r="AE836" s="206"/>
      <c r="AF836" s="206"/>
    </row>
    <row r="837" spans="1:32" x14ac:dyDescent="0.2">
      <c r="A837" s="206"/>
      <c r="B837" s="206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  <c r="AA837" s="206"/>
      <c r="AB837" s="206"/>
      <c r="AC837" s="206"/>
      <c r="AD837" s="206"/>
      <c r="AE837" s="206"/>
      <c r="AF837" s="206"/>
    </row>
    <row r="838" spans="1:32" x14ac:dyDescent="0.2">
      <c r="A838" s="206"/>
      <c r="B838" s="206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  <c r="AA838" s="206"/>
      <c r="AB838" s="206"/>
      <c r="AC838" s="206"/>
      <c r="AD838" s="206"/>
      <c r="AE838" s="206"/>
      <c r="AF838" s="206"/>
    </row>
    <row r="839" spans="1:32" x14ac:dyDescent="0.2">
      <c r="A839" s="206"/>
      <c r="B839" s="206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  <c r="AA839" s="206"/>
      <c r="AB839" s="206"/>
      <c r="AC839" s="206"/>
      <c r="AD839" s="206"/>
      <c r="AE839" s="206"/>
      <c r="AF839" s="206"/>
    </row>
    <row r="840" spans="1:32" x14ac:dyDescent="0.2">
      <c r="A840" s="206"/>
      <c r="B840" s="206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  <c r="AA840" s="206"/>
      <c r="AB840" s="206"/>
      <c r="AC840" s="206"/>
      <c r="AD840" s="206"/>
      <c r="AE840" s="206"/>
      <c r="AF840" s="206"/>
    </row>
    <row r="841" spans="1:32" x14ac:dyDescent="0.2">
      <c r="A841" s="206"/>
      <c r="B841" s="206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  <c r="AA841" s="206"/>
      <c r="AB841" s="206"/>
      <c r="AC841" s="206"/>
      <c r="AD841" s="206"/>
      <c r="AE841" s="206"/>
      <c r="AF841" s="206"/>
    </row>
    <row r="842" spans="1:32" x14ac:dyDescent="0.2">
      <c r="A842" s="206"/>
      <c r="B842" s="206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  <c r="AA842" s="206"/>
      <c r="AB842" s="206"/>
      <c r="AC842" s="206"/>
      <c r="AD842" s="206"/>
      <c r="AE842" s="206"/>
      <c r="AF842" s="206"/>
    </row>
    <row r="843" spans="1:32" x14ac:dyDescent="0.2">
      <c r="A843" s="206"/>
      <c r="B843" s="206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  <c r="AA843" s="206"/>
      <c r="AB843" s="206"/>
      <c r="AC843" s="206"/>
      <c r="AD843" s="206"/>
      <c r="AE843" s="206"/>
      <c r="AF843" s="206"/>
    </row>
    <row r="844" spans="1:32" x14ac:dyDescent="0.2">
      <c r="A844" s="206"/>
      <c r="B844" s="206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  <c r="AA844" s="206"/>
      <c r="AB844" s="206"/>
      <c r="AC844" s="206"/>
      <c r="AD844" s="206"/>
      <c r="AE844" s="206"/>
      <c r="AF844" s="206"/>
    </row>
    <row r="845" spans="1:32" x14ac:dyDescent="0.2">
      <c r="A845" s="206"/>
      <c r="B845" s="206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  <c r="AA845" s="206"/>
      <c r="AB845" s="206"/>
      <c r="AC845" s="206"/>
      <c r="AD845" s="206"/>
      <c r="AE845" s="206"/>
      <c r="AF845" s="206"/>
    </row>
    <row r="846" spans="1:32" x14ac:dyDescent="0.2">
      <c r="A846" s="206"/>
      <c r="B846" s="206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  <c r="AA846" s="206"/>
      <c r="AB846" s="206"/>
      <c r="AC846" s="206"/>
      <c r="AD846" s="206"/>
      <c r="AE846" s="206"/>
      <c r="AF846" s="206"/>
    </row>
    <row r="847" spans="1:32" x14ac:dyDescent="0.2">
      <c r="A847" s="206"/>
      <c r="B847" s="206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  <c r="AA847" s="206"/>
      <c r="AB847" s="206"/>
      <c r="AC847" s="206"/>
      <c r="AD847" s="206"/>
      <c r="AE847" s="206"/>
      <c r="AF847" s="206"/>
    </row>
    <row r="848" spans="1:32" x14ac:dyDescent="0.2">
      <c r="A848" s="206"/>
      <c r="B848" s="206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  <c r="AA848" s="206"/>
      <c r="AB848" s="206"/>
      <c r="AC848" s="206"/>
      <c r="AD848" s="206"/>
      <c r="AE848" s="206"/>
      <c r="AF848" s="206"/>
    </row>
    <row r="849" spans="1:32" x14ac:dyDescent="0.2">
      <c r="A849" s="206"/>
      <c r="B849" s="206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  <c r="AA849" s="206"/>
      <c r="AB849" s="206"/>
      <c r="AC849" s="206"/>
      <c r="AD849" s="206"/>
      <c r="AE849" s="206"/>
      <c r="AF849" s="206"/>
    </row>
    <row r="850" spans="1:32" x14ac:dyDescent="0.2">
      <c r="A850" s="206"/>
      <c r="B850" s="206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  <c r="AA850" s="206"/>
      <c r="AB850" s="206"/>
      <c r="AC850" s="206"/>
      <c r="AD850" s="206"/>
      <c r="AE850" s="206"/>
      <c r="AF850" s="206"/>
    </row>
    <row r="851" spans="1:32" x14ac:dyDescent="0.2">
      <c r="A851" s="206"/>
      <c r="B851" s="206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  <c r="AA851" s="206"/>
      <c r="AB851" s="206"/>
      <c r="AC851" s="206"/>
      <c r="AD851" s="206"/>
      <c r="AE851" s="206"/>
      <c r="AF851" s="206"/>
    </row>
    <row r="852" spans="1:32" x14ac:dyDescent="0.2">
      <c r="A852" s="206"/>
      <c r="B852" s="206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  <c r="AA852" s="206"/>
      <c r="AB852" s="206"/>
      <c r="AC852" s="206"/>
      <c r="AD852" s="206"/>
      <c r="AE852" s="206"/>
      <c r="AF852" s="206"/>
    </row>
    <row r="853" spans="1:32" x14ac:dyDescent="0.2">
      <c r="A853" s="206"/>
      <c r="B853" s="206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  <c r="AA853" s="206"/>
      <c r="AB853" s="206"/>
      <c r="AC853" s="206"/>
      <c r="AD853" s="206"/>
      <c r="AE853" s="206"/>
      <c r="AF853" s="206"/>
    </row>
    <row r="854" spans="1:32" x14ac:dyDescent="0.2">
      <c r="A854" s="206"/>
      <c r="B854" s="206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  <c r="AA854" s="206"/>
      <c r="AB854" s="206"/>
      <c r="AC854" s="206"/>
      <c r="AD854" s="206"/>
      <c r="AE854" s="206"/>
      <c r="AF854" s="206"/>
    </row>
    <row r="855" spans="1:32" x14ac:dyDescent="0.2">
      <c r="A855" s="206"/>
      <c r="B855" s="206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  <c r="AA855" s="206"/>
      <c r="AB855" s="206"/>
      <c r="AC855" s="206"/>
      <c r="AD855" s="206"/>
      <c r="AE855" s="206"/>
      <c r="AF855" s="206"/>
    </row>
    <row r="856" spans="1:32" x14ac:dyDescent="0.2">
      <c r="A856" s="206"/>
      <c r="B856" s="206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  <c r="AA856" s="206"/>
      <c r="AB856" s="206"/>
      <c r="AC856" s="206"/>
      <c r="AD856" s="206"/>
      <c r="AE856" s="206"/>
      <c r="AF856" s="206"/>
    </row>
    <row r="857" spans="1:32" x14ac:dyDescent="0.2">
      <c r="A857" s="206"/>
      <c r="B857" s="206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  <c r="AA857" s="206"/>
      <c r="AB857" s="206"/>
      <c r="AC857" s="206"/>
      <c r="AD857" s="206"/>
      <c r="AE857" s="206"/>
      <c r="AF857" s="206"/>
    </row>
    <row r="858" spans="1:32" x14ac:dyDescent="0.2">
      <c r="A858" s="206"/>
      <c r="B858" s="206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  <c r="AA858" s="206"/>
      <c r="AB858" s="206"/>
      <c r="AC858" s="206"/>
      <c r="AD858" s="206"/>
      <c r="AE858" s="206"/>
      <c r="AF858" s="206"/>
    </row>
    <row r="859" spans="1:32" x14ac:dyDescent="0.2">
      <c r="A859" s="206"/>
      <c r="B859" s="206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  <c r="AA859" s="206"/>
      <c r="AB859" s="206"/>
      <c r="AC859" s="206"/>
      <c r="AD859" s="206"/>
      <c r="AE859" s="206"/>
      <c r="AF859" s="206"/>
    </row>
    <row r="860" spans="1:32" x14ac:dyDescent="0.2">
      <c r="A860" s="206"/>
      <c r="B860" s="206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  <c r="AA860" s="206"/>
      <c r="AB860" s="206"/>
      <c r="AC860" s="206"/>
      <c r="AD860" s="206"/>
      <c r="AE860" s="206"/>
      <c r="AF860" s="206"/>
    </row>
    <row r="861" spans="1:32" x14ac:dyDescent="0.2">
      <c r="A861" s="206"/>
      <c r="B861" s="206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  <c r="AA861" s="206"/>
      <c r="AB861" s="206"/>
      <c r="AC861" s="206"/>
      <c r="AD861" s="206"/>
      <c r="AE861" s="206"/>
      <c r="AF861" s="206"/>
    </row>
    <row r="862" spans="1:32" x14ac:dyDescent="0.2">
      <c r="A862" s="206"/>
      <c r="B862" s="206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  <c r="AA862" s="206"/>
      <c r="AB862" s="206"/>
      <c r="AC862" s="206"/>
      <c r="AD862" s="206"/>
      <c r="AE862" s="206"/>
      <c r="AF862" s="206"/>
    </row>
    <row r="863" spans="1:32" x14ac:dyDescent="0.2">
      <c r="A863" s="206"/>
      <c r="B863" s="206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  <c r="AA863" s="206"/>
      <c r="AB863" s="206"/>
      <c r="AC863" s="206"/>
      <c r="AD863" s="206"/>
      <c r="AE863" s="206"/>
      <c r="AF863" s="206"/>
    </row>
    <row r="864" spans="1:32" x14ac:dyDescent="0.2">
      <c r="A864" s="206"/>
      <c r="B864" s="206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  <c r="AA864" s="206"/>
      <c r="AB864" s="206"/>
      <c r="AC864" s="206"/>
      <c r="AD864" s="206"/>
      <c r="AE864" s="206"/>
      <c r="AF864" s="206"/>
    </row>
    <row r="865" spans="1:32" x14ac:dyDescent="0.2">
      <c r="A865" s="206"/>
      <c r="B865" s="206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  <c r="AA865" s="206"/>
      <c r="AB865" s="206"/>
      <c r="AC865" s="206"/>
      <c r="AD865" s="206"/>
      <c r="AE865" s="206"/>
      <c r="AF865" s="206"/>
    </row>
    <row r="866" spans="1:32" x14ac:dyDescent="0.2">
      <c r="A866" s="206"/>
      <c r="B866" s="206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  <c r="AA866" s="206"/>
      <c r="AB866" s="206"/>
      <c r="AC866" s="206"/>
      <c r="AD866" s="206"/>
      <c r="AE866" s="206"/>
      <c r="AF866" s="206"/>
    </row>
    <row r="867" spans="1:32" x14ac:dyDescent="0.2">
      <c r="A867" s="206"/>
      <c r="B867" s="206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  <c r="AA867" s="206"/>
      <c r="AB867" s="206"/>
      <c r="AC867" s="206"/>
      <c r="AD867" s="206"/>
      <c r="AE867" s="206"/>
      <c r="AF867" s="206"/>
    </row>
    <row r="868" spans="1:32" x14ac:dyDescent="0.2">
      <c r="A868" s="206"/>
      <c r="B868" s="206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  <c r="AA868" s="206"/>
      <c r="AB868" s="206"/>
      <c r="AC868" s="206"/>
      <c r="AD868" s="206"/>
      <c r="AE868" s="206"/>
      <c r="AF868" s="206"/>
    </row>
    <row r="869" spans="1:32" x14ac:dyDescent="0.2">
      <c r="A869" s="206"/>
      <c r="B869" s="206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  <c r="AA869" s="206"/>
      <c r="AB869" s="206"/>
      <c r="AC869" s="206"/>
      <c r="AD869" s="206"/>
      <c r="AE869" s="206"/>
      <c r="AF869" s="206"/>
    </row>
    <row r="870" spans="1:32" x14ac:dyDescent="0.2">
      <c r="A870" s="206"/>
      <c r="B870" s="206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  <c r="AA870" s="206"/>
      <c r="AB870" s="206"/>
      <c r="AC870" s="206"/>
      <c r="AD870" s="206"/>
      <c r="AE870" s="206"/>
      <c r="AF870" s="206"/>
    </row>
    <row r="871" spans="1:32" x14ac:dyDescent="0.2">
      <c r="A871" s="206"/>
      <c r="B871" s="206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  <c r="AA871" s="206"/>
      <c r="AB871" s="206"/>
      <c r="AC871" s="206"/>
      <c r="AD871" s="206"/>
      <c r="AE871" s="206"/>
      <c r="AF871" s="206"/>
    </row>
    <row r="872" spans="1:32" x14ac:dyDescent="0.2">
      <c r="A872" s="206"/>
      <c r="B872" s="206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  <c r="AA872" s="206"/>
      <c r="AB872" s="206"/>
      <c r="AC872" s="206"/>
      <c r="AD872" s="206"/>
      <c r="AE872" s="206"/>
      <c r="AF872" s="206"/>
    </row>
    <row r="873" spans="1:32" x14ac:dyDescent="0.2">
      <c r="A873" s="206"/>
      <c r="B873" s="206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  <c r="AA873" s="206"/>
      <c r="AB873" s="206"/>
      <c r="AC873" s="206"/>
      <c r="AD873" s="206"/>
      <c r="AE873" s="206"/>
      <c r="AF873" s="206"/>
    </row>
    <row r="874" spans="1:32" x14ac:dyDescent="0.2">
      <c r="A874" s="206"/>
      <c r="B874" s="206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  <c r="AA874" s="206"/>
      <c r="AB874" s="206"/>
      <c r="AC874" s="206"/>
      <c r="AD874" s="206"/>
      <c r="AE874" s="206"/>
      <c r="AF874" s="206"/>
    </row>
    <row r="875" spans="1:32" x14ac:dyDescent="0.2">
      <c r="A875" s="206"/>
      <c r="B875" s="206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  <c r="AA875" s="206"/>
      <c r="AB875" s="206"/>
      <c r="AC875" s="206"/>
      <c r="AD875" s="206"/>
      <c r="AE875" s="206"/>
      <c r="AF875" s="206"/>
    </row>
    <row r="876" spans="1:32" x14ac:dyDescent="0.2">
      <c r="A876" s="206"/>
      <c r="B876" s="206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  <c r="AA876" s="206"/>
      <c r="AB876" s="206"/>
      <c r="AC876" s="206"/>
      <c r="AD876" s="206"/>
      <c r="AE876" s="206"/>
      <c r="AF876" s="206"/>
    </row>
    <row r="877" spans="1:32" x14ac:dyDescent="0.2">
      <c r="A877" s="206"/>
      <c r="B877" s="206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  <c r="AA877" s="206"/>
      <c r="AB877" s="206"/>
      <c r="AC877" s="206"/>
      <c r="AD877" s="206"/>
      <c r="AE877" s="206"/>
      <c r="AF877" s="206"/>
    </row>
    <row r="878" spans="1:32" x14ac:dyDescent="0.2">
      <c r="A878" s="206"/>
      <c r="B878" s="206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  <c r="AA878" s="206"/>
      <c r="AB878" s="206"/>
      <c r="AC878" s="206"/>
      <c r="AD878" s="206"/>
      <c r="AE878" s="206"/>
      <c r="AF878" s="206"/>
    </row>
    <row r="879" spans="1:32" x14ac:dyDescent="0.2">
      <c r="A879" s="206"/>
      <c r="B879" s="206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  <c r="AA879" s="206"/>
      <c r="AB879" s="206"/>
      <c r="AC879" s="206"/>
      <c r="AD879" s="206"/>
      <c r="AE879" s="206"/>
      <c r="AF879" s="206"/>
    </row>
    <row r="880" spans="1:32" x14ac:dyDescent="0.2">
      <c r="A880" s="206"/>
      <c r="B880" s="206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  <c r="AA880" s="206"/>
      <c r="AB880" s="206"/>
      <c r="AC880" s="206"/>
      <c r="AD880" s="206"/>
      <c r="AE880" s="206"/>
      <c r="AF880" s="206"/>
    </row>
    <row r="881" spans="1:32" x14ac:dyDescent="0.2">
      <c r="A881" s="206"/>
      <c r="B881" s="206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  <c r="AA881" s="206"/>
      <c r="AB881" s="206"/>
      <c r="AC881" s="206"/>
      <c r="AD881" s="206"/>
      <c r="AE881" s="206"/>
      <c r="AF881" s="206"/>
    </row>
    <row r="882" spans="1:32" x14ac:dyDescent="0.2">
      <c r="A882" s="206"/>
      <c r="B882" s="206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  <c r="AA882" s="206"/>
      <c r="AB882" s="206"/>
      <c r="AC882" s="206"/>
      <c r="AD882" s="206"/>
      <c r="AE882" s="206"/>
      <c r="AF882" s="206"/>
    </row>
    <row r="883" spans="1:32" x14ac:dyDescent="0.2">
      <c r="A883" s="206"/>
      <c r="B883" s="206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  <c r="AA883" s="206"/>
      <c r="AB883" s="206"/>
      <c r="AC883" s="206"/>
      <c r="AD883" s="206"/>
      <c r="AE883" s="206"/>
      <c r="AF883" s="206"/>
    </row>
    <row r="884" spans="1:32" x14ac:dyDescent="0.2">
      <c r="A884" s="206"/>
      <c r="B884" s="206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  <c r="AA884" s="206"/>
      <c r="AB884" s="206"/>
      <c r="AC884" s="206"/>
      <c r="AD884" s="206"/>
      <c r="AE884" s="206"/>
      <c r="AF884" s="206"/>
    </row>
    <row r="885" spans="1:32" x14ac:dyDescent="0.2">
      <c r="A885" s="206"/>
      <c r="B885" s="206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  <c r="AA885" s="206"/>
      <c r="AB885" s="206"/>
      <c r="AC885" s="206"/>
      <c r="AD885" s="206"/>
      <c r="AE885" s="206"/>
      <c r="AF885" s="206"/>
    </row>
    <row r="886" spans="1:32" x14ac:dyDescent="0.2">
      <c r="A886" s="206"/>
      <c r="B886" s="206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  <c r="AA886" s="206"/>
      <c r="AB886" s="206"/>
      <c r="AC886" s="206"/>
      <c r="AD886" s="206"/>
      <c r="AE886" s="206"/>
      <c r="AF886" s="206"/>
    </row>
    <row r="887" spans="1:32" x14ac:dyDescent="0.2">
      <c r="A887" s="206"/>
      <c r="B887" s="206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  <c r="AA887" s="206"/>
      <c r="AB887" s="206"/>
      <c r="AC887" s="206"/>
      <c r="AD887" s="206"/>
      <c r="AE887" s="206"/>
      <c r="AF887" s="206"/>
    </row>
    <row r="888" spans="1:32" x14ac:dyDescent="0.2">
      <c r="A888" s="206"/>
      <c r="B888" s="206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  <c r="AA888" s="206"/>
      <c r="AB888" s="206"/>
      <c r="AC888" s="206"/>
      <c r="AD888" s="206"/>
      <c r="AE888" s="206"/>
      <c r="AF888" s="206"/>
    </row>
    <row r="889" spans="1:32" x14ac:dyDescent="0.2">
      <c r="A889" s="206"/>
      <c r="B889" s="206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  <c r="AA889" s="206"/>
      <c r="AB889" s="206"/>
      <c r="AC889" s="206"/>
      <c r="AD889" s="206"/>
      <c r="AE889" s="206"/>
      <c r="AF889" s="206"/>
    </row>
    <row r="890" spans="1:32" x14ac:dyDescent="0.2">
      <c r="A890" s="206"/>
      <c r="B890" s="206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  <c r="AA890" s="206"/>
      <c r="AB890" s="206"/>
      <c r="AC890" s="206"/>
      <c r="AD890" s="206"/>
      <c r="AE890" s="206"/>
      <c r="AF890" s="206"/>
    </row>
    <row r="891" spans="1:32" x14ac:dyDescent="0.2">
      <c r="A891" s="206"/>
      <c r="B891" s="206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  <c r="AA891" s="206"/>
      <c r="AB891" s="206"/>
      <c r="AC891" s="206"/>
      <c r="AD891" s="206"/>
      <c r="AE891" s="206"/>
      <c r="AF891" s="206"/>
    </row>
    <row r="892" spans="1:32" x14ac:dyDescent="0.2">
      <c r="A892" s="206"/>
      <c r="B892" s="206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  <c r="AA892" s="206"/>
      <c r="AB892" s="206"/>
      <c r="AC892" s="206"/>
      <c r="AD892" s="206"/>
      <c r="AE892" s="206"/>
      <c r="AF892" s="206"/>
    </row>
    <row r="893" spans="1:32" x14ac:dyDescent="0.2">
      <c r="A893" s="206"/>
      <c r="B893" s="206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  <c r="AA893" s="206"/>
      <c r="AB893" s="206"/>
      <c r="AC893" s="206"/>
      <c r="AD893" s="206"/>
      <c r="AE893" s="206"/>
      <c r="AF893" s="206"/>
    </row>
    <row r="894" spans="1:32" x14ac:dyDescent="0.2">
      <c r="A894" s="206"/>
      <c r="B894" s="206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  <c r="AA894" s="206"/>
      <c r="AB894" s="206"/>
      <c r="AC894" s="206"/>
      <c r="AD894" s="206"/>
      <c r="AE894" s="206"/>
      <c r="AF894" s="206"/>
    </row>
    <row r="895" spans="1:32" x14ac:dyDescent="0.2">
      <c r="A895" s="206"/>
      <c r="B895" s="206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  <c r="AA895" s="206"/>
      <c r="AB895" s="206"/>
      <c r="AC895" s="206"/>
      <c r="AD895" s="206"/>
      <c r="AE895" s="206"/>
      <c r="AF895" s="206"/>
    </row>
    <row r="896" spans="1:32" x14ac:dyDescent="0.2">
      <c r="A896" s="206"/>
      <c r="B896" s="206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  <c r="AA896" s="206"/>
      <c r="AB896" s="206"/>
      <c r="AC896" s="206"/>
      <c r="AD896" s="206"/>
      <c r="AE896" s="206"/>
      <c r="AF896" s="206"/>
    </row>
    <row r="897" spans="1:32" x14ac:dyDescent="0.2">
      <c r="A897" s="206"/>
      <c r="B897" s="206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  <c r="AA897" s="206"/>
      <c r="AB897" s="206"/>
      <c r="AC897" s="206"/>
      <c r="AD897" s="206"/>
      <c r="AE897" s="206"/>
      <c r="AF897" s="206"/>
    </row>
    <row r="898" spans="1:32" x14ac:dyDescent="0.2">
      <c r="A898" s="206"/>
      <c r="B898" s="206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  <c r="AA898" s="206"/>
      <c r="AB898" s="206"/>
      <c r="AC898" s="206"/>
      <c r="AD898" s="206"/>
      <c r="AE898" s="206"/>
      <c r="AF898" s="206"/>
    </row>
    <row r="899" spans="1:32" x14ac:dyDescent="0.2">
      <c r="A899" s="206"/>
      <c r="B899" s="206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  <c r="AA899" s="206"/>
      <c r="AB899" s="206"/>
      <c r="AC899" s="206"/>
      <c r="AD899" s="206"/>
      <c r="AE899" s="206"/>
      <c r="AF899" s="206"/>
    </row>
    <row r="900" spans="1:32" x14ac:dyDescent="0.2">
      <c r="A900" s="206"/>
      <c r="B900" s="206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  <c r="AA900" s="206"/>
      <c r="AB900" s="206"/>
      <c r="AC900" s="206"/>
      <c r="AD900" s="206"/>
      <c r="AE900" s="206"/>
      <c r="AF900" s="206"/>
    </row>
    <row r="901" spans="1:32" x14ac:dyDescent="0.2">
      <c r="A901" s="206"/>
      <c r="B901" s="206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  <c r="AA901" s="206"/>
      <c r="AB901" s="206"/>
      <c r="AC901" s="206"/>
      <c r="AD901" s="206"/>
      <c r="AE901" s="206"/>
      <c r="AF901" s="206"/>
    </row>
    <row r="902" spans="1:32" x14ac:dyDescent="0.2">
      <c r="A902" s="206"/>
      <c r="B902" s="206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  <c r="AA902" s="206"/>
      <c r="AB902" s="206"/>
      <c r="AC902" s="206"/>
      <c r="AD902" s="206"/>
      <c r="AE902" s="206"/>
      <c r="AF902" s="206"/>
    </row>
    <row r="903" spans="1:32" x14ac:dyDescent="0.2">
      <c r="A903" s="206"/>
      <c r="B903" s="206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  <c r="AA903" s="206"/>
      <c r="AB903" s="206"/>
      <c r="AC903" s="206"/>
      <c r="AD903" s="206"/>
      <c r="AE903" s="206"/>
      <c r="AF903" s="206"/>
    </row>
    <row r="904" spans="1:32" x14ac:dyDescent="0.2">
      <c r="A904" s="206"/>
      <c r="B904" s="206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  <c r="AA904" s="206"/>
      <c r="AB904" s="206"/>
      <c r="AC904" s="206"/>
      <c r="AD904" s="206"/>
      <c r="AE904" s="206"/>
      <c r="AF904" s="206"/>
    </row>
    <row r="905" spans="1:32" x14ac:dyDescent="0.2">
      <c r="A905" s="206"/>
      <c r="B905" s="206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  <c r="AA905" s="206"/>
      <c r="AB905" s="206"/>
      <c r="AC905" s="206"/>
      <c r="AD905" s="206"/>
      <c r="AE905" s="206"/>
      <c r="AF905" s="206"/>
    </row>
    <row r="906" spans="1:32" x14ac:dyDescent="0.2">
      <c r="A906" s="206"/>
      <c r="B906" s="206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  <c r="AA906" s="206"/>
      <c r="AB906" s="206"/>
      <c r="AC906" s="206"/>
      <c r="AD906" s="206"/>
      <c r="AE906" s="206"/>
      <c r="AF906" s="206"/>
    </row>
    <row r="907" spans="1:32" x14ac:dyDescent="0.2">
      <c r="A907" s="206"/>
      <c r="B907" s="206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  <c r="AA907" s="206"/>
      <c r="AB907" s="206"/>
      <c r="AC907" s="206"/>
      <c r="AD907" s="206"/>
      <c r="AE907" s="206"/>
      <c r="AF907" s="206"/>
    </row>
    <row r="908" spans="1:32" x14ac:dyDescent="0.2">
      <c r="A908" s="206"/>
      <c r="B908" s="206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  <c r="AA908" s="206"/>
      <c r="AB908" s="206"/>
      <c r="AC908" s="206"/>
      <c r="AD908" s="206"/>
      <c r="AE908" s="206"/>
      <c r="AF908" s="206"/>
    </row>
    <row r="909" spans="1:32" x14ac:dyDescent="0.2">
      <c r="A909" s="206"/>
      <c r="B909" s="206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  <c r="AA909" s="206"/>
      <c r="AB909" s="206"/>
      <c r="AC909" s="206"/>
      <c r="AD909" s="206"/>
      <c r="AE909" s="206"/>
      <c r="AF909" s="206"/>
    </row>
    <row r="910" spans="1:32" x14ac:dyDescent="0.2">
      <c r="A910" s="206"/>
      <c r="B910" s="206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  <c r="AA910" s="206"/>
      <c r="AB910" s="206"/>
      <c r="AC910" s="206"/>
      <c r="AD910" s="206"/>
      <c r="AE910" s="206"/>
      <c r="AF910" s="206"/>
    </row>
    <row r="911" spans="1:32" x14ac:dyDescent="0.2">
      <c r="A911" s="206"/>
      <c r="B911" s="206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  <c r="AA911" s="206"/>
      <c r="AB911" s="206"/>
      <c r="AC911" s="206"/>
      <c r="AD911" s="206"/>
      <c r="AE911" s="206"/>
      <c r="AF911" s="206"/>
    </row>
    <row r="912" spans="1:32" x14ac:dyDescent="0.2">
      <c r="A912" s="206"/>
      <c r="B912" s="206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  <c r="AA912" s="206"/>
      <c r="AB912" s="206"/>
      <c r="AC912" s="206"/>
      <c r="AD912" s="206"/>
      <c r="AE912" s="206"/>
      <c r="AF912" s="206"/>
    </row>
    <row r="913" spans="1:32" x14ac:dyDescent="0.2">
      <c r="A913" s="206"/>
      <c r="B913" s="206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  <c r="AA913" s="206"/>
      <c r="AB913" s="206"/>
      <c r="AC913" s="206"/>
      <c r="AD913" s="206"/>
      <c r="AE913" s="206"/>
      <c r="AF913" s="206"/>
    </row>
    <row r="914" spans="1:32" x14ac:dyDescent="0.2">
      <c r="A914" s="206"/>
      <c r="B914" s="206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  <c r="AA914" s="206"/>
      <c r="AB914" s="206"/>
      <c r="AC914" s="206"/>
      <c r="AD914" s="206"/>
      <c r="AE914" s="206"/>
      <c r="AF914" s="206"/>
    </row>
    <row r="915" spans="1:32" x14ac:dyDescent="0.2">
      <c r="A915" s="206"/>
      <c r="B915" s="206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  <c r="AA915" s="206"/>
      <c r="AB915" s="206"/>
      <c r="AC915" s="206"/>
      <c r="AD915" s="206"/>
      <c r="AE915" s="206"/>
      <c r="AF915" s="206"/>
    </row>
    <row r="916" spans="1:32" x14ac:dyDescent="0.2">
      <c r="A916" s="206"/>
      <c r="B916" s="206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  <c r="AA916" s="206"/>
      <c r="AB916" s="206"/>
      <c r="AC916" s="206"/>
      <c r="AD916" s="206"/>
      <c r="AE916" s="206"/>
      <c r="AF916" s="206"/>
    </row>
    <row r="917" spans="1:32" x14ac:dyDescent="0.2">
      <c r="A917" s="206"/>
      <c r="B917" s="206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  <c r="AA917" s="206"/>
      <c r="AB917" s="206"/>
      <c r="AC917" s="206"/>
      <c r="AD917" s="206"/>
      <c r="AE917" s="206"/>
      <c r="AF917" s="206"/>
    </row>
    <row r="918" spans="1:32" x14ac:dyDescent="0.2">
      <c r="A918" s="206"/>
      <c r="B918" s="206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  <c r="AA918" s="206"/>
      <c r="AB918" s="206"/>
      <c r="AC918" s="206"/>
      <c r="AD918" s="206"/>
      <c r="AE918" s="206"/>
      <c r="AF918" s="206"/>
    </row>
    <row r="919" spans="1:32" x14ac:dyDescent="0.2">
      <c r="A919" s="206"/>
      <c r="B919" s="206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  <c r="AA919" s="206"/>
      <c r="AB919" s="206"/>
      <c r="AC919" s="206"/>
      <c r="AD919" s="206"/>
      <c r="AE919" s="206"/>
      <c r="AF919" s="206"/>
    </row>
    <row r="920" spans="1:32" x14ac:dyDescent="0.2">
      <c r="A920" s="206"/>
      <c r="B920" s="206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  <c r="AA920" s="206"/>
      <c r="AB920" s="206"/>
      <c r="AC920" s="206"/>
      <c r="AD920" s="206"/>
      <c r="AE920" s="206"/>
      <c r="AF920" s="206"/>
    </row>
    <row r="921" spans="1:32" x14ac:dyDescent="0.2">
      <c r="A921" s="206"/>
      <c r="B921" s="206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  <c r="AA921" s="206"/>
      <c r="AB921" s="206"/>
      <c r="AC921" s="206"/>
      <c r="AD921" s="206"/>
      <c r="AE921" s="206"/>
      <c r="AF921" s="206"/>
    </row>
    <row r="922" spans="1:32" x14ac:dyDescent="0.2">
      <c r="A922" s="206"/>
      <c r="B922" s="206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  <c r="AA922" s="206"/>
      <c r="AB922" s="206"/>
      <c r="AC922" s="206"/>
      <c r="AD922" s="206"/>
      <c r="AE922" s="206"/>
      <c r="AF922" s="206"/>
    </row>
    <row r="923" spans="1:32" x14ac:dyDescent="0.2">
      <c r="A923" s="206"/>
      <c r="B923" s="206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  <c r="AA923" s="206"/>
      <c r="AB923" s="206"/>
      <c r="AC923" s="206"/>
      <c r="AD923" s="206"/>
      <c r="AE923" s="206"/>
      <c r="AF923" s="206"/>
    </row>
    <row r="924" spans="1:32" x14ac:dyDescent="0.2">
      <c r="A924" s="206"/>
      <c r="B924" s="206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  <c r="AA924" s="206"/>
      <c r="AB924" s="206"/>
      <c r="AC924" s="206"/>
      <c r="AD924" s="206"/>
      <c r="AE924" s="206"/>
      <c r="AF924" s="206"/>
    </row>
    <row r="925" spans="1:32" x14ac:dyDescent="0.2">
      <c r="A925" s="206"/>
      <c r="B925" s="206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  <c r="AA925" s="206"/>
      <c r="AB925" s="206"/>
      <c r="AC925" s="206"/>
      <c r="AD925" s="206"/>
      <c r="AE925" s="206"/>
      <c r="AF925" s="206"/>
    </row>
    <row r="926" spans="1:32" x14ac:dyDescent="0.2">
      <c r="A926" s="206"/>
      <c r="B926" s="206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  <c r="AA926" s="206"/>
      <c r="AB926" s="206"/>
      <c r="AC926" s="206"/>
      <c r="AD926" s="206"/>
      <c r="AE926" s="206"/>
      <c r="AF926" s="206"/>
    </row>
    <row r="927" spans="1:32" x14ac:dyDescent="0.2">
      <c r="A927" s="206"/>
      <c r="B927" s="206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  <c r="AA927" s="206"/>
      <c r="AB927" s="206"/>
      <c r="AC927" s="206"/>
      <c r="AD927" s="206"/>
      <c r="AE927" s="206"/>
      <c r="AF927" s="206"/>
    </row>
    <row r="928" spans="1:32" x14ac:dyDescent="0.2">
      <c r="A928" s="206"/>
      <c r="B928" s="206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  <c r="AA928" s="206"/>
      <c r="AB928" s="206"/>
      <c r="AC928" s="206"/>
      <c r="AD928" s="206"/>
      <c r="AE928" s="206"/>
      <c r="AF928" s="206"/>
    </row>
    <row r="929" spans="1:32" x14ac:dyDescent="0.2">
      <c r="A929" s="206"/>
      <c r="B929" s="206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  <c r="AA929" s="206"/>
      <c r="AB929" s="206"/>
      <c r="AC929" s="206"/>
      <c r="AD929" s="206"/>
      <c r="AE929" s="206"/>
      <c r="AF929" s="206"/>
    </row>
    <row r="930" spans="1:32" x14ac:dyDescent="0.2">
      <c r="A930" s="206"/>
      <c r="B930" s="206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  <c r="AA930" s="206"/>
      <c r="AB930" s="206"/>
      <c r="AC930" s="206"/>
      <c r="AD930" s="206"/>
      <c r="AE930" s="206"/>
      <c r="AF930" s="206"/>
    </row>
    <row r="931" spans="1:32" x14ac:dyDescent="0.2">
      <c r="A931" s="206"/>
      <c r="B931" s="206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  <c r="AA931" s="206"/>
      <c r="AB931" s="206"/>
      <c r="AC931" s="206"/>
      <c r="AD931" s="206"/>
      <c r="AE931" s="206"/>
      <c r="AF931" s="206"/>
    </row>
    <row r="932" spans="1:32" x14ac:dyDescent="0.2">
      <c r="A932" s="206"/>
      <c r="B932" s="206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  <c r="AA932" s="206"/>
      <c r="AB932" s="206"/>
      <c r="AC932" s="206"/>
      <c r="AD932" s="206"/>
      <c r="AE932" s="206"/>
      <c r="AF932" s="206"/>
    </row>
    <row r="933" spans="1:32" x14ac:dyDescent="0.2">
      <c r="A933" s="206"/>
      <c r="B933" s="206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  <c r="AA933" s="206"/>
      <c r="AB933" s="206"/>
      <c r="AC933" s="206"/>
      <c r="AD933" s="206"/>
      <c r="AE933" s="206"/>
      <c r="AF933" s="206"/>
    </row>
    <row r="934" spans="1:32" x14ac:dyDescent="0.2">
      <c r="A934" s="206"/>
      <c r="B934" s="206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  <c r="AA934" s="206"/>
      <c r="AB934" s="206"/>
      <c r="AC934" s="206"/>
      <c r="AD934" s="206"/>
      <c r="AE934" s="206"/>
      <c r="AF934" s="206"/>
    </row>
    <row r="935" spans="1:32" x14ac:dyDescent="0.2">
      <c r="A935" s="206"/>
      <c r="B935" s="206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  <c r="AA935" s="206"/>
      <c r="AB935" s="206"/>
      <c r="AC935" s="206"/>
      <c r="AD935" s="206"/>
      <c r="AE935" s="206"/>
      <c r="AF935" s="206"/>
    </row>
    <row r="936" spans="1:32" x14ac:dyDescent="0.2">
      <c r="A936" s="206"/>
      <c r="B936" s="206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  <c r="AA936" s="206"/>
      <c r="AB936" s="206"/>
      <c r="AC936" s="206"/>
      <c r="AD936" s="206"/>
      <c r="AE936" s="206"/>
      <c r="AF936" s="206"/>
    </row>
    <row r="937" spans="1:32" x14ac:dyDescent="0.2">
      <c r="A937" s="206"/>
      <c r="B937" s="206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  <c r="AA937" s="206"/>
      <c r="AB937" s="206"/>
      <c r="AC937" s="206"/>
      <c r="AD937" s="206"/>
      <c r="AE937" s="206"/>
      <c r="AF937" s="206"/>
    </row>
    <row r="938" spans="1:32" x14ac:dyDescent="0.2">
      <c r="A938" s="206"/>
      <c r="B938" s="206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  <c r="AA938" s="206"/>
      <c r="AB938" s="206"/>
      <c r="AC938" s="206"/>
      <c r="AD938" s="206"/>
      <c r="AE938" s="206"/>
      <c r="AF938" s="206"/>
    </row>
    <row r="939" spans="1:32" x14ac:dyDescent="0.2">
      <c r="A939" s="206"/>
      <c r="B939" s="206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  <c r="AA939" s="206"/>
      <c r="AB939" s="206"/>
      <c r="AC939" s="206"/>
      <c r="AD939" s="206"/>
      <c r="AE939" s="206"/>
      <c r="AF939" s="206"/>
    </row>
    <row r="940" spans="1:32" x14ac:dyDescent="0.2">
      <c r="A940" s="206"/>
      <c r="B940" s="206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  <c r="AA940" s="206"/>
      <c r="AB940" s="206"/>
      <c r="AC940" s="206"/>
      <c r="AD940" s="206"/>
      <c r="AE940" s="206"/>
      <c r="AF940" s="206"/>
    </row>
    <row r="941" spans="1:32" x14ac:dyDescent="0.2">
      <c r="A941" s="206"/>
      <c r="B941" s="206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  <c r="AA941" s="206"/>
      <c r="AB941" s="206"/>
      <c r="AC941" s="206"/>
      <c r="AD941" s="206"/>
      <c r="AE941" s="206"/>
      <c r="AF941" s="206"/>
    </row>
    <row r="942" spans="1:32" x14ac:dyDescent="0.2">
      <c r="A942" s="206"/>
      <c r="B942" s="206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  <c r="AA942" s="206"/>
      <c r="AB942" s="206"/>
      <c r="AC942" s="206"/>
      <c r="AD942" s="206"/>
      <c r="AE942" s="206"/>
      <c r="AF942" s="206"/>
    </row>
    <row r="943" spans="1:32" x14ac:dyDescent="0.2">
      <c r="A943" s="206"/>
      <c r="B943" s="206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  <c r="AA943" s="206"/>
      <c r="AB943" s="206"/>
      <c r="AC943" s="206"/>
      <c r="AD943" s="206"/>
      <c r="AE943" s="206"/>
      <c r="AF943" s="206"/>
    </row>
    <row r="944" spans="1:32" x14ac:dyDescent="0.2">
      <c r="A944" s="206"/>
      <c r="B944" s="206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  <c r="AA944" s="206"/>
      <c r="AB944" s="206"/>
      <c r="AC944" s="206"/>
      <c r="AD944" s="206"/>
      <c r="AE944" s="206"/>
      <c r="AF944" s="206"/>
    </row>
    <row r="945" spans="1:32" x14ac:dyDescent="0.2">
      <c r="A945" s="206"/>
      <c r="B945" s="206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  <c r="AA945" s="206"/>
      <c r="AB945" s="206"/>
      <c r="AC945" s="206"/>
      <c r="AD945" s="206"/>
      <c r="AE945" s="206"/>
      <c r="AF945" s="206"/>
    </row>
    <row r="946" spans="1:32" x14ac:dyDescent="0.2">
      <c r="A946" s="206"/>
      <c r="B946" s="206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  <c r="AA946" s="206"/>
      <c r="AB946" s="206"/>
      <c r="AC946" s="206"/>
      <c r="AD946" s="206"/>
      <c r="AE946" s="206"/>
      <c r="AF946" s="206"/>
    </row>
    <row r="947" spans="1:32" x14ac:dyDescent="0.2">
      <c r="A947" s="206"/>
      <c r="B947" s="206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  <c r="AA947" s="206"/>
      <c r="AB947" s="206"/>
      <c r="AC947" s="206"/>
      <c r="AD947" s="206"/>
      <c r="AE947" s="206"/>
      <c r="AF947" s="206"/>
    </row>
    <row r="948" spans="1:32" x14ac:dyDescent="0.2">
      <c r="A948" s="206"/>
      <c r="B948" s="206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  <c r="AA948" s="206"/>
      <c r="AB948" s="206"/>
      <c r="AC948" s="206"/>
      <c r="AD948" s="206"/>
      <c r="AE948" s="206"/>
      <c r="AF948" s="206"/>
    </row>
    <row r="949" spans="1:32" x14ac:dyDescent="0.2">
      <c r="A949" s="206"/>
      <c r="B949" s="206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  <c r="AA949" s="206"/>
      <c r="AB949" s="206"/>
      <c r="AC949" s="206"/>
      <c r="AD949" s="206"/>
      <c r="AE949" s="206"/>
      <c r="AF949" s="206"/>
    </row>
    <row r="950" spans="1:32" x14ac:dyDescent="0.2">
      <c r="A950" s="206"/>
      <c r="B950" s="206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  <c r="AA950" s="206"/>
      <c r="AB950" s="206"/>
      <c r="AC950" s="206"/>
      <c r="AD950" s="206"/>
      <c r="AE950" s="206"/>
      <c r="AF950" s="206"/>
    </row>
    <row r="951" spans="1:32" x14ac:dyDescent="0.2">
      <c r="A951" s="206"/>
      <c r="B951" s="206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  <c r="AA951" s="206"/>
      <c r="AB951" s="206"/>
      <c r="AC951" s="206"/>
      <c r="AD951" s="206"/>
      <c r="AE951" s="206"/>
      <c r="AF951" s="206"/>
    </row>
    <row r="952" spans="1:32" x14ac:dyDescent="0.2">
      <c r="A952" s="206"/>
      <c r="B952" s="206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  <c r="AA952" s="206"/>
      <c r="AB952" s="206"/>
      <c r="AC952" s="206"/>
      <c r="AD952" s="206"/>
      <c r="AE952" s="206"/>
      <c r="AF952" s="206"/>
    </row>
    <row r="953" spans="1:32" x14ac:dyDescent="0.2">
      <c r="A953" s="206"/>
      <c r="B953" s="206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  <c r="AA953" s="206"/>
      <c r="AB953" s="206"/>
      <c r="AC953" s="206"/>
      <c r="AD953" s="206"/>
      <c r="AE953" s="206"/>
      <c r="AF953" s="206"/>
    </row>
    <row r="954" spans="1:32" x14ac:dyDescent="0.2">
      <c r="A954" s="206"/>
      <c r="B954" s="206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  <c r="AA954" s="206"/>
      <c r="AB954" s="206"/>
      <c r="AC954" s="206"/>
      <c r="AD954" s="206"/>
      <c r="AE954" s="206"/>
      <c r="AF954" s="206"/>
    </row>
    <row r="955" spans="1:32" x14ac:dyDescent="0.2">
      <c r="A955" s="206"/>
      <c r="B955" s="206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  <c r="AA955" s="206"/>
      <c r="AB955" s="206"/>
      <c r="AC955" s="206"/>
      <c r="AD955" s="206"/>
      <c r="AE955" s="206"/>
      <c r="AF955" s="206"/>
    </row>
    <row r="956" spans="1:32" x14ac:dyDescent="0.2">
      <c r="A956" s="206"/>
      <c r="B956" s="206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  <c r="AA956" s="206"/>
      <c r="AB956" s="206"/>
      <c r="AC956" s="206"/>
      <c r="AD956" s="206"/>
      <c r="AE956" s="206"/>
      <c r="AF956" s="206"/>
    </row>
    <row r="957" spans="1:32" x14ac:dyDescent="0.2">
      <c r="A957" s="206"/>
      <c r="B957" s="206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  <c r="AA957" s="206"/>
      <c r="AB957" s="206"/>
      <c r="AC957" s="206"/>
      <c r="AD957" s="206"/>
      <c r="AE957" s="206"/>
      <c r="AF957" s="206"/>
    </row>
    <row r="958" spans="1:32" x14ac:dyDescent="0.2">
      <c r="A958" s="206"/>
      <c r="B958" s="206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  <c r="AA958" s="206"/>
      <c r="AB958" s="206"/>
      <c r="AC958" s="206"/>
      <c r="AD958" s="206"/>
      <c r="AE958" s="206"/>
      <c r="AF958" s="206"/>
    </row>
    <row r="959" spans="1:32" x14ac:dyDescent="0.2">
      <c r="A959" s="206"/>
      <c r="B959" s="206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  <c r="AA959" s="206"/>
      <c r="AB959" s="206"/>
      <c r="AC959" s="206"/>
      <c r="AD959" s="206"/>
      <c r="AE959" s="206"/>
      <c r="AF959" s="206"/>
    </row>
    <row r="960" spans="1:32" x14ac:dyDescent="0.2">
      <c r="A960" s="206"/>
      <c r="B960" s="206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  <c r="AA960" s="206"/>
      <c r="AB960" s="206"/>
      <c r="AC960" s="206"/>
      <c r="AD960" s="206"/>
      <c r="AE960" s="206"/>
      <c r="AF960" s="206"/>
    </row>
    <row r="961" spans="1:32" x14ac:dyDescent="0.2">
      <c r="A961" s="206"/>
      <c r="B961" s="206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  <c r="AA961" s="206"/>
      <c r="AB961" s="206"/>
      <c r="AC961" s="206"/>
      <c r="AD961" s="206"/>
      <c r="AE961" s="206"/>
      <c r="AF961" s="206"/>
    </row>
    <row r="962" spans="1:32" x14ac:dyDescent="0.2">
      <c r="A962" s="206"/>
      <c r="B962" s="206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  <c r="AA962" s="206"/>
      <c r="AB962" s="206"/>
      <c r="AC962" s="206"/>
      <c r="AD962" s="206"/>
      <c r="AE962" s="206"/>
      <c r="AF962" s="206"/>
    </row>
    <row r="963" spans="1:32" x14ac:dyDescent="0.2">
      <c r="A963" s="206"/>
      <c r="B963" s="206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  <c r="AA963" s="206"/>
      <c r="AB963" s="206"/>
      <c r="AC963" s="206"/>
      <c r="AD963" s="206"/>
      <c r="AE963" s="206"/>
      <c r="AF963" s="206"/>
    </row>
    <row r="964" spans="1:32" x14ac:dyDescent="0.2">
      <c r="A964" s="206"/>
      <c r="B964" s="206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  <c r="AA964" s="206"/>
      <c r="AB964" s="206"/>
      <c r="AC964" s="206"/>
      <c r="AD964" s="206"/>
      <c r="AE964" s="206"/>
      <c r="AF964" s="206"/>
    </row>
    <row r="965" spans="1:32" x14ac:dyDescent="0.2">
      <c r="A965" s="206"/>
      <c r="B965" s="206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  <c r="AA965" s="206"/>
      <c r="AB965" s="206"/>
      <c r="AC965" s="206"/>
      <c r="AD965" s="206"/>
      <c r="AE965" s="206"/>
      <c r="AF965" s="206"/>
    </row>
    <row r="966" spans="1:32" x14ac:dyDescent="0.2">
      <c r="A966" s="206"/>
      <c r="B966" s="206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  <c r="AA966" s="206"/>
      <c r="AB966" s="206"/>
      <c r="AC966" s="206"/>
      <c r="AD966" s="206"/>
      <c r="AE966" s="206"/>
      <c r="AF966" s="206"/>
    </row>
    <row r="967" spans="1:32" x14ac:dyDescent="0.2">
      <c r="A967" s="206"/>
      <c r="B967" s="206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  <c r="AA967" s="206"/>
      <c r="AB967" s="206"/>
      <c r="AC967" s="206"/>
      <c r="AD967" s="206"/>
      <c r="AE967" s="206"/>
      <c r="AF967" s="206"/>
    </row>
    <row r="968" spans="1:32" x14ac:dyDescent="0.2">
      <c r="A968" s="206"/>
      <c r="B968" s="206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  <c r="AA968" s="206"/>
      <c r="AB968" s="206"/>
      <c r="AC968" s="206"/>
      <c r="AD968" s="206"/>
      <c r="AE968" s="206"/>
      <c r="AF968" s="206"/>
    </row>
    <row r="969" spans="1:32" x14ac:dyDescent="0.2">
      <c r="A969" s="206"/>
      <c r="B969" s="206"/>
      <c r="C969" s="206"/>
      <c r="D969" s="206"/>
      <c r="E969" s="206"/>
      <c r="F969" s="206"/>
      <c r="G969" s="206"/>
      <c r="H969" s="206"/>
      <c r="I969" s="206"/>
      <c r="J969" s="206"/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  <c r="AA969" s="206"/>
      <c r="AB969" s="206"/>
      <c r="AC969" s="206"/>
      <c r="AD969" s="206"/>
      <c r="AE969" s="206"/>
      <c r="AF969" s="206"/>
    </row>
    <row r="970" spans="1:32" x14ac:dyDescent="0.2">
      <c r="A970" s="206"/>
      <c r="B970" s="206"/>
      <c r="C970" s="206"/>
      <c r="D970" s="206"/>
      <c r="E970" s="206"/>
      <c r="F970" s="206"/>
      <c r="G970" s="206"/>
      <c r="H970" s="206"/>
      <c r="I970" s="206"/>
      <c r="J970" s="206"/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  <c r="AA970" s="206"/>
      <c r="AB970" s="206"/>
      <c r="AC970" s="206"/>
      <c r="AD970" s="206"/>
      <c r="AE970" s="206"/>
      <c r="AF970" s="206"/>
    </row>
    <row r="971" spans="1:32" x14ac:dyDescent="0.2">
      <c r="A971" s="206"/>
      <c r="B971" s="206"/>
      <c r="C971" s="206"/>
      <c r="D971" s="206"/>
      <c r="E971" s="206"/>
      <c r="F971" s="206"/>
      <c r="G971" s="206"/>
      <c r="H971" s="206"/>
      <c r="I971" s="206"/>
      <c r="J971" s="206"/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  <c r="AA971" s="206"/>
      <c r="AB971" s="206"/>
      <c r="AC971" s="206"/>
      <c r="AD971" s="206"/>
      <c r="AE971" s="206"/>
      <c r="AF971" s="206"/>
    </row>
    <row r="972" spans="1:32" x14ac:dyDescent="0.2">
      <c r="A972" s="206"/>
      <c r="B972" s="206"/>
      <c r="C972" s="206"/>
      <c r="D972" s="206"/>
      <c r="E972" s="206"/>
      <c r="F972" s="206"/>
      <c r="G972" s="206"/>
      <c r="H972" s="206"/>
      <c r="I972" s="206"/>
      <c r="J972" s="206"/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  <c r="AA972" s="206"/>
      <c r="AB972" s="206"/>
      <c r="AC972" s="206"/>
      <c r="AD972" s="206"/>
      <c r="AE972" s="206"/>
      <c r="AF972" s="206"/>
    </row>
    <row r="973" spans="1:32" x14ac:dyDescent="0.2">
      <c r="A973" s="206"/>
      <c r="B973" s="206"/>
      <c r="C973" s="206"/>
      <c r="D973" s="206"/>
      <c r="E973" s="206"/>
      <c r="F973" s="206"/>
      <c r="G973" s="206"/>
      <c r="H973" s="206"/>
      <c r="I973" s="206"/>
      <c r="J973" s="206"/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  <c r="AA973" s="206"/>
      <c r="AB973" s="206"/>
      <c r="AC973" s="206"/>
      <c r="AD973" s="206"/>
      <c r="AE973" s="206"/>
      <c r="AF973" s="206"/>
    </row>
    <row r="974" spans="1:32" x14ac:dyDescent="0.2">
      <c r="A974" s="206"/>
      <c r="B974" s="206"/>
      <c r="C974" s="206"/>
      <c r="D974" s="206"/>
      <c r="E974" s="206"/>
      <c r="F974" s="206"/>
      <c r="G974" s="206"/>
      <c r="H974" s="206"/>
      <c r="I974" s="206"/>
      <c r="J974" s="206"/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  <c r="AA974" s="206"/>
      <c r="AB974" s="206"/>
      <c r="AC974" s="206"/>
      <c r="AD974" s="206"/>
      <c r="AE974" s="206"/>
      <c r="AF974" s="206"/>
    </row>
    <row r="975" spans="1:32" x14ac:dyDescent="0.2">
      <c r="A975" s="206"/>
      <c r="B975" s="206"/>
      <c r="C975" s="206"/>
      <c r="D975" s="206"/>
      <c r="E975" s="206"/>
      <c r="F975" s="206"/>
      <c r="G975" s="206"/>
      <c r="H975" s="206"/>
      <c r="I975" s="206"/>
      <c r="J975" s="206"/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  <c r="AA975" s="206"/>
      <c r="AB975" s="206"/>
      <c r="AC975" s="206"/>
      <c r="AD975" s="206"/>
      <c r="AE975" s="206"/>
      <c r="AF975" s="206"/>
    </row>
    <row r="976" spans="1:32" x14ac:dyDescent="0.2">
      <c r="A976" s="206"/>
      <c r="B976" s="206"/>
      <c r="C976" s="206"/>
      <c r="D976" s="206"/>
      <c r="E976" s="206"/>
      <c r="F976" s="206"/>
      <c r="G976" s="206"/>
      <c r="H976" s="206"/>
      <c r="I976" s="206"/>
      <c r="J976" s="206"/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  <c r="AA976" s="206"/>
      <c r="AB976" s="206"/>
      <c r="AC976" s="206"/>
      <c r="AD976" s="206"/>
      <c r="AE976" s="206"/>
      <c r="AF976" s="206"/>
    </row>
    <row r="977" spans="1:32" x14ac:dyDescent="0.2">
      <c r="A977" s="206"/>
      <c r="B977" s="206"/>
      <c r="C977" s="206"/>
      <c r="D977" s="206"/>
      <c r="E977" s="206"/>
      <c r="F977" s="206"/>
      <c r="G977" s="206"/>
      <c r="H977" s="206"/>
      <c r="I977" s="206"/>
      <c r="J977" s="206"/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  <c r="AA977" s="206"/>
      <c r="AB977" s="206"/>
      <c r="AC977" s="206"/>
      <c r="AD977" s="206"/>
      <c r="AE977" s="206"/>
      <c r="AF977" s="206"/>
    </row>
    <row r="978" spans="1:32" x14ac:dyDescent="0.2">
      <c r="A978" s="206"/>
      <c r="B978" s="206"/>
      <c r="C978" s="206"/>
      <c r="D978" s="206"/>
      <c r="E978" s="206"/>
      <c r="F978" s="206"/>
      <c r="G978" s="206"/>
      <c r="H978" s="206"/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  <c r="AA978" s="206"/>
      <c r="AB978" s="206"/>
      <c r="AC978" s="206"/>
      <c r="AD978" s="206"/>
      <c r="AE978" s="206"/>
      <c r="AF978" s="206"/>
    </row>
    <row r="979" spans="1:32" x14ac:dyDescent="0.2">
      <c r="A979" s="206"/>
      <c r="B979" s="206"/>
      <c r="C979" s="206"/>
      <c r="D979" s="206"/>
      <c r="E979" s="206"/>
      <c r="F979" s="206"/>
      <c r="G979" s="206"/>
      <c r="H979" s="206"/>
      <c r="I979" s="206"/>
      <c r="J979" s="206"/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  <c r="AA979" s="206"/>
      <c r="AB979" s="206"/>
      <c r="AC979" s="206"/>
      <c r="AD979" s="206"/>
      <c r="AE979" s="206"/>
      <c r="AF979" s="206"/>
    </row>
    <row r="980" spans="1:32" x14ac:dyDescent="0.2">
      <c r="A980" s="206"/>
      <c r="B980" s="206"/>
      <c r="C980" s="206"/>
      <c r="D980" s="206"/>
      <c r="E980" s="206"/>
      <c r="F980" s="206"/>
      <c r="G980" s="206"/>
      <c r="H980" s="206"/>
      <c r="I980" s="206"/>
      <c r="J980" s="206"/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  <c r="AA980" s="206"/>
      <c r="AB980" s="206"/>
      <c r="AC980" s="206"/>
      <c r="AD980" s="206"/>
      <c r="AE980" s="206"/>
      <c r="AF980" s="206"/>
    </row>
    <row r="981" spans="1:32" x14ac:dyDescent="0.2">
      <c r="A981" s="206"/>
      <c r="B981" s="206"/>
      <c r="C981" s="206"/>
      <c r="D981" s="206"/>
      <c r="E981" s="206"/>
      <c r="F981" s="206"/>
      <c r="G981" s="206"/>
      <c r="H981" s="206"/>
      <c r="I981" s="206"/>
      <c r="J981" s="206"/>
      <c r="K981" s="206"/>
      <c r="L981" s="206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  <c r="AA981" s="206"/>
      <c r="AB981" s="206"/>
      <c r="AC981" s="206"/>
      <c r="AD981" s="206"/>
      <c r="AE981" s="206"/>
      <c r="AF981" s="206"/>
    </row>
    <row r="982" spans="1:32" x14ac:dyDescent="0.2">
      <c r="A982" s="206"/>
      <c r="B982" s="206"/>
      <c r="C982" s="206"/>
      <c r="D982" s="206"/>
      <c r="E982" s="206"/>
      <c r="F982" s="206"/>
      <c r="G982" s="206"/>
      <c r="H982" s="206"/>
      <c r="I982" s="206"/>
      <c r="J982" s="206"/>
      <c r="K982" s="206"/>
      <c r="L982" s="206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  <c r="AA982" s="206"/>
      <c r="AB982" s="206"/>
      <c r="AC982" s="206"/>
      <c r="AD982" s="206"/>
      <c r="AE982" s="206"/>
      <c r="AF982" s="206"/>
    </row>
    <row r="983" spans="1:32" x14ac:dyDescent="0.2">
      <c r="A983" s="206"/>
      <c r="B983" s="206"/>
      <c r="C983" s="206"/>
      <c r="D983" s="206"/>
      <c r="E983" s="206"/>
      <c r="F983" s="206"/>
      <c r="G983" s="206"/>
      <c r="H983" s="206"/>
      <c r="I983" s="206"/>
      <c r="J983" s="206"/>
      <c r="K983" s="206"/>
      <c r="L983" s="206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  <c r="AA983" s="206"/>
      <c r="AB983" s="206"/>
      <c r="AC983" s="206"/>
      <c r="AD983" s="206"/>
      <c r="AE983" s="206"/>
      <c r="AF983" s="206"/>
    </row>
    <row r="984" spans="1:32" x14ac:dyDescent="0.2">
      <c r="A984" s="206"/>
      <c r="B984" s="206"/>
      <c r="C984" s="206"/>
      <c r="D984" s="206"/>
      <c r="E984" s="206"/>
      <c r="F984" s="206"/>
      <c r="G984" s="206"/>
      <c r="H984" s="206"/>
      <c r="I984" s="206"/>
      <c r="J984" s="206"/>
      <c r="K984" s="206"/>
      <c r="L984" s="206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  <c r="AA984" s="206"/>
      <c r="AB984" s="206"/>
      <c r="AC984" s="206"/>
      <c r="AD984" s="206"/>
      <c r="AE984" s="206"/>
      <c r="AF984" s="206"/>
    </row>
    <row r="985" spans="1:32" x14ac:dyDescent="0.2">
      <c r="A985" s="206"/>
      <c r="B985" s="206"/>
      <c r="C985" s="206"/>
      <c r="D985" s="206"/>
      <c r="E985" s="206"/>
      <c r="F985" s="206"/>
      <c r="G985" s="206"/>
      <c r="H985" s="206"/>
      <c r="I985" s="206"/>
      <c r="J985" s="206"/>
      <c r="K985" s="206"/>
      <c r="L985" s="206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  <c r="AA985" s="206"/>
      <c r="AB985" s="206"/>
      <c r="AC985" s="206"/>
      <c r="AD985" s="206"/>
      <c r="AE985" s="206"/>
      <c r="AF985" s="206"/>
    </row>
    <row r="986" spans="1:32" x14ac:dyDescent="0.2">
      <c r="A986" s="206"/>
      <c r="B986" s="206"/>
      <c r="C986" s="206"/>
      <c r="D986" s="206"/>
      <c r="E986" s="206"/>
      <c r="F986" s="206"/>
      <c r="G986" s="206"/>
      <c r="H986" s="206"/>
      <c r="I986" s="206"/>
      <c r="J986" s="206"/>
      <c r="K986" s="206"/>
      <c r="L986" s="206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  <c r="AA986" s="206"/>
      <c r="AB986" s="206"/>
      <c r="AC986" s="206"/>
      <c r="AD986" s="206"/>
      <c r="AE986" s="206"/>
      <c r="AF986" s="206"/>
    </row>
    <row r="987" spans="1:32" x14ac:dyDescent="0.2">
      <c r="A987" s="206"/>
      <c r="B987" s="206"/>
      <c r="C987" s="206"/>
      <c r="D987" s="206"/>
      <c r="E987" s="206"/>
      <c r="F987" s="206"/>
      <c r="G987" s="206"/>
      <c r="H987" s="206"/>
      <c r="I987" s="206"/>
      <c r="J987" s="206"/>
      <c r="K987" s="206"/>
      <c r="L987" s="206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  <c r="AA987" s="206"/>
      <c r="AB987" s="206"/>
      <c r="AC987" s="206"/>
      <c r="AD987" s="206"/>
      <c r="AE987" s="206"/>
      <c r="AF987" s="206"/>
    </row>
    <row r="988" spans="1:32" x14ac:dyDescent="0.2">
      <c r="A988" s="206"/>
      <c r="B988" s="206"/>
      <c r="C988" s="206"/>
      <c r="D988" s="206"/>
      <c r="E988" s="206"/>
      <c r="F988" s="206"/>
      <c r="G988" s="206"/>
      <c r="H988" s="206"/>
      <c r="I988" s="206"/>
      <c r="J988" s="206"/>
      <c r="K988" s="206"/>
      <c r="L988" s="206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  <c r="AA988" s="206"/>
      <c r="AB988" s="206"/>
      <c r="AC988" s="206"/>
      <c r="AD988" s="206"/>
      <c r="AE988" s="206"/>
      <c r="AF988" s="206"/>
    </row>
    <row r="989" spans="1:32" x14ac:dyDescent="0.2">
      <c r="A989" s="206"/>
      <c r="B989" s="206"/>
      <c r="C989" s="206"/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  <c r="AA989" s="206"/>
      <c r="AB989" s="206"/>
      <c r="AC989" s="206"/>
      <c r="AD989" s="206"/>
      <c r="AE989" s="206"/>
      <c r="AF989" s="206"/>
    </row>
    <row r="990" spans="1:32" x14ac:dyDescent="0.2">
      <c r="A990" s="206"/>
      <c r="B990" s="206"/>
      <c r="C990" s="206"/>
      <c r="D990" s="206"/>
      <c r="E990" s="206"/>
      <c r="F990" s="206"/>
      <c r="G990" s="206"/>
      <c r="H990" s="206"/>
      <c r="I990" s="206"/>
      <c r="J990" s="206"/>
      <c r="K990" s="206"/>
      <c r="L990" s="206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  <c r="AA990" s="206"/>
      <c r="AB990" s="206"/>
      <c r="AC990" s="206"/>
      <c r="AD990" s="206"/>
      <c r="AE990" s="206"/>
      <c r="AF990" s="206"/>
    </row>
    <row r="991" spans="1:32" x14ac:dyDescent="0.2">
      <c r="A991" s="206"/>
      <c r="B991" s="206"/>
      <c r="C991" s="206"/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  <c r="AA991" s="206"/>
      <c r="AB991" s="206"/>
      <c r="AC991" s="206"/>
      <c r="AD991" s="206"/>
      <c r="AE991" s="206"/>
      <c r="AF991" s="206"/>
    </row>
    <row r="992" spans="1:32" x14ac:dyDescent="0.2">
      <c r="A992" s="206"/>
      <c r="B992" s="206"/>
      <c r="C992" s="206"/>
      <c r="D992" s="206"/>
      <c r="E992" s="206"/>
      <c r="F992" s="206"/>
      <c r="G992" s="206"/>
      <c r="H992" s="206"/>
      <c r="I992" s="206"/>
      <c r="J992" s="206"/>
      <c r="K992" s="206"/>
      <c r="L992" s="206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  <c r="AA992" s="206"/>
      <c r="AB992" s="206"/>
      <c r="AC992" s="206"/>
      <c r="AD992" s="206"/>
      <c r="AE992" s="206"/>
      <c r="AF992" s="206"/>
    </row>
    <row r="993" spans="1:32" x14ac:dyDescent="0.2">
      <c r="A993" s="206"/>
      <c r="B993" s="206"/>
      <c r="C993" s="206"/>
      <c r="D993" s="206"/>
      <c r="E993" s="206"/>
      <c r="F993" s="206"/>
      <c r="G993" s="206"/>
      <c r="H993" s="206"/>
      <c r="I993" s="206"/>
      <c r="J993" s="206"/>
      <c r="K993" s="206"/>
      <c r="L993" s="206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  <c r="AA993" s="206"/>
      <c r="AB993" s="206"/>
      <c r="AC993" s="206"/>
      <c r="AD993" s="206"/>
      <c r="AE993" s="206"/>
      <c r="AF993" s="206"/>
    </row>
    <row r="994" spans="1:32" x14ac:dyDescent="0.2">
      <c r="A994" s="206"/>
      <c r="B994" s="206"/>
      <c r="C994" s="206"/>
      <c r="D994" s="206"/>
      <c r="E994" s="206"/>
      <c r="F994" s="206"/>
      <c r="G994" s="206"/>
      <c r="H994" s="206"/>
      <c r="I994" s="206"/>
      <c r="J994" s="206"/>
      <c r="K994" s="206"/>
      <c r="L994" s="206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  <c r="AA994" s="206"/>
      <c r="AB994" s="206"/>
      <c r="AC994" s="206"/>
      <c r="AD994" s="206"/>
      <c r="AE994" s="206"/>
      <c r="AF994" s="206"/>
    </row>
    <row r="995" spans="1:32" x14ac:dyDescent="0.2">
      <c r="A995" s="206"/>
      <c r="B995" s="206"/>
      <c r="C995" s="206"/>
      <c r="D995" s="206"/>
      <c r="E995" s="206"/>
      <c r="F995" s="206"/>
      <c r="G995" s="206"/>
      <c r="H995" s="206"/>
      <c r="I995" s="206"/>
      <c r="J995" s="206"/>
      <c r="K995" s="206"/>
      <c r="L995" s="206"/>
      <c r="M995" s="206"/>
      <c r="N995" s="206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  <c r="AA995" s="206"/>
      <c r="AB995" s="206"/>
      <c r="AC995" s="206"/>
      <c r="AD995" s="206"/>
      <c r="AE995" s="206"/>
      <c r="AF995" s="206"/>
    </row>
    <row r="996" spans="1:32" x14ac:dyDescent="0.2">
      <c r="A996" s="206"/>
      <c r="B996" s="206"/>
      <c r="C996" s="206"/>
      <c r="D996" s="206"/>
      <c r="E996" s="206"/>
      <c r="F996" s="206"/>
      <c r="G996" s="206"/>
      <c r="H996" s="206"/>
      <c r="I996" s="206"/>
      <c r="J996" s="206"/>
      <c r="K996" s="206"/>
      <c r="L996" s="206"/>
      <c r="M996" s="206"/>
      <c r="N996" s="206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  <c r="AA996" s="206"/>
      <c r="AB996" s="206"/>
      <c r="AC996" s="206"/>
      <c r="AD996" s="206"/>
      <c r="AE996" s="206"/>
      <c r="AF996" s="206"/>
    </row>
    <row r="997" spans="1:32" x14ac:dyDescent="0.2">
      <c r="A997" s="206"/>
      <c r="B997" s="206"/>
      <c r="C997" s="206"/>
      <c r="D997" s="206"/>
      <c r="E997" s="206"/>
      <c r="F997" s="206"/>
      <c r="G997" s="206"/>
      <c r="H997" s="206"/>
      <c r="I997" s="206"/>
      <c r="J997" s="206"/>
      <c r="K997" s="206"/>
      <c r="L997" s="206"/>
      <c r="M997" s="206"/>
      <c r="N997" s="206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  <c r="AA997" s="206"/>
      <c r="AB997" s="206"/>
      <c r="AC997" s="206"/>
      <c r="AD997" s="206"/>
      <c r="AE997" s="206"/>
      <c r="AF997" s="206"/>
    </row>
    <row r="998" spans="1:32" x14ac:dyDescent="0.2">
      <c r="A998" s="206"/>
      <c r="B998" s="206"/>
      <c r="C998" s="206"/>
      <c r="D998" s="206"/>
      <c r="E998" s="206"/>
      <c r="F998" s="206"/>
      <c r="G998" s="206"/>
      <c r="H998" s="206"/>
      <c r="I998" s="206"/>
      <c r="J998" s="206"/>
      <c r="K998" s="206"/>
      <c r="L998" s="206"/>
      <c r="M998" s="206"/>
      <c r="N998" s="206"/>
      <c r="O998" s="206"/>
      <c r="P998" s="20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  <c r="AA998" s="206"/>
      <c r="AB998" s="206"/>
      <c r="AC998" s="206"/>
      <c r="AD998" s="206"/>
      <c r="AE998" s="206"/>
      <c r="AF998" s="206"/>
    </row>
    <row r="999" spans="1:32" x14ac:dyDescent="0.2">
      <c r="A999" s="206"/>
      <c r="B999" s="206"/>
      <c r="C999" s="206"/>
      <c r="D999" s="206"/>
      <c r="E999" s="206"/>
      <c r="F999" s="206"/>
      <c r="G999" s="206"/>
      <c r="H999" s="206"/>
      <c r="I999" s="206"/>
      <c r="J999" s="206"/>
      <c r="K999" s="206"/>
      <c r="L999" s="206"/>
      <c r="M999" s="206"/>
      <c r="N999" s="206"/>
      <c r="O999" s="206"/>
      <c r="P999" s="206"/>
      <c r="Q999" s="206"/>
      <c r="R999" s="206"/>
      <c r="S999" s="206"/>
      <c r="T999" s="206"/>
      <c r="U999" s="206"/>
      <c r="V999" s="206"/>
      <c r="W999" s="206"/>
      <c r="X999" s="206"/>
      <c r="Y999" s="206"/>
      <c r="Z999" s="206"/>
      <c r="AA999" s="206"/>
      <c r="AB999" s="206"/>
      <c r="AC999" s="206"/>
      <c r="AD999" s="206"/>
      <c r="AE999" s="206"/>
      <c r="AF999" s="206"/>
    </row>
    <row r="1000" spans="1:32" x14ac:dyDescent="0.2">
      <c r="A1000" s="206"/>
      <c r="B1000" s="206"/>
      <c r="C1000" s="206"/>
      <c r="D1000" s="206"/>
      <c r="E1000" s="206"/>
      <c r="F1000" s="206"/>
      <c r="G1000" s="206"/>
      <c r="H1000" s="206"/>
      <c r="I1000" s="206"/>
      <c r="J1000" s="206"/>
      <c r="K1000" s="206"/>
      <c r="L1000" s="206"/>
      <c r="M1000" s="206"/>
      <c r="N1000" s="206"/>
      <c r="O1000" s="206"/>
      <c r="P1000" s="206"/>
      <c r="Q1000" s="206"/>
      <c r="R1000" s="206"/>
      <c r="S1000" s="206"/>
      <c r="T1000" s="206"/>
      <c r="U1000" s="206"/>
      <c r="V1000" s="206"/>
      <c r="W1000" s="206"/>
      <c r="X1000" s="206"/>
      <c r="Y1000" s="206"/>
      <c r="Z1000" s="206"/>
      <c r="AA1000" s="206"/>
      <c r="AB1000" s="206"/>
      <c r="AC1000" s="206"/>
      <c r="AD1000" s="206"/>
      <c r="AE1000" s="206"/>
      <c r="AF1000" s="2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New Provinces Summary</vt:lpstr>
      <vt:lpstr>Duchies Summary</vt:lpstr>
      <vt:lpstr>Knights Breakdown</vt:lpstr>
      <vt:lpstr>Character Index</vt:lpstr>
      <vt:lpstr>Characters</vt:lpstr>
      <vt:lpstr>NPCs</vt:lpstr>
      <vt:lpstr>Secret Sheet</vt:lpstr>
      <vt:lpstr>Lesser House Dominions</vt:lpstr>
      <vt:lpstr>Economics</vt:lpstr>
      <vt:lpstr>Retinue Breakdown</vt:lpstr>
      <vt:lpstr>New Retinues Summary</vt:lpstr>
      <vt:lpstr>Provincial Economics</vt:lpstr>
      <vt:lpstr>New Retinues Breakdown</vt:lpstr>
      <vt:lpstr>The Crown</vt:lpstr>
      <vt:lpstr>Ducal Economics</vt:lpstr>
      <vt:lpstr>Provinces</vt:lpstr>
      <vt:lpstr>Duchies Secret Sheet</vt:lpstr>
      <vt:lpstr>Provincial Secret Sheet</vt:lpstr>
      <vt:lpstr>Household Guard Breakdown</vt:lpstr>
      <vt:lpstr>New Cities</vt:lpstr>
      <vt:lpstr>Cities</vt:lpstr>
      <vt:lpstr>Duchies Import</vt:lpstr>
      <vt:lpstr>New Cities Filter</vt:lpstr>
      <vt:lpstr>New Cities Import</vt:lpstr>
      <vt:lpstr>CityFilter(Ignore)</vt:lpstr>
      <vt:lpstr>Price Sheet (Ignore)</vt:lpstr>
      <vt:lpstr>Cities Import (Ignore)</vt:lpstr>
      <vt:lpstr>Province Import (Ignore)</vt:lpstr>
      <vt:lpstr>Sheet21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Roland</cp:lastModifiedBy>
  <dcterms:created xsi:type="dcterms:W3CDTF">2026-10-27T01:53:18Z</dcterms:created>
  <dcterms:modified xsi:type="dcterms:W3CDTF">2026-10-27T01:53:18Z</dcterms:modified>
</cp:coreProperties>
</file>